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ims.gov.uk\HomeDrive\Users\MBytheway\Data\Desktop\Core Model Updates\"/>
    </mc:Choice>
  </mc:AlternateContent>
  <xr:revisionPtr revIDLastSave="0" documentId="13_ncr:1_{CE028428-EAFC-4A35-8653-A1FE50E5EF7D}" xr6:coauthVersionLast="45" xr6:coauthVersionMax="45" xr10:uidLastSave="{00000000-0000-0000-0000-000000000000}"/>
  <bookViews>
    <workbookView xWindow="-120" yWindow="-120" windowWidth="23280" windowHeight="15000" tabRatio="794" firstSheet="3" activeTab="3" xr2:uid="{00000000-000D-0000-FFFF-FFFF00000000}"/>
  </bookViews>
  <sheets>
    <sheet name="Version control" sheetId="1" state="hidden"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r:id="rId15"/>
    <sheet name="Capacity setup" sheetId="32"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ide)"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5" l="1"/>
  <c r="B41" i="18" l="1"/>
  <c r="B9" i="3" l="1"/>
  <c r="G33" i="40"/>
  <c r="D33" i="40"/>
  <c r="F33" i="40"/>
  <c r="A11" i="11"/>
  <c r="A13" i="40"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N8" i="6" l="1"/>
  <c r="DM7" i="6"/>
  <c r="C4" i="20"/>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BK1" i="31" s="1"/>
  <c r="E6" i="30"/>
  <c r="D6" i="30"/>
  <c r="B7" i="30"/>
  <c r="A7" i="30" s="1"/>
  <c r="A15" i="36" l="1"/>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D15" i="17"/>
  <c r="D9" i="30"/>
  <c r="E9" i="30"/>
  <c r="B10" i="30"/>
  <c r="A10" i="30" s="1"/>
  <c r="C15" i="17"/>
  <c r="J13" i="39" s="1"/>
  <c r="B15" i="17"/>
  <c r="I13" i="39" s="1"/>
  <c r="A56" i="26"/>
  <c r="A55" i="26"/>
  <c r="A57" i="26"/>
  <c r="E4" i="17"/>
  <c r="A69" i="26"/>
  <c r="A70" i="26"/>
  <c r="A71" i="26"/>
  <c r="A72" i="26"/>
  <c r="A73" i="26"/>
  <c r="A74" i="26"/>
  <c r="A75" i="26"/>
  <c r="A76" i="26"/>
  <c r="A77" i="26"/>
  <c r="A68" i="26"/>
  <c r="H14" i="39" l="1"/>
  <c r="BN110" i="3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D16" i="17"/>
  <c r="K14" i="39" s="1"/>
  <c r="D10" i="30"/>
  <c r="E10" i="30"/>
  <c r="B11" i="30"/>
  <c r="C55" i="26"/>
  <c r="C56" i="26"/>
  <c r="C57" i="26"/>
  <c r="B55" i="26"/>
  <c r="L55" i="26" s="1"/>
  <c r="B56" i="26"/>
  <c r="L56" i="26" s="1"/>
  <c r="B57" i="26"/>
  <c r="L57" i="26" s="1"/>
  <c r="A8" i="28"/>
  <c r="A7" i="28"/>
  <c r="A6" i="28"/>
  <c r="C20" i="25"/>
  <c r="H15" i="39" l="1"/>
  <c r="BO110" i="31"/>
  <c r="A19" i="36"/>
  <c r="B18" i="36"/>
  <c r="DN43" i="6"/>
  <c r="DM42" i="6"/>
  <c r="F11" i="30"/>
  <c r="BP3" i="31" s="1"/>
  <c r="BP1" i="31" s="1"/>
  <c r="A11" i="30"/>
  <c r="M55" i="26"/>
  <c r="A18" i="17"/>
  <c r="D17" i="17"/>
  <c r="B17" i="17"/>
  <c r="I15" i="39" s="1"/>
  <c r="C17" i="17"/>
  <c r="J15" i="39" s="1"/>
  <c r="M56" i="26"/>
  <c r="M57" i="26"/>
  <c r="D11" i="30"/>
  <c r="E11" i="30"/>
  <c r="B12" i="30"/>
  <c r="A12" i="30" s="1"/>
  <c r="A27" i="11"/>
  <c r="A10" i="11"/>
  <c r="H16" i="39" l="1"/>
  <c r="BP110" i="31"/>
  <c r="A20" i="36"/>
  <c r="B19" i="36"/>
  <c r="DN44" i="6"/>
  <c r="DM43" i="6"/>
  <c r="F12" i="30"/>
  <c r="BQ3" i="31" s="1"/>
  <c r="BQ1" i="31" s="1"/>
  <c r="K15" i="39"/>
  <c r="A19" i="17"/>
  <c r="D18" i="17"/>
  <c r="B18" i="17"/>
  <c r="I16" i="39" s="1"/>
  <c r="C18" i="17"/>
  <c r="J16" i="39" s="1"/>
  <c r="D12" i="30"/>
  <c r="E12" i="30"/>
  <c r="B13" i="30"/>
  <c r="B6" i="26"/>
  <c r="B7" i="26"/>
  <c r="B8" i="26"/>
  <c r="B9" i="26"/>
  <c r="B10" i="26"/>
  <c r="B11" i="26"/>
  <c r="B12" i="26"/>
  <c r="B13" i="26"/>
  <c r="B14" i="26"/>
  <c r="B5" i="26"/>
  <c r="H17" i="39" l="1"/>
  <c r="BQ110" i="31"/>
  <c r="A21" i="36"/>
  <c r="B20" i="36"/>
  <c r="DN45" i="6"/>
  <c r="DM44" i="6"/>
  <c r="F13" i="30"/>
  <c r="BR3" i="31" s="1"/>
  <c r="BR1" i="31" s="1"/>
  <c r="A13" i="30"/>
  <c r="K16" i="39"/>
  <c r="A20" i="17"/>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H18" i="39" l="1"/>
  <c r="BR110" i="3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118" i="32" l="1"/>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J1"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10" i="31" l="1"/>
  <c r="DK110" i="31" s="1"/>
  <c r="DK3" i="3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DK1" i="31" l="1"/>
  <c r="I2" i="30"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J67" i="17" s="1"/>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J54" i="6"/>
  <c r="J53" i="6"/>
  <c r="J52" i="6"/>
  <c r="J51" i="6"/>
  <c r="J50" i="6"/>
  <c r="J49" i="6"/>
  <c r="J48" i="6"/>
  <c r="J47" i="6"/>
  <c r="J46" i="6"/>
  <c r="J45" i="6"/>
  <c r="J44" i="6"/>
  <c r="J43" i="6"/>
  <c r="J42" i="6"/>
  <c r="J40" i="6"/>
  <c r="J39" i="6"/>
  <c r="J38" i="6"/>
  <c r="J37" i="6"/>
  <c r="J36" i="6"/>
  <c r="J35" i="6"/>
  <c r="J34" i="6"/>
  <c r="J33" i="6"/>
  <c r="J32" i="6"/>
  <c r="J31" i="6"/>
  <c r="J30" i="6"/>
  <c r="J29" i="6"/>
  <c r="J28" i="6"/>
  <c r="J27" i="6"/>
  <c r="J26" i="6"/>
  <c r="J25" i="6"/>
  <c r="J24" i="6"/>
  <c r="J23" i="6"/>
  <c r="J22" i="6"/>
  <c r="J21" i="6"/>
  <c r="J20" i="6"/>
  <c r="J19" i="6"/>
  <c r="J18" i="6"/>
  <c r="J17" i="6"/>
  <c r="J16" i="6"/>
  <c r="J15" i="6"/>
  <c r="J14" i="6"/>
  <c r="J13" i="6"/>
  <c r="J12" i="6"/>
  <c r="J11" i="6"/>
  <c r="J10" i="6"/>
  <c r="J9" i="6"/>
  <c r="J8" i="6"/>
  <c r="J7" i="6"/>
  <c r="J6" i="6"/>
  <c r="J5" i="6"/>
  <c r="J4" i="6"/>
  <c r="I55" i="6"/>
  <c r="H55" i="6"/>
  <c r="I54" i="6"/>
  <c r="H54" i="6"/>
  <c r="I53" i="6"/>
  <c r="H53" i="6"/>
  <c r="I52" i="6"/>
  <c r="H52" i="6"/>
  <c r="I51" i="6"/>
  <c r="H51" i="6"/>
  <c r="I50" i="6"/>
  <c r="H50" i="6"/>
  <c r="I49" i="6"/>
  <c r="H49" i="6"/>
  <c r="I48" i="6"/>
  <c r="H48" i="6"/>
  <c r="I47" i="6"/>
  <c r="H47" i="6"/>
  <c r="I46" i="6"/>
  <c r="H46" i="6"/>
  <c r="I45" i="6"/>
  <c r="H45" i="6"/>
  <c r="I44" i="6"/>
  <c r="H44" i="6"/>
  <c r="I43" i="6"/>
  <c r="H43" i="6"/>
  <c r="I42" i="6"/>
  <c r="H42" i="6"/>
  <c r="I41" i="6"/>
  <c r="H41" i="6"/>
  <c r="I40" i="6"/>
  <c r="H40" i="6"/>
  <c r="I39" i="6"/>
  <c r="H39" i="6"/>
  <c r="I38" i="6"/>
  <c r="H38" i="6"/>
  <c r="I37" i="6"/>
  <c r="H37" i="6"/>
  <c r="I36" i="6"/>
  <c r="H36" i="6"/>
  <c r="I35" i="6"/>
  <c r="H35" i="6"/>
  <c r="I34" i="6"/>
  <c r="H34" i="6"/>
  <c r="I33" i="6"/>
  <c r="H33" i="6"/>
  <c r="I32" i="6"/>
  <c r="H32" i="6"/>
  <c r="I31" i="6"/>
  <c r="H31" i="6"/>
  <c r="I30" i="6"/>
  <c r="H30" i="6"/>
  <c r="I29" i="6"/>
  <c r="H29" i="6"/>
  <c r="I28" i="6"/>
  <c r="H28" i="6"/>
  <c r="I27" i="6"/>
  <c r="H27" i="6"/>
  <c r="I26" i="6"/>
  <c r="H26" i="6"/>
  <c r="I25" i="6"/>
  <c r="H25" i="6"/>
  <c r="I24" i="6"/>
  <c r="H24" i="6"/>
  <c r="I23" i="6"/>
  <c r="H23" i="6"/>
  <c r="I22" i="6"/>
  <c r="H22" i="6"/>
  <c r="I21" i="6"/>
  <c r="H21" i="6"/>
  <c r="I20" i="6"/>
  <c r="H20" i="6"/>
  <c r="I19" i="6"/>
  <c r="H19" i="6"/>
  <c r="I18" i="6"/>
  <c r="H18" i="6"/>
  <c r="I17" i="6"/>
  <c r="H17" i="6"/>
  <c r="I16" i="6"/>
  <c r="H16" i="6"/>
  <c r="I15" i="6"/>
  <c r="H15" i="6"/>
  <c r="I14" i="6"/>
  <c r="H14" i="6"/>
  <c r="I13" i="6"/>
  <c r="H13" i="6"/>
  <c r="I12" i="6"/>
  <c r="H12" i="6"/>
  <c r="I11" i="6"/>
  <c r="H11" i="6"/>
  <c r="I10" i="6"/>
  <c r="H10" i="6"/>
  <c r="I9" i="6"/>
  <c r="H9" i="6"/>
  <c r="I8" i="6"/>
  <c r="H8" i="6"/>
  <c r="I7" i="6"/>
  <c r="H7" i="6"/>
  <c r="I6" i="6"/>
  <c r="H6" i="6"/>
  <c r="I5" i="6"/>
  <c r="H5" i="6"/>
  <c r="I4" i="6"/>
  <c r="H4" i="6"/>
  <c r="G55" i="6"/>
  <c r="F55" i="6"/>
  <c r="G54" i="6"/>
  <c r="F54" i="6"/>
  <c r="G53" i="6"/>
  <c r="F53" i="6"/>
  <c r="G52" i="6"/>
  <c r="F52" i="6"/>
  <c r="G51" i="6"/>
  <c r="F51" i="6"/>
  <c r="G50" i="6"/>
  <c r="F50" i="6"/>
  <c r="G49" i="6"/>
  <c r="F49" i="6"/>
  <c r="G48" i="6"/>
  <c r="F48" i="6"/>
  <c r="G47" i="6"/>
  <c r="F47" i="6"/>
  <c r="G46" i="6"/>
  <c r="F46" i="6"/>
  <c r="G45" i="6"/>
  <c r="F45" i="6"/>
  <c r="G44" i="6"/>
  <c r="F44" i="6"/>
  <c r="G43" i="6"/>
  <c r="F43" i="6"/>
  <c r="G42" i="6"/>
  <c r="F42" i="6"/>
  <c r="G41" i="6"/>
  <c r="F41" i="6"/>
  <c r="G40" i="6"/>
  <c r="F40" i="6"/>
  <c r="G39" i="6"/>
  <c r="F39" i="6"/>
  <c r="G38" i="6"/>
  <c r="F38" i="6"/>
  <c r="G37" i="6"/>
  <c r="F37" i="6"/>
  <c r="G36" i="6"/>
  <c r="F36" i="6"/>
  <c r="G35" i="6"/>
  <c r="F35" i="6"/>
  <c r="G34" i="6"/>
  <c r="F34" i="6"/>
  <c r="G33" i="6"/>
  <c r="F33" i="6"/>
  <c r="G32" i="6"/>
  <c r="F32" i="6"/>
  <c r="G31" i="6"/>
  <c r="F31" i="6"/>
  <c r="G30" i="6"/>
  <c r="F30" i="6"/>
  <c r="G29" i="6"/>
  <c r="F29" i="6"/>
  <c r="G28" i="6"/>
  <c r="F28" i="6"/>
  <c r="G27" i="6"/>
  <c r="F27" i="6"/>
  <c r="G26" i="6"/>
  <c r="F26" i="6"/>
  <c r="G25" i="6"/>
  <c r="F25" i="6"/>
  <c r="G24" i="6"/>
  <c r="F24" i="6"/>
  <c r="G23" i="6"/>
  <c r="F23" i="6"/>
  <c r="G22" i="6"/>
  <c r="F22" i="6"/>
  <c r="G21" i="6"/>
  <c r="F21" i="6"/>
  <c r="G20" i="6"/>
  <c r="F20" i="6"/>
  <c r="G19" i="6"/>
  <c r="F19" i="6"/>
  <c r="G18" i="6"/>
  <c r="F18" i="6"/>
  <c r="G17" i="6"/>
  <c r="F17" i="6"/>
  <c r="G16" i="6"/>
  <c r="F16" i="6"/>
  <c r="G15" i="6"/>
  <c r="F15" i="6"/>
  <c r="G14" i="6"/>
  <c r="F14" i="6"/>
  <c r="G13" i="6"/>
  <c r="F13" i="6"/>
  <c r="G12" i="6"/>
  <c r="F12" i="6"/>
  <c r="G11" i="6"/>
  <c r="F11" i="6"/>
  <c r="G10" i="6"/>
  <c r="F10" i="6"/>
  <c r="G9" i="6"/>
  <c r="F9" i="6"/>
  <c r="G8" i="6"/>
  <c r="F8" i="6"/>
  <c r="G7" i="6"/>
  <c r="F7" i="6"/>
  <c r="G6" i="6"/>
  <c r="F6" i="6"/>
  <c r="G5" i="6"/>
  <c r="F5" i="6"/>
  <c r="G4" i="6"/>
  <c r="F4"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D55" i="6"/>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1" i="6"/>
  <c r="D10" i="6"/>
  <c r="D9" i="6"/>
  <c r="D8" i="6"/>
  <c r="D7" i="6"/>
  <c r="D6" i="6"/>
  <c r="D5" i="6"/>
  <c r="D4"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K140" i="6"/>
  <c r="A140" i="6" s="1"/>
  <c r="BC149" i="3" s="1"/>
  <c r="K245" i="6"/>
  <c r="A245" i="6" s="1"/>
  <c r="BC254" i="3" s="1"/>
  <c r="AM43" i="6"/>
  <c r="K162" i="6"/>
  <c r="A162" i="6" s="1"/>
  <c r="BC171" i="3" s="1"/>
  <c r="K157" i="6"/>
  <c r="A157" i="6" s="1"/>
  <c r="BC166" i="3" s="1"/>
  <c r="AM60" i="6"/>
  <c r="AM53" i="6"/>
  <c r="AM243" i="6"/>
  <c r="AM14" i="6"/>
  <c r="AM89" i="6"/>
  <c r="K202" i="6"/>
  <c r="A202" i="6" s="1"/>
  <c r="BC211" i="3" s="1"/>
  <c r="AM16" i="6"/>
  <c r="AM189" i="6"/>
  <c r="AM105" i="6"/>
  <c r="AM227" i="6"/>
  <c r="AM197" i="6"/>
  <c r="AM218" i="6"/>
  <c r="AM106" i="6"/>
  <c r="K160" i="6"/>
  <c r="A160" i="6" s="1"/>
  <c r="BC169" i="3" s="1"/>
  <c r="AM42" i="6"/>
  <c r="AM90" i="6"/>
  <c r="AM175" i="6"/>
  <c r="AM31" i="6"/>
  <c r="AM4" i="6"/>
  <c r="AM141" i="6"/>
  <c r="AM122" i="6"/>
  <c r="AM18" i="6"/>
  <c r="AM249" i="6"/>
  <c r="AM231" i="6"/>
  <c r="AM20" i="6"/>
  <c r="AM46" i="6"/>
  <c r="AM100" i="6"/>
  <c r="K142" i="6"/>
  <c r="A142" i="6" s="1"/>
  <c r="BC151" i="3" s="1"/>
  <c r="AM169" i="6"/>
  <c r="AM137" i="6"/>
  <c r="K30" i="6"/>
  <c r="A30" i="6" s="1"/>
  <c r="BC39" i="3" s="1"/>
  <c r="K211" i="6"/>
  <c r="A211" i="6" s="1"/>
  <c r="BC220" i="3" s="1"/>
  <c r="K192" i="6"/>
  <c r="A192" i="6" s="1"/>
  <c r="BC201" i="3" s="1"/>
  <c r="AM117" i="6"/>
  <c r="AM138" i="6"/>
  <c r="AM201" i="6"/>
  <c r="AM29" i="6"/>
  <c r="K144" i="6"/>
  <c r="A144" i="6" s="1"/>
  <c r="BC153" i="3" s="1"/>
  <c r="AM163" i="6"/>
  <c r="K55" i="6"/>
  <c r="A55" i="6" s="1"/>
  <c r="BC64" i="3" s="1"/>
  <c r="K194" i="6"/>
  <c r="A194" i="6" s="1"/>
  <c r="BC203" i="3" s="1"/>
  <c r="AM253" i="6"/>
  <c r="K94" i="6"/>
  <c r="A94" i="6" s="1"/>
  <c r="BC103" i="3" s="1"/>
  <c r="AM262" i="6"/>
  <c r="AM59" i="6"/>
  <c r="AM26" i="6"/>
  <c r="AM132" i="6"/>
  <c r="K242" i="6"/>
  <c r="A242" i="6" s="1"/>
  <c r="BC251" i="3" s="1"/>
  <c r="AM224" i="6"/>
  <c r="AM37" i="6"/>
  <c r="K210" i="6"/>
  <c r="A210" i="6" s="1"/>
  <c r="BC219" i="3" s="1"/>
  <c r="AM147" i="6"/>
  <c r="AM217" i="6"/>
  <c r="K135" i="6"/>
  <c r="A135" i="6" s="1"/>
  <c r="BC144" i="3" s="1"/>
  <c r="AM111" i="6"/>
  <c r="AM154" i="6"/>
  <c r="AM259" i="6"/>
  <c r="AM252" i="6"/>
  <c r="K46" i="6"/>
  <c r="A46" i="6" s="1"/>
  <c r="BC55" i="3" s="1"/>
  <c r="AM226" i="6"/>
  <c r="K226" i="6"/>
  <c r="A226" i="6" s="1"/>
  <c r="BC235" i="3" s="1"/>
  <c r="AM87" i="6"/>
  <c r="K87" i="6"/>
  <c r="A87" i="6" s="1"/>
  <c r="BC96" i="3" s="1"/>
  <c r="AM102" i="6"/>
  <c r="K102" i="6"/>
  <c r="A102" i="6" s="1"/>
  <c r="BC111" i="3" s="1"/>
  <c r="AM76" i="6"/>
  <c r="K76" i="6"/>
  <c r="A76" i="6" s="1"/>
  <c r="BC85" i="3" s="1"/>
  <c r="AM206" i="6"/>
  <c r="K206" i="6"/>
  <c r="A206" i="6" s="1"/>
  <c r="BC215" i="3" s="1"/>
  <c r="AM85" i="6"/>
  <c r="K85" i="6"/>
  <c r="A85" i="6" s="1"/>
  <c r="BC94" i="3" s="1"/>
  <c r="AM130" i="6"/>
  <c r="K130" i="6"/>
  <c r="A130" i="6" s="1"/>
  <c r="BC139" i="3" s="1"/>
  <c r="AM34" i="6"/>
  <c r="K34" i="6"/>
  <c r="A34" i="6" s="1"/>
  <c r="BC43" i="3" s="1"/>
  <c r="K19" i="6"/>
  <c r="A19" i="6" s="1"/>
  <c r="BC28" i="3" s="1"/>
  <c r="AM19" i="6"/>
  <c r="AM61" i="6"/>
  <c r="K61" i="6"/>
  <c r="A61" i="6" s="1"/>
  <c r="BC70" i="3" s="1"/>
  <c r="AM32" i="6"/>
  <c r="K32" i="6"/>
  <c r="A32" i="6" s="1"/>
  <c r="BC41" i="3" s="1"/>
  <c r="AM91" i="6"/>
  <c r="K91" i="6"/>
  <c r="A91" i="6" s="1"/>
  <c r="BC100" i="3" s="1"/>
  <c r="K44" i="6"/>
  <c r="A44" i="6" s="1"/>
  <c r="BC53" i="3" s="1"/>
  <c r="AM44" i="6"/>
  <c r="AM109" i="6"/>
  <c r="K116" i="6"/>
  <c r="A116" i="6" s="1"/>
  <c r="BC125" i="3" s="1"/>
  <c r="AM258" i="6"/>
  <c r="AM110" i="6"/>
  <c r="K16" i="6"/>
  <c r="A16" i="6" s="1"/>
  <c r="BC25" i="3" s="1"/>
  <c r="AM136" i="6"/>
  <c r="K117" i="6"/>
  <c r="A117" i="6" s="1"/>
  <c r="BC126" i="3" s="1"/>
  <c r="K154" i="6"/>
  <c r="A154" i="6" s="1"/>
  <c r="BC163" i="3" s="1"/>
  <c r="K259" i="6"/>
  <c r="A259" i="6" s="1"/>
  <c r="BC268" i="3" s="1"/>
  <c r="AM219" i="6"/>
  <c r="AM261" i="6"/>
  <c r="AM221" i="6"/>
  <c r="AM21" i="6"/>
  <c r="AM257" i="6"/>
  <c r="K111" i="6"/>
  <c r="A111" i="6" s="1"/>
  <c r="BC120" i="3" s="1"/>
  <c r="K14" i="6"/>
  <c r="A14" i="6" s="1"/>
  <c r="BC23" i="3" s="1"/>
  <c r="K252" i="6"/>
  <c r="A252" i="6" s="1"/>
  <c r="BC261" i="3" s="1"/>
  <c r="AM230" i="6"/>
  <c r="K218" i="6"/>
  <c r="A218" i="6" s="1"/>
  <c r="BC227" i="3" s="1"/>
  <c r="AM240" i="6"/>
  <c r="K179" i="6"/>
  <c r="A179" i="6" s="1"/>
  <c r="BC188" i="3" s="1"/>
  <c r="AM176" i="6"/>
  <c r="AM203" i="6"/>
  <c r="AM164" i="6"/>
  <c r="AM205" i="6"/>
  <c r="AM77" i="6"/>
  <c r="K77" i="6"/>
  <c r="A77" i="6" s="1"/>
  <c r="BC86" i="3" s="1"/>
  <c r="AM71" i="6"/>
  <c r="AM78" i="6"/>
  <c r="AM114" i="6"/>
  <c r="K114" i="6"/>
  <c r="A114" i="6" s="1"/>
  <c r="BC123" i="3" s="1"/>
  <c r="AM23" i="6"/>
  <c r="K23" i="6"/>
  <c r="A23" i="6" s="1"/>
  <c r="BC32" i="3" s="1"/>
  <c r="AM198" i="6"/>
  <c r="K198" i="6"/>
  <c r="A198" i="6" s="1"/>
  <c r="BC207" i="3" s="1"/>
  <c r="AM125" i="6"/>
  <c r="K125" i="6"/>
  <c r="A125" i="6" s="1"/>
  <c r="BC134" i="3" s="1"/>
  <c r="AM10" i="6"/>
  <c r="K10" i="6"/>
  <c r="A10" i="6" s="1"/>
  <c r="BC19" i="3" s="1"/>
  <c r="AM199" i="6"/>
  <c r="K199" i="6"/>
  <c r="A199" i="6" s="1"/>
  <c r="BC208" i="3" s="1"/>
  <c r="AM131" i="6"/>
  <c r="K131" i="6"/>
  <c r="A131" i="6" s="1"/>
  <c r="BC140" i="3" s="1"/>
  <c r="AM103" i="6"/>
  <c r="K103" i="6"/>
  <c r="A103" i="6" s="1"/>
  <c r="BC112" i="3" s="1"/>
  <c r="AM51" i="6"/>
  <c r="K51" i="6"/>
  <c r="A51" i="6" s="1"/>
  <c r="BC60" i="3" s="1"/>
  <c r="AM150" i="6"/>
  <c r="K150" i="6"/>
  <c r="A150" i="6" s="1"/>
  <c r="BC159" i="3" s="1"/>
  <c r="AM101" i="6"/>
  <c r="K101" i="6"/>
  <c r="A101" i="6" s="1"/>
  <c r="BC110" i="3" s="1"/>
  <c r="AM36" i="6"/>
  <c r="K36" i="6"/>
  <c r="A36" i="6" s="1"/>
  <c r="BC45" i="3" s="1"/>
  <c r="AM67" i="6"/>
  <c r="AM233" i="6"/>
  <c r="K233" i="6"/>
  <c r="A233" i="6" s="1"/>
  <c r="BC242" i="3" s="1"/>
  <c r="K52" i="6"/>
  <c r="A52" i="6" s="1"/>
  <c r="BC61" i="3" s="1"/>
  <c r="AM52" i="6"/>
  <c r="AM25" i="6"/>
  <c r="K25" i="6"/>
  <c r="A25" i="6" s="1"/>
  <c r="BC34" i="3" s="1"/>
  <c r="AM107" i="6"/>
  <c r="K107" i="6"/>
  <c r="A107" i="6" s="1"/>
  <c r="BC116" i="3" s="1"/>
  <c r="AM244" i="6"/>
  <c r="K244" i="6"/>
  <c r="A244" i="6" s="1"/>
  <c r="BC253" i="3" s="1"/>
  <c r="AM148" i="6"/>
  <c r="K148" i="6"/>
  <c r="A148" i="6" s="1"/>
  <c r="BC157" i="3" s="1"/>
  <c r="AM193" i="6"/>
  <c r="K193" i="6"/>
  <c r="A193" i="6" s="1"/>
  <c r="BC202" i="3" s="1"/>
  <c r="AM80" i="6"/>
  <c r="AM237" i="6"/>
  <c r="K237" i="6"/>
  <c r="A237" i="6" s="1"/>
  <c r="BC246" i="3" s="1"/>
  <c r="AM68" i="6"/>
  <c r="AM210" i="6"/>
  <c r="K6" i="6"/>
  <c r="A6" i="6" s="1"/>
  <c r="BC15" i="3" s="1"/>
  <c r="K243" i="6"/>
  <c r="A243" i="6" s="1"/>
  <c r="BC252" i="3" s="1"/>
  <c r="K105" i="6"/>
  <c r="A105" i="6" s="1"/>
  <c r="BC114" i="3" s="1"/>
  <c r="K109" i="6"/>
  <c r="A109" i="6" s="1"/>
  <c r="BC118" i="3" s="1"/>
  <c r="K141" i="6"/>
  <c r="A141" i="6" s="1"/>
  <c r="BC150" i="3" s="1"/>
  <c r="K258" i="6"/>
  <c r="A258" i="6" s="1"/>
  <c r="BC267" i="3" s="1"/>
  <c r="K122" i="6"/>
  <c r="A122" i="6" s="1"/>
  <c r="BC131" i="3" s="1"/>
  <c r="K110" i="6"/>
  <c r="A110" i="6" s="1"/>
  <c r="BC119" i="3" s="1"/>
  <c r="K18" i="6"/>
  <c r="A18" i="6" s="1"/>
  <c r="BC27" i="3" s="1"/>
  <c r="K89" i="6"/>
  <c r="A89" i="6" s="1"/>
  <c r="BC98" i="3" s="1"/>
  <c r="K230" i="6"/>
  <c r="A230" i="6" s="1"/>
  <c r="BC239" i="3" s="1"/>
  <c r="K249" i="6"/>
  <c r="A249" i="6" s="1"/>
  <c r="BC258" i="3" s="1"/>
  <c r="K106" i="6"/>
  <c r="A106" i="6" s="1"/>
  <c r="BC115" i="3" s="1"/>
  <c r="K20" i="6"/>
  <c r="A20" i="6" s="1"/>
  <c r="BC29" i="3" s="1"/>
  <c r="K62" i="6"/>
  <c r="A62" i="6" s="1"/>
  <c r="BC71" i="3" s="1"/>
  <c r="K7" i="6"/>
  <c r="A7" i="6" s="1"/>
  <c r="BC16" i="3" s="1"/>
  <c r="K176" i="6"/>
  <c r="A176" i="6" s="1"/>
  <c r="BC185" i="3" s="1"/>
  <c r="K82" i="6"/>
  <c r="A82" i="6" s="1"/>
  <c r="BC91" i="3" s="1"/>
  <c r="K139" i="6"/>
  <c r="A139" i="6" s="1"/>
  <c r="BC148" i="3" s="1"/>
  <c r="K201" i="6"/>
  <c r="A201" i="6" s="1"/>
  <c r="BC210" i="3" s="1"/>
  <c r="AM149" i="6"/>
  <c r="K149" i="6"/>
  <c r="A149" i="6" s="1"/>
  <c r="BC158" i="3" s="1"/>
  <c r="K219" i="6"/>
  <c r="A219" i="6" s="1"/>
  <c r="BC228" i="3" s="1"/>
  <c r="AM12" i="6"/>
  <c r="K12" i="6"/>
  <c r="A12" i="6" s="1"/>
  <c r="BC21" i="3" s="1"/>
  <c r="AM84" i="6"/>
  <c r="AM155" i="6"/>
  <c r="K155" i="6"/>
  <c r="A155" i="6" s="1"/>
  <c r="BC164" i="3" s="1"/>
  <c r="AM263" i="6"/>
  <c r="K263" i="6"/>
  <c r="A263" i="6" s="1"/>
  <c r="BC272" i="3" s="1"/>
  <c r="AM181" i="6"/>
  <c r="K181" i="6"/>
  <c r="A181" i="6" s="1"/>
  <c r="BC190" i="3" s="1"/>
  <c r="AM165" i="6"/>
  <c r="K165" i="6"/>
  <c r="A165" i="6" s="1"/>
  <c r="BC174" i="3" s="1"/>
  <c r="AM178" i="6"/>
  <c r="K178" i="6"/>
  <c r="A178" i="6" s="1"/>
  <c r="BC187" i="3" s="1"/>
  <c r="K240" i="6"/>
  <c r="A240" i="6" s="1"/>
  <c r="BC249" i="3" s="1"/>
  <c r="AM97" i="6"/>
  <c r="K97" i="6"/>
  <c r="A97" i="6" s="1"/>
  <c r="BC106" i="3" s="1"/>
  <c r="AM27" i="6"/>
  <c r="K27" i="6"/>
  <c r="A27" i="6" s="1"/>
  <c r="BC36" i="3" s="1"/>
  <c r="AM191" i="6"/>
  <c r="K191" i="6"/>
  <c r="A191" i="6" s="1"/>
  <c r="BC200" i="3" s="1"/>
  <c r="AM211" i="6"/>
  <c r="AM159" i="6"/>
  <c r="K159" i="6"/>
  <c r="A159" i="6" s="1"/>
  <c r="BC168" i="3" s="1"/>
  <c r="AM24" i="6"/>
  <c r="AM118" i="6"/>
  <c r="K118" i="6"/>
  <c r="A118" i="6" s="1"/>
  <c r="BC127" i="3" s="1"/>
  <c r="K43" i="6"/>
  <c r="A43" i="6" s="1"/>
  <c r="BC52" i="3" s="1"/>
  <c r="AM162" i="6"/>
  <c r="AM144" i="6"/>
  <c r="AM167" i="6"/>
  <c r="K167" i="6"/>
  <c r="A167" i="6" s="1"/>
  <c r="BC176" i="3" s="1"/>
  <c r="AM73" i="6"/>
  <c r="K73" i="6"/>
  <c r="A73" i="6" s="1"/>
  <c r="BC82" i="3" s="1"/>
  <c r="AM35" i="6"/>
  <c r="K35" i="6"/>
  <c r="A35" i="6" s="1"/>
  <c r="BC44" i="3" s="1"/>
  <c r="K100" i="6"/>
  <c r="A100" i="6" s="1"/>
  <c r="BC109" i="3" s="1"/>
  <c r="AM196" i="6"/>
  <c r="K196" i="6"/>
  <c r="A196" i="6" s="1"/>
  <c r="BC205" i="3" s="1"/>
  <c r="K28" i="6"/>
  <c r="A28" i="6" s="1"/>
  <c r="BC37" i="3" s="1"/>
  <c r="AM28" i="6"/>
  <c r="AM79" i="6"/>
  <c r="K79" i="6"/>
  <c r="A79" i="6" s="1"/>
  <c r="BC88" i="3" s="1"/>
  <c r="K92" i="6"/>
  <c r="A92" i="6" s="1"/>
  <c r="BC101" i="3" s="1"/>
  <c r="AM92" i="6"/>
  <c r="AM156" i="6"/>
  <c r="K156" i="6"/>
  <c r="A156" i="6" s="1"/>
  <c r="BC165" i="3" s="1"/>
  <c r="K137" i="6"/>
  <c r="A137" i="6" s="1"/>
  <c r="BC146" i="3" s="1"/>
  <c r="AM49" i="6"/>
  <c r="K49" i="6"/>
  <c r="A49" i="6" s="1"/>
  <c r="BC58" i="3" s="1"/>
  <c r="K147" i="6"/>
  <c r="A147" i="6" s="1"/>
  <c r="BC156" i="3" s="1"/>
  <c r="AM223" i="6"/>
  <c r="K223" i="6"/>
  <c r="A223" i="6" s="1"/>
  <c r="BC232" i="3" s="1"/>
  <c r="K217" i="6"/>
  <c r="A217" i="6" s="1"/>
  <c r="BC226" i="3" s="1"/>
  <c r="AM127" i="6"/>
  <c r="K127" i="6"/>
  <c r="A127" i="6" s="1"/>
  <c r="BC136" i="3" s="1"/>
  <c r="AM88" i="6"/>
  <c r="AM47" i="6"/>
  <c r="AM120" i="6"/>
  <c r="K120" i="6"/>
  <c r="A120" i="6" s="1"/>
  <c r="BC129" i="3" s="1"/>
  <c r="AM208" i="6"/>
  <c r="K208" i="6"/>
  <c r="A208" i="6" s="1"/>
  <c r="BC217" i="3" s="1"/>
  <c r="AM38" i="6"/>
  <c r="K38" i="6"/>
  <c r="A38" i="6" s="1"/>
  <c r="BC47" i="3" s="1"/>
  <c r="K95" i="6"/>
  <c r="A95" i="6" s="1"/>
  <c r="BC104" i="3" s="1"/>
  <c r="K45" i="6"/>
  <c r="A45" i="6" s="1"/>
  <c r="BC54" i="3" s="1"/>
  <c r="AM45" i="6"/>
  <c r="AM185" i="6"/>
  <c r="K185" i="6"/>
  <c r="A185" i="6" s="1"/>
  <c r="BC194" i="3" s="1"/>
  <c r="AM64" i="6"/>
  <c r="K64" i="6"/>
  <c r="A64" i="6" s="1"/>
  <c r="BC73" i="3" s="1"/>
  <c r="AM104" i="6"/>
  <c r="K104" i="6"/>
  <c r="A104" i="6" s="1"/>
  <c r="BC113" i="3" s="1"/>
  <c r="K221" i="6"/>
  <c r="A221" i="6" s="1"/>
  <c r="BC230" i="3" s="1"/>
  <c r="K257" i="6"/>
  <c r="A257" i="6" s="1"/>
  <c r="BC266" i="3" s="1"/>
  <c r="K60" i="6"/>
  <c r="A60" i="6" s="1"/>
  <c r="BC69" i="3" s="1"/>
  <c r="K75" i="6"/>
  <c r="A75" i="6" s="1"/>
  <c r="BC84" i="3" s="1"/>
  <c r="AM81" i="6"/>
  <c r="AM195" i="6"/>
  <c r="K195" i="6"/>
  <c r="A195" i="6" s="1"/>
  <c r="BC204" i="3" s="1"/>
  <c r="AM96" i="6"/>
  <c r="K96" i="6"/>
  <c r="A96" i="6" s="1"/>
  <c r="BC105" i="3" s="1"/>
  <c r="AM168" i="6"/>
  <c r="K168" i="6"/>
  <c r="A168" i="6" s="1"/>
  <c r="BC177" i="3" s="1"/>
  <c r="K262" i="6"/>
  <c r="A262" i="6" s="1"/>
  <c r="BC271" i="3" s="1"/>
  <c r="AM186" i="6"/>
  <c r="K186" i="6"/>
  <c r="A186" i="6" s="1"/>
  <c r="BC195" i="3" s="1"/>
  <c r="K205" i="6"/>
  <c r="A205" i="6" s="1"/>
  <c r="BC214" i="3" s="1"/>
  <c r="K169" i="6"/>
  <c r="A169" i="6" s="1"/>
  <c r="BC178" i="3" s="1"/>
  <c r="AM86" i="6"/>
  <c r="K86" i="6"/>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K29" i="6"/>
  <c r="A29" i="6" s="1"/>
  <c r="BC38" i="3" s="1"/>
  <c r="K189" i="6"/>
  <c r="A189" i="6" s="1"/>
  <c r="BC198" i="3" s="1"/>
  <c r="K132" i="6"/>
  <c r="A132" i="6" s="1"/>
  <c r="BC141" i="3" s="1"/>
  <c r="K197" i="6"/>
  <c r="A197" i="6" s="1"/>
  <c r="BC206" i="3" s="1"/>
  <c r="A23" i="3"/>
  <c r="K31" i="6"/>
  <c r="A31" i="6" s="1"/>
  <c r="BC40" i="3" s="1"/>
  <c r="K231" i="6"/>
  <c r="A231" i="6" s="1"/>
  <c r="BC240" i="3" s="1"/>
  <c r="K138" i="6"/>
  <c r="A138" i="6" s="1"/>
  <c r="BC147" i="3" s="1"/>
  <c r="AM202" i="6"/>
  <c r="AM242" i="6"/>
  <c r="AM140" i="6"/>
  <c r="AM55" i="6"/>
  <c r="AM192" i="6"/>
  <c r="AM30" i="6"/>
  <c r="AM142" i="6"/>
  <c r="AM74" i="6"/>
  <c r="AM160" i="6"/>
  <c r="AM99" i="6"/>
  <c r="AM157" i="6"/>
  <c r="A69" i="3"/>
  <c r="K175" i="6"/>
  <c r="A175" i="6" s="1"/>
  <c r="BC184" i="3" s="1"/>
  <c r="K163" i="6"/>
  <c r="A163" i="6" s="1"/>
  <c r="BC172" i="3" s="1"/>
  <c r="K253" i="6"/>
  <c r="A253" i="6" s="1"/>
  <c r="BC262" i="3" s="1"/>
  <c r="AM135" i="6"/>
  <c r="AM194" i="6"/>
  <c r="K254" i="6"/>
  <c r="A254" i="6" s="1"/>
  <c r="BC263" i="3" s="1"/>
  <c r="AM254" i="6"/>
  <c r="A71" i="3"/>
  <c r="K42" i="6"/>
  <c r="A42" i="6" s="1"/>
  <c r="BC51" i="3" s="1"/>
  <c r="AM250" i="6"/>
  <c r="K250" i="6"/>
  <c r="A250" i="6" s="1"/>
  <c r="BC259" i="3" s="1"/>
  <c r="A95" i="3"/>
  <c r="A36" i="3"/>
  <c r="A109" i="3"/>
  <c r="A58" i="3"/>
  <c r="K224" i="6"/>
  <c r="A224" i="6" s="1"/>
  <c r="BC233" i="3" s="1"/>
  <c r="K164" i="6"/>
  <c r="A164" i="6" s="1"/>
  <c r="BC173" i="3" s="1"/>
  <c r="K261" i="6"/>
  <c r="A261" i="6" s="1"/>
  <c r="BC270" i="3" s="1"/>
  <c r="K203" i="6"/>
  <c r="A203" i="6" s="1"/>
  <c r="BC212" i="3" s="1"/>
  <c r="K136" i="6"/>
  <c r="A136" i="6" s="1"/>
  <c r="BC145" i="3" s="1"/>
  <c r="AM183" i="6"/>
  <c r="K183" i="6"/>
  <c r="A183" i="6" s="1"/>
  <c r="BC192" i="3" s="1"/>
  <c r="AM119" i="6"/>
  <c r="K119" i="6"/>
  <c r="A119" i="6" s="1"/>
  <c r="BC128" i="3" s="1"/>
  <c r="A113" i="3"/>
  <c r="A103" i="3"/>
  <c r="A84" i="3"/>
  <c r="A73" i="3"/>
  <c r="A82" i="3"/>
  <c r="A29" i="3"/>
  <c r="K227" i="6"/>
  <c r="A227" i="6" s="1"/>
  <c r="BC236" i="3" s="1"/>
  <c r="K74" i="6"/>
  <c r="A74" i="6" s="1"/>
  <c r="BC83" i="3" s="1"/>
  <c r="AM129" i="6"/>
  <c r="K129" i="6"/>
  <c r="A129" i="6" s="1"/>
  <c r="BC138" i="3" s="1"/>
  <c r="AM229" i="6"/>
  <c r="K229" i="6"/>
  <c r="A229" i="6" s="1"/>
  <c r="BC238" i="3" s="1"/>
  <c r="AM56" i="6"/>
  <c r="AM121" i="6"/>
  <c r="K121" i="6"/>
  <c r="A121" i="6" s="1"/>
  <c r="BC130" i="3" s="1"/>
  <c r="AM112" i="6"/>
  <c r="K112" i="6"/>
  <c r="A112" i="6" s="1"/>
  <c r="BC121" i="3" s="1"/>
  <c r="AM190" i="6"/>
  <c r="K190" i="6"/>
  <c r="A190" i="6" s="1"/>
  <c r="BC199" i="3" s="1"/>
  <c r="K212" i="6"/>
  <c r="A212" i="6" s="1"/>
  <c r="BC221" i="3" s="1"/>
  <c r="AM212" i="6"/>
  <c r="AM251" i="6"/>
  <c r="K251" i="6"/>
  <c r="A251" i="6" s="1"/>
  <c r="BC260" i="3" s="1"/>
  <c r="AM153" i="6"/>
  <c r="K153" i="6"/>
  <c r="A153" i="6" s="1"/>
  <c r="BC162" i="3" s="1"/>
  <c r="AM184" i="6"/>
  <c r="K184" i="6"/>
  <c r="A184" i="6" s="1"/>
  <c r="BC193" i="3" s="1"/>
  <c r="K53" i="6"/>
  <c r="A53" i="6" s="1"/>
  <c r="BC62" i="3" s="1"/>
  <c r="AM166" i="6"/>
  <c r="K166" i="6"/>
  <c r="A166" i="6" s="1"/>
  <c r="BC175" i="3" s="1"/>
  <c r="A54" i="3"/>
  <c r="AM172" i="6"/>
  <c r="K172" i="6"/>
  <c r="A172" i="6" s="1"/>
  <c r="BC181" i="3" s="1"/>
  <c r="K88" i="6"/>
  <c r="A88" i="6" s="1"/>
  <c r="BC97" i="3" s="1"/>
  <c r="AM152" i="6"/>
  <c r="K152" i="6"/>
  <c r="A152" i="6" s="1"/>
  <c r="BC161" i="3" s="1"/>
  <c r="AM246" i="6"/>
  <c r="K246" i="6"/>
  <c r="A246" i="6" s="1"/>
  <c r="BC255" i="3" s="1"/>
  <c r="AM9" i="6"/>
  <c r="AM63" i="6"/>
  <c r="K24" i="6"/>
  <c r="A24" i="6" s="1"/>
  <c r="BC33" i="3" s="1"/>
  <c r="A15" i="3"/>
  <c r="AM232" i="6"/>
  <c r="K232" i="6"/>
  <c r="A232" i="6" s="1"/>
  <c r="BC241" i="3" s="1"/>
  <c r="AM93" i="6"/>
  <c r="AM238" i="6"/>
  <c r="K238" i="6"/>
  <c r="A238" i="6" s="1"/>
  <c r="BC247" i="3" s="1"/>
  <c r="A52" i="3"/>
  <c r="AM40" i="6"/>
  <c r="AM126" i="6"/>
  <c r="K126" i="6"/>
  <c r="A126" i="6" s="1"/>
  <c r="BC135" i="3" s="1"/>
  <c r="AM209" i="6"/>
  <c r="K209" i="6"/>
  <c r="A209" i="6" s="1"/>
  <c r="BC218" i="3" s="1"/>
  <c r="AM65" i="6"/>
  <c r="AM234" i="6"/>
  <c r="K234" i="6"/>
  <c r="A234" i="6" s="1"/>
  <c r="BC243" i="3" s="1"/>
  <c r="A27" i="3"/>
  <c r="AM146" i="6"/>
  <c r="K146" i="6"/>
  <c r="A146" i="6" s="1"/>
  <c r="BC155" i="3" s="1"/>
  <c r="AM214" i="6"/>
  <c r="K214" i="6"/>
  <c r="A214" i="6" s="1"/>
  <c r="BC223" i="3" s="1"/>
  <c r="A88" i="3"/>
  <c r="K71" i="6"/>
  <c r="A71" i="6" s="1"/>
  <c r="BC80" i="3" s="1"/>
  <c r="K188" i="6"/>
  <c r="A188" i="6" s="1"/>
  <c r="BC197" i="3" s="1"/>
  <c r="AM188" i="6"/>
  <c r="AM128" i="6"/>
  <c r="K128" i="6"/>
  <c r="A128" i="6" s="1"/>
  <c r="BC137" i="3" s="1"/>
  <c r="AM115" i="6"/>
  <c r="K115" i="6"/>
  <c r="A101" i="3"/>
  <c r="AM8" i="6"/>
  <c r="AM171" i="6"/>
  <c r="K171" i="6"/>
  <c r="A171" i="6" s="1"/>
  <c r="BC180" i="3" s="1"/>
  <c r="AM200" i="6"/>
  <c r="K200" i="6"/>
  <c r="A200" i="6" s="1"/>
  <c r="BC209" i="3" s="1"/>
  <c r="AM256" i="6"/>
  <c r="K256" i="6"/>
  <c r="A256" i="6" s="1"/>
  <c r="BC265" i="3" s="1"/>
  <c r="AM247" i="6"/>
  <c r="K247" i="6"/>
  <c r="A247" i="6" s="1"/>
  <c r="BC256" i="3" s="1"/>
  <c r="AM145" i="6"/>
  <c r="K145" i="6"/>
  <c r="A145" i="6" s="1"/>
  <c r="BC154" i="3" s="1"/>
  <c r="AM69" i="6"/>
  <c r="AM255" i="6"/>
  <c r="K255" i="6"/>
  <c r="A255" i="6" s="1"/>
  <c r="BC264" i="3" s="1"/>
  <c r="A44" i="3"/>
  <c r="AM133" i="6"/>
  <c r="K133" i="6"/>
  <c r="A133" i="6" s="1"/>
  <c r="BC142" i="3" s="1"/>
  <c r="AM39" i="6"/>
  <c r="AM72" i="6"/>
  <c r="K37" i="6"/>
  <c r="A37" i="6" s="1"/>
  <c r="BC46" i="3" s="1"/>
  <c r="AM83" i="6"/>
  <c r="AM108" i="6"/>
  <c r="K108" i="6"/>
  <c r="A108" i="6" s="1"/>
  <c r="BC117" i="3" s="1"/>
  <c r="AM15" i="6"/>
  <c r="K59" i="6"/>
  <c r="A59" i="6" s="1"/>
  <c r="BC68" i="3" s="1"/>
  <c r="AM58" i="6"/>
  <c r="AM260" i="6"/>
  <c r="K260" i="6"/>
  <c r="A260" i="6" s="1"/>
  <c r="BC269" i="3" s="1"/>
  <c r="K80" i="6"/>
  <c r="A80" i="6" s="1"/>
  <c r="BC89" i="3" s="1"/>
  <c r="A106" i="3"/>
  <c r="K241" i="6"/>
  <c r="A241" i="6" s="1"/>
  <c r="BC250" i="3" s="1"/>
  <c r="AM241" i="6"/>
  <c r="K81" i="6"/>
  <c r="A81" i="6" s="1"/>
  <c r="BC90" i="3" s="1"/>
  <c r="AM98" i="6"/>
  <c r="AM177" i="6"/>
  <c r="K177" i="6"/>
  <c r="A177" i="6" s="1"/>
  <c r="BC186" i="3" s="1"/>
  <c r="AM22" i="6"/>
  <c r="AM54" i="6"/>
  <c r="AM236" i="6"/>
  <c r="K236" i="6"/>
  <c r="A236" i="6" s="1"/>
  <c r="BC245" i="3" s="1"/>
  <c r="AM113" i="6"/>
  <c r="K113" i="6"/>
  <c r="A113" i="6" s="1"/>
  <c r="BC122" i="3" s="1"/>
  <c r="AM182" i="6"/>
  <c r="K182" i="6"/>
  <c r="A182" i="6" s="1"/>
  <c r="BC191" i="3" s="1"/>
  <c r="A47" i="3"/>
  <c r="AM207" i="6"/>
  <c r="K207" i="6"/>
  <c r="A207" i="6" s="1"/>
  <c r="BC216" i="3" s="1"/>
  <c r="A105" i="3"/>
  <c r="AM174" i="6"/>
  <c r="K174" i="6"/>
  <c r="A174" i="6" s="1"/>
  <c r="BC183" i="3" s="1"/>
  <c r="AM13" i="6"/>
  <c r="AM151" i="6"/>
  <c r="K151" i="6"/>
  <c r="A151" i="6" s="1"/>
  <c r="BC160" i="3" s="1"/>
  <c r="AM235" i="6"/>
  <c r="K235" i="6"/>
  <c r="A235" i="6" s="1"/>
  <c r="BC244" i="3" s="1"/>
  <c r="AM50" i="6"/>
  <c r="AM143" i="6"/>
  <c r="K143" i="6"/>
  <c r="A143" i="6" s="1"/>
  <c r="BC152" i="3" s="1"/>
  <c r="AM204" i="6"/>
  <c r="K204" i="6"/>
  <c r="A204" i="6" s="1"/>
  <c r="BC213" i="3" s="1"/>
  <c r="AM70" i="6"/>
  <c r="AM41" i="6"/>
  <c r="A64" i="3"/>
  <c r="AM213" i="6"/>
  <c r="K213" i="6"/>
  <c r="A213" i="6" s="1"/>
  <c r="BC222" i="3" s="1"/>
  <c r="AM225" i="6"/>
  <c r="K225" i="6"/>
  <c r="A225" i="6" s="1"/>
  <c r="BC234" i="3" s="1"/>
  <c r="AM158" i="6"/>
  <c r="K158" i="6"/>
  <c r="A158" i="6" s="1"/>
  <c r="BC167" i="3" s="1"/>
  <c r="AM173" i="6"/>
  <c r="K173" i="6"/>
  <c r="A173" i="6" s="1"/>
  <c r="BC182" i="3" s="1"/>
  <c r="AM11" i="6"/>
  <c r="A21" i="3"/>
  <c r="AM220" i="6"/>
  <c r="K220" i="6"/>
  <c r="A220" i="6" s="1"/>
  <c r="BC229" i="3" s="1"/>
  <c r="AM248" i="6"/>
  <c r="K248" i="6"/>
  <c r="A248" i="6" s="1"/>
  <c r="BC257" i="3" s="1"/>
  <c r="K47" i="6"/>
  <c r="A47" i="6" s="1"/>
  <c r="BC56" i="3" s="1"/>
  <c r="AM180" i="6"/>
  <c r="K180" i="6"/>
  <c r="A180" i="6" s="1"/>
  <c r="BC189" i="3" s="1"/>
  <c r="AM170" i="6"/>
  <c r="K170" i="6"/>
  <c r="A170" i="6" s="1"/>
  <c r="BC179" i="3" s="1"/>
  <c r="AM33" i="6"/>
  <c r="AM123" i="6"/>
  <c r="K123" i="6"/>
  <c r="A123" i="6" s="1"/>
  <c r="BC132" i="3" s="1"/>
  <c r="A16" i="3"/>
  <c r="AM57" i="6"/>
  <c r="AM48" i="6"/>
  <c r="K161" i="6"/>
  <c r="A161" i="6" s="1"/>
  <c r="BC170" i="3" s="1"/>
  <c r="AM161" i="6"/>
  <c r="AM124" i="6"/>
  <c r="K124" i="6"/>
  <c r="A124" i="6" s="1"/>
  <c r="BC133" i="3" s="1"/>
  <c r="K84" i="6"/>
  <c r="A84" i="6" s="1"/>
  <c r="BC93" i="3" s="1"/>
  <c r="AM66" i="6"/>
  <c r="AM228" i="6"/>
  <c r="K228" i="6"/>
  <c r="A228" i="6" s="1"/>
  <c r="BC237" i="3" s="1"/>
  <c r="AM187" i="6"/>
  <c r="K187" i="6"/>
  <c r="A187" i="6" s="1"/>
  <c r="BC196" i="3" s="1"/>
  <c r="AM134" i="6"/>
  <c r="K134" i="6"/>
  <c r="A134" i="6" s="1"/>
  <c r="BC143" i="3" s="1"/>
  <c r="AM216" i="6"/>
  <c r="K216" i="6"/>
  <c r="A216" i="6" s="1"/>
  <c r="BC225" i="3" s="1"/>
  <c r="AM239" i="6"/>
  <c r="K239" i="6"/>
  <c r="A239" i="6" s="1"/>
  <c r="BC248" i="3" s="1"/>
  <c r="AM222" i="6"/>
  <c r="K222" i="6"/>
  <c r="A222" i="6" s="1"/>
  <c r="BC231" i="3" s="1"/>
  <c r="K4" i="6"/>
  <c r="A4" i="6" s="1"/>
  <c r="BC13" i="3" s="1"/>
  <c r="AM17" i="6"/>
  <c r="A98" i="3"/>
  <c r="AM215" i="6"/>
  <c r="K215" i="6"/>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X18" i="15" l="1"/>
  <c r="AQ5" i="6" l="1"/>
  <c r="E5" i="12"/>
  <c r="H5" i="12" s="1"/>
  <c r="AW4" i="6" s="1"/>
  <c r="E4" i="12"/>
  <c r="F4" i="12" s="1"/>
  <c r="F5" i="12" l="1"/>
  <c r="AQ6" i="6"/>
  <c r="A17" i="12"/>
  <c r="C14" i="37"/>
  <c r="H67" i="26"/>
  <c r="AW5" i="6" l="1"/>
  <c r="N4" i="12" s="1"/>
  <c r="G5" i="12"/>
  <c r="I5" i="12" s="1"/>
  <c r="M4" i="12"/>
  <c r="DJ5" i="6"/>
  <c r="C5" i="7"/>
  <c r="AX6" i="6"/>
  <c r="DJ4" i="6"/>
  <c r="AX7" i="6"/>
  <c r="DJ3" i="6"/>
  <c r="AX3" i="6"/>
  <c r="R4" i="12" s="1"/>
  <c r="AW3" i="6"/>
  <c r="O4" i="12" s="1"/>
  <c r="AW6" i="6"/>
  <c r="P4" i="12" s="1"/>
  <c r="M4" i="39" s="1"/>
  <c r="AW7" i="6"/>
  <c r="Q4" i="12" s="1"/>
  <c r="N4" i="39" s="1"/>
  <c r="B14" i="3"/>
  <c r="AP5" i="6" s="1"/>
  <c r="A18" i="12"/>
  <c r="AQ7" i="6"/>
  <c r="D6" i="12" l="1"/>
  <c r="E5" i="17" s="1"/>
  <c r="F4" i="17"/>
  <c r="K4" i="39"/>
  <c r="S4" i="12"/>
  <c r="J4" i="39"/>
  <c r="B15" i="3"/>
  <c r="AP6" i="6" s="1"/>
  <c r="A19" i="12"/>
  <c r="E6" i="12" l="1"/>
  <c r="L5" i="12"/>
  <c r="I5" i="39" s="1"/>
  <c r="D7" i="12"/>
  <c r="H7" i="12" s="1"/>
  <c r="F6" i="12"/>
  <c r="B16" i="3"/>
  <c r="AP7" i="6" s="1"/>
  <c r="AQ9" i="6"/>
  <c r="AQ8" i="6"/>
  <c r="AQ10" i="6"/>
  <c r="E275" i="12" l="1"/>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A22" i="12" l="1"/>
  <c r="B19" i="3"/>
  <c r="AP10" i="6" s="1"/>
  <c r="AQ12" i="6"/>
  <c r="A23" i="12" l="1"/>
  <c r="B20" i="3"/>
  <c r="AP11" i="6" s="1"/>
  <c r="AQ13" i="6"/>
  <c r="A24" i="12" l="1"/>
  <c r="B21" i="3"/>
  <c r="AP12" i="6" s="1"/>
  <c r="AQ14" i="6"/>
  <c r="A25" i="12" l="1"/>
  <c r="B22" i="3"/>
  <c r="AP13" i="6" s="1"/>
  <c r="AQ15" i="6"/>
  <c r="A26" i="12" l="1"/>
  <c r="B23" i="3"/>
  <c r="AP14" i="6" s="1"/>
  <c r="AQ16" i="6"/>
  <c r="A27" i="12" l="1"/>
  <c r="B24" i="3"/>
  <c r="AP15" i="6" s="1"/>
  <c r="AQ17" i="6"/>
  <c r="A28" i="12" l="1"/>
  <c r="B25" i="3"/>
  <c r="AP16" i="6" s="1"/>
  <c r="AQ18" i="6"/>
  <c r="A29" i="12" l="1"/>
  <c r="B26" i="3"/>
  <c r="AP17" i="6" s="1"/>
  <c r="AQ19" i="6"/>
  <c r="A30" i="12" l="1"/>
  <c r="B27" i="3"/>
  <c r="AP18" i="6" s="1"/>
  <c r="C49" i="18"/>
  <c r="AQ20" i="6"/>
  <c r="A31" i="12" l="1"/>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A32" i="12" l="1"/>
  <c r="B29" i="3"/>
  <c r="AP20" i="6" s="1"/>
  <c r="AQ22" i="6"/>
  <c r="A33" i="12" l="1"/>
  <c r="B30" i="3"/>
  <c r="AP21" i="6" s="1"/>
  <c r="AQ23" i="6"/>
  <c r="A34" i="12" l="1"/>
  <c r="B31" i="3"/>
  <c r="AP22" i="6" s="1"/>
  <c r="AQ24" i="6"/>
  <c r="A35" i="12" l="1"/>
  <c r="B32" i="3"/>
  <c r="AP23" i="6" s="1"/>
  <c r="AQ25" i="6"/>
  <c r="A36" i="12" l="1"/>
  <c r="B33" i="3"/>
  <c r="AP24" i="6" s="1"/>
  <c r="AQ26" i="6"/>
  <c r="A37" i="12" l="1"/>
  <c r="B34" i="3"/>
  <c r="AP25" i="6" s="1"/>
  <c r="AQ27" i="6"/>
  <c r="A38" i="12" l="1"/>
  <c r="B35" i="3"/>
  <c r="AP26" i="6" s="1"/>
  <c r="AQ28" i="6"/>
  <c r="A39" i="12" l="1"/>
  <c r="B36" i="3"/>
  <c r="AP27" i="6" s="1"/>
  <c r="AQ29" i="6"/>
  <c r="A40" i="12" l="1"/>
  <c r="B37" i="3"/>
  <c r="AP28" i="6" s="1"/>
  <c r="AQ30" i="6"/>
  <c r="A41" i="12" l="1"/>
  <c r="B38" i="3"/>
  <c r="AP29" i="6" s="1"/>
  <c r="AQ31" i="6"/>
  <c r="A42" i="12" l="1"/>
  <c r="B39" i="3"/>
  <c r="AP30" i="6" s="1"/>
  <c r="AQ32" i="6"/>
  <c r="A43" i="12" l="1"/>
  <c r="B40" i="3"/>
  <c r="AP31" i="6" s="1"/>
  <c r="AQ33" i="6"/>
  <c r="A44" i="12" l="1"/>
  <c r="B41" i="3"/>
  <c r="AP32" i="6" s="1"/>
  <c r="AQ34" i="6"/>
  <c r="A45" i="12" l="1"/>
  <c r="B42" i="3"/>
  <c r="AP33" i="6" s="1"/>
  <c r="AQ35" i="6"/>
  <c r="A46" i="12" l="1"/>
  <c r="B43" i="3"/>
  <c r="AP34" i="6" s="1"/>
  <c r="AQ36" i="6"/>
  <c r="A47" i="12" l="1"/>
  <c r="B44" i="3"/>
  <c r="AP35" i="6" s="1"/>
  <c r="AQ37" i="6"/>
  <c r="A48" i="12" l="1"/>
  <c r="B45" i="3"/>
  <c r="AP36" i="6" s="1"/>
  <c r="AQ38" i="6"/>
  <c r="A49" i="12" l="1"/>
  <c r="B46" i="3"/>
  <c r="AP37" i="6" s="1"/>
  <c r="AQ39" i="6"/>
  <c r="A50" i="12" l="1"/>
  <c r="B47" i="3"/>
  <c r="AP38" i="6" s="1"/>
  <c r="AQ40" i="6"/>
  <c r="A51" i="12" l="1"/>
  <c r="B48" i="3"/>
  <c r="AP39" i="6" s="1"/>
  <c r="AQ41" i="6"/>
  <c r="A52" i="12" l="1"/>
  <c r="B49" i="3"/>
  <c r="AP40" i="6" s="1"/>
  <c r="AQ42" i="6"/>
  <c r="A53" i="12" l="1"/>
  <c r="B50" i="3"/>
  <c r="AP41" i="6" s="1"/>
  <c r="AQ43" i="6"/>
  <c r="A54" i="12" l="1"/>
  <c r="B51" i="3"/>
  <c r="AP42" i="6" s="1"/>
  <c r="AQ44" i="6"/>
  <c r="A55" i="12" l="1"/>
  <c r="B52" i="3"/>
  <c r="AP43" i="6" s="1"/>
  <c r="AQ45" i="6"/>
  <c r="A56" i="12" l="1"/>
  <c r="B53" i="3"/>
  <c r="AP44" i="6" s="1"/>
  <c r="AQ46" i="6"/>
  <c r="A57" i="12" l="1"/>
  <c r="B54" i="3"/>
  <c r="AP45" i="6" s="1"/>
  <c r="AQ47" i="6"/>
  <c r="A58" i="12" l="1"/>
  <c r="B55" i="3"/>
  <c r="AP46" i="6" s="1"/>
  <c r="AQ48" i="6"/>
  <c r="A59" i="12" l="1"/>
  <c r="B56" i="3"/>
  <c r="AP47" i="6" s="1"/>
  <c r="AQ49" i="6"/>
  <c r="A60" i="12" l="1"/>
  <c r="B57" i="3"/>
  <c r="AP48" i="6" s="1"/>
  <c r="AQ50" i="6"/>
  <c r="A61" i="12" l="1"/>
  <c r="B58" i="3"/>
  <c r="AP49" i="6" s="1"/>
  <c r="AQ51" i="6"/>
  <c r="A62" i="12" l="1"/>
  <c r="B59" i="3"/>
  <c r="AP50" i="6" s="1"/>
  <c r="AQ52" i="6"/>
  <c r="A63" i="12" l="1"/>
  <c r="B60" i="3"/>
  <c r="AP51" i="6" s="1"/>
  <c r="AQ53" i="6"/>
  <c r="A64" i="12" l="1"/>
  <c r="B61" i="3"/>
  <c r="AP52" i="6" s="1"/>
  <c r="AQ54" i="6"/>
  <c r="A65" i="12" l="1"/>
  <c r="B62" i="3"/>
  <c r="AP53" i="6" s="1"/>
  <c r="AQ55" i="6"/>
  <c r="A66" i="12" l="1"/>
  <c r="B63" i="3"/>
  <c r="AP54" i="6" s="1"/>
  <c r="AQ56" i="6"/>
  <c r="A67" i="12" l="1"/>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A173" i="12" l="1"/>
  <c r="B170" i="3"/>
  <c r="AP161" i="6" s="1"/>
  <c r="AQ161" i="6"/>
  <c r="BL111" i="31"/>
  <c r="DL111" i="31" l="1"/>
  <c r="DL110" i="31" s="1"/>
  <c r="I217" i="32"/>
  <c r="B171" i="3"/>
  <c r="AP162" i="6" s="1"/>
  <c r="A174" i="12"/>
  <c r="AQ162" i="6"/>
  <c r="I216" i="32" l="1"/>
  <c r="A175" i="12"/>
  <c r="B172" i="3"/>
  <c r="AP163" i="6" s="1"/>
  <c r="AQ163" i="6"/>
  <c r="I215" i="32" l="1"/>
  <c r="B173" i="3"/>
  <c r="AP164" i="6" s="1"/>
  <c r="A176" i="12"/>
  <c r="AQ164" i="6"/>
  <c r="I214" i="32" l="1"/>
  <c r="B174" i="3"/>
  <c r="AP165" i="6" s="1"/>
  <c r="A177" i="12"/>
  <c r="AQ165" i="6"/>
  <c r="I213" i="32" l="1"/>
  <c r="B175" i="3"/>
  <c r="AP166" i="6" s="1"/>
  <c r="A178" i="12"/>
  <c r="AQ166" i="6"/>
  <c r="I212" i="32" l="1"/>
  <c r="A179" i="12"/>
  <c r="B176" i="3"/>
  <c r="AP167" i="6" s="1"/>
  <c r="AQ167" i="6"/>
  <c r="I211" i="32" l="1"/>
  <c r="B177" i="3"/>
  <c r="AP168" i="6" s="1"/>
  <c r="A180" i="12"/>
  <c r="AQ168" i="6"/>
  <c r="I210" i="32" l="1"/>
  <c r="A181" i="12"/>
  <c r="B178" i="3"/>
  <c r="AP169" i="6" s="1"/>
  <c r="AQ169" i="6"/>
  <c r="I209" i="32" l="1"/>
  <c r="B179" i="3"/>
  <c r="AP170" i="6" s="1"/>
  <c r="A182" i="12"/>
  <c r="AQ170" i="6"/>
  <c r="I208" i="32" l="1"/>
  <c r="A183" i="12"/>
  <c r="B180" i="3"/>
  <c r="AP171" i="6" s="1"/>
  <c r="AQ171" i="6"/>
  <c r="I207" i="32" l="1"/>
  <c r="A184" i="12"/>
  <c r="B181" i="3"/>
  <c r="AP172" i="6" s="1"/>
  <c r="AQ172" i="6"/>
  <c r="I206" i="32" l="1"/>
  <c r="B182" i="3"/>
  <c r="AP173" i="6" s="1"/>
  <c r="A185" i="12"/>
  <c r="AQ173" i="6"/>
  <c r="I205" i="32" l="1"/>
  <c r="B183" i="3"/>
  <c r="AP174" i="6" s="1"/>
  <c r="A186" i="12"/>
  <c r="AQ174" i="6"/>
  <c r="I204" i="32" l="1"/>
  <c r="A187" i="12"/>
  <c r="B184" i="3"/>
  <c r="AP175" i="6" s="1"/>
  <c r="AQ175" i="6"/>
  <c r="I203" i="32" l="1"/>
  <c r="A188" i="12"/>
  <c r="B185" i="3"/>
  <c r="AP176" i="6" s="1"/>
  <c r="AQ176" i="6"/>
  <c r="I202" i="32" l="1"/>
  <c r="B186" i="3"/>
  <c r="AP177" i="6" s="1"/>
  <c r="A189" i="12"/>
  <c r="AQ177" i="6"/>
  <c r="I201" i="32" l="1"/>
  <c r="B187" i="3"/>
  <c r="AP178" i="6" s="1"/>
  <c r="A190" i="12"/>
  <c r="AQ178" i="6"/>
  <c r="I200" i="32" l="1"/>
  <c r="A191" i="12"/>
  <c r="B188" i="3"/>
  <c r="AP179" i="6" s="1"/>
  <c r="AQ179" i="6"/>
  <c r="I199" i="32" l="1"/>
  <c r="B189" i="3"/>
  <c r="AP180" i="6" s="1"/>
  <c r="A192" i="12"/>
  <c r="AQ180" i="6"/>
  <c r="I198" i="32" l="1"/>
  <c r="A193" i="12"/>
  <c r="B190" i="3"/>
  <c r="AP181" i="6" s="1"/>
  <c r="AQ181" i="6"/>
  <c r="I197" i="32" l="1"/>
  <c r="B191" i="3"/>
  <c r="AP182" i="6" s="1"/>
  <c r="A194" i="12"/>
  <c r="AQ182" i="6"/>
  <c r="I196" i="32" l="1"/>
  <c r="B192" i="3"/>
  <c r="AP183" i="6" s="1"/>
  <c r="A195" i="12"/>
  <c r="AQ183" i="6"/>
  <c r="I195" i="32" l="1"/>
  <c r="A196" i="12"/>
  <c r="B193" i="3"/>
  <c r="AP184" i="6" s="1"/>
  <c r="AQ184" i="6"/>
  <c r="I194" i="32" l="1"/>
  <c r="A197" i="12"/>
  <c r="B194" i="3"/>
  <c r="AP185" i="6" s="1"/>
  <c r="AQ185" i="6"/>
  <c r="I193" i="32" l="1"/>
  <c r="A198" i="12"/>
  <c r="B195" i="3"/>
  <c r="AP186" i="6" s="1"/>
  <c r="AQ186" i="6"/>
  <c r="I192" i="32" l="1"/>
  <c r="A199" i="12"/>
  <c r="B196" i="3"/>
  <c r="AP187" i="6" s="1"/>
  <c r="AQ187" i="6"/>
  <c r="I191" i="32" l="1"/>
  <c r="B197" i="3"/>
  <c r="AP188" i="6" s="1"/>
  <c r="A200" i="12"/>
  <c r="AQ188" i="6"/>
  <c r="I190" i="32" l="1"/>
  <c r="A201" i="12"/>
  <c r="B198" i="3"/>
  <c r="AP189" i="6" s="1"/>
  <c r="AQ189" i="6"/>
  <c r="I189" i="32" l="1"/>
  <c r="A202" i="12"/>
  <c r="B199" i="3"/>
  <c r="AP190" i="6" s="1"/>
  <c r="AQ190" i="6"/>
  <c r="I188" i="32" l="1"/>
  <c r="L67" i="17"/>
  <c r="Q67" i="17"/>
  <c r="A203" i="12"/>
  <c r="B200" i="3"/>
  <c r="AP191" i="6" s="1"/>
  <c r="AQ191" i="6"/>
  <c r="I187" i="32" l="1"/>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DM6" i="31"/>
  <c r="DM7" i="31"/>
  <c r="DM8" i="3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G12" i="32"/>
  <c r="J12" i="32" s="1"/>
  <c r="I21" i="20"/>
  <c r="H12" i="32"/>
  <c r="G13" i="32"/>
  <c r="J13" i="32" s="1"/>
  <c r="G15" i="32"/>
  <c r="J15" i="32" s="1"/>
  <c r="G14" i="32"/>
  <c r="J14" i="32" s="1"/>
  <c r="BX57" i="31" l="1"/>
  <c r="F182" i="24"/>
  <c r="CF76" i="3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J35" i="17" s="1"/>
  <c r="CF4" i="31"/>
  <c r="J36" i="17" s="1"/>
  <c r="CG4" i="31"/>
  <c r="J37" i="17" s="1"/>
  <c r="DF4" i="31"/>
  <c r="J62" i="17" s="1"/>
  <c r="CX4" i="31"/>
  <c r="J54" i="17" s="1"/>
  <c r="CA4" i="31"/>
  <c r="J31" i="17" s="1"/>
  <c r="CV4" i="31"/>
  <c r="J52" i="17" s="1"/>
  <c r="CP4" i="31"/>
  <c r="J46" i="17" s="1"/>
  <c r="CL4" i="31"/>
  <c r="J42" i="17" s="1"/>
  <c r="CJ4" i="31"/>
  <c r="J40" i="17" s="1"/>
  <c r="BT4" i="31"/>
  <c r="J24" i="17" s="1"/>
  <c r="BV4" i="31"/>
  <c r="J26" i="17" s="1"/>
  <c r="BQ4" i="31"/>
  <c r="J21" i="17" s="1"/>
  <c r="BK4" i="31"/>
  <c r="J15" i="17" s="1"/>
  <c r="DG4" i="31"/>
  <c r="J63" i="17" s="1"/>
  <c r="DH4" i="31"/>
  <c r="J64" i="17" s="1"/>
  <c r="BM4" i="31"/>
  <c r="J17" i="17" s="1"/>
  <c r="DI4" i="31"/>
  <c r="J65" i="17" s="1"/>
  <c r="CW4" i="31"/>
  <c r="J53" i="17" s="1"/>
  <c r="DB4" i="31"/>
  <c r="J58" i="17" s="1"/>
  <c r="CT4" i="31"/>
  <c r="J50" i="17" s="1"/>
  <c r="CO4" i="31"/>
  <c r="J45" i="17" s="1"/>
  <c r="CK4" i="31"/>
  <c r="J41" i="17" s="1"/>
  <c r="CI4" i="31"/>
  <c r="J39" i="17" s="1"/>
  <c r="CC4" i="31"/>
  <c r="J33" i="17" s="1"/>
  <c r="BY4" i="31"/>
  <c r="J29" i="17" s="1"/>
  <c r="BU4" i="31"/>
  <c r="J25" i="17" s="1"/>
  <c r="BO4" i="31"/>
  <c r="J19" i="17" s="1"/>
  <c r="CY4" i="31"/>
  <c r="J55" i="17" s="1"/>
  <c r="BL4" i="31"/>
  <c r="J16" i="17" s="1"/>
  <c r="DE4" i="31"/>
  <c r="J61" i="17" s="1"/>
  <c r="DC4" i="31"/>
  <c r="J59" i="17" s="1"/>
  <c r="DA4" i="31"/>
  <c r="J57" i="17" s="1"/>
  <c r="CR4" i="31"/>
  <c r="J48" i="17" s="1"/>
  <c r="CN4" i="31"/>
  <c r="J44" i="17" s="1"/>
  <c r="CU4" i="31"/>
  <c r="J51" i="17" s="1"/>
  <c r="CH4" i="31"/>
  <c r="J38" i="17" s="1"/>
  <c r="CB4" i="31"/>
  <c r="J32" i="17" s="1"/>
  <c r="BX4" i="31"/>
  <c r="J28" i="17" s="1"/>
  <c r="BS4" i="31"/>
  <c r="J23" i="17" s="1"/>
  <c r="BP4" i="31"/>
  <c r="J20" i="17" s="1"/>
  <c r="DJ4" i="31"/>
  <c r="DD4" i="31"/>
  <c r="J60" i="17" s="1"/>
  <c r="CZ4" i="31"/>
  <c r="J56" i="17" s="1"/>
  <c r="CQ4" i="31"/>
  <c r="J47" i="17" s="1"/>
  <c r="CM4" i="31"/>
  <c r="J43" i="17" s="1"/>
  <c r="CS4" i="31"/>
  <c r="J49" i="17" s="1"/>
  <c r="CD4" i="31"/>
  <c r="J34" i="17" s="1"/>
  <c r="BZ4" i="31"/>
  <c r="J30" i="17" s="1"/>
  <c r="BW4" i="31"/>
  <c r="J27" i="17" s="1"/>
  <c r="BR4" i="31"/>
  <c r="J22" i="17" s="1"/>
  <c r="BN4" i="31"/>
  <c r="J18" i="17" s="1"/>
  <c r="Q34" i="17" l="1"/>
  <c r="L34" i="17"/>
  <c r="Q49" i="17"/>
  <c r="L49" i="17"/>
  <c r="L28" i="17"/>
  <c r="Q28" i="17"/>
  <c r="Q61" i="17"/>
  <c r="L61" i="17"/>
  <c r="Q41" i="17"/>
  <c r="L41" i="17"/>
  <c r="Q63" i="17"/>
  <c r="L63" i="17"/>
  <c r="Q52" i="17"/>
  <c r="L52" i="17"/>
  <c r="Q23" i="17"/>
  <c r="L23" i="17"/>
  <c r="Q43" i="17"/>
  <c r="L43" i="17"/>
  <c r="Q32" i="17"/>
  <c r="L32" i="17"/>
  <c r="Q16" i="17"/>
  <c r="L16" i="17"/>
  <c r="Q45" i="17"/>
  <c r="L45" i="17"/>
  <c r="Q15" i="17"/>
  <c r="L15" i="17"/>
  <c r="L31" i="17"/>
  <c r="Q31" i="17"/>
  <c r="Q47" i="17"/>
  <c r="L47" i="17"/>
  <c r="L38" i="17"/>
  <c r="Q38" i="17"/>
  <c r="Q55" i="17"/>
  <c r="L55" i="17"/>
  <c r="Q50" i="17"/>
  <c r="L50" i="17"/>
  <c r="L21" i="17"/>
  <c r="Q21" i="17"/>
  <c r="Q54" i="17"/>
  <c r="L54" i="17"/>
  <c r="Q18" i="17"/>
  <c r="L18" i="17"/>
  <c r="Q56" i="17"/>
  <c r="L56" i="17"/>
  <c r="Q51" i="17"/>
  <c r="L51" i="17"/>
  <c r="L19" i="17"/>
  <c r="Q19" i="17"/>
  <c r="Q58" i="17"/>
  <c r="L58" i="17"/>
  <c r="Q26" i="17"/>
  <c r="L26" i="17"/>
  <c r="Q62" i="17"/>
  <c r="L62" i="17"/>
  <c r="Q22" i="17"/>
  <c r="L22" i="17"/>
  <c r="Q60" i="17"/>
  <c r="L60" i="17"/>
  <c r="Q44" i="17"/>
  <c r="L44" i="17"/>
  <c r="L25" i="17"/>
  <c r="Q25" i="17"/>
  <c r="Q53" i="17"/>
  <c r="L53" i="17"/>
  <c r="Q24" i="17"/>
  <c r="L24" i="17"/>
  <c r="L37" i="17"/>
  <c r="Q37" i="17"/>
  <c r="Q27" i="17"/>
  <c r="L27" i="17"/>
  <c r="DK4" i="31"/>
  <c r="DL4" i="31" s="1"/>
  <c r="C4" i="24" s="1"/>
  <c r="J66" i="17"/>
  <c r="J70" i="17" s="1"/>
  <c r="Q48" i="17"/>
  <c r="L48" i="17"/>
  <c r="L29" i="17"/>
  <c r="Q29" i="17"/>
  <c r="Q65" i="17"/>
  <c r="L65" i="17"/>
  <c r="Q40" i="17"/>
  <c r="L40" i="17"/>
  <c r="L36" i="17"/>
  <c r="Q36" i="17"/>
  <c r="Q30" i="17"/>
  <c r="L30" i="17"/>
  <c r="Q20" i="17"/>
  <c r="L20" i="17"/>
  <c r="Q57" i="17"/>
  <c r="L57" i="17"/>
  <c r="Q33" i="17"/>
  <c r="L33" i="17"/>
  <c r="L17" i="17"/>
  <c r="Q17" i="17"/>
  <c r="Q42" i="17"/>
  <c r="L42" i="17"/>
  <c r="Q35" i="17"/>
  <c r="L35" i="17"/>
  <c r="Q59" i="17"/>
  <c r="L59" i="17"/>
  <c r="Q39" i="17"/>
  <c r="L39" i="17"/>
  <c r="Q64" i="17"/>
  <c r="L64" i="17"/>
  <c r="Q46" i="17"/>
  <c r="L46" i="17"/>
  <c r="I15" i="17"/>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I176" i="32"/>
  <c r="B212" i="3"/>
  <c r="AP203" i="6" s="1"/>
  <c r="AQ203" i="6"/>
  <c r="L66" i="17" l="1"/>
  <c r="L70" i="17" s="1"/>
  <c r="Q66" i="17"/>
  <c r="P56" i="17"/>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E55" i="36" l="1"/>
  <c r="AP54" i="15"/>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T15" i="17"/>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AD6" i="36"/>
  <c r="AD7" i="36"/>
  <c r="U18" i="17"/>
  <c r="U17" i="17"/>
  <c r="N19" i="17"/>
  <c r="U19" i="17" s="1"/>
  <c r="U20" i="17"/>
  <c r="EE10" i="6"/>
  <c r="EA3" i="6"/>
  <c r="D36" i="40" s="1"/>
  <c r="F36" i="40" s="1"/>
  <c r="DX4" i="6"/>
  <c r="N15" i="17"/>
  <c r="T24" i="17"/>
  <c r="T25" i="17"/>
  <c r="T26" i="17"/>
  <c r="C27" i="36" s="1"/>
  <c r="T22" i="17"/>
  <c r="C23" i="36" s="1"/>
  <c r="T23" i="17"/>
  <c r="C31" i="36" s="1"/>
  <c r="U22" i="17"/>
  <c r="U23" i="17"/>
  <c r="U24" i="17"/>
  <c r="U26" i="17"/>
  <c r="U25" i="17"/>
  <c r="C4" i="36" l="1"/>
  <c r="AD55" i="36"/>
  <c r="C37" i="36"/>
  <c r="C39" i="36"/>
  <c r="C38" i="36"/>
  <c r="C36" i="36"/>
  <c r="C16" i="36"/>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24" i="36"/>
  <c r="AD53" i="36"/>
  <c r="AD51" i="36"/>
  <c r="AE7" i="36"/>
  <c r="AE20" i="36"/>
  <c r="D29" i="36"/>
  <c r="AE46" i="36"/>
  <c r="AE8" i="36"/>
  <c r="AE30" i="36"/>
  <c r="D24" i="36"/>
  <c r="D9" i="36"/>
  <c r="D17" i="36"/>
  <c r="AE17" i="36"/>
  <c r="D19" i="36"/>
  <c r="AE19" i="36"/>
  <c r="D18" i="36"/>
  <c r="AE18" i="36"/>
  <c r="D23" i="36"/>
  <c r="AE23" i="36"/>
  <c r="D22" i="36"/>
  <c r="AE22" i="36"/>
  <c r="D21" i="36"/>
  <c r="AE21"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D4" i="36" l="1"/>
  <c r="AE5" i="36"/>
  <c r="D5" i="36"/>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Bytheway, Mark</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27" authorId="1" shapeId="0" xr:uid="{F99A1311-C067-4DDD-A648-3D3B62E10D8A}">
      <text>
        <r>
          <rPr>
            <sz val="9"/>
            <color indexed="81"/>
            <rFont val="Tahoma"/>
            <family val="2"/>
          </rPr>
          <t xml:space="preserve">
Please note that these percentiles are adjusted for rebookings/DNAs/Cancellations/ROTT so the figures displayed will not mirror what is shown on the SPC chart in the SPC chart tab.</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<sst xmlns="http://schemas.openxmlformats.org/spreadsheetml/2006/main" count="2562" uniqueCount="1294">
  <si>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</si>
  <si>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</si>
  <si>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</si>
  <si>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</si>
  <si>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</si>
  <si>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</si>
  <si>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</si>
  <si>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</si>
  <si>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</si>
  <si>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</si>
  <si>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</si>
  <si>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</si>
  <si>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</si>
  <si>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</si>
  <si>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</si>
  <si>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</si>
  <si>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</si>
  <si>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</si>
  <si>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</si>
  <si>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</si>
  <si>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</si>
  <si>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</si>
  <si>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</si>
  <si>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</si>
  <si>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</si>
  <si>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</si>
  <si>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</si>
  <si>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</si>
  <si>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</si>
  <si>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</si>
  <si>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</si>
  <si>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</si>
  <si>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</si>
  <si>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</si>
  <si>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</si>
  <si>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</si>
  <si>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</si>
  <si>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</si>
  <si>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</si>
  <si>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</si>
  <si>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</si>
  <si>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</si>
  <si>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</si>
  <si>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</si>
  <si>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</si>
  <si>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</si>
  <si>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</si>
  <si>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</si>
  <si>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</si>
  <si>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</si>
  <si>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</si>
  <si>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</si>
  <si>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</si>
  <si>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</si>
  <si>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</si>
  <si>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</si>
  <si>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</si>
  <si>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</si>
  <si>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</si>
  <si>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</si>
  <si>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</si>
  <si>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</si>
  <si>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</si>
  <si>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</si>
  <si>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</si>
  <si>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</si>
  <si>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</si>
  <si>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</si>
  <si>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</si>
  <si>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</si>
  <si>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</si>
  <si>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</si>
  <si>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</si>
  <si>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</si>
  <si>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</si>
  <si>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</si>
  <si>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</si>
  <si>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</si>
  <si>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</si>
  <si>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</si>
  <si>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</si>
  <si>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</si>
  <si>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</si>
  <si>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</si>
  <si>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</si>
  <si>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</si>
  <si>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</si>
  <si>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</si>
  <si>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</si>
  <si>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</si>
  <si>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</si>
  <si>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</si>
  <si>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</si>
  <si>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</si>
  <si>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</si>
  <si>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</si>
  <si>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</si>
  <si>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</si>
  <si>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</si>
  <si>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</si>
  <si>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</si>
  <si>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</si>
  <si>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</si>
  <si>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</si>
  <si>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</si>
  <si>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</si>
  <si>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</si>
  <si>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</si>
  <si>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</si>
  <si>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</si>
  <si>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</si>
  <si>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</si>
  <si>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</si>
  <si>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</si>
  <si>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</si>
  <si>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</si>
  <si>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</si>
  <si>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</si>
  <si>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</si>
  <si>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</si>
  <si>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</si>
  <si>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</si>
  <si>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</si>
  <si>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</si>
  <si>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</si>
  <si>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</si>
  <si>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</si>
  <si>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</si>
  <si>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</si>
  <si>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</si>
  <si>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</si>
  <si>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</si>
  <si>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</si>
  <si>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</si>
  <si>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</si>
  <si>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</si>
  <si>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</si>
  <si>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</si>
  <si>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</si>
  <si>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</si>
  <si>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</si>
  <si>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</si>
  <si>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</si>
  <si>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</si>
  <si>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</si>
  <si>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</si>
  <si>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</si>
  <si>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</si>
  <si>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</si>
  <si>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</si>
  <si>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</si>
  <si>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</si>
  <si>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</si>
  <si>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</si>
  <si>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</si>
  <si>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</si>
  <si>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</si>
  <si>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</si>
  <si>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</si>
  <si>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</si>
  <si>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</si>
  <si>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</si>
  <si>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</si>
  <si>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</si>
  <si>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</si>
  <si>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</si>
  <si>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</si>
  <si>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</si>
  <si>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</si>
  <si>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</si>
  <si>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</si>
  <si>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</si>
  <si>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</si>
  <si>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</si>
  <si>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</si>
  <si>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</si>
  <si>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</si>
  <si>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</si>
  <si>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</si>
  <si>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</si>
  <si>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</si>
  <si>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</si>
  <si>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</si>
  <si>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</si>
  <si>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</si>
  <si>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</si>
  <si>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</si>
  <si>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</si>
  <si>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</si>
  <si>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</si>
  <si>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</si>
  <si>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</si>
  <si>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</si>
  <si>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</si>
  <si>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</si>
  <si>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</si>
  <si>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</si>
  <si>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</si>
  <si>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</si>
  <si>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</si>
  <si>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</si>
  <si>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</si>
  <si>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</si>
  <si>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</si>
  <si>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</si>
  <si>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</si>
  <si>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</si>
  <si>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</si>
  <si>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</si>
  <si>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</si>
  <si>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</si>
  <si>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</si>
  <si>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</si>
  <si>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</si>
  <si>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</si>
  <si>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</si>
  <si>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</si>
  <si>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</si>
  <si>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</si>
  <si>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</si>
  <si>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</si>
  <si>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</si>
  <si>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</si>
  <si>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</si>
  <si>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</si>
  <si>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</si>
  <si>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</si>
  <si>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</si>
  <si>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</si>
  <si>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</si>
  <si>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</si>
  <si>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</si>
  <si>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</si>
  <si>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</si>
  <si>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</si>
  <si>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</si>
  <si>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</si>
  <si>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</si>
  <si>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</si>
  <si>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</si>
  <si>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</si>
  <si>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</si>
  <si>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</si>
  <si>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</si>
  <si>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</si>
  <si>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</si>
  <si>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</si>
  <si>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</si>
  <si>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</si>
  <si>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</si>
  <si>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</si>
  <si>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</si>
  <si>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</si>
  <si>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</si>
  <si>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</si>
  <si>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</si>
  <si>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</si>
  <si>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</si>
  <si>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</si>
  <si>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</si>
  <si>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</si>
  <si>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</si>
  <si>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</si>
  <si>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</si>
  <si>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</si>
  <si>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</si>
  <si>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</si>
  <si>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</si>
  <si>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</si>
  <si>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</si>
  <si>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</si>
  <si>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</si>
  <si>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</si>
  <si>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</si>
  <si>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</si>
  <si>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</si>
  <si>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</si>
  <si>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</si>
  <si>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</si>
  <si>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</si>
  <si>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</si>
  <si>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</si>
  <si>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</si>
  <si>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</si>
  <si>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</si>
  <si>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</si>
  <si>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</si>
  <si>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</si>
  <si>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</si>
  <si>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</si>
  <si>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</si>
  <si>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</si>
  <si>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</si>
  <si>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</si>
  <si>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</si>
  <si>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</si>
  <si>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</si>
  <si>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</si>
  <si>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</si>
  <si>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</si>
  <si>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</si>
  <si>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</si>
  <si>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</si>
  <si>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</si>
  <si>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</si>
  <si>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</si>
  <si>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</si>
  <si>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</si>
  <si>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</si>
  <si>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</si>
  <si>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</si>
  <si>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</si>
  <si>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</si>
  <si>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</si>
  <si>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</si>
  <si>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</si>
  <si>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</si>
  <si>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</si>
  <si>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</si>
  <si>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</si>
  <si>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</si>
  <si>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</si>
  <si>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</si>
  <si>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</si>
  <si>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</si>
  <si>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</si>
  <si>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</si>
  <si>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</si>
  <si>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</si>
  <si>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</si>
  <si>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</si>
  <si>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</si>
  <si>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</si>
  <si>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</si>
  <si>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</si>
  <si>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</si>
  <si>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</si>
  <si>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</si>
  <si>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</si>
  <si>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</si>
  <si>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</si>
  <si>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</si>
  <si>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</si>
  <si>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</si>
  <si>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</si>
  <si>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</si>
  <si>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</si>
  <si>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</si>
  <si>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</si>
  <si>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</si>
  <si>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</si>
  <si>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</si>
  <si>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</si>
  <si>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</si>
  <si>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</si>
  <si>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</si>
  <si>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</si>
  <si>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</si>
  <si>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</si>
  <si>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</si>
  <si>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</si>
  <si>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</si>
  <si>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</si>
  <si>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</si>
  <si>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</si>
  <si>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</si>
  <si>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</si>
  <si>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</si>
  <si>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</si>
  <si>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</si>
  <si>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</si>
  <si>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</si>
  <si>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</si>
  <si>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</si>
  <si>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</si>
  <si>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</si>
  <si>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</si>
  <si>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</si>
  <si>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</si>
  <si>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</si>
  <si>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</si>
  <si>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</si>
  <si>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</si>
  <si>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</si>
  <si>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</si>
  <si>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</si>
  <si>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</si>
  <si>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</si>
  <si>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</si>
  <si>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</si>
  <si>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</si>
  <si>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</si>
  <si>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</si>
  <si>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</si>
  <si>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</si>
  <si>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</si>
  <si>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</si>
  <si>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</si>
  <si>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</si>
  <si>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</si>
  <si>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</si>
  <si>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</si>
  <si>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</si>
  <si>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</si>
  <si>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</si>
  <si>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</si>
  <si>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</si>
  <si>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</si>
  <si>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</si>
  <si>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</si>
  <si>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</si>
  <si>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</si>
  <si>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</si>
  <si>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</si>
  <si>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</si>
  <si>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</si>
  <si>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</si>
  <si>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</si>
  <si>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</si>
  <si>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</si>
  <si>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</si>
  <si>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</si>
  <si>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</si>
  <si>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</si>
  <si>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</si>
  <si>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</si>
  <si>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</si>
  <si>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</si>
  <si>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</si>
  <si>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</si>
  <si>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</si>
  <si>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</si>
  <si>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</si>
  <si>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</si>
  <si>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</si>
  <si>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</si>
  <si>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</si>
  <si>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</si>
  <si>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</si>
  <si>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</si>
  <si>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</si>
  <si>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</si>
  <si>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</si>
  <si>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</si>
  <si>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</si>
  <si>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</si>
  <si>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</si>
  <si>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</si>
  <si>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</si>
  <si>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</si>
  <si>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</si>
  <si>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</si>
  <si>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</si>
  <si>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</si>
  <si>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</si>
  <si>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</si>
  <si>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</si>
  <si>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</si>
  <si>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</si>
  <si>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</si>
  <si>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</si>
  <si>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</si>
  <si>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</si>
  <si>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</si>
  <si>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</si>
  <si>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</si>
  <si>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</si>
  <si>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</si>
  <si>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</si>
  <si>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</si>
  <si>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</si>
  <si>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</si>
  <si>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</si>
  <si>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</si>
  <si>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</si>
  <si>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</si>
  <si>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</si>
  <si>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</si>
  <si>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</si>
  <si>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</si>
  <si>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</si>
  <si>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</si>
  <si>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</si>
  <si>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</si>
  <si>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</si>
  <si>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</si>
  <si>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</si>
  <si>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</si>
  <si>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</si>
  <si>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</si>
  <si>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</si>
  <si>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</si>
  <si>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</si>
  <si>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</si>
  <si>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</si>
  <si>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</si>
  <si>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</si>
  <si>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</si>
  <si>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</si>
  <si>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</si>
  <si>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</si>
  <si>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</si>
  <si>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</si>
  <si>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</si>
  <si>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</si>
  <si>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</si>
  <si>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</si>
  <si>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</si>
  <si>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</si>
  <si>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</si>
  <si>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</si>
  <si>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</si>
  <si>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</si>
  <si>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</si>
  <si>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</si>
  <si>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</si>
  <si>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</si>
  <si>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</si>
  <si>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</si>
  <si>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</si>
  <si>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</si>
  <si>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</si>
  <si>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</si>
  <si>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</si>
  <si>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</si>
  <si>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</si>
  <si>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</si>
  <si>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</si>
  <si>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</si>
  <si>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</si>
  <si>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</si>
  <si>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</si>
  <si>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</si>
  <si>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</si>
  <si>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</si>
  <si>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</si>
  <si>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</si>
  <si>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</si>
  <si>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</si>
  <si>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</si>
  <si>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</si>
  <si>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</si>
  <si>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</si>
  <si>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</si>
  <si>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</si>
  <si>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</si>
  <si>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</si>
  <si>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</si>
  <si>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</si>
  <si>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</si>
  <si>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</si>
  <si>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</si>
  <si>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</si>
  <si>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</si>
  <si>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</si>
  <si>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</si>
  <si>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</si>
  <si>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</si>
  <si>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</si>
  <si>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</si>
  <si>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</si>
  <si>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</si>
  <si>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</si>
  <si>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</si>
  <si>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</si>
  <si>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</si>
  <si>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</si>
  <si>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</si>
  <si>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</si>
  <si>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</si>
  <si>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</si>
  <si>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</si>
  <si>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</si>
  <si>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</si>
  <si>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</si>
  <si>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</si>
  <si>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</si>
  <si>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</si>
  <si>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</si>
  <si>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</si>
  <si>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</si>
  <si>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</si>
  <si>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</si>
  <si>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</si>
  <si>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</si>
  <si>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</si>
  <si>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</si>
  <si>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</si>
  <si>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</si>
  <si>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</si>
  <si>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</si>
  <si>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</si>
  <si>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</si>
  <si>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</si>
  <si>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</si>
  <si>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</si>
  <si>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</si>
  <si>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</si>
  <si>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</si>
  <si>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</si>
  <si>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</si>
  <si>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</si>
  <si>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</si>
  <si>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</si>
  <si>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</si>
  <si>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</si>
  <si>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</si>
  <si>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</si>
  <si>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</si>
  <si>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</si>
  <si>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</si>
  <si>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</si>
  <si>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</si>
  <si>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</si>
  <si>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</si>
  <si>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</si>
  <si>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</si>
  <si>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</si>
  <si>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</si>
  <si>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</si>
  <si>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</si>
  <si>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</si>
  <si>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</si>
  <si>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</si>
  <si>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</si>
  <si>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</si>
  <si>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</si>
  <si>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</si>
  <si>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</si>
  <si>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</si>
  <si>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</si>
  <si>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</si>
  <si>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</si>
  <si>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</si>
  <si>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</si>
  <si>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</si>
  <si>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</si>
  <si>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</si>
  <si>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</si>
  <si>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</si>
  <si>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</si>
  <si>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</si>
  <si>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</si>
  <si>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</si>
  <si>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</si>
  <si>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</si>
  <si>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</si>
  <si>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</si>
  <si>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</si>
  <si>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</si>
  <si>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</si>
  <si>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</si>
  <si>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</si>
  <si>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</si>
  <si>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</si>
  <si>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</si>
  <si>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</si>
  <si>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</si>
  <si>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</si>
  <si>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</si>
  <si>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</si>
  <si>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</si>
  <si>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</si>
  <si>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</si>
  <si>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</si>
  <si>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</si>
  <si>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</si>
  <si>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</si>
  <si>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</si>
  <si>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</si>
  <si>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</si>
  <si>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</si>
  <si>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</si>
  <si>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</si>
  <si>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</si>
  <si>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</si>
  <si>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</si>
  <si>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</si>
  <si>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</si>
  <si>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</si>
  <si>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</si>
  <si>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</si>
  <si>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</si>
  <si>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</si>
  <si>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</si>
  <si>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</si>
  <si>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</si>
  <si>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</si>
  <si>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</si>
  <si>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</si>
  <si>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</si>
  <si>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</si>
  <si>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</si>
  <si>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</si>
  <si>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</si>
  <si>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</si>
  <si>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</si>
  <si>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</si>
  <si>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</si>
  <si>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</si>
  <si>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</si>
  <si>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</si>
  <si>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</si>
  <si>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</si>
  <si>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</si>
  <si>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</si>
  <si>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</si>
  <si>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</si>
  <si>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</si>
  <si>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</si>
  <si>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</si>
  <si>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</si>
  <si>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</si>
  <si>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</si>
  <si>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</si>
  <si>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</si>
  <si>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</si>
  <si>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</si>
  <si>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</si>
  <si>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</si>
  <si>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</si>
  <si>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</si>
  <si>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</si>
  <si>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</si>
  <si>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</si>
  <si>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</si>
  <si>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</si>
  <si>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</si>
  <si>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</si>
  <si>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</si>
  <si>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</si>
  <si>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</si>
  <si>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</si>
  <si>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</si>
  <si>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</si>
  <si>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</si>
  <si>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</si>
  <si>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</si>
  <si>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</si>
  <si>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</si>
  <si>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</si>
  <si>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</si>
  <si>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</si>
  <si>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</si>
  <si>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</si>
  <si>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</si>
  <si>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</si>
  <si>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</si>
  <si>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</si>
  <si>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</si>
  <si>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</si>
  <si>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</si>
  <si>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</si>
  <si>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</si>
  <si>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</si>
  <si>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</si>
  <si>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</si>
  <si>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</si>
  <si>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</si>
  <si>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</si>
  <si>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</si>
  <si>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</si>
  <si>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</si>
  <si>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</si>
  <si>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</si>
  <si>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</si>
  <si>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</si>
  <si>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</si>
  <si>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</si>
  <si>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</si>
  <si>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</si>
  <si>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</si>
  <si>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</si>
  <si>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</si>
  <si>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</si>
  <si>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</si>
  <si>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</si>
  <si>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</si>
  <si>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</si>
  <si>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</si>
  <si>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</si>
  <si>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</si>
  <si>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</si>
  <si>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</si>
  <si>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</si>
  <si>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</si>
  <si>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</si>
  <si>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</si>
  <si>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</si>
  <si>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</si>
  <si>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</si>
  <si>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</si>
  <si>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</si>
  <si>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</si>
  <si>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</si>
  <si>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</si>
  <si>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</si>
  <si>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</si>
  <si>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</si>
  <si>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</si>
  <si>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</si>
  <si>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</si>
  <si>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</si>
  <si>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</si>
  <si>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</si>
  <si>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</si>
  <si>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</si>
  <si>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</si>
  <si>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</si>
  <si>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</si>
  <si>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</si>
  <si>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</si>
  <si>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</si>
  <si>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</si>
  <si>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</si>
  <si>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</si>
  <si>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</si>
  <si>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</si>
  <si>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</si>
  <si>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</si>
  <si>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</si>
  <si>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</si>
  <si>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</si>
  <si>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</si>
  <si>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</si>
  <si>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</si>
  <si>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</si>
  <si>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</si>
  <si>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</si>
  <si>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</si>
  <si>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</si>
  <si>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</si>
  <si>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</si>
  <si>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</si>
  <si>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</si>
  <si>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</si>
  <si>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</si>
  <si>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</si>
  <si>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</si>
  <si>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</si>
  <si>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</si>
  <si>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</si>
  <si>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</si>
  <si>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</si>
  <si>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</si>
  <si>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</si>
  <si>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</si>
  <si>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</si>
  <si>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</si>
  <si>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</si>
  <si>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</si>
  <si>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</si>
  <si>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</si>
  <si>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</si>
  <si>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</si>
  <si>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</si>
  <si>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</si>
  <si>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</si>
  <si>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</si>
  <si>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</si>
  <si>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</si>
  <si>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</si>
  <si>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</si>
  <si>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</si>
  <si>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</si>
  <si>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</si>
  <si>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</si>
  <si>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</si>
  <si>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</si>
  <si>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</si>
  <si>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</si>
  <si>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</si>
  <si>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</si>
  <si>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</si>
  <si>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</si>
  <si>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</si>
  <si>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</si>
  <si>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</si>
  <si>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</si>
  <si>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</si>
  <si>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</si>
  <si>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</si>
  <si>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</si>
  <si>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</si>
  <si>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</si>
  <si>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</si>
  <si>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</si>
  <si>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</si>
  <si>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</si>
  <si>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</si>
  <si>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</si>
  <si>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</si>
  <si>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</si>
  <si>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</si>
  <si>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</si>
  <si>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</si>
  <si>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</si>
  <si>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</si>
  <si>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</si>
  <si>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</si>
  <si>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</si>
  <si>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</si>
  <si>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</si>
  <si>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</si>
  <si>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</si>
  <si>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</si>
  <si>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</si>
  <si>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</si>
  <si>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</si>
  <si>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</si>
  <si>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</si>
  <si>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</si>
  <si>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</si>
  <si>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</si>
  <si>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</si>
  <si>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</si>
  <si>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</si>
  <si>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</si>
  <si>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</si>
  <si>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</si>
  <si>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</si>
  <si>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</si>
  <si>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</si>
  <si>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</si>
  <si>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</si>
  <si>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</si>
  <si>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</si>
  <si>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</si>
  <si>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</si>
  <si>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</si>
  <si>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</si>
  <si>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</si>
  <si>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</si>
  <si>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</si>
  <si>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</si>
  <si>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</si>
  <si>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</si>
  <si>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</si>
  <si>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</si>
  <si>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</si>
  <si>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</si>
  <si>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</si>
  <si>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</si>
  <si>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</si>
  <si>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</si>
  <si>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</si>
  <si>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</si>
  <si>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</si>
  <si>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</si>
  <si>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</si>
  <si>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</si>
  <si>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</si>
  <si>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</si>
  <si>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</si>
  <si>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</si>
  <si>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</si>
  <si>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</si>
  <si>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</si>
  <si>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</si>
  <si>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</si>
  <si>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</si>
  <si>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</si>
  <si>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</si>
  <si>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</si>
  <si>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</si>
  <si>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</si>
  <si>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</si>
  <si>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</si>
  <si>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</si>
  <si>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</si>
  <si>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</si>
  <si>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</si>
  <si>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</si>
  <si>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</si>
  <si>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</si>
  <si>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</si>
  <si>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</si>
  <si>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</si>
  <si>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</si>
  <si>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</si>
  <si>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</si>
  <si>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</si>
  <si>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</si>
  <si>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</si>
  <si>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</si>
  <si>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</si>
  <si>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</si>
  <si>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</si>
  <si>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</si>
  <si>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</si>
  <si>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</si>
  <si>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</si>
  <si>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</si>
  <si>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</si>
  <si>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</si>
  <si>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</si>
  <si>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</si>
  <si>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</si>
  <si>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</si>
  <si>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</si>
  <si>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</si>
  <si>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</si>
  <si>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</si>
  <si>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</si>
  <si>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</si>
  <si>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</si>
  <si>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</si>
  <si>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</si>
  <si>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</si>
  <si>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</si>
  <si>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</si>
  <si>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</si>
  <si>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</si>
  <si>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</si>
  <si>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</si>
  <si>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</si>
  <si>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</si>
  <si>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</si>
  <si>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</si>
  <si>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</si>
  <si>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</si>
  <si>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</si>
  <si>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</si>
  <si>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</si>
  <si>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</si>
  <si>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</si>
  <si>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</si>
  <si>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</si>
  <si>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</si>
  <si>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</si>
  <si>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</si>
  <si>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</si>
  <si>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</si>
  <si>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</si>
  <si>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</si>
  <si>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</si>
  <si>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</si>
  <si>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</si>
  <si>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</si>
  <si>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</si>
  <si>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</si>
  <si>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</si>
  <si>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</si>
  <si>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</si>
  <si>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</si>
  <si>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</si>
  <si>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</si>
  <si>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</si>
  <si>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</si>
  <si>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</si>
  <si>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</si>
  <si>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</si>
  <si>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</si>
  <si>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</si>
  <si>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</si>
  <si>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</si>
  <si>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</si>
  <si>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</si>
  <si>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</si>
  <si>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</si>
  <si>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</si>
  <si>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</si>
  <si>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</si>
  <si>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</si>
  <si>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</si>
  <si>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</si>
  <si>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</si>
  <si>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</si>
  <si>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</si>
  <si>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</si>
  <si>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</si>
  <si>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</si>
  <si>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</si>
  <si>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</si>
  <si>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</si>
  <si>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</si>
  <si>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</si>
  <si>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</si>
  <si>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</si>
  <si>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</si>
  <si>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</si>
  <si>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</si>
  <si>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</si>
  <si>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</si>
  <si>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</si>
  <si>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</si>
  <si>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</si>
  <si>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</si>
  <si>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</si>
  <si>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</si>
  <si>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</si>
  <si>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</si>
  <si>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</si>
  <si>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</si>
  <si>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</si>
  <si>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</si>
  <si>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</si>
  <si>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</si>
  <si>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</si>
  <si>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</si>
  <si>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</si>
  <si>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</si>
  <si>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</si>
  <si>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</si>
  <si>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</si>
  <si>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</si>
  <si>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</si>
  <si>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</si>
  <si>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</si>
  <si>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</si>
  <si>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</si>
  <si>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</si>
  <si>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</si>
  <si>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</si>
  <si>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</si>
  <si>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</si>
  <si>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</si>
  <si>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</si>
  <si>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</si>
  <si>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</si>
  <si>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</si>
  <si>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</si>
  <si>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</si>
  <si>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</si>
  <si>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</si>
  <si>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</si>
  <si>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</si>
  <si>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</si>
  <si>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</si>
  <si>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</si>
  <si>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</si>
  <si>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</si>
  <si>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</si>
  <si>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</si>
  <si>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</si>
  <si>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</si>
  <si>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</si>
  <si>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</si>
  <si>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</si>
  <si>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</si>
  <si>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</si>
  <si>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</si>
  <si>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</si>
  <si>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</si>
  <si>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</si>
  <si>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</si>
  <si>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</si>
  <si>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</si>
  <si>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</si>
  <si>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</si>
  <si>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</si>
  <si>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</si>
  <si>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</si>
  <si>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</si>
  <si>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</si>
  <si>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</si>
  <si>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</si>
  <si>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</si>
  <si>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</si>
  <si>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</si>
  <si>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</si>
  <si>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</si>
  <si>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</si>
  <si>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</si>
  <si>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</si>
  <si>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</si>
  <si>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</si>
  <si>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</si>
  <si>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</si>
  <si>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</si>
  <si>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</si>
  <si>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</si>
  <si>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</si>
  <si>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</si>
  <si>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</si>
  <si>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</si>
  <si>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</si>
  <si>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</si>
  <si>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</si>
  <si>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</si>
  <si>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</si>
  <si>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</si>
  <si>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</si>
  <si>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</si>
  <si>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</si>
  <si>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</si>
  <si>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</si>
  <si>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</si>
  <si>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</si>
  <si>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</si>
  <si>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</si>
  <si>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</si>
  <si>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</si>
  <si>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</si>
  <si>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</si>
  <si>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</si>
  <si>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</si>
  <si>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</si>
  <si>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</si>
  <si>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</si>
  <si>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</si>
  <si>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</si>
  <si>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</si>
  <si>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</si>
  <si>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</si>
  <si>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</si>
  <si>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</si>
  <si>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</si>
  <si>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</si>
  <si>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</si>
  <si>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</si>
  <si>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</si>
  <si>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</si>
  <si>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</si>
  <si>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</si>
  <si>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</si>
  <si>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</si>
  <si>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</si>
  <si>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</si>
  <si>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</si>
  <si>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</si>
  <si>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</si>
  <si>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</si>
  <si>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</si>
  <si>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</si>
  <si>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</si>
  <si>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</si>
  <si>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</si>
  <si>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</si>
  <si>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</si>
  <si>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</si>
  <si>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</si>
  <si>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</si>
  <si>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</si>
  <si>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</si>
  <si>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</si>
  <si>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</si>
  <si>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</si>
  <si>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</si>
  <si>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</si>
  <si>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</si>
  <si>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</si>
  <si>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</si>
  <si>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</si>
  <si>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</si>
  <si>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</si>
  <si>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</si>
  <si>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</si>
  <si>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</si>
  <si>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</si>
  <si>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</si>
  <si>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</si>
  <si>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</si>
  <si>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</si>
  <si>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</si>
  <si>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</si>
  <si>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</si>
  <si>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</si>
  <si>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</si>
  <si>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</si>
  <si>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</si>
  <si>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</si>
  <si>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</si>
  <si>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</si>
  <si>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</si>
  <si>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Core session</t>
  </si>
  <si>
    <t>3.4h</t>
  </si>
  <si>
    <t>Bug fix:
Capacity conversion from patients -&gt; other units and vice versa not working as expected, corrected so that it is now calculating correctly.</t>
  </si>
  <si>
    <t>3.4i</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</si>
  <si>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</si>
  <si>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</si>
  <si>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</si>
  <si>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</si>
  <si>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</si>
  <si>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</si>
  <si>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</si>
  <si>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</si>
  <si>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</si>
  <si>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</si>
  <si>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</si>
  <si>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</si>
  <si>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</si>
  <si>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</si>
  <si>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</si>
  <si>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</si>
  <si>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</si>
  <si>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</si>
  <si>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</si>
  <si>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</si>
  <si>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</si>
  <si>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</si>
  <si>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</si>
  <si>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</si>
  <si>
    <t xml:space="preserve">Bug fix: 
Summary sheet not showing ad hoc and core capacity due to mismatch with wk 53 calculations. Rows with non-matching values will now default to average wk (for year) capacity values if no match found.
Feature update:
- Added debug mode to facilitate development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</si>
</sst>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87">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3" fontId="14" fillId="86" borderId="64" xfId="0" applyNumberFormat="1" applyFont="1" applyFill="1" applyBorder="1" applyProtection="1">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14" fontId="14" fillId="0" borderId="82" xfId="0" applyNumberFormat="1" applyFont="1" applyFill="1" applyBorder="1" applyAlignment="1" applyProtection="1">
      <alignment horizontal="center" vertical="center"/>
      <protection locked="0"/>
    </xf>
    <xf numFmtId="14" fontId="0" fillId="68" borderId="48" xfId="0" applyNumberFormat="1" applyFill="1" applyBorder="1" applyProtection="1">
      <protection locked="0"/>
    </xf>
    <xf numFmtId="1" fontId="14" fillId="86" borderId="64" xfId="0" applyNumberFormat="1" applyFont="1" applyFill="1" applyBorder="1" applyAlignment="1" applyProtection="1">
      <alignment horizontal="right"/>
      <protection hidden="1"/>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0" fillId="0" borderId="0" xfId="0" applyAlignment="1">
      <alignment horizontal="left"/>
    </xf>
    <xf numFmtId="0" fontId="0" fillId="0" borderId="51" xfId="0" applyBorder="1" applyAlignment="1">
      <alignment horizontal="left"/>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9" fillId="7" borderId="0" xfId="0" applyFont="1" applyFill="1" applyAlignment="1">
      <alignment horizontal="left"/>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3" fontId="0" fillId="9" borderId="70" xfId="0" applyNumberFormat="1" applyFill="1" applyBorder="1" applyAlignment="1" applyProtection="1">
      <alignment horizontal="center"/>
      <protection hidden="1"/>
    </xf>
    <xf numFmtId="0" fontId="59" fillId="0" borderId="0" xfId="0" applyFont="1"/>
    <xf numFmtId="0" fontId="59"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61">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500</c:v>
                </c:pt>
                <c:pt idx="24">
                  <c:v>500</c:v>
                </c:pt>
                <c:pt idx="25">
                  <c:v>500</c:v>
                </c:pt>
                <c:pt idx="26">
                  <c:v>500</c:v>
                </c:pt>
                <c:pt idx="27">
                  <c:v>500</c:v>
                </c:pt>
                <c:pt idx="28">
                  <c:v>500</c:v>
                </c:pt>
                <c:pt idx="29">
                  <c:v>500</c:v>
                </c:pt>
                <c:pt idx="30">
                  <c:v>500</c:v>
                </c:pt>
                <c:pt idx="31">
                  <c:v>500</c:v>
                </c:pt>
                <c:pt idx="32">
                  <c:v>500</c:v>
                </c:pt>
                <c:pt idx="33">
                  <c:v>0</c:v>
                </c:pt>
                <c:pt idx="34">
                  <c:v>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5"/>
                <c:pt idx="0">
                  <c:v>44242</c:v>
                </c:pt>
                <c:pt idx="1">
                  <c:v>44249</c:v>
                </c:pt>
                <c:pt idx="2">
                  <c:v>44256</c:v>
                </c:pt>
                <c:pt idx="3">
                  <c:v>44263</c:v>
                </c:pt>
                <c:pt idx="4">
                  <c:v>44270</c:v>
                </c:pt>
                <c:pt idx="5">
                  <c:v>44277</c:v>
                </c:pt>
                <c:pt idx="6">
                  <c:v>44284</c:v>
                </c:pt>
                <c:pt idx="7">
                  <c:v>44291</c:v>
                </c:pt>
                <c:pt idx="8">
                  <c:v>44298</c:v>
                </c:pt>
                <c:pt idx="9">
                  <c:v>44305</c:v>
                </c:pt>
                <c:pt idx="10">
                  <c:v>44312</c:v>
                </c:pt>
                <c:pt idx="11">
                  <c:v>44319</c:v>
                </c:pt>
                <c:pt idx="12">
                  <c:v>44326</c:v>
                </c:pt>
                <c:pt idx="13">
                  <c:v>44333</c:v>
                </c:pt>
                <c:pt idx="14">
                  <c:v>44340</c:v>
                </c:pt>
                <c:pt idx="15">
                  <c:v>44347</c:v>
                </c:pt>
                <c:pt idx="16">
                  <c:v>44354</c:v>
                </c:pt>
                <c:pt idx="17">
                  <c:v>44361</c:v>
                </c:pt>
                <c:pt idx="18">
                  <c:v>44368</c:v>
                </c:pt>
                <c:pt idx="19">
                  <c:v>44375</c:v>
                </c:pt>
                <c:pt idx="20">
                  <c:v>44382</c:v>
                </c:pt>
                <c:pt idx="21">
                  <c:v>44389</c:v>
                </c:pt>
                <c:pt idx="22">
                  <c:v>44396</c:v>
                </c:pt>
                <c:pt idx="23">
                  <c:v>44403</c:v>
                </c:pt>
                <c:pt idx="24">
                  <c:v>44410</c:v>
                </c:pt>
                <c:pt idx="25">
                  <c:v>44417</c:v>
                </c:pt>
                <c:pt idx="26">
                  <c:v>44424</c:v>
                </c:pt>
                <c:pt idx="27">
                  <c:v>44431</c:v>
                </c:pt>
                <c:pt idx="28">
                  <c:v>44438</c:v>
                </c:pt>
                <c:pt idx="29">
                  <c:v>44445</c:v>
                </c:pt>
                <c:pt idx="30">
                  <c:v>44452</c:v>
                </c:pt>
                <c:pt idx="31">
                  <c:v>44459</c:v>
                </c:pt>
                <c:pt idx="32">
                  <c:v>44466</c:v>
                </c:pt>
                <c:pt idx="33">
                  <c:v>44473</c:v>
                </c:pt>
                <c:pt idx="34">
                  <c:v>44480</c:v>
                </c:pt>
              </c:numCache>
            </c:numRef>
          </c:cat>
          <c:val>
            <c:numRef>
              <c:f>[0]!D_Adj_Lower</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5"/>
                <c:pt idx="0">
                  <c:v>44242</c:v>
                </c:pt>
                <c:pt idx="1">
                  <c:v>44249</c:v>
                </c:pt>
                <c:pt idx="2">
                  <c:v>44256</c:v>
                </c:pt>
                <c:pt idx="3">
                  <c:v>44263</c:v>
                </c:pt>
                <c:pt idx="4">
                  <c:v>44270</c:v>
                </c:pt>
                <c:pt idx="5">
                  <c:v>44277</c:v>
                </c:pt>
                <c:pt idx="6">
                  <c:v>44284</c:v>
                </c:pt>
                <c:pt idx="7">
                  <c:v>44291</c:v>
                </c:pt>
                <c:pt idx="8">
                  <c:v>44298</c:v>
                </c:pt>
                <c:pt idx="9">
                  <c:v>44305</c:v>
                </c:pt>
                <c:pt idx="10">
                  <c:v>44312</c:v>
                </c:pt>
                <c:pt idx="11">
                  <c:v>44319</c:v>
                </c:pt>
                <c:pt idx="12">
                  <c:v>44326</c:v>
                </c:pt>
                <c:pt idx="13">
                  <c:v>44333</c:v>
                </c:pt>
                <c:pt idx="14">
                  <c:v>44340</c:v>
                </c:pt>
                <c:pt idx="15">
                  <c:v>44347</c:v>
                </c:pt>
                <c:pt idx="16">
                  <c:v>44354</c:v>
                </c:pt>
                <c:pt idx="17">
                  <c:v>44361</c:v>
                </c:pt>
                <c:pt idx="18">
                  <c:v>44368</c:v>
                </c:pt>
                <c:pt idx="19">
                  <c:v>44375</c:v>
                </c:pt>
                <c:pt idx="20">
                  <c:v>44382</c:v>
                </c:pt>
                <c:pt idx="21">
                  <c:v>44389</c:v>
                </c:pt>
                <c:pt idx="22">
                  <c:v>44396</c:v>
                </c:pt>
                <c:pt idx="23">
                  <c:v>44403</c:v>
                </c:pt>
                <c:pt idx="24">
                  <c:v>44410</c:v>
                </c:pt>
                <c:pt idx="25">
                  <c:v>44417</c:v>
                </c:pt>
                <c:pt idx="26">
                  <c:v>44424</c:v>
                </c:pt>
                <c:pt idx="27">
                  <c:v>44431</c:v>
                </c:pt>
                <c:pt idx="28">
                  <c:v>44438</c:v>
                </c:pt>
                <c:pt idx="29">
                  <c:v>44445</c:v>
                </c:pt>
                <c:pt idx="30">
                  <c:v>44452</c:v>
                </c:pt>
                <c:pt idx="31">
                  <c:v>44459</c:v>
                </c:pt>
                <c:pt idx="32">
                  <c:v>44466</c:v>
                </c:pt>
                <c:pt idx="33">
                  <c:v>44473</c:v>
                </c:pt>
                <c:pt idx="34">
                  <c:v>44480</c:v>
                </c:pt>
              </c:numCache>
            </c:numRef>
          </c:cat>
          <c:val>
            <c:numRef>
              <c:f>[0]!D_Adj_Upper</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0</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0</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0</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0</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0</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4</c:v>
                </c:pt>
                <c:pt idx="1">
                  <c:v>5</c:v>
                </c:pt>
                <c:pt idx="2">
                  <c:v>2</c:v>
                </c:pt>
                <c:pt idx="3">
                  <c:v>3</c:v>
                </c:pt>
                <c:pt idx="4">
                  <c:v>5</c:v>
                </c:pt>
                <c:pt idx="5">
                  <c:v>3</c:v>
                </c:pt>
                <c:pt idx="6">
                  <c:v>4</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8.4542553191489365</c:v>
                </c:pt>
                <c:pt idx="1">
                  <c:v>8.4542553191489365</c:v>
                </c:pt>
                <c:pt idx="2">
                  <c:v>8.4542553191489365</c:v>
                </c:pt>
                <c:pt idx="3">
                  <c:v>8.4542553191489365</c:v>
                </c:pt>
                <c:pt idx="4">
                  <c:v>8.4542553191489365</c:v>
                </c:pt>
                <c:pt idx="5">
                  <c:v>8.4542553191489365</c:v>
                </c:pt>
                <c:pt idx="6">
                  <c:v>8.4542553191489365</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3.8</c:v>
                </c:pt>
                <c:pt idx="1">
                  <c:v>3.8</c:v>
                </c:pt>
                <c:pt idx="2">
                  <c:v>3.8</c:v>
                </c:pt>
                <c:pt idx="3">
                  <c:v>3.8</c:v>
                </c:pt>
                <c:pt idx="4">
                  <c:v>3.8</c:v>
                </c:pt>
                <c:pt idx="5">
                  <c:v>3.8</c:v>
                </c:pt>
                <c:pt idx="6">
                  <c:v>3.8</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44760</c:v>
                </c:pt>
                <c:pt idx="1">
                  <c:v>44767</c:v>
                </c:pt>
                <c:pt idx="2">
                  <c:v>44774</c:v>
                </c:pt>
                <c:pt idx="3">
                  <c:v>44781</c:v>
                </c:pt>
                <c:pt idx="4">
                  <c:v>44788</c:v>
                </c:pt>
                <c:pt idx="5">
                  <c:v>44795</c:v>
                </c:pt>
                <c:pt idx="6">
                  <c:v>44802</c:v>
                </c:pt>
                <c:pt idx="7">
                  <c:v>44809</c:v>
                </c:pt>
                <c:pt idx="8">
                  <c:v>44816</c:v>
                </c:pt>
                <c:pt idx="9">
                  <c:v>44823</c:v>
                </c:pt>
                <c:pt idx="10">
                  <c:v>44830</c:v>
                </c:pt>
                <c:pt idx="11">
                  <c:v>44837</c:v>
                </c:pt>
                <c:pt idx="12">
                  <c:v>44844</c:v>
                </c:pt>
                <c:pt idx="13">
                  <c:v>44851</c:v>
                </c:pt>
                <c:pt idx="14">
                  <c:v>44858</c:v>
                </c:pt>
                <c:pt idx="15">
                  <c:v>44865</c:v>
                </c:pt>
                <c:pt idx="16">
                  <c:v>44872</c:v>
                </c:pt>
                <c:pt idx="17">
                  <c:v>44879</c:v>
                </c:pt>
                <c:pt idx="18">
                  <c:v>44886</c:v>
                </c:pt>
                <c:pt idx="19">
                  <c:v>44893</c:v>
                </c:pt>
                <c:pt idx="20">
                  <c:v>44900</c:v>
                </c:pt>
                <c:pt idx="21">
                  <c:v>44907</c:v>
                </c:pt>
                <c:pt idx="22">
                  <c:v>44914</c:v>
                </c:pt>
                <c:pt idx="23">
                  <c:v>44921</c:v>
                </c:pt>
                <c:pt idx="24">
                  <c:v>44928</c:v>
                </c:pt>
                <c:pt idx="25">
                  <c:v>44935</c:v>
                </c:pt>
                <c:pt idx="26">
                  <c:v>44942</c:v>
                </c:pt>
                <c:pt idx="27">
                  <c:v>44949</c:v>
                </c:pt>
                <c:pt idx="28">
                  <c:v>44956</c:v>
                </c:pt>
                <c:pt idx="29">
                  <c:v>44963</c:v>
                </c:pt>
                <c:pt idx="30">
                  <c:v>44970</c:v>
                </c:pt>
                <c:pt idx="31">
                  <c:v>44977</c:v>
                </c:pt>
                <c:pt idx="32">
                  <c:v>44984</c:v>
                </c:pt>
                <c:pt idx="33">
                  <c:v>44991</c:v>
                </c:pt>
                <c:pt idx="34">
                  <c:v>44998</c:v>
                </c:pt>
                <c:pt idx="35">
                  <c:v>45005</c:v>
                </c:pt>
                <c:pt idx="36">
                  <c:v>45012</c:v>
                </c:pt>
                <c:pt idx="37">
                  <c:v>45019</c:v>
                </c:pt>
                <c:pt idx="38">
                  <c:v>45026</c:v>
                </c:pt>
                <c:pt idx="39">
                  <c:v>45033</c:v>
                </c:pt>
                <c:pt idx="40">
                  <c:v>45040</c:v>
                </c:pt>
                <c:pt idx="41">
                  <c:v>45047</c:v>
                </c:pt>
                <c:pt idx="42">
                  <c:v>45054</c:v>
                </c:pt>
                <c:pt idx="43">
                  <c:v>45061</c:v>
                </c:pt>
                <c:pt idx="44">
                  <c:v>45068</c:v>
                </c:pt>
                <c:pt idx="45">
                  <c:v>45075</c:v>
                </c:pt>
                <c:pt idx="46">
                  <c:v>45082</c:v>
                </c:pt>
                <c:pt idx="47">
                  <c:v>45089</c:v>
                </c:pt>
                <c:pt idx="48">
                  <c:v>45096</c:v>
                </c:pt>
                <c:pt idx="49">
                  <c:v>45103</c:v>
                </c:pt>
                <c:pt idx="50">
                  <c:v>45110</c:v>
                </c:pt>
                <c:pt idx="51">
                  <c:v>45117</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44760</c:v>
                </c:pt>
                <c:pt idx="1">
                  <c:v>44767</c:v>
                </c:pt>
                <c:pt idx="2">
                  <c:v>44774</c:v>
                </c:pt>
                <c:pt idx="3">
                  <c:v>44781</c:v>
                </c:pt>
                <c:pt idx="4">
                  <c:v>44788</c:v>
                </c:pt>
                <c:pt idx="5">
                  <c:v>44795</c:v>
                </c:pt>
                <c:pt idx="6">
                  <c:v>44802</c:v>
                </c:pt>
                <c:pt idx="7">
                  <c:v>44809</c:v>
                </c:pt>
                <c:pt idx="8">
                  <c:v>44816</c:v>
                </c:pt>
                <c:pt idx="9">
                  <c:v>44823</c:v>
                </c:pt>
                <c:pt idx="10">
                  <c:v>44830</c:v>
                </c:pt>
                <c:pt idx="11">
                  <c:v>44837</c:v>
                </c:pt>
                <c:pt idx="12">
                  <c:v>44844</c:v>
                </c:pt>
                <c:pt idx="13">
                  <c:v>44851</c:v>
                </c:pt>
                <c:pt idx="14">
                  <c:v>44858</c:v>
                </c:pt>
                <c:pt idx="15">
                  <c:v>44865</c:v>
                </c:pt>
                <c:pt idx="16">
                  <c:v>44872</c:v>
                </c:pt>
                <c:pt idx="17">
                  <c:v>44879</c:v>
                </c:pt>
                <c:pt idx="18">
                  <c:v>44886</c:v>
                </c:pt>
                <c:pt idx="19">
                  <c:v>44893</c:v>
                </c:pt>
                <c:pt idx="20">
                  <c:v>44900</c:v>
                </c:pt>
                <c:pt idx="21">
                  <c:v>44907</c:v>
                </c:pt>
                <c:pt idx="22">
                  <c:v>44914</c:v>
                </c:pt>
                <c:pt idx="23">
                  <c:v>44921</c:v>
                </c:pt>
                <c:pt idx="24">
                  <c:v>44928</c:v>
                </c:pt>
                <c:pt idx="25">
                  <c:v>44935</c:v>
                </c:pt>
                <c:pt idx="26">
                  <c:v>44942</c:v>
                </c:pt>
                <c:pt idx="27">
                  <c:v>44949</c:v>
                </c:pt>
                <c:pt idx="28">
                  <c:v>44956</c:v>
                </c:pt>
                <c:pt idx="29">
                  <c:v>44963</c:v>
                </c:pt>
                <c:pt idx="30">
                  <c:v>44970</c:v>
                </c:pt>
                <c:pt idx="31">
                  <c:v>44977</c:v>
                </c:pt>
                <c:pt idx="32">
                  <c:v>44984</c:v>
                </c:pt>
                <c:pt idx="33">
                  <c:v>44991</c:v>
                </c:pt>
                <c:pt idx="34">
                  <c:v>44998</c:v>
                </c:pt>
                <c:pt idx="35">
                  <c:v>45005</c:v>
                </c:pt>
                <c:pt idx="36">
                  <c:v>45012</c:v>
                </c:pt>
                <c:pt idx="37">
                  <c:v>45019</c:v>
                </c:pt>
                <c:pt idx="38">
                  <c:v>45026</c:v>
                </c:pt>
                <c:pt idx="39">
                  <c:v>45033</c:v>
                </c:pt>
                <c:pt idx="40">
                  <c:v>45040</c:v>
                </c:pt>
                <c:pt idx="41">
                  <c:v>45047</c:v>
                </c:pt>
                <c:pt idx="42">
                  <c:v>45054</c:v>
                </c:pt>
                <c:pt idx="43">
                  <c:v>45061</c:v>
                </c:pt>
                <c:pt idx="44">
                  <c:v>45068</c:v>
                </c:pt>
                <c:pt idx="45">
                  <c:v>45075</c:v>
                </c:pt>
                <c:pt idx="46">
                  <c:v>45082</c:v>
                </c:pt>
                <c:pt idx="47">
                  <c:v>45089</c:v>
                </c:pt>
                <c:pt idx="48">
                  <c:v>45096</c:v>
                </c:pt>
                <c:pt idx="49">
                  <c:v>45103</c:v>
                </c:pt>
                <c:pt idx="50">
                  <c:v>45110</c:v>
                </c:pt>
                <c:pt idx="51">
                  <c:v>45117</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0</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0</c:v>
                </c:pt>
                <c:pt idx="1">
                  <c:v>0</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0</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0</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1"/>
                <c:lvl>
                  <c:pt idx="0">
                    <c:v>Jul</c:v>
                  </c:pt>
                  <c:pt idx="2">
                    <c:v>Aug</c:v>
                  </c:pt>
                  <c:pt idx="7">
                    <c:v>Sep</c:v>
                  </c:pt>
                  <c:pt idx="11">
                    <c:v>Oct</c:v>
                  </c:pt>
                  <c:pt idx="16">
                    <c:v>Nov</c:v>
                  </c:pt>
                  <c:pt idx="20">
                    <c:v>Dec</c:v>
                  </c:pt>
                  <c:pt idx="24">
                    <c:v>Jan</c:v>
                  </c:pt>
                  <c:pt idx="29">
                    <c:v>Feb</c:v>
                  </c:pt>
                  <c:pt idx="33">
                    <c:v>Mar</c:v>
                  </c:pt>
                  <c:pt idx="37">
                    <c:v>Apr</c:v>
                  </c:pt>
                  <c:pt idx="41">
                    <c:v>May</c:v>
                  </c:pt>
                  <c:pt idx="46">
                    <c:v>Jun</c:v>
                  </c:pt>
                  <c:pt idx="50">
                    <c:v>Jul</c:v>
                  </c:pt>
                </c:lvl>
                <c:lvl>
                  <c:pt idx="0">
                    <c:v>2022</c:v>
                  </c:pt>
                  <c:pt idx="24">
                    <c:v>2023</c:v>
                  </c:pt>
                </c:lvl>
              </c:multiLvlStrCache>
            </c:multiLvlStrRef>
          </c:cat>
          <c:val>
            <c:numRef>
              <c:f>[0]!Summary_Blank</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1"/>
                <c:lvl>
                  <c:pt idx="0">
                    <c:v>Jul</c:v>
                  </c:pt>
                  <c:pt idx="2">
                    <c:v>Aug</c:v>
                  </c:pt>
                  <c:pt idx="7">
                    <c:v>Sep</c:v>
                  </c:pt>
                  <c:pt idx="11">
                    <c:v>Oct</c:v>
                  </c:pt>
                  <c:pt idx="16">
                    <c:v>Nov</c:v>
                  </c:pt>
                  <c:pt idx="20">
                    <c:v>Dec</c:v>
                  </c:pt>
                  <c:pt idx="24">
                    <c:v>Jan</c:v>
                  </c:pt>
                  <c:pt idx="29">
                    <c:v>Feb</c:v>
                  </c:pt>
                  <c:pt idx="33">
                    <c:v>Mar</c:v>
                  </c:pt>
                  <c:pt idx="37">
                    <c:v>Apr</c:v>
                  </c:pt>
                  <c:pt idx="41">
                    <c:v>May</c:v>
                  </c:pt>
                  <c:pt idx="46">
                    <c:v>Jun</c:v>
                  </c:pt>
                  <c:pt idx="50">
                    <c:v>Jul</c:v>
                  </c:pt>
                </c:lvl>
                <c:lvl>
                  <c:pt idx="0">
                    <c:v>2022</c:v>
                  </c:pt>
                  <c:pt idx="24">
                    <c:v>2023</c:v>
                  </c:pt>
                </c:lvl>
              </c:multiLvlStrCache>
            </c:multiLvlStrRef>
          </c:cat>
          <c:val>
            <c:numRef>
              <c:f>[0]!Summary_Req</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1"/>
                <c:lvl>
                  <c:pt idx="0">
                    <c:v>Jul</c:v>
                  </c:pt>
                  <c:pt idx="2">
                    <c:v>Aug</c:v>
                  </c:pt>
                  <c:pt idx="7">
                    <c:v>Sep</c:v>
                  </c:pt>
                  <c:pt idx="11">
                    <c:v>Oct</c:v>
                  </c:pt>
                  <c:pt idx="16">
                    <c:v>Nov</c:v>
                  </c:pt>
                  <c:pt idx="20">
                    <c:v>Dec</c:v>
                  </c:pt>
                  <c:pt idx="24">
                    <c:v>Jan</c:v>
                  </c:pt>
                  <c:pt idx="29">
                    <c:v>Feb</c:v>
                  </c:pt>
                  <c:pt idx="33">
                    <c:v>Mar</c:v>
                  </c:pt>
                  <c:pt idx="37">
                    <c:v>Apr</c:v>
                  </c:pt>
                  <c:pt idx="41">
                    <c:v>May</c:v>
                  </c:pt>
                  <c:pt idx="46">
                    <c:v>Jun</c:v>
                  </c:pt>
                  <c:pt idx="50">
                    <c:v>Jul</c:v>
                  </c:pt>
                </c:lvl>
                <c:lvl>
                  <c:pt idx="0">
                    <c:v>2022</c:v>
                  </c:pt>
                  <c:pt idx="24">
                    <c:v>2023</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1"/>
                <c:lvl>
                  <c:pt idx="0">
                    <c:v>Jul</c:v>
                  </c:pt>
                  <c:pt idx="2">
                    <c:v>Aug</c:v>
                  </c:pt>
                  <c:pt idx="7">
                    <c:v>Sep</c:v>
                  </c:pt>
                  <c:pt idx="11">
                    <c:v>Oct</c:v>
                  </c:pt>
                  <c:pt idx="16">
                    <c:v>Nov</c:v>
                  </c:pt>
                  <c:pt idx="20">
                    <c:v>Dec</c:v>
                  </c:pt>
                  <c:pt idx="24">
                    <c:v>Jan</c:v>
                  </c:pt>
                  <c:pt idx="29">
                    <c:v>Feb</c:v>
                  </c:pt>
                  <c:pt idx="33">
                    <c:v>Mar</c:v>
                  </c:pt>
                  <c:pt idx="37">
                    <c:v>Apr</c:v>
                  </c:pt>
                  <c:pt idx="41">
                    <c:v>May</c:v>
                  </c:pt>
                  <c:pt idx="46">
                    <c:v>Jun</c:v>
                  </c:pt>
                  <c:pt idx="50">
                    <c:v>Jul</c:v>
                  </c:pt>
                </c:lvl>
                <c:lvl>
                  <c:pt idx="0">
                    <c:v>2022</c:v>
                  </c:pt>
                  <c:pt idx="24">
                    <c:v>2023</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44760</c:v>
                </c:pt>
                <c:pt idx="1">
                  <c:v>44767</c:v>
                </c:pt>
                <c:pt idx="2">
                  <c:v>44774</c:v>
                </c:pt>
                <c:pt idx="3">
                  <c:v>44781</c:v>
                </c:pt>
                <c:pt idx="4">
                  <c:v>44788</c:v>
                </c:pt>
                <c:pt idx="5">
                  <c:v>44795</c:v>
                </c:pt>
                <c:pt idx="6">
                  <c:v>44802</c:v>
                </c:pt>
                <c:pt idx="7">
                  <c:v>44809</c:v>
                </c:pt>
                <c:pt idx="8">
                  <c:v>44816</c:v>
                </c:pt>
                <c:pt idx="9">
                  <c:v>44823</c:v>
                </c:pt>
                <c:pt idx="10">
                  <c:v>44830</c:v>
                </c:pt>
                <c:pt idx="11">
                  <c:v>44837</c:v>
                </c:pt>
                <c:pt idx="12">
                  <c:v>44844</c:v>
                </c:pt>
                <c:pt idx="13">
                  <c:v>44851</c:v>
                </c:pt>
                <c:pt idx="14">
                  <c:v>44858</c:v>
                </c:pt>
                <c:pt idx="15">
                  <c:v>44865</c:v>
                </c:pt>
                <c:pt idx="16">
                  <c:v>44872</c:v>
                </c:pt>
                <c:pt idx="17">
                  <c:v>44879</c:v>
                </c:pt>
                <c:pt idx="18">
                  <c:v>44886</c:v>
                </c:pt>
                <c:pt idx="19">
                  <c:v>44893</c:v>
                </c:pt>
                <c:pt idx="20">
                  <c:v>44900</c:v>
                </c:pt>
                <c:pt idx="21">
                  <c:v>44907</c:v>
                </c:pt>
                <c:pt idx="22">
                  <c:v>44914</c:v>
                </c:pt>
                <c:pt idx="23">
                  <c:v>44921</c:v>
                </c:pt>
                <c:pt idx="24">
                  <c:v>44928</c:v>
                </c:pt>
                <c:pt idx="25">
                  <c:v>44935</c:v>
                </c:pt>
                <c:pt idx="26">
                  <c:v>44942</c:v>
                </c:pt>
                <c:pt idx="27">
                  <c:v>44949</c:v>
                </c:pt>
                <c:pt idx="28">
                  <c:v>44956</c:v>
                </c:pt>
                <c:pt idx="29">
                  <c:v>44963</c:v>
                </c:pt>
                <c:pt idx="30">
                  <c:v>44970</c:v>
                </c:pt>
                <c:pt idx="31">
                  <c:v>44977</c:v>
                </c:pt>
                <c:pt idx="32">
                  <c:v>44984</c:v>
                </c:pt>
                <c:pt idx="33">
                  <c:v>44991</c:v>
                </c:pt>
                <c:pt idx="34">
                  <c:v>44998</c:v>
                </c:pt>
                <c:pt idx="35">
                  <c:v>45005</c:v>
                </c:pt>
                <c:pt idx="36">
                  <c:v>45012</c:v>
                </c:pt>
                <c:pt idx="37">
                  <c:v>45019</c:v>
                </c:pt>
                <c:pt idx="38">
                  <c:v>45026</c:v>
                </c:pt>
                <c:pt idx="39">
                  <c:v>45033</c:v>
                </c:pt>
                <c:pt idx="40">
                  <c:v>45040</c:v>
                </c:pt>
                <c:pt idx="41">
                  <c:v>45047</c:v>
                </c:pt>
                <c:pt idx="42">
                  <c:v>45054</c:v>
                </c:pt>
                <c:pt idx="43">
                  <c:v>45061</c:v>
                </c:pt>
                <c:pt idx="44">
                  <c:v>45068</c:v>
                </c:pt>
                <c:pt idx="45">
                  <c:v>45075</c:v>
                </c:pt>
                <c:pt idx="46">
                  <c:v>45082</c:v>
                </c:pt>
                <c:pt idx="47">
                  <c:v>45089</c:v>
                </c:pt>
                <c:pt idx="48">
                  <c:v>45096</c:v>
                </c:pt>
                <c:pt idx="49">
                  <c:v>45103</c:v>
                </c:pt>
                <c:pt idx="50">
                  <c:v>45110</c:v>
                </c:pt>
                <c:pt idx="51">
                  <c:v>45117</c:v>
                </c:pt>
              </c:numCache>
            </c:numRef>
          </c:cat>
          <c:val>
            <c:numRef>
              <c:f>'Planning (hide)'!$AD$4:$AD$55</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44760</c:v>
                </c:pt>
                <c:pt idx="1">
                  <c:v>44767</c:v>
                </c:pt>
                <c:pt idx="2">
                  <c:v>44774</c:v>
                </c:pt>
                <c:pt idx="3">
                  <c:v>44781</c:v>
                </c:pt>
                <c:pt idx="4">
                  <c:v>44788</c:v>
                </c:pt>
                <c:pt idx="5">
                  <c:v>44795</c:v>
                </c:pt>
                <c:pt idx="6">
                  <c:v>44802</c:v>
                </c:pt>
                <c:pt idx="7">
                  <c:v>44809</c:v>
                </c:pt>
                <c:pt idx="8">
                  <c:v>44816</c:v>
                </c:pt>
                <c:pt idx="9">
                  <c:v>44823</c:v>
                </c:pt>
                <c:pt idx="10">
                  <c:v>44830</c:v>
                </c:pt>
                <c:pt idx="11">
                  <c:v>44837</c:v>
                </c:pt>
                <c:pt idx="12">
                  <c:v>44844</c:v>
                </c:pt>
                <c:pt idx="13">
                  <c:v>44851</c:v>
                </c:pt>
                <c:pt idx="14">
                  <c:v>44858</c:v>
                </c:pt>
                <c:pt idx="15">
                  <c:v>44865</c:v>
                </c:pt>
                <c:pt idx="16">
                  <c:v>44872</c:v>
                </c:pt>
                <c:pt idx="17">
                  <c:v>44879</c:v>
                </c:pt>
                <c:pt idx="18">
                  <c:v>44886</c:v>
                </c:pt>
                <c:pt idx="19">
                  <c:v>44893</c:v>
                </c:pt>
                <c:pt idx="20">
                  <c:v>44900</c:v>
                </c:pt>
                <c:pt idx="21">
                  <c:v>44907</c:v>
                </c:pt>
                <c:pt idx="22">
                  <c:v>44914</c:v>
                </c:pt>
                <c:pt idx="23">
                  <c:v>44921</c:v>
                </c:pt>
                <c:pt idx="24">
                  <c:v>44928</c:v>
                </c:pt>
                <c:pt idx="25">
                  <c:v>44935</c:v>
                </c:pt>
                <c:pt idx="26">
                  <c:v>44942</c:v>
                </c:pt>
                <c:pt idx="27">
                  <c:v>44949</c:v>
                </c:pt>
                <c:pt idx="28">
                  <c:v>44956</c:v>
                </c:pt>
                <c:pt idx="29">
                  <c:v>44963</c:v>
                </c:pt>
                <c:pt idx="30">
                  <c:v>44970</c:v>
                </c:pt>
                <c:pt idx="31">
                  <c:v>44977</c:v>
                </c:pt>
                <c:pt idx="32">
                  <c:v>44984</c:v>
                </c:pt>
                <c:pt idx="33">
                  <c:v>44991</c:v>
                </c:pt>
                <c:pt idx="34">
                  <c:v>44998</c:v>
                </c:pt>
                <c:pt idx="35">
                  <c:v>45005</c:v>
                </c:pt>
                <c:pt idx="36">
                  <c:v>45012</c:v>
                </c:pt>
                <c:pt idx="37">
                  <c:v>45019</c:v>
                </c:pt>
                <c:pt idx="38">
                  <c:v>45026</c:v>
                </c:pt>
                <c:pt idx="39">
                  <c:v>45033</c:v>
                </c:pt>
                <c:pt idx="40">
                  <c:v>45040</c:v>
                </c:pt>
                <c:pt idx="41">
                  <c:v>45047</c:v>
                </c:pt>
                <c:pt idx="42">
                  <c:v>45054</c:v>
                </c:pt>
                <c:pt idx="43">
                  <c:v>45061</c:v>
                </c:pt>
                <c:pt idx="44">
                  <c:v>45068</c:v>
                </c:pt>
                <c:pt idx="45">
                  <c:v>45075</c:v>
                </c:pt>
                <c:pt idx="46">
                  <c:v>45082</c:v>
                </c:pt>
                <c:pt idx="47">
                  <c:v>45089</c:v>
                </c:pt>
                <c:pt idx="48">
                  <c:v>45096</c:v>
                </c:pt>
                <c:pt idx="49">
                  <c:v>45103</c:v>
                </c:pt>
                <c:pt idx="50">
                  <c:v>45110</c:v>
                </c:pt>
                <c:pt idx="51">
                  <c:v>45117</c:v>
                </c:pt>
              </c:numCache>
            </c:numRef>
          </c:cat>
          <c:val>
            <c:numRef>
              <c:f>'Planning (hide)'!$AE$4:$AE$55</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44760</c:v>
                </c:pt>
                <c:pt idx="1">
                  <c:v>44767</c:v>
                </c:pt>
                <c:pt idx="2">
                  <c:v>44774</c:v>
                </c:pt>
                <c:pt idx="3">
                  <c:v>44781</c:v>
                </c:pt>
                <c:pt idx="4">
                  <c:v>44788</c:v>
                </c:pt>
                <c:pt idx="5">
                  <c:v>44795</c:v>
                </c:pt>
                <c:pt idx="6">
                  <c:v>44802</c:v>
                </c:pt>
                <c:pt idx="7">
                  <c:v>44809</c:v>
                </c:pt>
                <c:pt idx="8">
                  <c:v>44816</c:v>
                </c:pt>
                <c:pt idx="9">
                  <c:v>44823</c:v>
                </c:pt>
                <c:pt idx="10">
                  <c:v>44830</c:v>
                </c:pt>
                <c:pt idx="11">
                  <c:v>44837</c:v>
                </c:pt>
                <c:pt idx="12">
                  <c:v>44844</c:v>
                </c:pt>
                <c:pt idx="13">
                  <c:v>44851</c:v>
                </c:pt>
                <c:pt idx="14">
                  <c:v>44858</c:v>
                </c:pt>
                <c:pt idx="15">
                  <c:v>44865</c:v>
                </c:pt>
                <c:pt idx="16">
                  <c:v>44872</c:v>
                </c:pt>
                <c:pt idx="17">
                  <c:v>44879</c:v>
                </c:pt>
                <c:pt idx="18">
                  <c:v>44886</c:v>
                </c:pt>
                <c:pt idx="19">
                  <c:v>44893</c:v>
                </c:pt>
                <c:pt idx="20">
                  <c:v>44900</c:v>
                </c:pt>
                <c:pt idx="21">
                  <c:v>44907</c:v>
                </c:pt>
                <c:pt idx="22">
                  <c:v>44914</c:v>
                </c:pt>
                <c:pt idx="23">
                  <c:v>44921</c:v>
                </c:pt>
                <c:pt idx="24">
                  <c:v>44928</c:v>
                </c:pt>
                <c:pt idx="25">
                  <c:v>44935</c:v>
                </c:pt>
                <c:pt idx="26">
                  <c:v>44942</c:v>
                </c:pt>
                <c:pt idx="27">
                  <c:v>44949</c:v>
                </c:pt>
                <c:pt idx="28">
                  <c:v>44956</c:v>
                </c:pt>
                <c:pt idx="29">
                  <c:v>44963</c:v>
                </c:pt>
                <c:pt idx="30">
                  <c:v>44970</c:v>
                </c:pt>
                <c:pt idx="31">
                  <c:v>44977</c:v>
                </c:pt>
                <c:pt idx="32">
                  <c:v>44984</c:v>
                </c:pt>
                <c:pt idx="33">
                  <c:v>44991</c:v>
                </c:pt>
                <c:pt idx="34">
                  <c:v>44998</c:v>
                </c:pt>
                <c:pt idx="35">
                  <c:v>45005</c:v>
                </c:pt>
                <c:pt idx="36">
                  <c:v>45012</c:v>
                </c:pt>
                <c:pt idx="37">
                  <c:v>45019</c:v>
                </c:pt>
                <c:pt idx="38">
                  <c:v>45026</c:v>
                </c:pt>
                <c:pt idx="39">
                  <c:v>45033</c:v>
                </c:pt>
                <c:pt idx="40">
                  <c:v>45040</c:v>
                </c:pt>
                <c:pt idx="41">
                  <c:v>45047</c:v>
                </c:pt>
                <c:pt idx="42">
                  <c:v>45054</c:v>
                </c:pt>
                <c:pt idx="43">
                  <c:v>45061</c:v>
                </c:pt>
                <c:pt idx="44">
                  <c:v>45068</c:v>
                </c:pt>
                <c:pt idx="45">
                  <c:v>45075</c:v>
                </c:pt>
                <c:pt idx="46">
                  <c:v>45082</c:v>
                </c:pt>
                <c:pt idx="47">
                  <c:v>45089</c:v>
                </c:pt>
                <c:pt idx="48">
                  <c:v>45096</c:v>
                </c:pt>
                <c:pt idx="49">
                  <c:v>45103</c:v>
                </c:pt>
                <c:pt idx="50">
                  <c:v>45110</c:v>
                </c:pt>
                <c:pt idx="51">
                  <c:v>45117</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44760</c:v>
                </c:pt>
                <c:pt idx="1">
                  <c:v>44767</c:v>
                </c:pt>
                <c:pt idx="2">
                  <c:v>44774</c:v>
                </c:pt>
                <c:pt idx="3">
                  <c:v>44781</c:v>
                </c:pt>
                <c:pt idx="4">
                  <c:v>44788</c:v>
                </c:pt>
                <c:pt idx="5">
                  <c:v>44795</c:v>
                </c:pt>
                <c:pt idx="6">
                  <c:v>44802</c:v>
                </c:pt>
                <c:pt idx="7">
                  <c:v>44809</c:v>
                </c:pt>
                <c:pt idx="8">
                  <c:v>44816</c:v>
                </c:pt>
                <c:pt idx="9">
                  <c:v>44823</c:v>
                </c:pt>
                <c:pt idx="10">
                  <c:v>44830</c:v>
                </c:pt>
                <c:pt idx="11">
                  <c:v>44837</c:v>
                </c:pt>
                <c:pt idx="12">
                  <c:v>44844</c:v>
                </c:pt>
                <c:pt idx="13">
                  <c:v>44851</c:v>
                </c:pt>
                <c:pt idx="14">
                  <c:v>44858</c:v>
                </c:pt>
                <c:pt idx="15">
                  <c:v>44865</c:v>
                </c:pt>
                <c:pt idx="16">
                  <c:v>44872</c:v>
                </c:pt>
                <c:pt idx="17">
                  <c:v>44879</c:v>
                </c:pt>
                <c:pt idx="18">
                  <c:v>44886</c:v>
                </c:pt>
                <c:pt idx="19">
                  <c:v>44893</c:v>
                </c:pt>
                <c:pt idx="20">
                  <c:v>44900</c:v>
                </c:pt>
                <c:pt idx="21">
                  <c:v>44907</c:v>
                </c:pt>
                <c:pt idx="22">
                  <c:v>44914</c:v>
                </c:pt>
                <c:pt idx="23">
                  <c:v>44921</c:v>
                </c:pt>
                <c:pt idx="24">
                  <c:v>44928</c:v>
                </c:pt>
                <c:pt idx="25">
                  <c:v>44935</c:v>
                </c:pt>
                <c:pt idx="26">
                  <c:v>44942</c:v>
                </c:pt>
                <c:pt idx="27">
                  <c:v>44949</c:v>
                </c:pt>
                <c:pt idx="28">
                  <c:v>44956</c:v>
                </c:pt>
                <c:pt idx="29">
                  <c:v>44963</c:v>
                </c:pt>
                <c:pt idx="30">
                  <c:v>44970</c:v>
                </c:pt>
                <c:pt idx="31">
                  <c:v>44977</c:v>
                </c:pt>
                <c:pt idx="32">
                  <c:v>44984</c:v>
                </c:pt>
                <c:pt idx="33">
                  <c:v>44991</c:v>
                </c:pt>
                <c:pt idx="34">
                  <c:v>44998</c:v>
                </c:pt>
                <c:pt idx="35">
                  <c:v>45005</c:v>
                </c:pt>
                <c:pt idx="36">
                  <c:v>45012</c:v>
                </c:pt>
                <c:pt idx="37">
                  <c:v>45019</c:v>
                </c:pt>
                <c:pt idx="38">
                  <c:v>45026</c:v>
                </c:pt>
                <c:pt idx="39">
                  <c:v>45033</c:v>
                </c:pt>
                <c:pt idx="40">
                  <c:v>45040</c:v>
                </c:pt>
                <c:pt idx="41">
                  <c:v>45047</c:v>
                </c:pt>
                <c:pt idx="42">
                  <c:v>45054</c:v>
                </c:pt>
                <c:pt idx="43">
                  <c:v>45061</c:v>
                </c:pt>
                <c:pt idx="44">
                  <c:v>45068</c:v>
                </c:pt>
                <c:pt idx="45">
                  <c:v>45075</c:v>
                </c:pt>
                <c:pt idx="46">
                  <c:v>45082</c:v>
                </c:pt>
                <c:pt idx="47">
                  <c:v>45089</c:v>
                </c:pt>
                <c:pt idx="48">
                  <c:v>45096</c:v>
                </c:pt>
                <c:pt idx="49">
                  <c:v>45103</c:v>
                </c:pt>
                <c:pt idx="50">
                  <c:v>45110</c:v>
                </c:pt>
                <c:pt idx="51">
                  <c:v>45117</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18"/>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firstButton="1" fmlaLink="'Capacity calculation (hide)'!$E$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firstButton="1" fmlaLink="'Capacity calculation (hide)'!$E$1" lockText="1" noThreeD="1"/>
</file>

<file path=xl/ctrlProps/ctrlProp25.xml><?xml version="1.0" encoding="utf-8"?>
<formControlPr xmlns="http://schemas.microsoft.com/office/spreadsheetml/2009/9/main" objectType="Radio" checked="Checked"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4</xdr:row>
          <xdr:rowOff>180975</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95250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171450</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238125</xdr:colOff>
          <xdr:row>2</xdr:row>
          <xdr:rowOff>104775</xdr:rowOff>
        </xdr:from>
        <xdr:to>
          <xdr:col>13</xdr:col>
          <xdr:colOff>1352550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5</xdr:row>
          <xdr:rowOff>38100</xdr:rowOff>
        </xdr:from>
        <xdr:to>
          <xdr:col>13</xdr:col>
          <xdr:colOff>1352550</xdr:colOff>
          <xdr:row>7</xdr:row>
          <xdr:rowOff>95250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7</xdr:row>
          <xdr:rowOff>171450</xdr:rowOff>
        </xdr:from>
        <xdr:to>
          <xdr:col>13</xdr:col>
          <xdr:colOff>1352550</xdr:colOff>
          <xdr:row>12</xdr:row>
          <xdr:rowOff>66675</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171450</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95050" cy="5895975"/>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285750</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28575</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57150</xdr:rowOff>
        </xdr:from>
        <xdr:to>
          <xdr:col>60</xdr:col>
          <xdr:colOff>19050</xdr:colOff>
          <xdr:row>4</xdr:row>
          <xdr:rowOff>104775</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142875</xdr:rowOff>
        </xdr:from>
        <xdr:to>
          <xdr:col>60</xdr:col>
          <xdr:colOff>19050</xdr:colOff>
          <xdr:row>8</xdr:row>
          <xdr:rowOff>28575</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28575</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40"/>
  <sheetViews>
    <sheetView showGridLines="0" workbookViewId="0">
      <selection activeCell="D4" sqref="D4"/>
    </sheetView>
  </sheetViews>
  <sheetFormatPr defaultRowHeight="14.25" x14ac:dyDescent="0.2"/>
  <cols>
    <col min="1" max="1" width="9.625" bestFit="1" customWidth="1"/>
    <col min="2" max="2" width="9.75" bestFit="1" customWidth="1"/>
    <col min="3" max="3" width="20.125" customWidth="1"/>
    <col min="4" max="4" width="74.25" customWidth="1"/>
    <col min="5" max="5" width="35.25" customWidth="1"/>
  </cols>
  <sheetData>
    <row r="2" spans="1:5" ht="15" x14ac:dyDescent="0.25">
      <c r="A2" s="285" t="s">
        <v>0</v>
      </c>
      <c r="B2" s="285" t="s">
        <v>1</v>
      </c>
      <c r="C2" s="285" t="s">
        <v>2</v>
      </c>
      <c r="D2" s="285" t="s">
        <v>3</v>
      </c>
      <c r="E2" s="285" t="s">
        <v>11</v>
      </c>
    </row>
    <row r="3" spans="1:5" s="67" customFormat="1" ht="114" x14ac:dyDescent="0.2">
      <c r="A3" s="289">
        <v>3.5</v>
      </c>
      <c r="B3" s="290">
        <v>44753</v>
      </c>
      <c r="C3" s="289" t="s">
        <v>5</v>
      </c>
      <c r="D3" s="292" t="s">
        <v>1293</v>
      </c>
      <c r="E3" s="289"/>
    </row>
    <row r="4" spans="1:5" s="67" customFormat="1" ht="171.75" x14ac:dyDescent="0.25">
      <c r="A4" s="289" t="s">
        <v>1281</v>
      </c>
      <c r="B4" s="290">
        <v>44145</v>
      </c>
      <c r="C4" s="289" t="s">
        <v>276</v>
      </c>
      <c r="D4" s="292" t="s">
        <v>1292</v>
      </c>
      <c r="E4" s="285"/>
    </row>
    <row r="5" spans="1:5" s="67" customFormat="1" ht="42.75" x14ac:dyDescent="0.2">
      <c r="A5" s="292" t="s">
        <v>1268</v>
      </c>
      <c r="B5" s="380">
        <v>44061</v>
      </c>
      <c r="C5" s="292" t="s">
        <v>1263</v>
      </c>
      <c r="D5" s="292" t="s">
        <v>1267</v>
      </c>
      <c r="E5" s="292"/>
    </row>
    <row r="6" spans="1:5" s="67" customFormat="1" ht="57" x14ac:dyDescent="0.2">
      <c r="A6" s="289" t="s">
        <v>1266</v>
      </c>
      <c r="B6" s="290">
        <v>44057</v>
      </c>
      <c r="C6" s="292" t="s">
        <v>1263</v>
      </c>
      <c r="D6" s="292" t="s">
        <v>1264</v>
      </c>
      <c r="E6" s="289"/>
    </row>
    <row r="7" spans="1:5" s="67" customFormat="1" ht="57" x14ac:dyDescent="0.2">
      <c r="A7" s="289" t="s">
        <v>1239</v>
      </c>
      <c r="B7" s="290">
        <v>44027</v>
      </c>
      <c r="C7" s="289" t="s">
        <v>5</v>
      </c>
      <c r="D7" s="292" t="s">
        <v>1240</v>
      </c>
      <c r="E7" s="289"/>
    </row>
    <row r="8" spans="1:5" s="67" customFormat="1" ht="156.75" x14ac:dyDescent="0.2">
      <c r="A8" s="289" t="s">
        <v>1232</v>
      </c>
      <c r="B8" s="290">
        <v>44025</v>
      </c>
      <c r="C8" s="289" t="s">
        <v>5</v>
      </c>
      <c r="D8" s="292" t="s">
        <v>1238</v>
      </c>
      <c r="E8" s="292"/>
    </row>
    <row r="9" spans="1:5" s="67" customFormat="1" ht="71.25" x14ac:dyDescent="0.2">
      <c r="A9" s="289" t="s">
        <v>1230</v>
      </c>
      <c r="B9" s="290">
        <v>43997</v>
      </c>
      <c r="C9" s="289" t="s">
        <v>5</v>
      </c>
      <c r="D9" s="292" t="s">
        <v>1233</v>
      </c>
      <c r="E9" s="289"/>
    </row>
    <row r="10" spans="1:5" s="67" customFormat="1" ht="156.75" x14ac:dyDescent="0.2">
      <c r="A10" s="289">
        <v>3.4</v>
      </c>
      <c r="B10" s="290">
        <v>43993</v>
      </c>
      <c r="C10" s="289" t="s">
        <v>5</v>
      </c>
      <c r="D10" s="292" t="s">
        <v>1228</v>
      </c>
      <c r="E10" s="292"/>
    </row>
    <row r="11" spans="1:5" s="67" customFormat="1" ht="142.5" x14ac:dyDescent="0.2">
      <c r="A11" s="289">
        <v>3.3</v>
      </c>
      <c r="B11" s="290">
        <v>43980</v>
      </c>
      <c r="C11" s="289" t="s">
        <v>5</v>
      </c>
      <c r="D11" s="292" t="s">
        <v>1226</v>
      </c>
      <c r="E11" s="289"/>
    </row>
    <row r="12" spans="1:5" s="67" customFormat="1" ht="42.75" x14ac:dyDescent="0.2">
      <c r="A12" s="334">
        <v>3.2</v>
      </c>
      <c r="B12" s="290">
        <v>43965</v>
      </c>
      <c r="C12" s="289" t="s">
        <v>5</v>
      </c>
      <c r="D12" s="292" t="s">
        <v>1209</v>
      </c>
      <c r="E12" s="292"/>
    </row>
    <row r="13" spans="1:5" s="67" customFormat="1" ht="42.75" x14ac:dyDescent="0.2">
      <c r="A13" s="334">
        <v>3.1</v>
      </c>
      <c r="B13" s="290">
        <v>43964</v>
      </c>
      <c r="C13" s="289" t="s">
        <v>5</v>
      </c>
      <c r="D13" s="292" t="s">
        <v>1204</v>
      </c>
      <c r="E13" s="292"/>
    </row>
    <row r="14" spans="1:5" s="67" customFormat="1" ht="99.75" x14ac:dyDescent="0.2">
      <c r="A14" s="334">
        <v>3</v>
      </c>
      <c r="B14" s="290">
        <v>43963</v>
      </c>
      <c r="C14" s="289" t="s">
        <v>5</v>
      </c>
      <c r="D14" s="292" t="s">
        <v>1200</v>
      </c>
      <c r="E14" s="292" t="s">
        <v>1201</v>
      </c>
    </row>
    <row r="15" spans="1:5" s="67" customFormat="1" ht="72" x14ac:dyDescent="0.25">
      <c r="A15" s="289">
        <v>2.13</v>
      </c>
      <c r="B15" s="290">
        <v>43903</v>
      </c>
      <c r="C15" s="289" t="s">
        <v>5</v>
      </c>
      <c r="D15" s="292" t="s">
        <v>1172</v>
      </c>
      <c r="E15" s="285"/>
    </row>
    <row r="16" spans="1:5" s="67" customFormat="1" ht="29.25" x14ac:dyDescent="0.25">
      <c r="A16" s="289">
        <v>2.12</v>
      </c>
      <c r="B16" s="290">
        <v>43887</v>
      </c>
      <c r="C16" s="289" t="s">
        <v>276</v>
      </c>
      <c r="D16" s="292" t="s">
        <v>1173</v>
      </c>
      <c r="E16" s="285"/>
    </row>
    <row r="17" spans="1:5" s="67" customFormat="1" ht="57" x14ac:dyDescent="0.2">
      <c r="A17" s="289">
        <v>2.11</v>
      </c>
      <c r="B17" s="290">
        <v>43846</v>
      </c>
      <c r="C17" s="292" t="s">
        <v>1164</v>
      </c>
      <c r="D17" s="292" t="s">
        <v>1171</v>
      </c>
      <c r="E17" s="292" t="s">
        <v>1169</v>
      </c>
    </row>
    <row r="18" spans="1:5" s="67" customFormat="1" ht="43.5" x14ac:dyDescent="0.25">
      <c r="A18" s="327">
        <v>2.1</v>
      </c>
      <c r="B18" s="290">
        <v>43756</v>
      </c>
      <c r="C18" s="289" t="s">
        <v>276</v>
      </c>
      <c r="D18" s="292" t="s">
        <v>1168</v>
      </c>
      <c r="E18" s="285"/>
    </row>
    <row r="19" spans="1:5" s="67" customFormat="1" ht="57.75" x14ac:dyDescent="0.25">
      <c r="A19" s="289">
        <v>2.02</v>
      </c>
      <c r="B19" s="290">
        <v>43718</v>
      </c>
      <c r="C19" s="289" t="s">
        <v>5</v>
      </c>
      <c r="D19" s="292" t="s">
        <v>1167</v>
      </c>
      <c r="E19" s="285"/>
    </row>
    <row r="20" spans="1:5" s="67" customFormat="1" ht="57.75" x14ac:dyDescent="0.25">
      <c r="A20" s="289">
        <v>2.0099999999999998</v>
      </c>
      <c r="B20" s="290">
        <v>43693</v>
      </c>
      <c r="C20" s="289" t="s">
        <v>1106</v>
      </c>
      <c r="D20" s="292" t="s">
        <v>1166</v>
      </c>
      <c r="E20" s="285"/>
    </row>
    <row r="21" spans="1:5" s="67" customFormat="1" ht="100.5" x14ac:dyDescent="0.25">
      <c r="A21" s="323">
        <v>2</v>
      </c>
      <c r="B21" s="313">
        <v>43665</v>
      </c>
      <c r="C21" s="292" t="s">
        <v>1164</v>
      </c>
      <c r="D21" s="292" t="s">
        <v>1165</v>
      </c>
      <c r="E21" s="285"/>
    </row>
    <row r="22" spans="1:5" s="67" customFormat="1" ht="257.25" x14ac:dyDescent="0.25">
      <c r="A22" s="285">
        <v>1.05</v>
      </c>
      <c r="B22" s="313">
        <v>43570</v>
      </c>
      <c r="C22" s="292" t="s">
        <v>1163</v>
      </c>
      <c r="D22" s="292" t="s">
        <v>1158</v>
      </c>
      <c r="E22" s="315" t="s">
        <v>1157</v>
      </c>
    </row>
    <row r="23" spans="1:5" s="67" customFormat="1" ht="85.5" x14ac:dyDescent="0.2">
      <c r="A23" s="289">
        <v>1.04</v>
      </c>
      <c r="B23" s="290">
        <v>43516</v>
      </c>
      <c r="C23" s="289" t="s">
        <v>1106</v>
      </c>
      <c r="D23" s="292" t="s">
        <v>1109</v>
      </c>
      <c r="E23" s="292"/>
    </row>
    <row r="24" spans="1:5" s="67" customFormat="1" ht="128.25" x14ac:dyDescent="0.2">
      <c r="A24" s="289" t="s">
        <v>1105</v>
      </c>
      <c r="B24" s="290">
        <v>43486</v>
      </c>
      <c r="C24" s="289" t="s">
        <v>1106</v>
      </c>
      <c r="D24" s="292" t="s">
        <v>1107</v>
      </c>
      <c r="E24" s="292" t="s">
        <v>1108</v>
      </c>
    </row>
    <row r="25" spans="1:5" s="291" customFormat="1" ht="171" x14ac:dyDescent="0.2">
      <c r="A25" s="289" t="s">
        <v>1105</v>
      </c>
      <c r="B25" s="290">
        <v>43395</v>
      </c>
      <c r="C25" s="289" t="s">
        <v>5</v>
      </c>
      <c r="D25" s="292" t="s">
        <v>1104</v>
      </c>
      <c r="E25" s="292" t="s">
        <v>1103</v>
      </c>
    </row>
    <row r="26" spans="1:5" s="291" customFormat="1" ht="171" x14ac:dyDescent="0.2">
      <c r="A26" s="289">
        <v>1.03</v>
      </c>
      <c r="B26" s="290">
        <v>43319</v>
      </c>
      <c r="C26" s="289" t="s">
        <v>5</v>
      </c>
      <c r="D26" s="292" t="s">
        <v>1102</v>
      </c>
      <c r="E26" s="289"/>
    </row>
    <row r="27" spans="1:5" ht="409.5" x14ac:dyDescent="0.2">
      <c r="A27" s="286">
        <v>1.02</v>
      </c>
      <c r="B27" s="287">
        <v>43292</v>
      </c>
      <c r="C27" s="286" t="s">
        <v>5</v>
      </c>
      <c r="D27" s="288" t="s">
        <v>1101</v>
      </c>
      <c r="E27" s="288" t="s">
        <v>942</v>
      </c>
    </row>
    <row r="28" spans="1:5" ht="42.75" x14ac:dyDescent="0.2">
      <c r="A28" s="286" t="s">
        <v>930</v>
      </c>
      <c r="B28" s="287">
        <v>43291</v>
      </c>
      <c r="C28" s="286" t="s">
        <v>5</v>
      </c>
      <c r="D28" s="288" t="s">
        <v>931</v>
      </c>
      <c r="E28" s="286"/>
    </row>
    <row r="29" spans="1:5" ht="156.75" x14ac:dyDescent="0.2">
      <c r="A29" s="286" t="s">
        <v>879</v>
      </c>
      <c r="B29" s="287">
        <v>43255</v>
      </c>
      <c r="C29" s="286" t="s">
        <v>5</v>
      </c>
      <c r="D29" s="288" t="s">
        <v>880</v>
      </c>
      <c r="E29" s="286"/>
    </row>
    <row r="30" spans="1:5" ht="42.75" x14ac:dyDescent="0.2">
      <c r="A30" s="286" t="s">
        <v>872</v>
      </c>
      <c r="B30" s="287">
        <v>43247</v>
      </c>
      <c r="C30" s="286" t="s">
        <v>5</v>
      </c>
      <c r="D30" s="288" t="s">
        <v>873</v>
      </c>
      <c r="E30" s="286"/>
    </row>
    <row r="31" spans="1:5" ht="142.5" x14ac:dyDescent="0.2">
      <c r="A31" s="286">
        <v>0.4</v>
      </c>
      <c r="B31" s="287">
        <v>43229</v>
      </c>
      <c r="C31" s="286" t="s">
        <v>5</v>
      </c>
      <c r="D31" s="288" t="s">
        <v>491</v>
      </c>
      <c r="E31" s="288" t="s">
        <v>492</v>
      </c>
    </row>
    <row r="32" spans="1:5" ht="114" x14ac:dyDescent="0.2">
      <c r="A32" s="286" t="s">
        <v>324</v>
      </c>
      <c r="B32" s="287">
        <v>43206</v>
      </c>
      <c r="C32" s="286" t="s">
        <v>5</v>
      </c>
      <c r="D32" s="288" t="s">
        <v>325</v>
      </c>
      <c r="E32" s="288" t="s">
        <v>339</v>
      </c>
    </row>
    <row r="33" spans="1:5" ht="57" x14ac:dyDescent="0.2">
      <c r="A33" s="286" t="s">
        <v>300</v>
      </c>
      <c r="B33" s="287">
        <v>43185</v>
      </c>
      <c r="C33" s="286" t="s">
        <v>5</v>
      </c>
      <c r="D33" s="286"/>
      <c r="E33" s="288" t="s">
        <v>301</v>
      </c>
    </row>
    <row r="34" spans="1:5" ht="71.25" x14ac:dyDescent="0.2">
      <c r="A34" s="286" t="s">
        <v>298</v>
      </c>
      <c r="B34" s="287">
        <v>43178</v>
      </c>
      <c r="C34" s="286" t="s">
        <v>276</v>
      </c>
      <c r="D34" s="288" t="s">
        <v>299</v>
      </c>
      <c r="E34" s="286"/>
    </row>
    <row r="35" spans="1:5" ht="128.25" x14ac:dyDescent="0.2">
      <c r="A35" s="286" t="s">
        <v>288</v>
      </c>
      <c r="B35" s="287">
        <v>43172</v>
      </c>
      <c r="C35" s="286" t="s">
        <v>5</v>
      </c>
      <c r="D35" s="288" t="s">
        <v>289</v>
      </c>
      <c r="E35" s="288" t="s">
        <v>291</v>
      </c>
    </row>
    <row r="36" spans="1:5" ht="57" x14ac:dyDescent="0.2">
      <c r="A36" s="286" t="s">
        <v>275</v>
      </c>
      <c r="B36" s="287">
        <v>43167</v>
      </c>
      <c r="C36" s="286" t="s">
        <v>276</v>
      </c>
      <c r="D36" s="286" t="s">
        <v>277</v>
      </c>
      <c r="E36" s="288" t="s">
        <v>282</v>
      </c>
    </row>
    <row r="37" spans="1:5" x14ac:dyDescent="0.2">
      <c r="A37" s="286"/>
      <c r="B37" s="287">
        <v>43147</v>
      </c>
      <c r="C37" s="286" t="s">
        <v>5</v>
      </c>
      <c r="D37" s="286" t="s">
        <v>127</v>
      </c>
      <c r="E37" s="286"/>
    </row>
    <row r="38" spans="1:5" ht="99.75" x14ac:dyDescent="0.2">
      <c r="A38" s="286" t="s">
        <v>9</v>
      </c>
      <c r="B38" s="287">
        <v>43130</v>
      </c>
      <c r="C38" s="286" t="s">
        <v>5</v>
      </c>
      <c r="D38" s="288" t="s">
        <v>10</v>
      </c>
      <c r="E38" s="288" t="s">
        <v>12</v>
      </c>
    </row>
    <row r="39" spans="1:5" x14ac:dyDescent="0.2">
      <c r="A39" s="286" t="s">
        <v>7</v>
      </c>
      <c r="B39" s="287">
        <v>43068</v>
      </c>
      <c r="C39" s="286" t="s">
        <v>5</v>
      </c>
      <c r="D39" s="286" t="s">
        <v>8</v>
      </c>
      <c r="E39" s="286"/>
    </row>
    <row r="40" spans="1:5" x14ac:dyDescent="0.2">
      <c r="A40" s="286" t="s">
        <v>4</v>
      </c>
      <c r="B40" s="287">
        <v>42852</v>
      </c>
      <c r="C40" s="286" t="s">
        <v>5</v>
      </c>
      <c r="D40" s="286" t="s">
        <v>6</v>
      </c>
      <c r="E40" s="286"/>
    </row>
  </sheetData>
  <sheetProtection algorithmName="SHA-512" hashValue="JYlmZukeFHhlclmUzgnKQ38ED+h35vsrdyHHKegx5FkGz5Ikja13YdLYLeK7W4pbfrddiC1sZySzy1FDekzVQw==" saltValue="hjaeIx8mDBG1AYZgxxG+6A==" spinCount="100000" sheet="1" objects="1" scenarios="1"/>
  <sortState xmlns:xlrd2="http://schemas.microsoft.com/office/spreadsheetml/2017/richdata2" ref="A23:E36">
    <sortCondition descending="1" ref="B23:B36"/>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7" hidden="1" customWidth="1"/>
    <col min="2" max="2" width="27.5" customWidth="1"/>
    <col min="3" max="3" width="7.625" customWidth="1"/>
    <col min="4" max="4" width="23.25" customWidth="1"/>
  </cols>
  <sheetData>
    <row r="1" spans="1:18" x14ac:dyDescent="0.2">
      <c r="B1" t="s">
        <v>523</v>
      </c>
    </row>
    <row r="3" spans="1:18" x14ac:dyDescent="0.2">
      <c r="B3" t="s">
        <v>524</v>
      </c>
    </row>
    <row r="4" spans="1:18" x14ac:dyDescent="0.2">
      <c r="B4" t="s">
        <v>525</v>
      </c>
    </row>
    <row r="7" spans="1:18" ht="15" x14ac:dyDescent="0.25">
      <c r="B7" s="2" t="s">
        <v>945</v>
      </c>
      <c r="K7" s="2" t="s">
        <v>1100</v>
      </c>
    </row>
    <row r="9" spans="1:18" ht="15" x14ac:dyDescent="0.25">
      <c r="A9" s="67">
        <f>COUNTA(B10:B1048576)</f>
        <v>236</v>
      </c>
      <c r="B9" s="2" t="s">
        <v>526</v>
      </c>
      <c r="C9" s="2"/>
      <c r="D9" s="2" t="s">
        <v>527</v>
      </c>
      <c r="K9" s="2" t="s">
        <v>1098</v>
      </c>
      <c r="R9" s="2" t="s">
        <v>1099</v>
      </c>
    </row>
    <row r="10" spans="1:18" x14ac:dyDescent="0.2">
      <c r="A10" s="67">
        <f>COUNTA(D10:D1048576)</f>
        <v>79</v>
      </c>
      <c r="B10" s="67" t="s">
        <v>557</v>
      </c>
      <c r="D10" s="67" t="s">
        <v>827</v>
      </c>
      <c r="K10" t="s">
        <v>946</v>
      </c>
      <c r="R10" t="s">
        <v>827</v>
      </c>
    </row>
    <row r="11" spans="1:18" x14ac:dyDescent="0.2">
      <c r="B11" s="67" t="s">
        <v>558</v>
      </c>
      <c r="D11" s="67" t="s">
        <v>853</v>
      </c>
      <c r="K11" t="s">
        <v>947</v>
      </c>
      <c r="R11" t="s">
        <v>853</v>
      </c>
    </row>
    <row r="12" spans="1:18" x14ac:dyDescent="0.2">
      <c r="B12" s="67" t="s">
        <v>559</v>
      </c>
      <c r="D12" s="67" t="s">
        <v>811</v>
      </c>
      <c r="K12" t="s">
        <v>948</v>
      </c>
      <c r="R12" t="s">
        <v>811</v>
      </c>
    </row>
    <row r="13" spans="1:18" x14ac:dyDescent="0.2">
      <c r="B13" s="67" t="s">
        <v>560</v>
      </c>
      <c r="D13" s="67" t="s">
        <v>819</v>
      </c>
      <c r="K13" t="s">
        <v>949</v>
      </c>
      <c r="R13" t="s">
        <v>819</v>
      </c>
    </row>
    <row r="14" spans="1:18" x14ac:dyDescent="0.2">
      <c r="B14" s="67" t="s">
        <v>561</v>
      </c>
      <c r="D14" s="67" t="s">
        <v>861</v>
      </c>
      <c r="K14" t="s">
        <v>950</v>
      </c>
      <c r="R14" t="s">
        <v>861</v>
      </c>
    </row>
    <row r="15" spans="1:18" x14ac:dyDescent="0.2">
      <c r="B15" s="67" t="s">
        <v>562</v>
      </c>
      <c r="D15" s="67" t="s">
        <v>824</v>
      </c>
      <c r="K15" t="s">
        <v>951</v>
      </c>
      <c r="R15" t="s">
        <v>824</v>
      </c>
    </row>
    <row r="16" spans="1:18" x14ac:dyDescent="0.2">
      <c r="B16" s="67" t="s">
        <v>563</v>
      </c>
      <c r="D16" s="67" t="s">
        <v>809</v>
      </c>
      <c r="K16" t="s">
        <v>952</v>
      </c>
      <c r="R16" t="s">
        <v>809</v>
      </c>
    </row>
    <row r="17" spans="2:18" x14ac:dyDescent="0.2">
      <c r="B17" s="67" t="s">
        <v>564</v>
      </c>
      <c r="D17" s="67" t="s">
        <v>862</v>
      </c>
      <c r="K17" t="s">
        <v>953</v>
      </c>
      <c r="R17" t="s">
        <v>862</v>
      </c>
    </row>
    <row r="18" spans="2:18" x14ac:dyDescent="0.2">
      <c r="B18" s="67" t="s">
        <v>565</v>
      </c>
      <c r="D18" s="67" t="s">
        <v>854</v>
      </c>
      <c r="K18" t="s">
        <v>954</v>
      </c>
      <c r="R18" t="s">
        <v>854</v>
      </c>
    </row>
    <row r="19" spans="2:18" x14ac:dyDescent="0.2">
      <c r="B19" s="67" t="s">
        <v>566</v>
      </c>
      <c r="D19" s="67" t="s">
        <v>820</v>
      </c>
      <c r="K19" t="s">
        <v>955</v>
      </c>
      <c r="R19" t="s">
        <v>820</v>
      </c>
    </row>
    <row r="20" spans="2:18" x14ac:dyDescent="0.2">
      <c r="B20" s="67" t="s">
        <v>567</v>
      </c>
      <c r="D20" s="67" t="s">
        <v>816</v>
      </c>
      <c r="K20" t="s">
        <v>956</v>
      </c>
      <c r="R20" t="s">
        <v>816</v>
      </c>
    </row>
    <row r="21" spans="2:18" x14ac:dyDescent="0.2">
      <c r="B21" s="67" t="s">
        <v>568</v>
      </c>
      <c r="D21" s="67" t="s">
        <v>821</v>
      </c>
      <c r="K21" t="s">
        <v>957</v>
      </c>
      <c r="R21" t="s">
        <v>821</v>
      </c>
    </row>
    <row r="22" spans="2:18" x14ac:dyDescent="0.2">
      <c r="B22" s="67" t="s">
        <v>569</v>
      </c>
      <c r="D22" s="67" t="s">
        <v>837</v>
      </c>
      <c r="K22" t="s">
        <v>958</v>
      </c>
      <c r="R22" t="s">
        <v>837</v>
      </c>
    </row>
    <row r="23" spans="2:18" x14ac:dyDescent="0.2">
      <c r="B23" s="67" t="s">
        <v>570</v>
      </c>
      <c r="D23" s="67" t="s">
        <v>858</v>
      </c>
      <c r="K23" t="s">
        <v>959</v>
      </c>
      <c r="R23" t="s">
        <v>858</v>
      </c>
    </row>
    <row r="24" spans="2:18" x14ac:dyDescent="0.2">
      <c r="B24" s="67" t="s">
        <v>571</v>
      </c>
      <c r="D24" s="67" t="s">
        <v>818</v>
      </c>
      <c r="K24" t="s">
        <v>960</v>
      </c>
      <c r="R24" t="s">
        <v>818</v>
      </c>
    </row>
    <row r="25" spans="2:18" x14ac:dyDescent="0.2">
      <c r="B25" s="67" t="s">
        <v>572</v>
      </c>
      <c r="D25" s="67" t="s">
        <v>817</v>
      </c>
      <c r="K25" t="s">
        <v>961</v>
      </c>
      <c r="R25" t="s">
        <v>817</v>
      </c>
    </row>
    <row r="26" spans="2:18" x14ac:dyDescent="0.2">
      <c r="B26" s="67" t="s">
        <v>573</v>
      </c>
      <c r="D26" s="67" t="s">
        <v>871</v>
      </c>
      <c r="K26" t="s">
        <v>962</v>
      </c>
      <c r="R26" t="s">
        <v>871</v>
      </c>
    </row>
    <row r="27" spans="2:18" x14ac:dyDescent="0.2">
      <c r="B27" s="67" t="s">
        <v>574</v>
      </c>
      <c r="D27" s="67" t="s">
        <v>869</v>
      </c>
      <c r="K27" t="s">
        <v>963</v>
      </c>
      <c r="R27" t="s">
        <v>869</v>
      </c>
    </row>
    <row r="28" spans="2:18" x14ac:dyDescent="0.2">
      <c r="B28" s="67" t="s">
        <v>575</v>
      </c>
      <c r="D28" s="67" t="s">
        <v>848</v>
      </c>
      <c r="K28" t="s">
        <v>964</v>
      </c>
      <c r="R28" t="s">
        <v>848</v>
      </c>
    </row>
    <row r="29" spans="2:18" x14ac:dyDescent="0.2">
      <c r="B29" s="67" t="s">
        <v>576</v>
      </c>
      <c r="D29" s="67" t="s">
        <v>812</v>
      </c>
      <c r="K29" t="s">
        <v>965</v>
      </c>
      <c r="R29" t="s">
        <v>812</v>
      </c>
    </row>
    <row r="30" spans="2:18" x14ac:dyDescent="0.2">
      <c r="B30" s="67" t="s">
        <v>577</v>
      </c>
      <c r="D30" s="67" t="s">
        <v>842</v>
      </c>
      <c r="K30" t="s">
        <v>966</v>
      </c>
      <c r="R30" t="s">
        <v>842</v>
      </c>
    </row>
    <row r="31" spans="2:18" x14ac:dyDescent="0.2">
      <c r="B31" s="67" t="s">
        <v>578</v>
      </c>
      <c r="D31" s="67" t="s">
        <v>828</v>
      </c>
      <c r="K31" t="s">
        <v>967</v>
      </c>
      <c r="R31" t="s">
        <v>828</v>
      </c>
    </row>
    <row r="32" spans="2:18" x14ac:dyDescent="0.2">
      <c r="B32" s="67" t="s">
        <v>579</v>
      </c>
      <c r="D32" s="67" t="s">
        <v>815</v>
      </c>
      <c r="K32" t="s">
        <v>968</v>
      </c>
      <c r="R32" t="s">
        <v>815</v>
      </c>
    </row>
    <row r="33" spans="2:18" x14ac:dyDescent="0.2">
      <c r="B33" s="67" t="s">
        <v>580</v>
      </c>
      <c r="D33" s="67" t="s">
        <v>803</v>
      </c>
      <c r="K33" t="s">
        <v>969</v>
      </c>
      <c r="R33" t="s">
        <v>803</v>
      </c>
    </row>
    <row r="34" spans="2:18" x14ac:dyDescent="0.2">
      <c r="B34" s="67" t="s">
        <v>581</v>
      </c>
      <c r="D34" s="67" t="s">
        <v>796</v>
      </c>
      <c r="K34" t="s">
        <v>970</v>
      </c>
      <c r="R34" t="s">
        <v>796</v>
      </c>
    </row>
    <row r="35" spans="2:18" x14ac:dyDescent="0.2">
      <c r="B35" s="67" t="s">
        <v>582</v>
      </c>
      <c r="D35" s="67" t="s">
        <v>855</v>
      </c>
      <c r="K35" t="s">
        <v>971</v>
      </c>
      <c r="R35" t="s">
        <v>855</v>
      </c>
    </row>
    <row r="36" spans="2:18" x14ac:dyDescent="0.2">
      <c r="B36" s="67" t="s">
        <v>583</v>
      </c>
      <c r="D36" s="67" t="s">
        <v>814</v>
      </c>
      <c r="K36" t="s">
        <v>972</v>
      </c>
      <c r="R36" t="s">
        <v>814</v>
      </c>
    </row>
    <row r="37" spans="2:18" x14ac:dyDescent="0.2">
      <c r="B37" s="67" t="s">
        <v>584</v>
      </c>
      <c r="D37" s="67" t="s">
        <v>851</v>
      </c>
      <c r="K37" t="s">
        <v>973</v>
      </c>
      <c r="R37" t="s">
        <v>851</v>
      </c>
    </row>
    <row r="38" spans="2:18" x14ac:dyDescent="0.2">
      <c r="B38" s="67" t="s">
        <v>585</v>
      </c>
      <c r="D38" s="67" t="s">
        <v>850</v>
      </c>
      <c r="K38" t="s">
        <v>974</v>
      </c>
      <c r="R38" t="s">
        <v>850</v>
      </c>
    </row>
    <row r="39" spans="2:18" x14ac:dyDescent="0.2">
      <c r="B39" s="67" t="s">
        <v>586</v>
      </c>
      <c r="D39" s="67" t="s">
        <v>813</v>
      </c>
      <c r="K39" t="s">
        <v>975</v>
      </c>
      <c r="R39" t="s">
        <v>813</v>
      </c>
    </row>
    <row r="40" spans="2:18" x14ac:dyDescent="0.2">
      <c r="B40" s="67" t="s">
        <v>587</v>
      </c>
      <c r="D40" t="s">
        <v>860</v>
      </c>
      <c r="K40" t="s">
        <v>976</v>
      </c>
      <c r="R40" t="s">
        <v>860</v>
      </c>
    </row>
    <row r="41" spans="2:18" x14ac:dyDescent="0.2">
      <c r="B41" s="67" t="s">
        <v>588</v>
      </c>
      <c r="D41" t="s">
        <v>793</v>
      </c>
      <c r="K41" t="s">
        <v>977</v>
      </c>
      <c r="R41" t="s">
        <v>793</v>
      </c>
    </row>
    <row r="42" spans="2:18" x14ac:dyDescent="0.2">
      <c r="B42" s="67" t="s">
        <v>589</v>
      </c>
      <c r="D42" t="s">
        <v>832</v>
      </c>
      <c r="K42" t="s">
        <v>978</v>
      </c>
      <c r="R42" t="s">
        <v>832</v>
      </c>
    </row>
    <row r="43" spans="2:18" x14ac:dyDescent="0.2">
      <c r="B43" s="67" t="s">
        <v>590</v>
      </c>
      <c r="D43" t="s">
        <v>841</v>
      </c>
      <c r="K43" t="s">
        <v>979</v>
      </c>
      <c r="R43" t="s">
        <v>841</v>
      </c>
    </row>
    <row r="44" spans="2:18" x14ac:dyDescent="0.2">
      <c r="B44" s="67" t="s">
        <v>591</v>
      </c>
      <c r="D44" t="s">
        <v>847</v>
      </c>
      <c r="K44" t="s">
        <v>980</v>
      </c>
      <c r="R44" t="s">
        <v>847</v>
      </c>
    </row>
    <row r="45" spans="2:18" x14ac:dyDescent="0.2">
      <c r="B45" s="67" t="s">
        <v>592</v>
      </c>
      <c r="D45" t="s">
        <v>863</v>
      </c>
      <c r="K45" t="s">
        <v>981</v>
      </c>
      <c r="R45" t="s">
        <v>863</v>
      </c>
    </row>
    <row r="46" spans="2:18" x14ac:dyDescent="0.2">
      <c r="B46" s="67" t="s">
        <v>593</v>
      </c>
      <c r="D46" t="s">
        <v>864</v>
      </c>
      <c r="K46" t="s">
        <v>982</v>
      </c>
      <c r="R46" t="s">
        <v>864</v>
      </c>
    </row>
    <row r="47" spans="2:18" x14ac:dyDescent="0.2">
      <c r="B47" s="67" t="s">
        <v>594</v>
      </c>
      <c r="D47" t="s">
        <v>865</v>
      </c>
      <c r="K47" t="s">
        <v>983</v>
      </c>
      <c r="R47" t="s">
        <v>865</v>
      </c>
    </row>
    <row r="48" spans="2:18" x14ac:dyDescent="0.2">
      <c r="B48" s="67" t="s">
        <v>595</v>
      </c>
      <c r="D48" t="s">
        <v>830</v>
      </c>
      <c r="K48" t="s">
        <v>984</v>
      </c>
      <c r="R48" t="s">
        <v>830</v>
      </c>
    </row>
    <row r="49" spans="2:18" x14ac:dyDescent="0.2">
      <c r="B49" s="67" t="s">
        <v>596</v>
      </c>
      <c r="D49" t="s">
        <v>852</v>
      </c>
      <c r="K49" t="s">
        <v>985</v>
      </c>
      <c r="R49" t="s">
        <v>852</v>
      </c>
    </row>
    <row r="50" spans="2:18" x14ac:dyDescent="0.2">
      <c r="B50" s="67" t="s">
        <v>597</v>
      </c>
      <c r="D50" t="s">
        <v>867</v>
      </c>
      <c r="K50" t="s">
        <v>986</v>
      </c>
      <c r="R50" t="s">
        <v>867</v>
      </c>
    </row>
    <row r="51" spans="2:18" x14ac:dyDescent="0.2">
      <c r="B51" s="67" t="s">
        <v>598</v>
      </c>
      <c r="D51" t="s">
        <v>866</v>
      </c>
      <c r="K51" t="s">
        <v>987</v>
      </c>
      <c r="R51" t="s">
        <v>866</v>
      </c>
    </row>
    <row r="52" spans="2:18" x14ac:dyDescent="0.2">
      <c r="B52" s="67" t="s">
        <v>599</v>
      </c>
      <c r="D52" t="s">
        <v>834</v>
      </c>
      <c r="K52" t="s">
        <v>988</v>
      </c>
      <c r="R52" t="s">
        <v>834</v>
      </c>
    </row>
    <row r="53" spans="2:18" x14ac:dyDescent="0.2">
      <c r="B53" s="67" t="s">
        <v>600</v>
      </c>
      <c r="D53" t="s">
        <v>844</v>
      </c>
      <c r="K53" t="s">
        <v>989</v>
      </c>
      <c r="R53" t="s">
        <v>844</v>
      </c>
    </row>
    <row r="54" spans="2:18" x14ac:dyDescent="0.2">
      <c r="B54" s="67" t="s">
        <v>601</v>
      </c>
      <c r="D54" t="s">
        <v>868</v>
      </c>
      <c r="K54" t="s">
        <v>990</v>
      </c>
      <c r="R54" t="s">
        <v>868</v>
      </c>
    </row>
    <row r="55" spans="2:18" x14ac:dyDescent="0.2">
      <c r="B55" s="67" t="s">
        <v>602</v>
      </c>
      <c r="D55" t="s">
        <v>849</v>
      </c>
      <c r="K55" t="s">
        <v>991</v>
      </c>
      <c r="R55" t="s">
        <v>849</v>
      </c>
    </row>
    <row r="56" spans="2:18" x14ac:dyDescent="0.2">
      <c r="B56" s="67" t="s">
        <v>603</v>
      </c>
      <c r="D56" t="s">
        <v>833</v>
      </c>
      <c r="K56" t="s">
        <v>992</v>
      </c>
      <c r="R56" t="s">
        <v>833</v>
      </c>
    </row>
    <row r="57" spans="2:18" x14ac:dyDescent="0.2">
      <c r="B57" s="67" t="s">
        <v>604</v>
      </c>
      <c r="D57" t="s">
        <v>836</v>
      </c>
      <c r="K57" t="s">
        <v>993</v>
      </c>
      <c r="R57" t="s">
        <v>836</v>
      </c>
    </row>
    <row r="58" spans="2:18" x14ac:dyDescent="0.2">
      <c r="B58" s="67" t="s">
        <v>605</v>
      </c>
      <c r="D58" t="s">
        <v>807</v>
      </c>
      <c r="K58" t="s">
        <v>994</v>
      </c>
      <c r="R58" t="s">
        <v>807</v>
      </c>
    </row>
    <row r="59" spans="2:18" x14ac:dyDescent="0.2">
      <c r="B59" s="67" t="s">
        <v>606</v>
      </c>
      <c r="D59" t="s">
        <v>835</v>
      </c>
      <c r="K59" t="s">
        <v>995</v>
      </c>
      <c r="R59" t="s">
        <v>835</v>
      </c>
    </row>
    <row r="60" spans="2:18" x14ac:dyDescent="0.2">
      <c r="B60" s="67" t="s">
        <v>607</v>
      </c>
      <c r="D60" t="s">
        <v>846</v>
      </c>
      <c r="K60" t="s">
        <v>996</v>
      </c>
      <c r="R60" t="s">
        <v>846</v>
      </c>
    </row>
    <row r="61" spans="2:18" x14ac:dyDescent="0.2">
      <c r="B61" s="67" t="s">
        <v>608</v>
      </c>
      <c r="D61" t="s">
        <v>845</v>
      </c>
      <c r="K61" t="s">
        <v>997</v>
      </c>
      <c r="R61" t="s">
        <v>845</v>
      </c>
    </row>
    <row r="62" spans="2:18" x14ac:dyDescent="0.2">
      <c r="B62" s="67" t="s">
        <v>609</v>
      </c>
      <c r="D62" t="s">
        <v>870</v>
      </c>
      <c r="K62" t="s">
        <v>998</v>
      </c>
      <c r="R62" t="s">
        <v>870</v>
      </c>
    </row>
    <row r="63" spans="2:18" x14ac:dyDescent="0.2">
      <c r="B63" s="67" t="s">
        <v>610</v>
      </c>
      <c r="D63" t="s">
        <v>857</v>
      </c>
      <c r="K63" t="s">
        <v>999</v>
      </c>
      <c r="R63" t="s">
        <v>857</v>
      </c>
    </row>
    <row r="64" spans="2:18" x14ac:dyDescent="0.2">
      <c r="B64" s="67" t="s">
        <v>611</v>
      </c>
      <c r="D64" t="s">
        <v>797</v>
      </c>
      <c r="K64" t="s">
        <v>1000</v>
      </c>
      <c r="R64" t="s">
        <v>797</v>
      </c>
    </row>
    <row r="65" spans="2:18" x14ac:dyDescent="0.2">
      <c r="B65" s="67" t="s">
        <v>612</v>
      </c>
      <c r="D65" t="s">
        <v>802</v>
      </c>
      <c r="K65" t="s">
        <v>1001</v>
      </c>
      <c r="R65" t="s">
        <v>802</v>
      </c>
    </row>
    <row r="66" spans="2:18" x14ac:dyDescent="0.2">
      <c r="B66" s="67" t="s">
        <v>613</v>
      </c>
      <c r="D66" t="s">
        <v>798</v>
      </c>
      <c r="K66" t="s">
        <v>1002</v>
      </c>
      <c r="R66" t="s">
        <v>798</v>
      </c>
    </row>
    <row r="67" spans="2:18" x14ac:dyDescent="0.2">
      <c r="B67" s="67" t="s">
        <v>614</v>
      </c>
      <c r="D67" t="s">
        <v>801</v>
      </c>
      <c r="K67" t="s">
        <v>1003</v>
      </c>
      <c r="R67" t="s">
        <v>801</v>
      </c>
    </row>
    <row r="68" spans="2:18" x14ac:dyDescent="0.2">
      <c r="B68" s="67" t="s">
        <v>615</v>
      </c>
      <c r="D68" t="s">
        <v>825</v>
      </c>
      <c r="K68" t="s">
        <v>1004</v>
      </c>
      <c r="R68" t="s">
        <v>825</v>
      </c>
    </row>
    <row r="69" spans="2:18" x14ac:dyDescent="0.2">
      <c r="B69" s="67" t="s">
        <v>616</v>
      </c>
      <c r="D69" t="s">
        <v>800</v>
      </c>
      <c r="K69" t="s">
        <v>1005</v>
      </c>
      <c r="R69" t="s">
        <v>800</v>
      </c>
    </row>
    <row r="70" spans="2:18" x14ac:dyDescent="0.2">
      <c r="B70" s="67" t="s">
        <v>617</v>
      </c>
      <c r="D70" t="s">
        <v>840</v>
      </c>
      <c r="K70" t="s">
        <v>1006</v>
      </c>
      <c r="R70" t="s">
        <v>840</v>
      </c>
    </row>
    <row r="71" spans="2:18" x14ac:dyDescent="0.2">
      <c r="B71" s="67" t="s">
        <v>618</v>
      </c>
      <c r="D71" t="s">
        <v>810</v>
      </c>
      <c r="K71" t="s">
        <v>1007</v>
      </c>
      <c r="R71" t="s">
        <v>810</v>
      </c>
    </row>
    <row r="72" spans="2:18" x14ac:dyDescent="0.2">
      <c r="B72" s="67" t="s">
        <v>619</v>
      </c>
      <c r="D72" t="s">
        <v>839</v>
      </c>
      <c r="K72" t="s">
        <v>1008</v>
      </c>
      <c r="R72" t="s">
        <v>839</v>
      </c>
    </row>
    <row r="73" spans="2:18" x14ac:dyDescent="0.2">
      <c r="B73" s="67" t="s">
        <v>620</v>
      </c>
      <c r="D73" t="s">
        <v>823</v>
      </c>
      <c r="K73" t="s">
        <v>1009</v>
      </c>
      <c r="R73" t="s">
        <v>823</v>
      </c>
    </row>
    <row r="74" spans="2:18" x14ac:dyDescent="0.2">
      <c r="B74" s="67" t="s">
        <v>621</v>
      </c>
      <c r="D74" t="s">
        <v>804</v>
      </c>
      <c r="K74" t="s">
        <v>1010</v>
      </c>
      <c r="R74" t="s">
        <v>804</v>
      </c>
    </row>
    <row r="75" spans="2:18" x14ac:dyDescent="0.2">
      <c r="B75" s="67" t="s">
        <v>622</v>
      </c>
      <c r="D75" t="s">
        <v>808</v>
      </c>
      <c r="K75" t="s">
        <v>1011</v>
      </c>
      <c r="R75" t="s">
        <v>808</v>
      </c>
    </row>
    <row r="76" spans="2:18" x14ac:dyDescent="0.2">
      <c r="B76" s="67" t="s">
        <v>623</v>
      </c>
      <c r="D76" t="s">
        <v>805</v>
      </c>
      <c r="K76" t="s">
        <v>1012</v>
      </c>
      <c r="R76" t="s">
        <v>805</v>
      </c>
    </row>
    <row r="77" spans="2:18" x14ac:dyDescent="0.2">
      <c r="B77" s="67" t="s">
        <v>624</v>
      </c>
      <c r="D77" t="s">
        <v>856</v>
      </c>
      <c r="K77" t="s">
        <v>1013</v>
      </c>
      <c r="R77" t="s">
        <v>856</v>
      </c>
    </row>
    <row r="78" spans="2:18" x14ac:dyDescent="0.2">
      <c r="B78" s="67" t="s">
        <v>625</v>
      </c>
      <c r="D78" t="s">
        <v>859</v>
      </c>
      <c r="K78" t="s">
        <v>1014</v>
      </c>
      <c r="R78" t="s">
        <v>859</v>
      </c>
    </row>
    <row r="79" spans="2:18" x14ac:dyDescent="0.2">
      <c r="B79" s="67" t="s">
        <v>626</v>
      </c>
      <c r="D79" t="s">
        <v>822</v>
      </c>
      <c r="K79" t="s">
        <v>1015</v>
      </c>
      <c r="R79" t="s">
        <v>822</v>
      </c>
    </row>
    <row r="80" spans="2:18" x14ac:dyDescent="0.2">
      <c r="B80" s="67" t="s">
        <v>627</v>
      </c>
      <c r="D80" t="s">
        <v>829</v>
      </c>
      <c r="K80" t="s">
        <v>1016</v>
      </c>
      <c r="R80" t="s">
        <v>829</v>
      </c>
    </row>
    <row r="81" spans="2:18" x14ac:dyDescent="0.2">
      <c r="B81" s="67" t="s">
        <v>628</v>
      </c>
      <c r="D81" t="s">
        <v>799</v>
      </c>
      <c r="K81" t="s">
        <v>1017</v>
      </c>
      <c r="R81" t="s">
        <v>799</v>
      </c>
    </row>
    <row r="82" spans="2:18" x14ac:dyDescent="0.2">
      <c r="B82" s="67" t="s">
        <v>629</v>
      </c>
      <c r="D82" t="s">
        <v>838</v>
      </c>
      <c r="K82" t="s">
        <v>1018</v>
      </c>
      <c r="R82" t="s">
        <v>838</v>
      </c>
    </row>
    <row r="83" spans="2:18" x14ac:dyDescent="0.2">
      <c r="B83" s="67" t="s">
        <v>630</v>
      </c>
      <c r="D83" t="s">
        <v>843</v>
      </c>
      <c r="K83" t="s">
        <v>1019</v>
      </c>
      <c r="R83" t="s">
        <v>843</v>
      </c>
    </row>
    <row r="84" spans="2:18" x14ac:dyDescent="0.2">
      <c r="B84" s="67" t="s">
        <v>631</v>
      </c>
      <c r="D84" t="s">
        <v>826</v>
      </c>
      <c r="K84" t="s">
        <v>1020</v>
      </c>
      <c r="R84" t="s">
        <v>826</v>
      </c>
    </row>
    <row r="85" spans="2:18" x14ac:dyDescent="0.2">
      <c r="B85" s="67" t="s">
        <v>632</v>
      </c>
      <c r="D85" t="s">
        <v>806</v>
      </c>
      <c r="K85" t="s">
        <v>1021</v>
      </c>
      <c r="R85" t="s">
        <v>806</v>
      </c>
    </row>
    <row r="86" spans="2:18" x14ac:dyDescent="0.2">
      <c r="B86" s="67" t="s">
        <v>633</v>
      </c>
      <c r="D86" t="s">
        <v>795</v>
      </c>
      <c r="K86" t="s">
        <v>1022</v>
      </c>
      <c r="R86" t="s">
        <v>795</v>
      </c>
    </row>
    <row r="87" spans="2:18" x14ac:dyDescent="0.2">
      <c r="B87" s="67" t="s">
        <v>634</v>
      </c>
      <c r="D87" t="s">
        <v>831</v>
      </c>
      <c r="K87" t="s">
        <v>1023</v>
      </c>
      <c r="R87" t="s">
        <v>831</v>
      </c>
    </row>
    <row r="88" spans="2:18" x14ac:dyDescent="0.2">
      <c r="B88" s="67" t="s">
        <v>635</v>
      </c>
      <c r="D88" t="s">
        <v>794</v>
      </c>
      <c r="K88" t="s">
        <v>1024</v>
      </c>
      <c r="R88" t="s">
        <v>794</v>
      </c>
    </row>
    <row r="89" spans="2:18" x14ac:dyDescent="0.2">
      <c r="B89" s="67" t="s">
        <v>636</v>
      </c>
      <c r="K89" t="s">
        <v>1025</v>
      </c>
    </row>
    <row r="90" spans="2:18" x14ac:dyDescent="0.2">
      <c r="B90" s="67" t="s">
        <v>637</v>
      </c>
      <c r="K90" t="s">
        <v>1026</v>
      </c>
    </row>
    <row r="91" spans="2:18" x14ac:dyDescent="0.2">
      <c r="B91" s="67" t="s">
        <v>638</v>
      </c>
      <c r="K91" t="s">
        <v>1027</v>
      </c>
    </row>
    <row r="92" spans="2:18" x14ac:dyDescent="0.2">
      <c r="B92" s="67" t="s">
        <v>639</v>
      </c>
      <c r="K92" t="s">
        <v>1028</v>
      </c>
    </row>
    <row r="93" spans="2:18" x14ac:dyDescent="0.2">
      <c r="B93" s="67" t="s">
        <v>640</v>
      </c>
      <c r="K93" t="s">
        <v>1029</v>
      </c>
    </row>
    <row r="94" spans="2:18" x14ac:dyDescent="0.2">
      <c r="B94" s="67" t="s">
        <v>641</v>
      </c>
      <c r="K94" t="s">
        <v>1030</v>
      </c>
    </row>
    <row r="95" spans="2:18" x14ac:dyDescent="0.2">
      <c r="B95" s="67" t="s">
        <v>642</v>
      </c>
      <c r="K95" t="s">
        <v>1031</v>
      </c>
    </row>
    <row r="96" spans="2:18" x14ac:dyDescent="0.2">
      <c r="B96" s="67" t="s">
        <v>643</v>
      </c>
      <c r="K96" t="s">
        <v>1032</v>
      </c>
    </row>
    <row r="97" spans="2:11" x14ac:dyDescent="0.2">
      <c r="B97" s="67" t="s">
        <v>644</v>
      </c>
      <c r="K97" t="s">
        <v>1033</v>
      </c>
    </row>
    <row r="98" spans="2:11" x14ac:dyDescent="0.2">
      <c r="B98" s="67" t="s">
        <v>645</v>
      </c>
      <c r="K98" t="s">
        <v>1034</v>
      </c>
    </row>
    <row r="99" spans="2:11" x14ac:dyDescent="0.2">
      <c r="B99" s="67" t="s">
        <v>646</v>
      </c>
      <c r="K99" t="s">
        <v>1035</v>
      </c>
    </row>
    <row r="100" spans="2:11" x14ac:dyDescent="0.2">
      <c r="B100" s="67" t="s">
        <v>647</v>
      </c>
      <c r="K100" t="s">
        <v>1036</v>
      </c>
    </row>
    <row r="101" spans="2:11" x14ac:dyDescent="0.2">
      <c r="B101" s="67" t="s">
        <v>648</v>
      </c>
      <c r="K101" t="s">
        <v>1037</v>
      </c>
    </row>
    <row r="102" spans="2:11" x14ac:dyDescent="0.2">
      <c r="B102" s="67" t="s">
        <v>649</v>
      </c>
      <c r="K102" t="s">
        <v>1038</v>
      </c>
    </row>
    <row r="103" spans="2:11" x14ac:dyDescent="0.2">
      <c r="B103" s="67" t="s">
        <v>650</v>
      </c>
      <c r="K103" t="s">
        <v>1039</v>
      </c>
    </row>
    <row r="104" spans="2:11" x14ac:dyDescent="0.2">
      <c r="B104" s="67" t="s">
        <v>651</v>
      </c>
      <c r="K104" t="s">
        <v>1040</v>
      </c>
    </row>
    <row r="105" spans="2:11" x14ac:dyDescent="0.2">
      <c r="B105" s="67" t="s">
        <v>652</v>
      </c>
      <c r="K105" t="s">
        <v>1041</v>
      </c>
    </row>
    <row r="106" spans="2:11" x14ac:dyDescent="0.2">
      <c r="B106" s="67" t="s">
        <v>653</v>
      </c>
      <c r="K106" t="s">
        <v>1042</v>
      </c>
    </row>
    <row r="107" spans="2:11" x14ac:dyDescent="0.2">
      <c r="B107" s="67" t="s">
        <v>654</v>
      </c>
      <c r="K107" t="s">
        <v>1043</v>
      </c>
    </row>
    <row r="108" spans="2:11" x14ac:dyDescent="0.2">
      <c r="B108" s="67" t="s">
        <v>655</v>
      </c>
      <c r="K108" t="s">
        <v>1044</v>
      </c>
    </row>
    <row r="109" spans="2:11" x14ac:dyDescent="0.2">
      <c r="B109" s="67" t="s">
        <v>656</v>
      </c>
      <c r="K109" t="s">
        <v>1045</v>
      </c>
    </row>
    <row r="110" spans="2:11" x14ac:dyDescent="0.2">
      <c r="B110" s="67" t="s">
        <v>657</v>
      </c>
      <c r="K110" t="s">
        <v>1046</v>
      </c>
    </row>
    <row r="111" spans="2:11" x14ac:dyDescent="0.2">
      <c r="B111" s="67" t="s">
        <v>658</v>
      </c>
      <c r="K111" t="s">
        <v>1047</v>
      </c>
    </row>
    <row r="112" spans="2:11" x14ac:dyDescent="0.2">
      <c r="B112" s="67" t="s">
        <v>659</v>
      </c>
      <c r="K112" t="s">
        <v>1048</v>
      </c>
    </row>
    <row r="113" spans="2:11" x14ac:dyDescent="0.2">
      <c r="B113" s="67" t="s">
        <v>660</v>
      </c>
      <c r="K113" t="s">
        <v>1049</v>
      </c>
    </row>
    <row r="114" spans="2:11" x14ac:dyDescent="0.2">
      <c r="B114" s="67" t="s">
        <v>661</v>
      </c>
      <c r="K114" t="s">
        <v>1050</v>
      </c>
    </row>
    <row r="115" spans="2:11" x14ac:dyDescent="0.2">
      <c r="B115" s="67" t="s">
        <v>662</v>
      </c>
      <c r="K115" t="s">
        <v>1051</v>
      </c>
    </row>
    <row r="116" spans="2:11" x14ac:dyDescent="0.2">
      <c r="B116" s="67" t="s">
        <v>663</v>
      </c>
      <c r="K116" t="s">
        <v>1052</v>
      </c>
    </row>
    <row r="117" spans="2:11" x14ac:dyDescent="0.2">
      <c r="B117" s="67" t="s">
        <v>664</v>
      </c>
      <c r="K117" t="s">
        <v>1053</v>
      </c>
    </row>
    <row r="118" spans="2:11" x14ac:dyDescent="0.2">
      <c r="B118" s="67" t="s">
        <v>665</v>
      </c>
      <c r="K118" t="s">
        <v>1054</v>
      </c>
    </row>
    <row r="119" spans="2:11" x14ac:dyDescent="0.2">
      <c r="B119" s="67" t="s">
        <v>666</v>
      </c>
      <c r="K119" t="s">
        <v>1055</v>
      </c>
    </row>
    <row r="120" spans="2:11" x14ac:dyDescent="0.2">
      <c r="B120" s="67" t="s">
        <v>667</v>
      </c>
      <c r="K120" t="s">
        <v>1056</v>
      </c>
    </row>
    <row r="121" spans="2:11" x14ac:dyDescent="0.2">
      <c r="B121" s="67" t="s">
        <v>668</v>
      </c>
      <c r="K121" t="s">
        <v>1057</v>
      </c>
    </row>
    <row r="122" spans="2:11" x14ac:dyDescent="0.2">
      <c r="B122" s="67" t="s">
        <v>669</v>
      </c>
      <c r="K122" t="s">
        <v>1058</v>
      </c>
    </row>
    <row r="123" spans="2:11" x14ac:dyDescent="0.2">
      <c r="B123" s="67" t="s">
        <v>670</v>
      </c>
      <c r="K123" t="s">
        <v>1059</v>
      </c>
    </row>
    <row r="124" spans="2:11" x14ac:dyDescent="0.2">
      <c r="B124" s="67" t="s">
        <v>671</v>
      </c>
      <c r="K124" t="s">
        <v>1060</v>
      </c>
    </row>
    <row r="125" spans="2:11" x14ac:dyDescent="0.2">
      <c r="B125" s="67" t="s">
        <v>672</v>
      </c>
      <c r="K125" t="s">
        <v>1061</v>
      </c>
    </row>
    <row r="126" spans="2:11" x14ac:dyDescent="0.2">
      <c r="B126" s="67" t="s">
        <v>673</v>
      </c>
      <c r="K126" t="s">
        <v>1062</v>
      </c>
    </row>
    <row r="127" spans="2:11" x14ac:dyDescent="0.2">
      <c r="B127" s="67" t="s">
        <v>674</v>
      </c>
      <c r="K127" t="s">
        <v>1063</v>
      </c>
    </row>
    <row r="128" spans="2:11" x14ac:dyDescent="0.2">
      <c r="B128" s="67" t="s">
        <v>675</v>
      </c>
      <c r="K128" t="s">
        <v>1064</v>
      </c>
    </row>
    <row r="129" spans="2:11" x14ac:dyDescent="0.2">
      <c r="B129" s="67" t="s">
        <v>676</v>
      </c>
      <c r="K129" t="s">
        <v>1065</v>
      </c>
    </row>
    <row r="130" spans="2:11" x14ac:dyDescent="0.2">
      <c r="B130" s="67" t="s">
        <v>677</v>
      </c>
      <c r="K130" t="s">
        <v>1066</v>
      </c>
    </row>
    <row r="131" spans="2:11" x14ac:dyDescent="0.2">
      <c r="B131" s="67" t="s">
        <v>678</v>
      </c>
      <c r="K131" t="s">
        <v>1067</v>
      </c>
    </row>
    <row r="132" spans="2:11" x14ac:dyDescent="0.2">
      <c r="B132" s="67" t="s">
        <v>679</v>
      </c>
      <c r="K132" t="s">
        <v>1068</v>
      </c>
    </row>
    <row r="133" spans="2:11" x14ac:dyDescent="0.2">
      <c r="B133" s="67" t="s">
        <v>680</v>
      </c>
      <c r="K133" t="s">
        <v>1069</v>
      </c>
    </row>
    <row r="134" spans="2:11" x14ac:dyDescent="0.2">
      <c r="B134" s="67" t="s">
        <v>681</v>
      </c>
      <c r="K134" t="s">
        <v>1070</v>
      </c>
    </row>
    <row r="135" spans="2:11" x14ac:dyDescent="0.2">
      <c r="B135" s="67" t="s">
        <v>682</v>
      </c>
      <c r="K135" t="s">
        <v>1071</v>
      </c>
    </row>
    <row r="136" spans="2:11" x14ac:dyDescent="0.2">
      <c r="B136" s="67" t="s">
        <v>683</v>
      </c>
      <c r="K136" t="s">
        <v>1072</v>
      </c>
    </row>
    <row r="137" spans="2:11" x14ac:dyDescent="0.2">
      <c r="B137" s="67" t="s">
        <v>684</v>
      </c>
      <c r="K137" t="s">
        <v>1073</v>
      </c>
    </row>
    <row r="138" spans="2:11" x14ac:dyDescent="0.2">
      <c r="B138" s="67" t="s">
        <v>685</v>
      </c>
      <c r="K138" t="s">
        <v>1074</v>
      </c>
    </row>
    <row r="139" spans="2:11" x14ac:dyDescent="0.2">
      <c r="B139" s="67" t="s">
        <v>686</v>
      </c>
      <c r="K139" t="s">
        <v>1075</v>
      </c>
    </row>
    <row r="140" spans="2:11" x14ac:dyDescent="0.2">
      <c r="B140" s="67" t="s">
        <v>687</v>
      </c>
      <c r="K140" t="s">
        <v>1076</v>
      </c>
    </row>
    <row r="141" spans="2:11" x14ac:dyDescent="0.2">
      <c r="B141" s="67" t="s">
        <v>688</v>
      </c>
      <c r="K141" t="s">
        <v>1077</v>
      </c>
    </row>
    <row r="142" spans="2:11" x14ac:dyDescent="0.2">
      <c r="B142" s="67" t="s">
        <v>689</v>
      </c>
      <c r="K142" t="s">
        <v>1078</v>
      </c>
    </row>
    <row r="143" spans="2:11" x14ac:dyDescent="0.2">
      <c r="B143" s="67" t="s">
        <v>690</v>
      </c>
      <c r="K143" t="s">
        <v>1079</v>
      </c>
    </row>
    <row r="144" spans="2:11" x14ac:dyDescent="0.2">
      <c r="B144" s="67" t="s">
        <v>691</v>
      </c>
      <c r="K144" t="s">
        <v>1080</v>
      </c>
    </row>
    <row r="145" spans="2:11" x14ac:dyDescent="0.2">
      <c r="B145" s="67" t="s">
        <v>692</v>
      </c>
      <c r="K145" t="s">
        <v>1081</v>
      </c>
    </row>
    <row r="146" spans="2:11" x14ac:dyDescent="0.2">
      <c r="B146" s="67" t="s">
        <v>693</v>
      </c>
      <c r="K146" t="s">
        <v>1082</v>
      </c>
    </row>
    <row r="147" spans="2:11" x14ac:dyDescent="0.2">
      <c r="B147" s="67" t="s">
        <v>694</v>
      </c>
      <c r="K147" t="s">
        <v>1083</v>
      </c>
    </row>
    <row r="148" spans="2:11" x14ac:dyDescent="0.2">
      <c r="B148" s="67" t="s">
        <v>695</v>
      </c>
      <c r="K148" t="s">
        <v>1084</v>
      </c>
    </row>
    <row r="149" spans="2:11" x14ac:dyDescent="0.2">
      <c r="B149" s="67" t="s">
        <v>696</v>
      </c>
      <c r="K149" t="s">
        <v>1085</v>
      </c>
    </row>
    <row r="150" spans="2:11" x14ac:dyDescent="0.2">
      <c r="B150" s="67" t="s">
        <v>697</v>
      </c>
      <c r="K150" t="s">
        <v>1086</v>
      </c>
    </row>
    <row r="151" spans="2:11" x14ac:dyDescent="0.2">
      <c r="B151" s="67" t="s">
        <v>698</v>
      </c>
      <c r="K151" t="s">
        <v>1087</v>
      </c>
    </row>
    <row r="152" spans="2:11" x14ac:dyDescent="0.2">
      <c r="B152" s="67" t="s">
        <v>699</v>
      </c>
      <c r="K152" t="s">
        <v>1088</v>
      </c>
    </row>
    <row r="153" spans="2:11" x14ac:dyDescent="0.2">
      <c r="B153" s="67" t="s">
        <v>700</v>
      </c>
      <c r="K153" t="s">
        <v>1089</v>
      </c>
    </row>
    <row r="154" spans="2:11" x14ac:dyDescent="0.2">
      <c r="B154" s="67" t="s">
        <v>701</v>
      </c>
      <c r="K154" t="s">
        <v>1090</v>
      </c>
    </row>
    <row r="155" spans="2:11" x14ac:dyDescent="0.2">
      <c r="B155" s="67" t="s">
        <v>702</v>
      </c>
      <c r="K155" t="s">
        <v>1091</v>
      </c>
    </row>
    <row r="156" spans="2:11" x14ac:dyDescent="0.2">
      <c r="B156" s="67" t="s">
        <v>703</v>
      </c>
      <c r="K156" t="s">
        <v>1092</v>
      </c>
    </row>
    <row r="157" spans="2:11" x14ac:dyDescent="0.2">
      <c r="B157" s="67" t="s">
        <v>704</v>
      </c>
      <c r="K157" t="s">
        <v>1093</v>
      </c>
    </row>
    <row r="158" spans="2:11" x14ac:dyDescent="0.2">
      <c r="B158" s="67" t="s">
        <v>705</v>
      </c>
      <c r="K158" t="s">
        <v>1094</v>
      </c>
    </row>
    <row r="159" spans="2:11" x14ac:dyDescent="0.2">
      <c r="B159" s="67" t="s">
        <v>706</v>
      </c>
      <c r="K159" t="s">
        <v>1095</v>
      </c>
    </row>
    <row r="160" spans="2:11" x14ac:dyDescent="0.2">
      <c r="B160" s="67" t="s">
        <v>707</v>
      </c>
      <c r="K160" t="s">
        <v>1096</v>
      </c>
    </row>
    <row r="161" spans="2:11" x14ac:dyDescent="0.2">
      <c r="B161" s="67" t="s">
        <v>708</v>
      </c>
      <c r="K161" t="s">
        <v>1097</v>
      </c>
    </row>
    <row r="162" spans="2:11" x14ac:dyDescent="0.2">
      <c r="B162" s="67" t="s">
        <v>709</v>
      </c>
    </row>
    <row r="163" spans="2:11" x14ac:dyDescent="0.2">
      <c r="B163" s="67" t="s">
        <v>710</v>
      </c>
    </row>
    <row r="164" spans="2:11" x14ac:dyDescent="0.2">
      <c r="B164" s="67" t="s">
        <v>711</v>
      </c>
    </row>
    <row r="165" spans="2:11" x14ac:dyDescent="0.2">
      <c r="B165" s="67" t="s">
        <v>712</v>
      </c>
    </row>
    <row r="166" spans="2:11" x14ac:dyDescent="0.2">
      <c r="B166" s="67" t="s">
        <v>713</v>
      </c>
    </row>
    <row r="167" spans="2:11" x14ac:dyDescent="0.2">
      <c r="B167" s="67" t="s">
        <v>714</v>
      </c>
    </row>
    <row r="168" spans="2:11" x14ac:dyDescent="0.2">
      <c r="B168" s="67" t="s">
        <v>715</v>
      </c>
    </row>
    <row r="169" spans="2:11" x14ac:dyDescent="0.2">
      <c r="B169" s="67" t="s">
        <v>716</v>
      </c>
    </row>
    <row r="170" spans="2:11" x14ac:dyDescent="0.2">
      <c r="B170" s="67" t="s">
        <v>717</v>
      </c>
    </row>
    <row r="171" spans="2:11" x14ac:dyDescent="0.2">
      <c r="B171" s="67" t="s">
        <v>718</v>
      </c>
    </row>
    <row r="172" spans="2:11" x14ac:dyDescent="0.2">
      <c r="B172" s="67" t="s">
        <v>719</v>
      </c>
    </row>
    <row r="173" spans="2:11" x14ac:dyDescent="0.2">
      <c r="B173" s="67" t="s">
        <v>720</v>
      </c>
    </row>
    <row r="174" spans="2:11" x14ac:dyDescent="0.2">
      <c r="B174" s="67" t="s">
        <v>721</v>
      </c>
    </row>
    <row r="175" spans="2:11" x14ac:dyDescent="0.2">
      <c r="B175" s="67" t="s">
        <v>722</v>
      </c>
    </row>
    <row r="176" spans="2:11" x14ac:dyDescent="0.2">
      <c r="B176" s="67" t="s">
        <v>723</v>
      </c>
    </row>
    <row r="177" spans="2:2" x14ac:dyDescent="0.2">
      <c r="B177" s="67" t="s">
        <v>724</v>
      </c>
    </row>
    <row r="178" spans="2:2" x14ac:dyDescent="0.2">
      <c r="B178" s="67" t="s">
        <v>725</v>
      </c>
    </row>
    <row r="179" spans="2:2" x14ac:dyDescent="0.2">
      <c r="B179" s="67" t="s">
        <v>726</v>
      </c>
    </row>
    <row r="180" spans="2:2" x14ac:dyDescent="0.2">
      <c r="B180" s="67" t="s">
        <v>727</v>
      </c>
    </row>
    <row r="181" spans="2:2" x14ac:dyDescent="0.2">
      <c r="B181" s="67" t="s">
        <v>728</v>
      </c>
    </row>
    <row r="182" spans="2:2" x14ac:dyDescent="0.2">
      <c r="B182" s="67" t="s">
        <v>729</v>
      </c>
    </row>
    <row r="183" spans="2:2" x14ac:dyDescent="0.2">
      <c r="B183" s="67" t="s">
        <v>730</v>
      </c>
    </row>
    <row r="184" spans="2:2" x14ac:dyDescent="0.2">
      <c r="B184" s="67" t="s">
        <v>731</v>
      </c>
    </row>
    <row r="185" spans="2:2" x14ac:dyDescent="0.2">
      <c r="B185" s="67" t="s">
        <v>732</v>
      </c>
    </row>
    <row r="186" spans="2:2" x14ac:dyDescent="0.2">
      <c r="B186" s="67" t="s">
        <v>733</v>
      </c>
    </row>
    <row r="187" spans="2:2" x14ac:dyDescent="0.2">
      <c r="B187" s="67" t="s">
        <v>734</v>
      </c>
    </row>
    <row r="188" spans="2:2" x14ac:dyDescent="0.2">
      <c r="B188" s="67" t="s">
        <v>735</v>
      </c>
    </row>
    <row r="189" spans="2:2" x14ac:dyDescent="0.2">
      <c r="B189" s="67" t="s">
        <v>736</v>
      </c>
    </row>
    <row r="190" spans="2:2" x14ac:dyDescent="0.2">
      <c r="B190" s="67" t="s">
        <v>737</v>
      </c>
    </row>
    <row r="191" spans="2:2" x14ac:dyDescent="0.2">
      <c r="B191" s="67" t="s">
        <v>738</v>
      </c>
    </row>
    <row r="192" spans="2:2" x14ac:dyDescent="0.2">
      <c r="B192" s="67" t="s">
        <v>739</v>
      </c>
    </row>
    <row r="193" spans="2:2" x14ac:dyDescent="0.2">
      <c r="B193" s="67" t="s">
        <v>740</v>
      </c>
    </row>
    <row r="194" spans="2:2" x14ac:dyDescent="0.2">
      <c r="B194" s="67" t="s">
        <v>741</v>
      </c>
    </row>
    <row r="195" spans="2:2" x14ac:dyDescent="0.2">
      <c r="B195" s="67" t="s">
        <v>742</v>
      </c>
    </row>
    <row r="196" spans="2:2" x14ac:dyDescent="0.2">
      <c r="B196" s="67" t="s">
        <v>743</v>
      </c>
    </row>
    <row r="197" spans="2:2" x14ac:dyDescent="0.2">
      <c r="B197" s="67" t="s">
        <v>744</v>
      </c>
    </row>
    <row r="198" spans="2:2" x14ac:dyDescent="0.2">
      <c r="B198" s="67" t="s">
        <v>745</v>
      </c>
    </row>
    <row r="199" spans="2:2" x14ac:dyDescent="0.2">
      <c r="B199" s="67" t="s">
        <v>746</v>
      </c>
    </row>
    <row r="200" spans="2:2" x14ac:dyDescent="0.2">
      <c r="B200" s="67" t="s">
        <v>747</v>
      </c>
    </row>
    <row r="201" spans="2:2" x14ac:dyDescent="0.2">
      <c r="B201" s="67" t="s">
        <v>748</v>
      </c>
    </row>
    <row r="202" spans="2:2" x14ac:dyDescent="0.2">
      <c r="B202" s="67" t="s">
        <v>749</v>
      </c>
    </row>
    <row r="203" spans="2:2" x14ac:dyDescent="0.2">
      <c r="B203" s="67" t="s">
        <v>750</v>
      </c>
    </row>
    <row r="204" spans="2:2" x14ac:dyDescent="0.2">
      <c r="B204" s="67" t="s">
        <v>751</v>
      </c>
    </row>
    <row r="205" spans="2:2" x14ac:dyDescent="0.2">
      <c r="B205" s="67" t="s">
        <v>752</v>
      </c>
    </row>
    <row r="206" spans="2:2" x14ac:dyDescent="0.2">
      <c r="B206" s="67" t="s">
        <v>753</v>
      </c>
    </row>
    <row r="207" spans="2:2" x14ac:dyDescent="0.2">
      <c r="B207" s="67" t="s">
        <v>754</v>
      </c>
    </row>
    <row r="208" spans="2:2" x14ac:dyDescent="0.2">
      <c r="B208" s="67" t="s">
        <v>755</v>
      </c>
    </row>
    <row r="209" spans="2:2" x14ac:dyDescent="0.2">
      <c r="B209" s="67" t="s">
        <v>756</v>
      </c>
    </row>
    <row r="210" spans="2:2" x14ac:dyDescent="0.2">
      <c r="B210" s="67" t="s">
        <v>757</v>
      </c>
    </row>
    <row r="211" spans="2:2" x14ac:dyDescent="0.2">
      <c r="B211" s="67" t="s">
        <v>758</v>
      </c>
    </row>
    <row r="212" spans="2:2" x14ac:dyDescent="0.2">
      <c r="B212" s="67" t="s">
        <v>759</v>
      </c>
    </row>
    <row r="213" spans="2:2" x14ac:dyDescent="0.2">
      <c r="B213" s="67" t="s">
        <v>760</v>
      </c>
    </row>
    <row r="214" spans="2:2" x14ac:dyDescent="0.2">
      <c r="B214" s="67" t="s">
        <v>761</v>
      </c>
    </row>
    <row r="215" spans="2:2" x14ac:dyDescent="0.2">
      <c r="B215" s="67" t="s">
        <v>762</v>
      </c>
    </row>
    <row r="216" spans="2:2" x14ac:dyDescent="0.2">
      <c r="B216" s="67" t="s">
        <v>763</v>
      </c>
    </row>
    <row r="217" spans="2:2" x14ac:dyDescent="0.2">
      <c r="B217" s="67" t="s">
        <v>764</v>
      </c>
    </row>
    <row r="218" spans="2:2" x14ac:dyDescent="0.2">
      <c r="B218" s="67" t="s">
        <v>765</v>
      </c>
    </row>
    <row r="219" spans="2:2" x14ac:dyDescent="0.2">
      <c r="B219" s="67" t="s">
        <v>766</v>
      </c>
    </row>
    <row r="220" spans="2:2" x14ac:dyDescent="0.2">
      <c r="B220" s="67" t="s">
        <v>767</v>
      </c>
    </row>
    <row r="221" spans="2:2" x14ac:dyDescent="0.2">
      <c r="B221" s="67" t="s">
        <v>768</v>
      </c>
    </row>
    <row r="222" spans="2:2" x14ac:dyDescent="0.2">
      <c r="B222" s="67" t="s">
        <v>769</v>
      </c>
    </row>
    <row r="223" spans="2:2" x14ac:dyDescent="0.2">
      <c r="B223" s="67" t="s">
        <v>770</v>
      </c>
    </row>
    <row r="224" spans="2:2" x14ac:dyDescent="0.2">
      <c r="B224" s="67" t="s">
        <v>771</v>
      </c>
    </row>
    <row r="225" spans="2:2" x14ac:dyDescent="0.2">
      <c r="B225" s="67" t="s">
        <v>772</v>
      </c>
    </row>
    <row r="226" spans="2:2" x14ac:dyDescent="0.2">
      <c r="B226" s="67" t="s">
        <v>773</v>
      </c>
    </row>
    <row r="227" spans="2:2" x14ac:dyDescent="0.2">
      <c r="B227" s="67" t="s">
        <v>774</v>
      </c>
    </row>
    <row r="228" spans="2:2" x14ac:dyDescent="0.2">
      <c r="B228" s="67" t="s">
        <v>775</v>
      </c>
    </row>
    <row r="229" spans="2:2" x14ac:dyDescent="0.2">
      <c r="B229" s="67" t="s">
        <v>776</v>
      </c>
    </row>
    <row r="230" spans="2:2" x14ac:dyDescent="0.2">
      <c r="B230" s="67" t="s">
        <v>777</v>
      </c>
    </row>
    <row r="231" spans="2:2" x14ac:dyDescent="0.2">
      <c r="B231" s="67" t="s">
        <v>778</v>
      </c>
    </row>
    <row r="232" spans="2:2" x14ac:dyDescent="0.2">
      <c r="B232" s="67" t="s">
        <v>779</v>
      </c>
    </row>
    <row r="233" spans="2:2" x14ac:dyDescent="0.2">
      <c r="B233" s="67" t="s">
        <v>780</v>
      </c>
    </row>
    <row r="234" spans="2:2" x14ac:dyDescent="0.2">
      <c r="B234" s="67" t="s">
        <v>781</v>
      </c>
    </row>
    <row r="235" spans="2:2" x14ac:dyDescent="0.2">
      <c r="B235" s="67" t="s">
        <v>782</v>
      </c>
    </row>
    <row r="236" spans="2:2" x14ac:dyDescent="0.2">
      <c r="B236" s="67" t="s">
        <v>783</v>
      </c>
    </row>
    <row r="237" spans="2:2" x14ac:dyDescent="0.2">
      <c r="B237" s="67" t="s">
        <v>784</v>
      </c>
    </row>
    <row r="238" spans="2:2" x14ac:dyDescent="0.2">
      <c r="B238" s="67" t="s">
        <v>785</v>
      </c>
    </row>
    <row r="239" spans="2:2" x14ac:dyDescent="0.2">
      <c r="B239" s="67" t="s">
        <v>786</v>
      </c>
    </row>
    <row r="240" spans="2:2" x14ac:dyDescent="0.2">
      <c r="B240" s="67" t="s">
        <v>787</v>
      </c>
    </row>
    <row r="241" spans="2:2" x14ac:dyDescent="0.2">
      <c r="B241" s="67" t="s">
        <v>788</v>
      </c>
    </row>
    <row r="242" spans="2:2" x14ac:dyDescent="0.2">
      <c r="B242" s="67" t="s">
        <v>789</v>
      </c>
    </row>
    <row r="243" spans="2:2" x14ac:dyDescent="0.2">
      <c r="B243" s="67" t="s">
        <v>790</v>
      </c>
    </row>
    <row r="244" spans="2:2" x14ac:dyDescent="0.2">
      <c r="B244" s="67" t="s">
        <v>791</v>
      </c>
    </row>
    <row r="245" spans="2:2" x14ac:dyDescent="0.2">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25" x14ac:dyDescent="0.2"/>
  <cols>
    <col min="6" max="6" width="11.25" bestFit="1" customWidth="1"/>
    <col min="11" max="11" width="28.25" customWidth="1"/>
    <col min="12" max="12" width="9.75" bestFit="1" customWidth="1"/>
    <col min="13" max="13" width="17.5" customWidth="1"/>
    <col min="16" max="16" width="10" bestFit="1" customWidth="1"/>
    <col min="17" max="17" width="11.25" bestFit="1" customWidth="1"/>
    <col min="19" max="19" width="12.25" bestFit="1" customWidth="1"/>
  </cols>
  <sheetData>
    <row r="1" spans="1:35" x14ac:dyDescent="0.2">
      <c r="A1" t="s">
        <v>26</v>
      </c>
      <c r="C1" t="s">
        <v>13</v>
      </c>
      <c r="E1" t="s">
        <v>14</v>
      </c>
      <c r="F1" t="s">
        <v>15</v>
      </c>
      <c r="H1" t="s">
        <v>16</v>
      </c>
      <c r="K1" t="s">
        <v>1182</v>
      </c>
      <c r="S1" t="s">
        <v>17</v>
      </c>
      <c r="V1" t="s">
        <v>18</v>
      </c>
      <c r="Y1" t="s">
        <v>207</v>
      </c>
      <c r="AE1" t="s">
        <v>297</v>
      </c>
      <c r="AI1" t="s">
        <v>327</v>
      </c>
    </row>
    <row r="2" spans="1:35" x14ac:dyDescent="0.2">
      <c r="A2">
        <v>0</v>
      </c>
      <c r="E2" t="s">
        <v>19</v>
      </c>
      <c r="F2">
        <v>1</v>
      </c>
      <c r="H2">
        <v>65</v>
      </c>
      <c r="I2">
        <v>0.65</v>
      </c>
      <c r="K2" s="317">
        <v>43892</v>
      </c>
      <c r="L2" s="317"/>
      <c r="M2" s="317"/>
      <c r="S2" s="7" t="str">
        <f>IF(Demand!$C$6="","",Demand!$C$6)</f>
        <v/>
      </c>
      <c r="V2">
        <v>1</v>
      </c>
      <c r="Y2" t="s">
        <v>210</v>
      </c>
      <c r="Z2" t="s">
        <v>208</v>
      </c>
      <c r="AA2" t="s">
        <v>209</v>
      </c>
      <c r="AE2" t="s">
        <v>57</v>
      </c>
      <c r="AI2" t="str">
        <f ca="1">"Baseline: "&amp;TEXT(MAX('SPC background (hide)'!$I$5:$I$11),"#")&amp;" wks"</f>
        <v>Baseline: -97 wks</v>
      </c>
    </row>
    <row r="3" spans="1:35" x14ac:dyDescent="0.2">
      <c r="A3">
        <v>1</v>
      </c>
      <c r="C3" t="s">
        <v>20</v>
      </c>
      <c r="E3" t="s">
        <v>21</v>
      </c>
      <c r="F3">
        <v>2</v>
      </c>
      <c r="H3">
        <v>70</v>
      </c>
      <c r="I3">
        <v>0.7</v>
      </c>
      <c r="K3" s="317">
        <f>K2+7</f>
        <v>43899</v>
      </c>
      <c r="S3" s="7" t="str">
        <f>IF($S$2="","",S2+7)</f>
        <v/>
      </c>
      <c r="V3">
        <v>1.5</v>
      </c>
      <c r="Y3" t="s">
        <v>32</v>
      </c>
      <c r="Z3" t="str">
        <f>Setup!C27</f>
        <v>Modality 1</v>
      </c>
      <c r="AA3" t="str">
        <f>IF(Z3="",Y3,Z3)</f>
        <v>Modality 1</v>
      </c>
      <c r="AE3" t="str">
        <f>IF(Capacity!B17="","",ROW(A1)&amp;". "&amp;Capacity!B17)</f>
        <v/>
      </c>
      <c r="AF3" s="67"/>
      <c r="AI3">
        <v>20</v>
      </c>
    </row>
    <row r="4" spans="1:35" x14ac:dyDescent="0.2">
      <c r="A4">
        <v>2</v>
      </c>
      <c r="C4" t="s">
        <v>22</v>
      </c>
      <c r="E4" t="s">
        <v>23</v>
      </c>
      <c r="F4">
        <v>3</v>
      </c>
      <c r="H4">
        <v>75</v>
      </c>
      <c r="I4">
        <v>0.75</v>
      </c>
      <c r="K4" s="317">
        <f t="shared" ref="K4:K54" si="0">K3+7</f>
        <v>43906</v>
      </c>
      <c r="S4" s="7" t="str">
        <f t="shared" ref="S4:S53" si="1">IF($S$2="","",S3+7)</f>
        <v/>
      </c>
      <c r="V4">
        <v>2</v>
      </c>
      <c r="Y4" t="s">
        <v>34</v>
      </c>
      <c r="Z4" t="str">
        <f>Setup!C28</f>
        <v>Modality 2</v>
      </c>
      <c r="AA4" t="str">
        <f t="shared" ref="AA4:AA12" si="2">IF(Z4="",Y4,Z4)</f>
        <v>Modality 2</v>
      </c>
      <c r="AE4" s="67" t="str">
        <f>IF(Capacity!B18="","",ROW(A2)&amp;". "&amp;Capacity!B18)</f>
        <v/>
      </c>
      <c r="AF4" s="67"/>
      <c r="AI4">
        <v>21</v>
      </c>
    </row>
    <row r="5" spans="1:35" x14ac:dyDescent="0.2">
      <c r="A5">
        <v>3</v>
      </c>
      <c r="H5">
        <v>80</v>
      </c>
      <c r="I5">
        <v>0.8</v>
      </c>
      <c r="K5" s="317">
        <f t="shared" si="0"/>
        <v>43913</v>
      </c>
      <c r="S5" s="7" t="str">
        <f t="shared" si="1"/>
        <v/>
      </c>
      <c r="V5">
        <v>2.5</v>
      </c>
      <c r="Y5" t="s">
        <v>36</v>
      </c>
      <c r="Z5" t="str">
        <f>Setup!C29</f>
        <v>Modality 3</v>
      </c>
      <c r="AA5" t="str">
        <f t="shared" si="2"/>
        <v>Modality 3</v>
      </c>
      <c r="AE5" s="67" t="str">
        <f>IF(Capacity!B19="","",ROW(A3)&amp;". "&amp;Capacity!B19)</f>
        <v/>
      </c>
      <c r="AF5" s="67"/>
      <c r="AI5" s="67">
        <v>22</v>
      </c>
    </row>
    <row r="6" spans="1:35" x14ac:dyDescent="0.2">
      <c r="A6">
        <v>4</v>
      </c>
      <c r="C6" t="s">
        <v>22</v>
      </c>
      <c r="E6" t="s">
        <v>19</v>
      </c>
      <c r="I6">
        <v>0.85</v>
      </c>
      <c r="K6" s="317">
        <f t="shared" si="0"/>
        <v>43920</v>
      </c>
      <c r="S6" s="7" t="str">
        <f t="shared" si="1"/>
        <v/>
      </c>
      <c r="V6">
        <v>3</v>
      </c>
      <c r="Y6" t="s">
        <v>38</v>
      </c>
      <c r="Z6" t="str">
        <f>Setup!C30</f>
        <v>Modality 4</v>
      </c>
      <c r="AA6" t="str">
        <f t="shared" si="2"/>
        <v>Modality 4</v>
      </c>
      <c r="AE6" s="67" t="str">
        <f>IF(Capacity!B20="","",ROW(A4)&amp;". "&amp;Capacity!B20)</f>
        <v/>
      </c>
      <c r="AF6" s="67"/>
      <c r="AI6" s="67">
        <v>23</v>
      </c>
    </row>
    <row r="7" spans="1:35" x14ac:dyDescent="0.2">
      <c r="A7">
        <v>5</v>
      </c>
      <c r="C7" t="s">
        <v>20</v>
      </c>
      <c r="E7" t="s">
        <v>23</v>
      </c>
      <c r="K7" s="317">
        <f t="shared" si="0"/>
        <v>43927</v>
      </c>
      <c r="S7" s="7" t="str">
        <f t="shared" si="1"/>
        <v/>
      </c>
      <c r="V7">
        <v>3.5</v>
      </c>
      <c r="Y7" t="s">
        <v>40</v>
      </c>
      <c r="Z7" t="str">
        <f>Setup!C31</f>
        <v>Modality 5</v>
      </c>
      <c r="AA7" t="str">
        <f t="shared" si="2"/>
        <v>Modality 5</v>
      </c>
      <c r="AE7" s="67" t="str">
        <f>IF(Capacity!B21="","",ROW(A5)&amp;". "&amp;Capacity!B21)</f>
        <v/>
      </c>
      <c r="AF7" s="67"/>
      <c r="AI7" s="67">
        <v>24</v>
      </c>
    </row>
    <row r="8" spans="1:35" x14ac:dyDescent="0.2">
      <c r="A8">
        <v>6</v>
      </c>
      <c r="K8" s="317">
        <f t="shared" si="0"/>
        <v>43934</v>
      </c>
      <c r="S8" s="7" t="str">
        <f t="shared" si="1"/>
        <v/>
      </c>
      <c r="V8">
        <v>4</v>
      </c>
      <c r="Y8" t="s">
        <v>42</v>
      </c>
      <c r="Z8" t="str">
        <f>Setup!C32</f>
        <v>Modality 6</v>
      </c>
      <c r="AA8" t="str">
        <f t="shared" si="2"/>
        <v>Modality 6</v>
      </c>
      <c r="AE8" s="67" t="str">
        <f>IF(Capacity!B22="","",ROW(A6)&amp;". "&amp;Capacity!B22)</f>
        <v/>
      </c>
      <c r="AF8" s="67"/>
      <c r="AI8" s="67">
        <v>25</v>
      </c>
    </row>
    <row r="9" spans="1:35" x14ac:dyDescent="0.2">
      <c r="A9">
        <v>7</v>
      </c>
      <c r="E9" t="s">
        <v>19</v>
      </c>
      <c r="H9" t="s">
        <v>137</v>
      </c>
      <c r="I9">
        <f>VLOOKUP(Setup!I19,'Control sheet (hide)'!H2:I5,2,0)</f>
        <v>0.65</v>
      </c>
      <c r="K9" s="317">
        <f t="shared" si="0"/>
        <v>43941</v>
      </c>
      <c r="S9" s="7" t="str">
        <f t="shared" si="1"/>
        <v/>
      </c>
      <c r="V9">
        <v>4.5</v>
      </c>
      <c r="Y9" t="s">
        <v>44</v>
      </c>
      <c r="Z9" t="str">
        <f>Setup!C33</f>
        <v>Modality 7</v>
      </c>
      <c r="AA9" t="str">
        <f t="shared" si="2"/>
        <v>Modality 7</v>
      </c>
      <c r="AE9" s="67" t="str">
        <f>IF(Capacity!B23="","",ROW(A7)&amp;". "&amp;Capacity!B23)</f>
        <v/>
      </c>
      <c r="AF9" s="67"/>
      <c r="AI9" s="67">
        <v>26</v>
      </c>
    </row>
    <row r="10" spans="1:35" x14ac:dyDescent="0.2">
      <c r="A10">
        <v>8</v>
      </c>
      <c r="E10" t="s">
        <v>21</v>
      </c>
      <c r="H10" t="s">
        <v>138</v>
      </c>
      <c r="I10">
        <f>I6</f>
        <v>0.85</v>
      </c>
      <c r="K10" s="317">
        <f t="shared" si="0"/>
        <v>43948</v>
      </c>
      <c r="S10" s="7" t="str">
        <f t="shared" si="1"/>
        <v/>
      </c>
      <c r="V10">
        <v>5</v>
      </c>
      <c r="Y10" t="s">
        <v>46</v>
      </c>
      <c r="Z10" t="str">
        <f>Setup!C34</f>
        <v>Modality 8</v>
      </c>
      <c r="AA10" t="str">
        <f t="shared" si="2"/>
        <v>Modality 8</v>
      </c>
      <c r="AE10" s="67" t="str">
        <f>IF(Capacity!B24="","",ROW(A8)&amp;". "&amp;Capacity!B24)</f>
        <v/>
      </c>
      <c r="AF10" s="67"/>
      <c r="AI10" s="67">
        <v>27</v>
      </c>
    </row>
    <row r="11" spans="1:35" x14ac:dyDescent="0.2">
      <c r="A11">
        <v>9</v>
      </c>
      <c r="C11" t="s">
        <v>1176</v>
      </c>
      <c r="K11" s="317">
        <f t="shared" si="0"/>
        <v>43955</v>
      </c>
      <c r="S11" s="7" t="str">
        <f t="shared" si="1"/>
        <v/>
      </c>
      <c r="V11">
        <v>5.5</v>
      </c>
      <c r="Y11" t="s">
        <v>48</v>
      </c>
      <c r="Z11" t="str">
        <f>Setup!C35</f>
        <v>Modality 9</v>
      </c>
      <c r="AA11" t="str">
        <f t="shared" si="2"/>
        <v>Modality 9</v>
      </c>
      <c r="AE11" s="67" t="str">
        <f>IF(Capacity!B25="","",ROW(A9)&amp;". "&amp;Capacity!B25)</f>
        <v/>
      </c>
      <c r="AF11" s="67"/>
      <c r="AI11" s="67">
        <v>28</v>
      </c>
    </row>
    <row r="12" spans="1:35" x14ac:dyDescent="0.2">
      <c r="A12">
        <v>10</v>
      </c>
      <c r="K12" s="317">
        <f t="shared" si="0"/>
        <v>43962</v>
      </c>
      <c r="S12" s="7" t="str">
        <f t="shared" si="1"/>
        <v/>
      </c>
      <c r="V12">
        <v>6</v>
      </c>
      <c r="Y12" t="s">
        <v>50</v>
      </c>
      <c r="Z12" t="str">
        <f>Setup!C36</f>
        <v>Modality 10</v>
      </c>
      <c r="AA12" t="str">
        <f t="shared" si="2"/>
        <v>Modality 10</v>
      </c>
      <c r="AE12" s="67" t="str">
        <f>IF(Capacity!B26="","",ROW(A10)&amp;". "&amp;Capacity!B26)</f>
        <v/>
      </c>
      <c r="AF12" s="67"/>
      <c r="AI12" s="67">
        <v>29</v>
      </c>
    </row>
    <row r="13" spans="1:35" x14ac:dyDescent="0.2">
      <c r="A13">
        <v>11</v>
      </c>
      <c r="E13" t="s">
        <v>24</v>
      </c>
      <c r="H13" t="s">
        <v>874</v>
      </c>
      <c r="K13" s="317">
        <f t="shared" si="0"/>
        <v>43969</v>
      </c>
      <c r="S13" s="7" t="str">
        <f t="shared" si="1"/>
        <v/>
      </c>
      <c r="V13">
        <v>6.5</v>
      </c>
      <c r="AA13" t="s">
        <v>211</v>
      </c>
      <c r="AE13" s="67" t="str">
        <f>IF(Capacity!B27="","",ROW(A11)&amp;". "&amp;Capacity!B27)</f>
        <v/>
      </c>
      <c r="AF13" s="67"/>
      <c r="AI13" s="67">
        <v>30</v>
      </c>
    </row>
    <row r="14" spans="1:35" x14ac:dyDescent="0.2">
      <c r="A14">
        <v>12</v>
      </c>
      <c r="E14" t="s">
        <v>25</v>
      </c>
      <c r="H14" t="s">
        <v>875</v>
      </c>
      <c r="K14" s="317">
        <f t="shared" si="0"/>
        <v>43976</v>
      </c>
      <c r="S14" s="7" t="str">
        <f t="shared" si="1"/>
        <v/>
      </c>
      <c r="V14">
        <v>7</v>
      </c>
      <c r="AE14" s="67" t="str">
        <f>IF(Capacity!B28="","",ROW(A12)&amp;". "&amp;Capacity!B28)</f>
        <v/>
      </c>
      <c r="AF14" s="67"/>
      <c r="AI14" s="67">
        <v>31</v>
      </c>
    </row>
    <row r="15" spans="1:35" x14ac:dyDescent="0.2">
      <c r="A15">
        <v>13</v>
      </c>
      <c r="K15" s="317">
        <f t="shared" si="0"/>
        <v>43983</v>
      </c>
      <c r="S15" s="7" t="str">
        <f t="shared" si="1"/>
        <v/>
      </c>
      <c r="V15">
        <v>7.5</v>
      </c>
      <c r="AE15" s="67" t="str">
        <f>IF(Capacity!B29="","",ROW(A13)&amp;". "&amp;Capacity!B29)</f>
        <v/>
      </c>
      <c r="AF15" s="67"/>
      <c r="AI15" s="67">
        <v>32</v>
      </c>
    </row>
    <row r="16" spans="1:35" x14ac:dyDescent="0.2">
      <c r="A16">
        <v>14</v>
      </c>
      <c r="E16" t="s">
        <v>88</v>
      </c>
      <c r="K16" s="317">
        <f t="shared" si="0"/>
        <v>43990</v>
      </c>
      <c r="S16" s="7" t="str">
        <f t="shared" si="1"/>
        <v/>
      </c>
      <c r="V16">
        <v>8</v>
      </c>
      <c r="AE16" s="67" t="str">
        <f>IF(Capacity!B30="","",ROW(A14)&amp;". "&amp;Capacity!B30)</f>
        <v/>
      </c>
      <c r="AF16" s="67"/>
      <c r="AI16" s="67">
        <v>33</v>
      </c>
    </row>
    <row r="17" spans="1:35" x14ac:dyDescent="0.2">
      <c r="A17">
        <v>15</v>
      </c>
      <c r="E17" t="s">
        <v>87</v>
      </c>
      <c r="K17" s="317">
        <f t="shared" si="0"/>
        <v>43997</v>
      </c>
      <c r="S17" s="7" t="str">
        <f t="shared" si="1"/>
        <v/>
      </c>
      <c r="V17">
        <v>8.5</v>
      </c>
      <c r="AE17" s="67" t="str">
        <f>IF(Capacity!B31="","",ROW(A15)&amp;". "&amp;Capacity!B31)</f>
        <v/>
      </c>
      <c r="AF17" s="67"/>
      <c r="AI17" s="67">
        <v>34</v>
      </c>
    </row>
    <row r="18" spans="1:35" x14ac:dyDescent="0.2">
      <c r="A18">
        <v>16</v>
      </c>
      <c r="K18" s="317">
        <f t="shared" si="0"/>
        <v>44004</v>
      </c>
      <c r="S18" s="7" t="str">
        <f t="shared" si="1"/>
        <v/>
      </c>
      <c r="V18">
        <v>9</v>
      </c>
      <c r="AE18" s="67" t="str">
        <f>IF(Capacity!B32="","",ROW(A16)&amp;". "&amp;Capacity!B32)</f>
        <v/>
      </c>
      <c r="AF18" s="67"/>
      <c r="AI18" s="67">
        <v>35</v>
      </c>
    </row>
    <row r="19" spans="1:35" x14ac:dyDescent="0.2">
      <c r="A19">
        <v>17</v>
      </c>
      <c r="E19" t="s">
        <v>402</v>
      </c>
      <c r="K19" s="317">
        <f t="shared" si="0"/>
        <v>44011</v>
      </c>
      <c r="S19" s="7" t="str">
        <f t="shared" si="1"/>
        <v/>
      </c>
      <c r="V19">
        <v>9.5</v>
      </c>
      <c r="AE19" s="67" t="str">
        <f>IF(Capacity!B33="","",ROW(A17)&amp;". "&amp;Capacity!B33)</f>
        <v/>
      </c>
      <c r="AF19" s="67"/>
      <c r="AI19" s="67">
        <v>36</v>
      </c>
    </row>
    <row r="20" spans="1:35" x14ac:dyDescent="0.2">
      <c r="A20">
        <v>18</v>
      </c>
      <c r="E20" t="s">
        <v>401</v>
      </c>
      <c r="K20" s="317">
        <f t="shared" si="0"/>
        <v>44018</v>
      </c>
      <c r="S20" s="7" t="str">
        <f t="shared" si="1"/>
        <v/>
      </c>
      <c r="V20">
        <v>10</v>
      </c>
      <c r="AE20" s="67" t="str">
        <f>IF(Capacity!B34="","",ROW(A18)&amp;". "&amp;Capacity!B34)</f>
        <v/>
      </c>
      <c r="AF20" s="67"/>
      <c r="AI20" s="67">
        <v>37</v>
      </c>
    </row>
    <row r="21" spans="1:35" x14ac:dyDescent="0.2">
      <c r="A21">
        <v>19</v>
      </c>
      <c r="K21" s="317">
        <f t="shared" si="0"/>
        <v>44025</v>
      </c>
      <c r="S21" s="7" t="str">
        <f t="shared" si="1"/>
        <v/>
      </c>
      <c r="V21">
        <v>10.5</v>
      </c>
      <c r="AE21" s="67" t="str">
        <f>IF(Capacity!B35="","",ROW(A19)&amp;". "&amp;Capacity!B35)</f>
        <v/>
      </c>
      <c r="AF21" s="67"/>
      <c r="AI21" s="67">
        <v>38</v>
      </c>
    </row>
    <row r="22" spans="1:35" x14ac:dyDescent="0.2">
      <c r="A22">
        <v>20</v>
      </c>
      <c r="E22" t="s">
        <v>24</v>
      </c>
      <c r="K22" s="317">
        <f t="shared" si="0"/>
        <v>44032</v>
      </c>
      <c r="S22" s="7" t="str">
        <f t="shared" si="1"/>
        <v/>
      </c>
      <c r="V22">
        <v>11</v>
      </c>
      <c r="AE22" s="67" t="str">
        <f>IF(Capacity!B36="","",ROW(A20)&amp;". "&amp;Capacity!B36)</f>
        <v/>
      </c>
      <c r="AF22" s="67"/>
      <c r="AI22" s="67">
        <v>39</v>
      </c>
    </row>
    <row r="23" spans="1:35" x14ac:dyDescent="0.2">
      <c r="A23">
        <v>21</v>
      </c>
      <c r="E23" t="s">
        <v>421</v>
      </c>
      <c r="K23" s="317">
        <f t="shared" si="0"/>
        <v>44039</v>
      </c>
      <c r="S23" s="7" t="str">
        <f t="shared" si="1"/>
        <v/>
      </c>
      <c r="V23">
        <v>11.5</v>
      </c>
      <c r="AE23" s="67" t="str">
        <f>IF(Capacity!B37="","",ROW(A21)&amp;". "&amp;Capacity!B37)</f>
        <v/>
      </c>
      <c r="AF23" s="67"/>
      <c r="AI23" s="67">
        <v>40</v>
      </c>
    </row>
    <row r="24" spans="1:35" x14ac:dyDescent="0.2">
      <c r="A24">
        <v>22</v>
      </c>
      <c r="H24" t="s">
        <v>249</v>
      </c>
      <c r="K24" s="317">
        <f t="shared" si="0"/>
        <v>44046</v>
      </c>
      <c r="S24" s="7" t="str">
        <f t="shared" si="1"/>
        <v/>
      </c>
      <c r="V24">
        <v>12</v>
      </c>
      <c r="AE24" s="67" t="str">
        <f>IF(Capacity!B38="","",ROW(A22)&amp;". "&amp;Capacity!B38)</f>
        <v/>
      </c>
      <c r="AF24" s="67"/>
      <c r="AI24" s="67">
        <v>41</v>
      </c>
    </row>
    <row r="25" spans="1:35" x14ac:dyDescent="0.2">
      <c r="A25">
        <v>23</v>
      </c>
      <c r="E25" t="s">
        <v>480</v>
      </c>
      <c r="H25" t="s">
        <v>1227</v>
      </c>
      <c r="K25" s="317">
        <f t="shared" si="0"/>
        <v>44053</v>
      </c>
      <c r="S25" s="7" t="str">
        <f t="shared" si="1"/>
        <v/>
      </c>
      <c r="AE25" s="67" t="str">
        <f>IF(Capacity!B39="","",ROW(A23)&amp;". "&amp;Capacity!B39)</f>
        <v/>
      </c>
      <c r="AF25" s="67"/>
      <c r="AI25" s="67">
        <v>42</v>
      </c>
    </row>
    <row r="26" spans="1:35" x14ac:dyDescent="0.2">
      <c r="A26">
        <v>24</v>
      </c>
      <c r="E26" t="s">
        <v>481</v>
      </c>
      <c r="K26" s="317">
        <f t="shared" si="0"/>
        <v>44060</v>
      </c>
      <c r="S26" s="7" t="str">
        <f t="shared" si="1"/>
        <v/>
      </c>
      <c r="AE26" s="67" t="str">
        <f>IF(Capacity!B40="","",ROW(A24)&amp;". "&amp;Capacity!B40)</f>
        <v/>
      </c>
      <c r="AF26" s="67"/>
      <c r="AI26" s="67">
        <v>43</v>
      </c>
    </row>
    <row r="27" spans="1:35" x14ac:dyDescent="0.2">
      <c r="A27">
        <v>25</v>
      </c>
      <c r="K27" s="317">
        <f t="shared" si="0"/>
        <v>44067</v>
      </c>
      <c r="S27" s="7" t="str">
        <f t="shared" si="1"/>
        <v/>
      </c>
      <c r="AE27" s="67" t="str">
        <f>IF(Capacity!B41="","",ROW(A25)&amp;". "&amp;Capacity!B41)</f>
        <v/>
      </c>
      <c r="AF27" s="67"/>
      <c r="AI27" s="67">
        <v>44</v>
      </c>
    </row>
    <row r="28" spans="1:35" x14ac:dyDescent="0.2">
      <c r="A28">
        <v>26</v>
      </c>
      <c r="K28" s="317">
        <f t="shared" si="0"/>
        <v>44074</v>
      </c>
      <c r="S28" s="7" t="str">
        <f t="shared" si="1"/>
        <v/>
      </c>
      <c r="AE28" s="67" t="str">
        <f>IF(Capacity!B42="","",ROW(A26)&amp;". "&amp;Capacity!B42)</f>
        <v/>
      </c>
      <c r="AF28" s="67"/>
      <c r="AI28" s="67">
        <v>45</v>
      </c>
    </row>
    <row r="29" spans="1:35" x14ac:dyDescent="0.2">
      <c r="A29">
        <v>27</v>
      </c>
      <c r="C29" t="s">
        <v>194</v>
      </c>
      <c r="E29" t="s">
        <v>482</v>
      </c>
      <c r="K29" s="317">
        <f t="shared" si="0"/>
        <v>44081</v>
      </c>
      <c r="S29" s="7" t="str">
        <f t="shared" si="1"/>
        <v/>
      </c>
      <c r="AE29" s="67" t="str">
        <f>IF(Capacity!B43="","",ROW(A27)&amp;". "&amp;Capacity!B43)</f>
        <v/>
      </c>
      <c r="AF29" s="67"/>
      <c r="AI29" s="67">
        <v>46</v>
      </c>
    </row>
    <row r="30" spans="1:35" x14ac:dyDescent="0.2">
      <c r="A30">
        <v>28</v>
      </c>
      <c r="C30" t="s">
        <v>192</v>
      </c>
      <c r="K30" s="317">
        <f t="shared" si="0"/>
        <v>44088</v>
      </c>
      <c r="S30" s="7" t="str">
        <f t="shared" si="1"/>
        <v/>
      </c>
      <c r="AE30" s="67" t="str">
        <f>IF(Capacity!B44="","",ROW(A28)&amp;". "&amp;Capacity!B44)</f>
        <v/>
      </c>
      <c r="AF30" s="67"/>
      <c r="AI30" s="67">
        <v>47</v>
      </c>
    </row>
    <row r="31" spans="1:35" x14ac:dyDescent="0.2">
      <c r="A31">
        <v>29</v>
      </c>
      <c r="C31" t="s">
        <v>193</v>
      </c>
      <c r="K31" s="317">
        <f t="shared" si="0"/>
        <v>44095</v>
      </c>
      <c r="S31" s="7" t="str">
        <f t="shared" si="1"/>
        <v/>
      </c>
      <c r="AE31" s="67" t="str">
        <f>IF(Capacity!B45="","",ROW(A29)&amp;". "&amp;Capacity!B45)</f>
        <v/>
      </c>
      <c r="AF31" s="67"/>
      <c r="AI31" s="67">
        <v>48</v>
      </c>
    </row>
    <row r="32" spans="1:35" x14ac:dyDescent="0.2">
      <c r="A32">
        <v>30</v>
      </c>
      <c r="K32" s="317">
        <f t="shared" si="0"/>
        <v>44102</v>
      </c>
      <c r="S32" s="7" t="str">
        <f t="shared" si="1"/>
        <v/>
      </c>
      <c r="AE32" s="67" t="str">
        <f>IF(Capacity!B46="","",ROW(A30)&amp;". "&amp;Capacity!B46)</f>
        <v/>
      </c>
      <c r="AF32" s="67"/>
      <c r="AI32" s="67">
        <v>49</v>
      </c>
    </row>
    <row r="33" spans="1:35" x14ac:dyDescent="0.2">
      <c r="A33">
        <v>31</v>
      </c>
      <c r="K33" s="317">
        <f t="shared" si="0"/>
        <v>44109</v>
      </c>
      <c r="S33" s="7" t="str">
        <f t="shared" si="1"/>
        <v/>
      </c>
      <c r="AE33" s="67" t="str">
        <f>IF(Capacity!B47="","",ROW(A31)&amp;". "&amp;Capacity!B47)</f>
        <v/>
      </c>
      <c r="AF33" s="67"/>
      <c r="AI33" s="67">
        <v>50</v>
      </c>
    </row>
    <row r="34" spans="1:35" x14ac:dyDescent="0.2">
      <c r="A34">
        <v>32</v>
      </c>
      <c r="C34" t="s">
        <v>24</v>
      </c>
      <c r="K34" s="317">
        <f t="shared" si="0"/>
        <v>44116</v>
      </c>
      <c r="S34" s="7" t="str">
        <f t="shared" si="1"/>
        <v/>
      </c>
      <c r="AE34" s="67" t="str">
        <f>IF(Capacity!B48="","",ROW(A32)&amp;". "&amp;Capacity!B48)</f>
        <v/>
      </c>
      <c r="AF34" s="67"/>
      <c r="AI34" s="67">
        <v>51</v>
      </c>
    </row>
    <row r="35" spans="1:35" x14ac:dyDescent="0.2">
      <c r="A35">
        <v>33</v>
      </c>
      <c r="C35" t="s">
        <v>102</v>
      </c>
      <c r="K35" s="317">
        <f t="shared" si="0"/>
        <v>44123</v>
      </c>
      <c r="S35" s="7" t="str">
        <f t="shared" si="1"/>
        <v/>
      </c>
      <c r="AE35" s="67" t="str">
        <f>IF(Capacity!B49="","",ROW(A33)&amp;". "&amp;Capacity!B49)</f>
        <v/>
      </c>
      <c r="AF35" s="67"/>
      <c r="AI35" s="67">
        <v>52</v>
      </c>
    </row>
    <row r="36" spans="1:35" x14ac:dyDescent="0.2">
      <c r="A36">
        <v>34</v>
      </c>
      <c r="K36" s="317">
        <f t="shared" si="0"/>
        <v>44130</v>
      </c>
      <c r="S36" s="7" t="str">
        <f t="shared" si="1"/>
        <v/>
      </c>
      <c r="AE36" s="67" t="str">
        <f>IF(Capacity!B50="","",ROW(A34)&amp;". "&amp;Capacity!B50)</f>
        <v/>
      </c>
      <c r="AF36" s="67"/>
    </row>
    <row r="37" spans="1:35" x14ac:dyDescent="0.2">
      <c r="A37">
        <v>35</v>
      </c>
      <c r="K37" s="317">
        <f t="shared" si="0"/>
        <v>44137</v>
      </c>
      <c r="S37" s="7" t="str">
        <f t="shared" si="1"/>
        <v/>
      </c>
      <c r="AE37" s="67" t="str">
        <f>IF(Capacity!B51="","",ROW(A35)&amp;". "&amp;Capacity!B51)</f>
        <v/>
      </c>
      <c r="AF37" s="67"/>
    </row>
    <row r="38" spans="1:35" x14ac:dyDescent="0.2">
      <c r="A38">
        <v>36</v>
      </c>
      <c r="K38" s="317">
        <f t="shared" si="0"/>
        <v>44144</v>
      </c>
      <c r="S38" s="7" t="str">
        <f t="shared" si="1"/>
        <v/>
      </c>
      <c r="AE38" s="67" t="str">
        <f>IF(Capacity!B52="","",ROW(A36)&amp;". "&amp;Capacity!B52)</f>
        <v/>
      </c>
      <c r="AF38" s="67"/>
    </row>
    <row r="39" spans="1:35" x14ac:dyDescent="0.2">
      <c r="A39">
        <v>37</v>
      </c>
      <c r="K39" s="317">
        <f t="shared" si="0"/>
        <v>44151</v>
      </c>
      <c r="S39" s="7" t="str">
        <f t="shared" si="1"/>
        <v/>
      </c>
      <c r="AE39" s="67" t="str">
        <f>IF(Capacity!B53="","",ROW(A37)&amp;". "&amp;Capacity!B53)</f>
        <v/>
      </c>
      <c r="AF39" s="67"/>
    </row>
    <row r="40" spans="1:35" x14ac:dyDescent="0.2">
      <c r="A40">
        <v>38</v>
      </c>
      <c r="K40" s="317">
        <f t="shared" si="0"/>
        <v>44158</v>
      </c>
      <c r="S40" s="7" t="str">
        <f t="shared" si="1"/>
        <v/>
      </c>
      <c r="AE40" s="67" t="str">
        <f>IF(Capacity!B54="","",ROW(A38)&amp;". "&amp;Capacity!B54)</f>
        <v/>
      </c>
      <c r="AF40" s="67"/>
    </row>
    <row r="41" spans="1:35" x14ac:dyDescent="0.2">
      <c r="A41">
        <v>39</v>
      </c>
      <c r="K41" s="317">
        <f t="shared" si="0"/>
        <v>44165</v>
      </c>
      <c r="S41" s="7" t="str">
        <f t="shared" si="1"/>
        <v/>
      </c>
      <c r="AE41" s="67" t="str">
        <f>IF(Capacity!B55="","",ROW(A39)&amp;". "&amp;Capacity!B55)</f>
        <v/>
      </c>
      <c r="AF41" s="67"/>
    </row>
    <row r="42" spans="1:35" x14ac:dyDescent="0.2">
      <c r="A42">
        <v>40</v>
      </c>
      <c r="K42" s="317">
        <f t="shared" si="0"/>
        <v>44172</v>
      </c>
      <c r="S42" s="7" t="str">
        <f t="shared" si="1"/>
        <v/>
      </c>
      <c r="AE42" s="67" t="str">
        <f>IF(Capacity!B56="","",ROW(A40)&amp;". "&amp;Capacity!B56)</f>
        <v/>
      </c>
      <c r="AF42" s="67"/>
    </row>
    <row r="43" spans="1:35" x14ac:dyDescent="0.2">
      <c r="A43">
        <v>41</v>
      </c>
      <c r="K43" s="317">
        <f t="shared" si="0"/>
        <v>44179</v>
      </c>
      <c r="S43" s="7" t="str">
        <f t="shared" si="1"/>
        <v/>
      </c>
      <c r="AE43" s="67" t="str">
        <f>IF(Capacity!B57="","",ROW(A41)&amp;". "&amp;Capacity!B57)</f>
        <v/>
      </c>
      <c r="AF43" s="67"/>
    </row>
    <row r="44" spans="1:35" x14ac:dyDescent="0.2">
      <c r="A44">
        <v>42</v>
      </c>
      <c r="K44" s="317">
        <f t="shared" si="0"/>
        <v>44186</v>
      </c>
      <c r="S44" s="7" t="str">
        <f t="shared" si="1"/>
        <v/>
      </c>
      <c r="AE44" s="67" t="str">
        <f>IF(Capacity!B58="","",ROW(A42)&amp;". "&amp;Capacity!B58)</f>
        <v/>
      </c>
      <c r="AF44" s="67"/>
    </row>
    <row r="45" spans="1:35" x14ac:dyDescent="0.2">
      <c r="A45">
        <v>43</v>
      </c>
      <c r="K45" s="317">
        <f t="shared" si="0"/>
        <v>44193</v>
      </c>
      <c r="S45" s="7" t="str">
        <f t="shared" si="1"/>
        <v/>
      </c>
      <c r="AE45" s="67" t="str">
        <f>IF(Capacity!B59="","",ROW(A43)&amp;". "&amp;Capacity!B59)</f>
        <v/>
      </c>
      <c r="AF45" s="67"/>
    </row>
    <row r="46" spans="1:35" x14ac:dyDescent="0.2">
      <c r="A46">
        <v>44</v>
      </c>
      <c r="K46" s="317">
        <f t="shared" si="0"/>
        <v>44200</v>
      </c>
      <c r="S46" s="7" t="str">
        <f t="shared" si="1"/>
        <v/>
      </c>
      <c r="AE46" s="67" t="str">
        <f>IF(Capacity!B60="","",ROW(A44)&amp;". "&amp;Capacity!B60)</f>
        <v/>
      </c>
      <c r="AF46" s="67"/>
    </row>
    <row r="47" spans="1:35" x14ac:dyDescent="0.2">
      <c r="A47">
        <v>45</v>
      </c>
      <c r="K47" s="317">
        <f t="shared" si="0"/>
        <v>44207</v>
      </c>
      <c r="S47" s="7" t="str">
        <f t="shared" si="1"/>
        <v/>
      </c>
      <c r="AE47" s="67" t="str">
        <f>IF(Capacity!B61="","",ROW(A45)&amp;". "&amp;Capacity!B61)</f>
        <v/>
      </c>
      <c r="AF47" s="67"/>
    </row>
    <row r="48" spans="1:35" x14ac:dyDescent="0.2">
      <c r="A48">
        <v>46</v>
      </c>
      <c r="K48" s="317">
        <f t="shared" si="0"/>
        <v>44214</v>
      </c>
      <c r="S48" s="7" t="str">
        <f t="shared" si="1"/>
        <v/>
      </c>
      <c r="AE48" s="67" t="str">
        <f>IF(Capacity!B62="","",ROW(A46)&amp;". "&amp;Capacity!B62)</f>
        <v/>
      </c>
      <c r="AF48" s="67"/>
    </row>
    <row r="49" spans="1:32" x14ac:dyDescent="0.2">
      <c r="A49">
        <v>47</v>
      </c>
      <c r="K49" s="317">
        <f t="shared" si="0"/>
        <v>44221</v>
      </c>
      <c r="S49" s="7" t="str">
        <f t="shared" si="1"/>
        <v/>
      </c>
      <c r="AE49" s="67" t="str">
        <f>IF(Capacity!B63="","",ROW(A47)&amp;". "&amp;Capacity!B63)</f>
        <v/>
      </c>
      <c r="AF49" s="67"/>
    </row>
    <row r="50" spans="1:32" x14ac:dyDescent="0.2">
      <c r="A50">
        <v>48</v>
      </c>
      <c r="K50" s="317">
        <f t="shared" si="0"/>
        <v>44228</v>
      </c>
      <c r="S50" s="7" t="str">
        <f t="shared" si="1"/>
        <v/>
      </c>
      <c r="AE50" s="67" t="str">
        <f>IF(Capacity!B64="","",ROW(A48)&amp;". "&amp;Capacity!B64)</f>
        <v/>
      </c>
      <c r="AF50" s="67"/>
    </row>
    <row r="51" spans="1:32" x14ac:dyDescent="0.2">
      <c r="A51">
        <v>49</v>
      </c>
      <c r="K51" s="317">
        <f t="shared" si="0"/>
        <v>44235</v>
      </c>
      <c r="S51" s="7" t="str">
        <f t="shared" si="1"/>
        <v/>
      </c>
      <c r="AE51" s="67" t="str">
        <f>IF(Capacity!B65="","",ROW(A49)&amp;". "&amp;Capacity!B65)</f>
        <v/>
      </c>
      <c r="AF51" s="67"/>
    </row>
    <row r="52" spans="1:32" x14ac:dyDescent="0.2">
      <c r="A52">
        <v>50</v>
      </c>
      <c r="K52" s="317">
        <f t="shared" si="0"/>
        <v>44242</v>
      </c>
      <c r="S52" s="7" t="str">
        <f t="shared" si="1"/>
        <v/>
      </c>
      <c r="AE52" s="67" t="str">
        <f>IF(Capacity!B66="","",ROW(A50)&amp;". "&amp;Capacity!B66)</f>
        <v/>
      </c>
      <c r="AF52" s="67"/>
    </row>
    <row r="53" spans="1:32" x14ac:dyDescent="0.2">
      <c r="A53">
        <v>51</v>
      </c>
      <c r="K53" s="317">
        <f t="shared" si="0"/>
        <v>44249</v>
      </c>
      <c r="S53" s="7" t="str">
        <f t="shared" si="1"/>
        <v/>
      </c>
      <c r="AE53" s="67" t="str">
        <f>IF(Capacity!B67="","",ROW(A51)&amp;". "&amp;Capacity!B67)</f>
        <v/>
      </c>
      <c r="AF53" s="67"/>
    </row>
    <row r="54" spans="1:32" x14ac:dyDescent="0.2">
      <c r="A54">
        <v>52</v>
      </c>
      <c r="K54" s="317">
        <f t="shared" si="0"/>
        <v>44256</v>
      </c>
      <c r="AE54" s="67" t="str">
        <f>IF(Capacity!B68="","",ROW(A52)&amp;". "&amp;Capacity!B68)</f>
        <v/>
      </c>
      <c r="AF54" s="67"/>
    </row>
    <row r="55" spans="1:32" x14ac:dyDescent="0.2">
      <c r="A55">
        <v>53</v>
      </c>
      <c r="AE55" s="67" t="str">
        <f>IF(Capacity!B69="","",ROW(A53)&amp;". "&amp;Capacity!B69)</f>
        <v/>
      </c>
      <c r="AF55" s="67"/>
    </row>
    <row r="56" spans="1:32" x14ac:dyDescent="0.2">
      <c r="A56">
        <v>54</v>
      </c>
      <c r="AE56" s="67" t="str">
        <f>IF(Capacity!B70="","",ROW(A54)&amp;". "&amp;Capacity!B70)</f>
        <v/>
      </c>
      <c r="AF56" s="67"/>
    </row>
    <row r="57" spans="1:32" x14ac:dyDescent="0.2">
      <c r="A57">
        <v>55</v>
      </c>
      <c r="AE57" s="67" t="str">
        <f>IF(Capacity!B71="","",ROW(A55)&amp;". "&amp;Capacity!B71)</f>
        <v/>
      </c>
      <c r="AF57" s="67"/>
    </row>
    <row r="58" spans="1:32" x14ac:dyDescent="0.2">
      <c r="A58">
        <v>56</v>
      </c>
      <c r="AE58" s="67" t="str">
        <f>IF(Capacity!B72="","",ROW(A56)&amp;". "&amp;Capacity!B72)</f>
        <v/>
      </c>
      <c r="AF58" s="67"/>
    </row>
    <row r="59" spans="1:32" x14ac:dyDescent="0.2">
      <c r="A59">
        <v>57</v>
      </c>
      <c r="AE59" s="67" t="str">
        <f>IF(Capacity!B73="","",ROW(A57)&amp;". "&amp;Capacity!B73)</f>
        <v/>
      </c>
      <c r="AF59" s="67"/>
    </row>
    <row r="60" spans="1:32" x14ac:dyDescent="0.2">
      <c r="A60">
        <v>58</v>
      </c>
      <c r="AE60" s="67" t="str">
        <f>IF(Capacity!B74="","",ROW(A58)&amp;". "&amp;Capacity!B74)</f>
        <v/>
      </c>
      <c r="AF60" s="67"/>
    </row>
    <row r="61" spans="1:32" x14ac:dyDescent="0.2">
      <c r="A61">
        <v>59</v>
      </c>
      <c r="AE61" s="67" t="str">
        <f>IF(Capacity!B75="","",ROW(A59)&amp;". "&amp;Capacity!B75)</f>
        <v/>
      </c>
      <c r="AF61" s="67"/>
    </row>
    <row r="62" spans="1:32" x14ac:dyDescent="0.2">
      <c r="A62">
        <v>60</v>
      </c>
      <c r="AE62" s="67" t="str">
        <f>IF(Capacity!B76="","",ROW(A60)&amp;". "&amp;Capacity!B76)</f>
        <v/>
      </c>
      <c r="AF62" s="67"/>
    </row>
    <row r="63" spans="1:32" x14ac:dyDescent="0.2">
      <c r="A63">
        <v>61</v>
      </c>
      <c r="AE63" s="67" t="str">
        <f>IF(Capacity!B77="","",ROW(A61)&amp;". "&amp;Capacity!B77)</f>
        <v/>
      </c>
      <c r="AF63" s="67"/>
    </row>
    <row r="64" spans="1:32" x14ac:dyDescent="0.2">
      <c r="A64">
        <v>62</v>
      </c>
      <c r="AE64" s="67" t="str">
        <f>IF(Capacity!B78="","",ROW(A62)&amp;". "&amp;Capacity!B78)</f>
        <v/>
      </c>
      <c r="AF64" s="67"/>
    </row>
    <row r="65" spans="1:32" x14ac:dyDescent="0.2">
      <c r="A65">
        <v>63</v>
      </c>
      <c r="AE65" s="67" t="str">
        <f>IF(Capacity!B79="","",ROW(A63)&amp;". "&amp;Capacity!B79)</f>
        <v/>
      </c>
      <c r="AF65" s="67"/>
    </row>
    <row r="66" spans="1:32" x14ac:dyDescent="0.2">
      <c r="A66">
        <v>64</v>
      </c>
      <c r="AE66" s="67" t="str">
        <f>IF(Capacity!B80="","",ROW(A64)&amp;". "&amp;Capacity!B80)</f>
        <v/>
      </c>
      <c r="AF66" s="67"/>
    </row>
    <row r="67" spans="1:32" x14ac:dyDescent="0.2">
      <c r="A67">
        <v>65</v>
      </c>
      <c r="AE67" s="67" t="str">
        <f>IF(Capacity!B81="","",ROW(A65)&amp;". "&amp;Capacity!B81)</f>
        <v/>
      </c>
      <c r="AF67" s="67"/>
    </row>
    <row r="68" spans="1:32" x14ac:dyDescent="0.2">
      <c r="A68">
        <v>66</v>
      </c>
      <c r="AE68" s="67" t="str">
        <f>IF(Capacity!B82="","",ROW(A66)&amp;". "&amp;Capacity!B82)</f>
        <v/>
      </c>
      <c r="AF68" s="67"/>
    </row>
    <row r="69" spans="1:32" x14ac:dyDescent="0.2">
      <c r="A69">
        <v>67</v>
      </c>
      <c r="AE69" s="67" t="str">
        <f>IF(Capacity!B83="","",ROW(A67)&amp;". "&amp;Capacity!B83)</f>
        <v/>
      </c>
      <c r="AF69" s="67"/>
    </row>
    <row r="70" spans="1:32" x14ac:dyDescent="0.2">
      <c r="A70">
        <v>68</v>
      </c>
      <c r="AE70" s="67" t="str">
        <f>IF(Capacity!B84="","",ROW(A68)&amp;". "&amp;Capacity!B84)</f>
        <v/>
      </c>
      <c r="AF70" s="67"/>
    </row>
    <row r="71" spans="1:32" x14ac:dyDescent="0.2">
      <c r="A71">
        <v>69</v>
      </c>
      <c r="AE71" s="67" t="str">
        <f>IF(Capacity!B85="","",ROW(A69)&amp;". "&amp;Capacity!B85)</f>
        <v/>
      </c>
      <c r="AF71" s="67"/>
    </row>
    <row r="72" spans="1:32" x14ac:dyDescent="0.2">
      <c r="A72">
        <v>70</v>
      </c>
      <c r="AE72" s="67" t="str">
        <f>IF(Capacity!B86="","",ROW(A70)&amp;". "&amp;Capacity!B86)</f>
        <v/>
      </c>
      <c r="AF72" s="67"/>
    </row>
    <row r="73" spans="1:32" x14ac:dyDescent="0.2">
      <c r="A73">
        <v>71</v>
      </c>
      <c r="AE73" s="67" t="str">
        <f>IF(Capacity!B87="","",ROW(A71)&amp;". "&amp;Capacity!B87)</f>
        <v/>
      </c>
      <c r="AF73" s="67"/>
    </row>
    <row r="74" spans="1:32" x14ac:dyDescent="0.2">
      <c r="A74">
        <v>72</v>
      </c>
      <c r="AE74" s="67" t="str">
        <f>IF(Capacity!B88="","",ROW(A72)&amp;". "&amp;Capacity!B88)</f>
        <v/>
      </c>
      <c r="AF74" s="67"/>
    </row>
    <row r="75" spans="1:32" x14ac:dyDescent="0.2">
      <c r="A75">
        <v>73</v>
      </c>
      <c r="AE75" s="67" t="str">
        <f>IF(Capacity!B89="","",ROW(A73)&amp;". "&amp;Capacity!B89)</f>
        <v/>
      </c>
      <c r="AF75" s="67"/>
    </row>
    <row r="76" spans="1:32" x14ac:dyDescent="0.2">
      <c r="A76">
        <v>74</v>
      </c>
      <c r="AE76" s="67" t="str">
        <f>IF(Capacity!B90="","",ROW(A74)&amp;". "&amp;Capacity!B90)</f>
        <v/>
      </c>
      <c r="AF76" s="67"/>
    </row>
    <row r="77" spans="1:32" x14ac:dyDescent="0.2">
      <c r="A77">
        <v>75</v>
      </c>
      <c r="AE77" s="67" t="str">
        <f>IF(Capacity!B91="","",ROW(A75)&amp;". "&amp;Capacity!B91)</f>
        <v/>
      </c>
      <c r="AF77" s="67"/>
    </row>
    <row r="78" spans="1:32" x14ac:dyDescent="0.2">
      <c r="A78">
        <v>76</v>
      </c>
      <c r="AE78" s="67" t="str">
        <f>IF(Capacity!B92="","",ROW(A76)&amp;". "&amp;Capacity!B92)</f>
        <v/>
      </c>
      <c r="AF78" s="67"/>
    </row>
    <row r="79" spans="1:32" x14ac:dyDescent="0.2">
      <c r="A79">
        <v>77</v>
      </c>
      <c r="AE79" s="67" t="str">
        <f>IF(Capacity!B93="","",ROW(A77)&amp;". "&amp;Capacity!B93)</f>
        <v/>
      </c>
      <c r="AF79" s="67"/>
    </row>
    <row r="80" spans="1:32" x14ac:dyDescent="0.2">
      <c r="A80">
        <v>78</v>
      </c>
      <c r="AE80" s="67" t="str">
        <f>IF(Capacity!B94="","",ROW(A78)&amp;". "&amp;Capacity!B94)</f>
        <v/>
      </c>
      <c r="AF80" s="67"/>
    </row>
    <row r="81" spans="1:32" x14ac:dyDescent="0.2">
      <c r="A81">
        <v>79</v>
      </c>
      <c r="AE81" s="67" t="str">
        <f>IF(Capacity!B95="","",ROW(A79)&amp;". "&amp;Capacity!B95)</f>
        <v/>
      </c>
      <c r="AF81" s="67"/>
    </row>
    <row r="82" spans="1:32" x14ac:dyDescent="0.2">
      <c r="A82">
        <v>80</v>
      </c>
      <c r="AE82" s="67" t="str">
        <f>IF(Capacity!B96="","",ROW(A80)&amp;". "&amp;Capacity!B96)</f>
        <v/>
      </c>
      <c r="AF82" s="67"/>
    </row>
    <row r="83" spans="1:32" x14ac:dyDescent="0.2">
      <c r="A83">
        <v>81</v>
      </c>
      <c r="AE83" s="67" t="str">
        <f>IF(Capacity!B97="","",ROW(A81)&amp;". "&amp;Capacity!B97)</f>
        <v/>
      </c>
      <c r="AF83" s="67"/>
    </row>
    <row r="84" spans="1:32" x14ac:dyDescent="0.2">
      <c r="A84">
        <v>82</v>
      </c>
      <c r="AE84" s="67" t="str">
        <f>IF(Capacity!B98="","",ROW(A82)&amp;". "&amp;Capacity!B98)</f>
        <v/>
      </c>
      <c r="AF84" s="67"/>
    </row>
    <row r="85" spans="1:32" x14ac:dyDescent="0.2">
      <c r="A85">
        <v>83</v>
      </c>
      <c r="AE85" s="67" t="str">
        <f>IF(Capacity!B99="","",ROW(A83)&amp;". "&amp;Capacity!B99)</f>
        <v/>
      </c>
      <c r="AF85" s="67"/>
    </row>
    <row r="86" spans="1:32" x14ac:dyDescent="0.2">
      <c r="A86">
        <v>84</v>
      </c>
      <c r="AE86" s="67" t="str">
        <f>IF(Capacity!B100="","",ROW(A84)&amp;". "&amp;Capacity!B100)</f>
        <v/>
      </c>
      <c r="AF86" s="67"/>
    </row>
    <row r="87" spans="1:32" x14ac:dyDescent="0.2">
      <c r="A87">
        <v>85</v>
      </c>
      <c r="AE87" s="67" t="str">
        <f>IF(Capacity!B101="","",ROW(A85)&amp;". "&amp;Capacity!B101)</f>
        <v/>
      </c>
      <c r="AF87" s="67"/>
    </row>
    <row r="88" spans="1:32" x14ac:dyDescent="0.2">
      <c r="A88">
        <v>86</v>
      </c>
      <c r="AE88" s="67" t="str">
        <f>IF(Capacity!B102="","",ROW(A86)&amp;". "&amp;Capacity!B102)</f>
        <v/>
      </c>
      <c r="AF88" s="67"/>
    </row>
    <row r="89" spans="1:32" x14ac:dyDescent="0.2">
      <c r="A89">
        <v>87</v>
      </c>
      <c r="AE89" s="67" t="str">
        <f>IF(Capacity!B103="","",ROW(A87)&amp;". "&amp;Capacity!B103)</f>
        <v/>
      </c>
      <c r="AF89" s="67"/>
    </row>
    <row r="90" spans="1:32" x14ac:dyDescent="0.2">
      <c r="A90">
        <v>88</v>
      </c>
      <c r="AE90" s="67" t="str">
        <f>IF(Capacity!B104="","",ROW(A88)&amp;". "&amp;Capacity!B104)</f>
        <v/>
      </c>
      <c r="AF90" s="67"/>
    </row>
    <row r="91" spans="1:32" x14ac:dyDescent="0.2">
      <c r="A91">
        <v>89</v>
      </c>
      <c r="AE91" s="67" t="str">
        <f>IF(Capacity!B105="","",ROW(A89)&amp;". "&amp;Capacity!B105)</f>
        <v/>
      </c>
      <c r="AF91" s="67"/>
    </row>
    <row r="92" spans="1:32" x14ac:dyDescent="0.2">
      <c r="A92">
        <v>90</v>
      </c>
      <c r="AE92" s="67" t="str">
        <f>IF(Capacity!B106="","",ROW(A90)&amp;". "&amp;Capacity!B106)</f>
        <v/>
      </c>
      <c r="AF92" s="67"/>
    </row>
    <row r="93" spans="1:32" x14ac:dyDescent="0.2">
      <c r="A93">
        <v>91</v>
      </c>
      <c r="AE93" s="67" t="str">
        <f>IF(Capacity!B107="","",ROW(A91)&amp;". "&amp;Capacity!B107)</f>
        <v/>
      </c>
      <c r="AF93" s="67"/>
    </row>
    <row r="94" spans="1:32" x14ac:dyDescent="0.2">
      <c r="A94">
        <v>92</v>
      </c>
      <c r="AE94" s="67" t="str">
        <f>IF(Capacity!B108="","",ROW(A92)&amp;". "&amp;Capacity!B108)</f>
        <v/>
      </c>
      <c r="AF94" s="67"/>
    </row>
    <row r="95" spans="1:32" x14ac:dyDescent="0.2">
      <c r="A95">
        <v>93</v>
      </c>
      <c r="AE95" s="67" t="str">
        <f>IF(Capacity!B109="","",ROW(A93)&amp;". "&amp;Capacity!B109)</f>
        <v/>
      </c>
      <c r="AF95" s="67"/>
    </row>
    <row r="96" spans="1:32" x14ac:dyDescent="0.2">
      <c r="A96">
        <v>94</v>
      </c>
      <c r="AE96" s="67" t="str">
        <f>IF(Capacity!B110="","",ROW(A94)&amp;". "&amp;Capacity!B110)</f>
        <v/>
      </c>
      <c r="AF96" s="67"/>
    </row>
    <row r="97" spans="1:32" x14ac:dyDescent="0.2">
      <c r="A97">
        <v>95</v>
      </c>
      <c r="AE97" s="67" t="str">
        <f>IF(Capacity!B111="","",ROW(A95)&amp;". "&amp;Capacity!B111)</f>
        <v/>
      </c>
      <c r="AF97" s="67"/>
    </row>
    <row r="98" spans="1:32" x14ac:dyDescent="0.2">
      <c r="A98">
        <v>96</v>
      </c>
      <c r="AE98" s="67" t="str">
        <f>IF(Capacity!B112="","",ROW(A96)&amp;". "&amp;Capacity!B112)</f>
        <v/>
      </c>
      <c r="AF98" s="67"/>
    </row>
    <row r="99" spans="1:32" x14ac:dyDescent="0.2">
      <c r="A99">
        <v>97</v>
      </c>
      <c r="AE99" s="67" t="str">
        <f>IF(Capacity!B113="","",ROW(A97)&amp;". "&amp;Capacity!B113)</f>
        <v/>
      </c>
      <c r="AF99" s="67"/>
    </row>
    <row r="100" spans="1:32" x14ac:dyDescent="0.2">
      <c r="A100">
        <v>98</v>
      </c>
      <c r="AE100" s="67" t="str">
        <f>IF(Capacity!B114="","",ROW(A98)&amp;". "&amp;Capacity!B114)</f>
        <v/>
      </c>
      <c r="AF100" s="67"/>
    </row>
    <row r="101" spans="1:32" x14ac:dyDescent="0.2">
      <c r="A101">
        <v>99</v>
      </c>
      <c r="AE101" s="67" t="str">
        <f>IF(Capacity!B115="","",ROW(A99)&amp;". "&amp;Capacity!B115)</f>
        <v/>
      </c>
      <c r="AF101" s="67"/>
    </row>
    <row r="102" spans="1:32" x14ac:dyDescent="0.2">
      <c r="A102">
        <v>100</v>
      </c>
      <c r="AE102" s="67" t="str">
        <f>IF(Capacity!B116="","",ROW(A100)&amp;". "&amp;Capacity!B116)</f>
        <v/>
      </c>
      <c r="AF102" s="67"/>
    </row>
    <row r="103" spans="1:32" x14ac:dyDescent="0.2">
      <c r="A103">
        <v>101</v>
      </c>
      <c r="AE103" s="67" t="e">
        <f>IF(Capacity!#REF!="","",ROW(A101)&amp;". "&amp;Capacity!#REF!)</f>
        <v>#REF!</v>
      </c>
      <c r="AF103" s="67"/>
    </row>
    <row r="104" spans="1:32" x14ac:dyDescent="0.2">
      <c r="A104">
        <v>102</v>
      </c>
      <c r="AE104" s="67" t="e">
        <f>IF(Capacity!#REF!="","",ROW(A102)&amp;". "&amp;Capacity!#REF!)</f>
        <v>#REF!</v>
      </c>
      <c r="AF104" s="67"/>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tabSelected="1" workbookViewId="0">
      <selection activeCell="B5" sqref="B5"/>
    </sheetView>
  </sheetViews>
  <sheetFormatPr defaultRowHeight="14.25" x14ac:dyDescent="0.2"/>
  <cols>
    <col min="2" max="2" width="129.125" customWidth="1"/>
  </cols>
  <sheetData>
    <row r="2" spans="2:17" ht="15" x14ac:dyDescent="0.25">
      <c r="B2" s="284" t="str">
        <f>"Demand and capacity analysis notes for "&amp;Setup!C5&amp;", "&amp;Setup!C7</f>
        <v xml:space="preserve">Demand and capacity analysis notes for , </v>
      </c>
    </row>
    <row r="4" spans="2:17" x14ac:dyDescent="0.2">
      <c r="B4" s="151"/>
      <c r="C4" s="67"/>
      <c r="D4" s="67"/>
      <c r="E4" s="67"/>
      <c r="F4" s="67"/>
      <c r="G4" s="67"/>
      <c r="H4" s="67"/>
      <c r="I4" s="67"/>
      <c r="J4" s="67"/>
      <c r="K4" s="67"/>
      <c r="L4" s="67"/>
      <c r="M4" s="67"/>
      <c r="N4" s="67"/>
      <c r="O4" s="67"/>
      <c r="P4" s="67"/>
      <c r="Q4" s="67"/>
    </row>
    <row r="5" spans="2:17" s="1" customFormat="1" ht="15" x14ac:dyDescent="0.2">
      <c r="B5" s="321"/>
    </row>
    <row r="6" spans="2:17" s="1" customFormat="1" x14ac:dyDescent="0.2">
      <c r="B6" s="318"/>
    </row>
    <row r="7" spans="2:17" s="1" customFormat="1" ht="15" x14ac:dyDescent="0.2">
      <c r="B7" s="322"/>
    </row>
    <row r="8" spans="2:17" s="1" customFormat="1" x14ac:dyDescent="0.2">
      <c r="B8" s="318"/>
    </row>
    <row r="9" spans="2:17" s="1" customFormat="1" x14ac:dyDescent="0.2">
      <c r="B9" s="318"/>
    </row>
    <row r="10" spans="2:17" s="1" customFormat="1" ht="15" x14ac:dyDescent="0.2">
      <c r="B10" s="322"/>
    </row>
    <row r="11" spans="2:17" s="1" customFormat="1" x14ac:dyDescent="0.2">
      <c r="B11" s="318"/>
    </row>
    <row r="12" spans="2:17" s="1" customFormat="1" x14ac:dyDescent="0.2">
      <c r="B12" s="318"/>
    </row>
    <row r="13" spans="2:17" s="1" customFormat="1" ht="15" x14ac:dyDescent="0.2">
      <c r="B13" s="322"/>
    </row>
    <row r="14" spans="2:17" s="1" customFormat="1" x14ac:dyDescent="0.2">
      <c r="B14" s="318"/>
    </row>
    <row r="15" spans="2:17" s="1" customFormat="1" x14ac:dyDescent="0.2">
      <c r="B15" s="318"/>
    </row>
    <row r="16" spans="2:17" s="1" customFormat="1" x14ac:dyDescent="0.2">
      <c r="B16" s="318"/>
    </row>
    <row r="17" spans="2:2" s="1" customFormat="1" x14ac:dyDescent="0.2">
      <c r="B17" s="318"/>
    </row>
    <row r="18" spans="2:2" s="1" customFormat="1" x14ac:dyDescent="0.2">
      <c r="B18" s="318"/>
    </row>
    <row r="19" spans="2:2" s="1" customFormat="1" x14ac:dyDescent="0.2">
      <c r="B19" s="318"/>
    </row>
    <row r="20" spans="2:2" s="1" customFormat="1" x14ac:dyDescent="0.2">
      <c r="B20" s="318"/>
    </row>
    <row r="21" spans="2:2" s="1" customFormat="1" x14ac:dyDescent="0.2">
      <c r="B21" s="318"/>
    </row>
    <row r="22" spans="2:2" s="1" customFormat="1" x14ac:dyDescent="0.2">
      <c r="B22" s="318"/>
    </row>
    <row r="23" spans="2:2" s="1" customFormat="1" x14ac:dyDescent="0.2">
      <c r="B23" s="318"/>
    </row>
    <row r="24" spans="2:2" s="1" customFormat="1" x14ac:dyDescent="0.2">
      <c r="B24" s="318"/>
    </row>
    <row r="25" spans="2:2" s="1" customFormat="1" x14ac:dyDescent="0.2">
      <c r="B25" s="318"/>
    </row>
    <row r="26" spans="2:2" s="1" customFormat="1" x14ac:dyDescent="0.2">
      <c r="B26" s="318"/>
    </row>
    <row r="27" spans="2:2" s="1" customFormat="1" x14ac:dyDescent="0.2">
      <c r="B27" s="318"/>
    </row>
    <row r="28" spans="2:2" s="1" customFormat="1" x14ac:dyDescent="0.2">
      <c r="B28" s="318"/>
    </row>
    <row r="29" spans="2:2" s="1" customFormat="1" x14ac:dyDescent="0.2">
      <c r="B29" s="318"/>
    </row>
    <row r="30" spans="2:2" s="1" customFormat="1" x14ac:dyDescent="0.2">
      <c r="B30" s="318"/>
    </row>
    <row r="31" spans="2:2" s="1" customFormat="1" x14ac:dyDescent="0.2">
      <c r="B31" s="318"/>
    </row>
    <row r="32" spans="2:2" s="1" customFormat="1" x14ac:dyDescent="0.2">
      <c r="B32" s="318"/>
    </row>
    <row r="33" spans="2:17" s="1" customFormat="1" x14ac:dyDescent="0.2">
      <c r="B33" s="318"/>
    </row>
    <row r="34" spans="2:17" s="1" customFormat="1" x14ac:dyDescent="0.2">
      <c r="B34" s="318"/>
    </row>
    <row r="35" spans="2:17" s="1" customFormat="1" x14ac:dyDescent="0.2">
      <c r="B35" s="318"/>
    </row>
    <row r="36" spans="2:17" s="1" customFormat="1" x14ac:dyDescent="0.2">
      <c r="B36" s="318"/>
    </row>
    <row r="37" spans="2:17" s="1" customFormat="1" x14ac:dyDescent="0.2">
      <c r="B37" s="318"/>
    </row>
    <row r="38" spans="2:17" s="1" customFormat="1" x14ac:dyDescent="0.2">
      <c r="B38" s="318"/>
    </row>
    <row r="39" spans="2:17" s="1" customFormat="1" x14ac:dyDescent="0.2">
      <c r="B39" s="318"/>
    </row>
    <row r="40" spans="2:17" s="1" customFormat="1" x14ac:dyDescent="0.2">
      <c r="B40" s="318"/>
    </row>
    <row r="41" spans="2:17" s="1" customFormat="1" x14ac:dyDescent="0.2">
      <c r="B41" s="318"/>
    </row>
    <row r="42" spans="2:17" s="1" customFormat="1" x14ac:dyDescent="0.2">
      <c r="B42" s="318"/>
    </row>
    <row r="43" spans="2:17" s="1" customFormat="1" x14ac:dyDescent="0.2">
      <c r="B43" s="318"/>
    </row>
    <row r="44" spans="2:17" x14ac:dyDescent="0.2">
      <c r="B44" s="318"/>
      <c r="C44" s="67"/>
      <c r="D44" s="67"/>
      <c r="E44" s="67"/>
      <c r="F44" s="67"/>
      <c r="G44" s="67"/>
      <c r="H44" s="67"/>
      <c r="I44" s="67"/>
      <c r="J44" s="67"/>
      <c r="K44" s="67"/>
      <c r="L44" s="67"/>
      <c r="M44" s="67"/>
      <c r="N44" s="67"/>
      <c r="O44" s="67"/>
      <c r="P44" s="67"/>
      <c r="Q44" s="67"/>
    </row>
    <row r="45" spans="2:17" x14ac:dyDescent="0.2">
      <c r="B45" s="318"/>
    </row>
    <row r="46" spans="2:17" x14ac:dyDescent="0.2">
      <c r="B46" s="318"/>
    </row>
    <row r="47" spans="2:17" x14ac:dyDescent="0.2">
      <c r="B47" s="318"/>
    </row>
    <row r="48" spans="2:17" x14ac:dyDescent="0.2">
      <c r="B48" s="318"/>
    </row>
    <row r="49" spans="2:2" x14ac:dyDescent="0.2">
      <c r="B49" s="318"/>
    </row>
    <row r="50" spans="2:2" x14ac:dyDescent="0.2">
      <c r="B50" s="318"/>
    </row>
    <row r="51" spans="2:2" x14ac:dyDescent="0.2">
      <c r="B51" s="318"/>
    </row>
    <row r="52" spans="2:2" x14ac:dyDescent="0.2">
      <c r="B52" s="318"/>
    </row>
    <row r="53" spans="2:2" x14ac:dyDescent="0.2">
      <c r="B53" s="318"/>
    </row>
    <row r="54" spans="2:2" x14ac:dyDescent="0.2">
      <c r="B54" s="318"/>
    </row>
    <row r="55" spans="2:2" x14ac:dyDescent="0.2">
      <c r="B55" s="318"/>
    </row>
    <row r="56" spans="2:2" x14ac:dyDescent="0.2">
      <c r="B56" s="318"/>
    </row>
    <row r="57" spans="2:2" x14ac:dyDescent="0.2">
      <c r="B57" s="316"/>
    </row>
    <row r="58" spans="2:2" x14ac:dyDescent="0.2">
      <c r="B58" s="316"/>
    </row>
    <row r="59" spans="2:2" x14ac:dyDescent="0.2">
      <c r="B59" s="316"/>
    </row>
    <row r="60" spans="2:2" x14ac:dyDescent="0.2">
      <c r="B60" s="316"/>
    </row>
    <row r="61" spans="2:2" x14ac:dyDescent="0.2">
      <c r="B61" s="316"/>
    </row>
    <row r="62" spans="2:2" x14ac:dyDescent="0.2">
      <c r="B62" s="316"/>
    </row>
    <row r="63" spans="2:2" x14ac:dyDescent="0.2">
      <c r="B63" s="316"/>
    </row>
    <row r="64" spans="2:2" x14ac:dyDescent="0.2">
      <c r="B64" s="316"/>
    </row>
    <row r="65" spans="2:2" x14ac:dyDescent="0.2">
      <c r="B65" s="316"/>
    </row>
    <row r="66" spans="2:2" x14ac:dyDescent="0.2">
      <c r="B66" s="316"/>
    </row>
    <row r="67" spans="2:2" x14ac:dyDescent="0.2">
      <c r="B67" s="316"/>
    </row>
    <row r="68" spans="2:2" x14ac:dyDescent="0.2">
      <c r="B68" s="316"/>
    </row>
    <row r="69" spans="2:2" x14ac:dyDescent="0.2">
      <c r="B69" s="316"/>
    </row>
    <row r="70" spans="2:2" x14ac:dyDescent="0.2">
      <c r="B70" s="316"/>
    </row>
    <row r="71" spans="2:2" x14ac:dyDescent="0.2">
      <c r="B71" s="316"/>
    </row>
    <row r="72" spans="2:2" x14ac:dyDescent="0.2">
      <c r="B72" s="316"/>
    </row>
    <row r="73" spans="2:2" x14ac:dyDescent="0.2">
      <c r="B73" s="316"/>
    </row>
    <row r="74" spans="2:2" x14ac:dyDescent="0.2">
      <c r="B74" s="316"/>
    </row>
    <row r="75" spans="2:2" x14ac:dyDescent="0.2">
      <c r="B75" s="316"/>
    </row>
    <row r="76" spans="2:2" x14ac:dyDescent="0.2">
      <c r="B76" s="316"/>
    </row>
    <row r="77" spans="2:2" x14ac:dyDescent="0.2">
      <c r="B77" s="316"/>
    </row>
    <row r="78" spans="2:2" x14ac:dyDescent="0.2">
      <c r="B78" s="316"/>
    </row>
    <row r="79" spans="2:2" x14ac:dyDescent="0.2">
      <c r="B79" s="316"/>
    </row>
    <row r="80" spans="2:2" x14ac:dyDescent="0.2">
      <c r="B80" s="316"/>
    </row>
    <row r="81" spans="2:2" x14ac:dyDescent="0.2">
      <c r="B81" s="316"/>
    </row>
    <row r="82" spans="2:2" x14ac:dyDescent="0.2">
      <c r="B82" s="316"/>
    </row>
    <row r="83" spans="2:2" x14ac:dyDescent="0.2">
      <c r="B83" s="316"/>
    </row>
    <row r="84" spans="2:2" x14ac:dyDescent="0.2">
      <c r="B84" s="316"/>
    </row>
    <row r="85" spans="2:2" x14ac:dyDescent="0.2">
      <c r="B85" s="316"/>
    </row>
    <row r="86" spans="2:2" x14ac:dyDescent="0.2">
      <c r="B86" s="316"/>
    </row>
    <row r="87" spans="2:2" x14ac:dyDescent="0.2">
      <c r="B87" s="316"/>
    </row>
    <row r="88" spans="2:2" x14ac:dyDescent="0.2">
      <c r="B88" s="316"/>
    </row>
    <row r="89" spans="2:2" x14ac:dyDescent="0.2">
      <c r="B89" s="316"/>
    </row>
    <row r="90" spans="2:2" x14ac:dyDescent="0.2">
      <c r="B90" s="316"/>
    </row>
    <row r="91" spans="2:2" x14ac:dyDescent="0.2">
      <c r="B91" s="316"/>
    </row>
    <row r="92" spans="2:2" x14ac:dyDescent="0.2">
      <c r="B92" s="316"/>
    </row>
    <row r="93" spans="2:2" x14ac:dyDescent="0.2">
      <c r="B93" s="316"/>
    </row>
    <row r="94" spans="2:2" x14ac:dyDescent="0.2">
      <c r="B94" s="316"/>
    </row>
    <row r="95" spans="2:2" x14ac:dyDescent="0.2">
      <c r="B95" s="316"/>
    </row>
    <row r="96" spans="2:2" x14ac:dyDescent="0.2">
      <c r="B96" s="316"/>
    </row>
    <row r="97" spans="2:2" x14ac:dyDescent="0.2">
      <c r="B97" s="316"/>
    </row>
    <row r="98" spans="2:2" x14ac:dyDescent="0.2">
      <c r="B98" s="316"/>
    </row>
    <row r="99" spans="2:2" x14ac:dyDescent="0.2">
      <c r="B99" s="316"/>
    </row>
    <row r="100" spans="2:2" x14ac:dyDescent="0.2">
      <c r="B100" s="316"/>
    </row>
    <row r="101" spans="2:2" x14ac:dyDescent="0.2">
      <c r="B101" s="316"/>
    </row>
    <row r="102" spans="2:2" x14ac:dyDescent="0.2">
      <c r="B102" s="316"/>
    </row>
    <row r="103" spans="2:2" x14ac:dyDescent="0.2">
      <c r="B103" s="316"/>
    </row>
    <row r="104" spans="2:2" x14ac:dyDescent="0.2">
      <c r="B104" s="316"/>
    </row>
    <row r="105" spans="2:2" x14ac:dyDescent="0.2">
      <c r="B105" s="316"/>
    </row>
    <row r="106" spans="2:2" x14ac:dyDescent="0.2">
      <c r="B106" s="316"/>
    </row>
    <row r="107" spans="2:2" x14ac:dyDescent="0.2">
      <c r="B107" s="316"/>
    </row>
    <row r="108" spans="2:2" x14ac:dyDescent="0.2">
      <c r="B108" s="316"/>
    </row>
    <row r="109" spans="2:2" x14ac:dyDescent="0.2">
      <c r="B109" s="319"/>
    </row>
    <row r="110" spans="2:2" x14ac:dyDescent="0.2">
      <c r="B110" s="319"/>
    </row>
    <row r="111" spans="2:2" x14ac:dyDescent="0.2">
      <c r="B111" s="319"/>
    </row>
    <row r="112" spans="2:2" x14ac:dyDescent="0.2">
      <c r="B112" s="319"/>
    </row>
    <row r="113" spans="2:2" x14ac:dyDescent="0.2">
      <c r="B113" s="319"/>
    </row>
    <row r="114" spans="2:2" x14ac:dyDescent="0.2">
      <c r="B114" s="319"/>
    </row>
    <row r="115" spans="2:2" x14ac:dyDescent="0.2">
      <c r="B115" s="319"/>
    </row>
    <row r="116" spans="2:2" x14ac:dyDescent="0.2">
      <c r="B116" s="319"/>
    </row>
    <row r="117" spans="2:2" x14ac:dyDescent="0.2">
      <c r="B117" s="319"/>
    </row>
    <row r="118" spans="2:2" x14ac:dyDescent="0.2">
      <c r="B118" s="319"/>
    </row>
    <row r="119" spans="2:2" x14ac:dyDescent="0.2">
      <c r="B119" s="319"/>
    </row>
    <row r="120" spans="2:2" x14ac:dyDescent="0.2">
      <c r="B120" s="319"/>
    </row>
    <row r="121" spans="2:2" x14ac:dyDescent="0.2">
      <c r="B121" s="319"/>
    </row>
    <row r="122" spans="2:2" x14ac:dyDescent="0.2">
      <c r="B122" s="319"/>
    </row>
    <row r="123" spans="2:2" x14ac:dyDescent="0.2">
      <c r="B123" s="319"/>
    </row>
    <row r="124" spans="2:2" x14ac:dyDescent="0.2">
      <c r="B124" s="319"/>
    </row>
    <row r="125" spans="2:2" x14ac:dyDescent="0.2">
      <c r="B125" s="319"/>
    </row>
    <row r="126" spans="2:2" x14ac:dyDescent="0.2">
      <c r="B126" s="319"/>
    </row>
    <row r="127" spans="2:2" x14ac:dyDescent="0.2">
      <c r="B127" s="319"/>
    </row>
    <row r="128" spans="2:2" x14ac:dyDescent="0.2">
      <c r="B128" s="319"/>
    </row>
    <row r="129" spans="2:2" x14ac:dyDescent="0.2">
      <c r="B129" s="319"/>
    </row>
    <row r="130" spans="2:2" x14ac:dyDescent="0.2">
      <c r="B130" s="319"/>
    </row>
    <row r="131" spans="2:2" x14ac:dyDescent="0.2">
      <c r="B131" s="319"/>
    </row>
    <row r="132" spans="2:2" x14ac:dyDescent="0.2">
      <c r="B132" s="319"/>
    </row>
    <row r="133" spans="2:2" x14ac:dyDescent="0.2">
      <c r="B133" s="319"/>
    </row>
    <row r="134" spans="2:2" x14ac:dyDescent="0.2">
      <c r="B134" s="319"/>
    </row>
    <row r="135" spans="2:2" x14ac:dyDescent="0.2">
      <c r="B135" s="319"/>
    </row>
    <row r="136" spans="2:2" x14ac:dyDescent="0.2">
      <c r="B136" s="319"/>
    </row>
    <row r="137" spans="2:2" x14ac:dyDescent="0.2">
      <c r="B137" s="319"/>
    </row>
    <row r="138" spans="2:2" x14ac:dyDescent="0.2">
      <c r="B138" s="319"/>
    </row>
    <row r="139" spans="2:2" x14ac:dyDescent="0.2">
      <c r="B139" s="319"/>
    </row>
    <row r="140" spans="2:2" x14ac:dyDescent="0.2">
      <c r="B140" s="319"/>
    </row>
    <row r="141" spans="2:2" x14ac:dyDescent="0.2">
      <c r="B141" s="319"/>
    </row>
    <row r="142" spans="2:2" x14ac:dyDescent="0.2">
      <c r="B142" s="319"/>
    </row>
    <row r="143" spans="2:2" x14ac:dyDescent="0.2">
      <c r="B143" s="319"/>
    </row>
    <row r="144" spans="2:2" x14ac:dyDescent="0.2">
      <c r="B144" s="319"/>
    </row>
    <row r="145" spans="2:2" x14ac:dyDescent="0.2">
      <c r="B145" s="319"/>
    </row>
    <row r="146" spans="2:2" x14ac:dyDescent="0.2">
      <c r="B146" s="319"/>
    </row>
    <row r="147" spans="2:2" x14ac:dyDescent="0.2">
      <c r="B147" s="319"/>
    </row>
    <row r="148" spans="2:2" x14ac:dyDescent="0.2">
      <c r="B148" s="319"/>
    </row>
    <row r="149" spans="2:2" x14ac:dyDescent="0.2">
      <c r="B149" s="319"/>
    </row>
    <row r="150" spans="2:2" x14ac:dyDescent="0.2">
      <c r="B150" s="319"/>
    </row>
    <row r="151" spans="2:2" x14ac:dyDescent="0.2">
      <c r="B151" s="319"/>
    </row>
    <row r="152" spans="2:2" x14ac:dyDescent="0.2">
      <c r="B152" s="319"/>
    </row>
    <row r="153" spans="2:2" x14ac:dyDescent="0.2">
      <c r="B153" s="319"/>
    </row>
    <row r="154" spans="2:2" x14ac:dyDescent="0.2">
      <c r="B154" s="319"/>
    </row>
    <row r="155" spans="2:2" x14ac:dyDescent="0.2">
      <c r="B155" s="319"/>
    </row>
    <row r="156" spans="2:2" x14ac:dyDescent="0.2">
      <c r="B156" s="319"/>
    </row>
    <row r="157" spans="2:2" x14ac:dyDescent="0.2">
      <c r="B157" s="319"/>
    </row>
    <row r="158" spans="2:2" x14ac:dyDescent="0.2">
      <c r="B158" s="319"/>
    </row>
    <row r="159" spans="2:2" x14ac:dyDescent="0.2">
      <c r="B159" s="319"/>
    </row>
    <row r="160" spans="2:2" x14ac:dyDescent="0.2">
      <c r="B160" s="319"/>
    </row>
    <row r="161" spans="2:2" x14ac:dyDescent="0.2">
      <c r="B161" s="319"/>
    </row>
    <row r="162" spans="2:2" x14ac:dyDescent="0.2">
      <c r="B162" s="319"/>
    </row>
    <row r="163" spans="2:2" x14ac:dyDescent="0.2">
      <c r="B163" s="319"/>
    </row>
    <row r="164" spans="2:2" x14ac:dyDescent="0.2">
      <c r="B164" s="319"/>
    </row>
    <row r="165" spans="2:2" x14ac:dyDescent="0.2">
      <c r="B165" s="319"/>
    </row>
    <row r="166" spans="2:2" x14ac:dyDescent="0.2">
      <c r="B166" s="319"/>
    </row>
    <row r="167" spans="2:2" x14ac:dyDescent="0.2">
      <c r="B167" s="319"/>
    </row>
    <row r="168" spans="2:2" x14ac:dyDescent="0.2">
      <c r="B168" s="319"/>
    </row>
    <row r="169" spans="2:2" x14ac:dyDescent="0.2">
      <c r="B169" s="319"/>
    </row>
    <row r="170" spans="2:2" x14ac:dyDescent="0.2">
      <c r="B170" s="319"/>
    </row>
    <row r="171" spans="2:2" x14ac:dyDescent="0.2">
      <c r="B171" s="319"/>
    </row>
    <row r="172" spans="2:2" x14ac:dyDescent="0.2">
      <c r="B172" s="319"/>
    </row>
    <row r="173" spans="2:2" x14ac:dyDescent="0.2">
      <c r="B173" s="319"/>
    </row>
    <row r="174" spans="2:2" x14ac:dyDescent="0.2">
      <c r="B174" s="319"/>
    </row>
    <row r="175" spans="2:2" x14ac:dyDescent="0.2">
      <c r="B175" s="319"/>
    </row>
    <row r="176" spans="2:2" x14ac:dyDescent="0.2">
      <c r="B176" s="319"/>
    </row>
    <row r="177" spans="2:2" x14ac:dyDescent="0.2">
      <c r="B177" s="319"/>
    </row>
    <row r="178" spans="2:2" x14ac:dyDescent="0.2">
      <c r="B178" s="319"/>
    </row>
    <row r="179" spans="2:2" x14ac:dyDescent="0.2">
      <c r="B179" s="319"/>
    </row>
    <row r="180" spans="2:2" x14ac:dyDescent="0.2">
      <c r="B180" s="319"/>
    </row>
    <row r="181" spans="2:2" x14ac:dyDescent="0.2">
      <c r="B181" s="319"/>
    </row>
    <row r="182" spans="2:2" x14ac:dyDescent="0.2">
      <c r="B182" s="319"/>
    </row>
    <row r="183" spans="2:2" x14ac:dyDescent="0.2">
      <c r="B183" s="319"/>
    </row>
    <row r="184" spans="2:2" x14ac:dyDescent="0.2">
      <c r="B184" s="319"/>
    </row>
    <row r="185" spans="2:2" x14ac:dyDescent="0.2">
      <c r="B185" s="319"/>
    </row>
    <row r="186" spans="2:2" x14ac:dyDescent="0.2">
      <c r="B186" s="319"/>
    </row>
    <row r="187" spans="2:2" x14ac:dyDescent="0.2">
      <c r="B187" s="319"/>
    </row>
    <row r="188" spans="2:2" x14ac:dyDescent="0.2">
      <c r="B188" s="319"/>
    </row>
    <row r="189" spans="2:2" x14ac:dyDescent="0.2">
      <c r="B189" s="319"/>
    </row>
    <row r="190" spans="2:2" x14ac:dyDescent="0.2">
      <c r="B190" s="319"/>
    </row>
    <row r="191" spans="2:2" x14ac:dyDescent="0.2">
      <c r="B191" s="319"/>
    </row>
    <row r="192" spans="2:2" x14ac:dyDescent="0.2">
      <c r="B192" s="319"/>
    </row>
    <row r="193" spans="2:2" x14ac:dyDescent="0.2">
      <c r="B193" s="319"/>
    </row>
    <row r="194" spans="2:2" x14ac:dyDescent="0.2">
      <c r="B194" s="319"/>
    </row>
    <row r="195" spans="2:2" x14ac:dyDescent="0.2">
      <c r="B195" s="319"/>
    </row>
    <row r="196" spans="2:2" x14ac:dyDescent="0.2">
      <c r="B196" s="319"/>
    </row>
    <row r="197" spans="2:2" x14ac:dyDescent="0.2">
      <c r="B197" s="319"/>
    </row>
    <row r="198" spans="2:2" x14ac:dyDescent="0.2">
      <c r="B198" s="319"/>
    </row>
    <row r="199" spans="2:2" x14ac:dyDescent="0.2">
      <c r="B199" s="319"/>
    </row>
    <row r="200" spans="2:2" x14ac:dyDescent="0.2">
      <c r="B200" s="319"/>
    </row>
    <row r="201" spans="2:2" x14ac:dyDescent="0.2">
      <c r="B201" s="319"/>
    </row>
    <row r="202" spans="2:2" x14ac:dyDescent="0.2">
      <c r="B202" s="319"/>
    </row>
    <row r="203" spans="2:2" x14ac:dyDescent="0.2">
      <c r="B203" s="319"/>
    </row>
    <row r="204" spans="2:2" x14ac:dyDescent="0.2">
      <c r="B204" s="319"/>
    </row>
    <row r="205" spans="2:2" x14ac:dyDescent="0.2">
      <c r="B205" s="319"/>
    </row>
    <row r="206" spans="2:2" x14ac:dyDescent="0.2">
      <c r="B206" s="319"/>
    </row>
    <row r="207" spans="2:2" x14ac:dyDescent="0.2">
      <c r="B207" s="319"/>
    </row>
    <row r="208" spans="2:2" x14ac:dyDescent="0.2">
      <c r="B208" s="319"/>
    </row>
    <row r="209" spans="2:2" x14ac:dyDescent="0.2">
      <c r="B209" s="319"/>
    </row>
    <row r="210" spans="2:2" x14ac:dyDescent="0.2">
      <c r="B210" s="319"/>
    </row>
    <row r="211" spans="2:2" x14ac:dyDescent="0.2">
      <c r="B211" s="319"/>
    </row>
    <row r="212" spans="2:2" x14ac:dyDescent="0.2">
      <c r="B212" s="319"/>
    </row>
    <row r="213" spans="2:2" x14ac:dyDescent="0.2">
      <c r="B213" s="319"/>
    </row>
    <row r="214" spans="2:2" x14ac:dyDescent="0.2">
      <c r="B214" s="319"/>
    </row>
    <row r="215" spans="2:2" x14ac:dyDescent="0.2">
      <c r="B215" s="319"/>
    </row>
    <row r="216" spans="2:2" x14ac:dyDescent="0.2">
      <c r="B216" s="319"/>
    </row>
    <row r="217" spans="2:2" x14ac:dyDescent="0.2">
      <c r="B217" s="319"/>
    </row>
    <row r="218" spans="2:2" x14ac:dyDescent="0.2">
      <c r="B218" s="319"/>
    </row>
    <row r="219" spans="2:2" x14ac:dyDescent="0.2">
      <c r="B219" s="319"/>
    </row>
    <row r="220" spans="2:2" x14ac:dyDescent="0.2">
      <c r="B220" s="319"/>
    </row>
    <row r="221" spans="2:2" x14ac:dyDescent="0.2">
      <c r="B221" s="319"/>
    </row>
    <row r="222" spans="2:2" x14ac:dyDescent="0.2">
      <c r="B222" s="319"/>
    </row>
    <row r="223" spans="2:2" x14ac:dyDescent="0.2">
      <c r="B223" s="319"/>
    </row>
    <row r="224" spans="2:2" x14ac:dyDescent="0.2">
      <c r="B224" s="319"/>
    </row>
    <row r="225" spans="2:2" x14ac:dyDescent="0.2">
      <c r="B225" s="319"/>
    </row>
    <row r="226" spans="2:2" x14ac:dyDescent="0.2">
      <c r="B226" s="319"/>
    </row>
    <row r="227" spans="2:2" x14ac:dyDescent="0.2">
      <c r="B227" s="319"/>
    </row>
    <row r="228" spans="2:2" x14ac:dyDescent="0.2">
      <c r="B228" s="319"/>
    </row>
    <row r="229" spans="2:2" x14ac:dyDescent="0.2">
      <c r="B229" s="319"/>
    </row>
    <row r="230" spans="2:2" x14ac:dyDescent="0.2">
      <c r="B230" s="319"/>
    </row>
    <row r="231" spans="2:2" x14ac:dyDescent="0.2">
      <c r="B231" s="319"/>
    </row>
    <row r="232" spans="2:2" x14ac:dyDescent="0.2">
      <c r="B232" s="319"/>
    </row>
    <row r="233" spans="2:2" x14ac:dyDescent="0.2">
      <c r="B233" s="319"/>
    </row>
    <row r="234" spans="2:2" x14ac:dyDescent="0.2">
      <c r="B234" s="319"/>
    </row>
    <row r="235" spans="2:2" x14ac:dyDescent="0.2">
      <c r="B235" s="319"/>
    </row>
    <row r="236" spans="2:2" x14ac:dyDescent="0.2">
      <c r="B236" s="319"/>
    </row>
    <row r="237" spans="2:2" x14ac:dyDescent="0.2">
      <c r="B237" s="319"/>
    </row>
    <row r="238" spans="2:2" x14ac:dyDescent="0.2">
      <c r="B238" s="319"/>
    </row>
    <row r="239" spans="2:2" x14ac:dyDescent="0.2">
      <c r="B239" s="319"/>
    </row>
    <row r="240" spans="2:2" x14ac:dyDescent="0.2">
      <c r="B240" s="319"/>
    </row>
    <row r="241" spans="2:2" x14ac:dyDescent="0.2">
      <c r="B241" s="319"/>
    </row>
    <row r="242" spans="2:2" x14ac:dyDescent="0.2">
      <c r="B242" s="319"/>
    </row>
    <row r="243" spans="2:2" x14ac:dyDescent="0.2">
      <c r="B243" s="319"/>
    </row>
    <row r="244" spans="2:2" x14ac:dyDescent="0.2">
      <c r="B244" s="319"/>
    </row>
    <row r="245" spans="2:2" x14ac:dyDescent="0.2">
      <c r="B245" s="319"/>
    </row>
    <row r="246" spans="2:2" x14ac:dyDescent="0.2">
      <c r="B246" s="319"/>
    </row>
    <row r="247" spans="2:2" x14ac:dyDescent="0.2">
      <c r="B247" s="319"/>
    </row>
    <row r="248" spans="2:2" x14ac:dyDescent="0.2">
      <c r="B248" s="319"/>
    </row>
    <row r="249" spans="2:2" x14ac:dyDescent="0.2">
      <c r="B249" s="319"/>
    </row>
    <row r="250" spans="2:2" x14ac:dyDescent="0.2">
      <c r="B250" s="319"/>
    </row>
    <row r="251" spans="2:2" x14ac:dyDescent="0.2">
      <c r="B251" s="319"/>
    </row>
    <row r="252" spans="2:2" x14ac:dyDescent="0.2">
      <c r="B252" s="319"/>
    </row>
    <row r="253" spans="2:2" x14ac:dyDescent="0.2">
      <c r="B253" s="319"/>
    </row>
    <row r="254" spans="2:2" x14ac:dyDescent="0.2">
      <c r="B254" s="319"/>
    </row>
    <row r="255" spans="2:2" x14ac:dyDescent="0.2">
      <c r="B255" s="319"/>
    </row>
    <row r="256" spans="2:2" x14ac:dyDescent="0.2">
      <c r="B256" s="319"/>
    </row>
    <row r="257" spans="2:2" x14ac:dyDescent="0.2">
      <c r="B257" s="319"/>
    </row>
    <row r="258" spans="2:2" x14ac:dyDescent="0.2">
      <c r="B258" s="319"/>
    </row>
    <row r="259" spans="2:2" x14ac:dyDescent="0.2">
      <c r="B259" s="319"/>
    </row>
    <row r="260" spans="2:2" x14ac:dyDescent="0.2">
      <c r="B260" s="319"/>
    </row>
    <row r="261" spans="2:2" x14ac:dyDescent="0.2">
      <c r="B261" s="319"/>
    </row>
    <row r="262" spans="2:2" x14ac:dyDescent="0.2">
      <c r="B262" s="319"/>
    </row>
    <row r="263" spans="2:2" x14ac:dyDescent="0.2">
      <c r="B263" s="319"/>
    </row>
    <row r="264" spans="2:2" x14ac:dyDescent="0.2">
      <c r="B264" s="319"/>
    </row>
    <row r="265" spans="2:2" x14ac:dyDescent="0.2">
      <c r="B265" s="319"/>
    </row>
    <row r="266" spans="2:2" x14ac:dyDescent="0.2">
      <c r="B266" s="319"/>
    </row>
    <row r="267" spans="2:2" x14ac:dyDescent="0.2">
      <c r="B267" s="319"/>
    </row>
    <row r="268" spans="2:2" x14ac:dyDescent="0.2">
      <c r="B268" s="319"/>
    </row>
    <row r="269" spans="2:2" x14ac:dyDescent="0.2">
      <c r="B269" s="319"/>
    </row>
    <row r="270" spans="2:2" x14ac:dyDescent="0.2">
      <c r="B270" s="319"/>
    </row>
    <row r="271" spans="2:2" x14ac:dyDescent="0.2">
      <c r="B271" s="319"/>
    </row>
    <row r="272" spans="2:2" x14ac:dyDescent="0.2">
      <c r="B272" s="319"/>
    </row>
    <row r="273" spans="2:2" x14ac:dyDescent="0.2">
      <c r="B273" s="319"/>
    </row>
    <row r="274" spans="2:2" x14ac:dyDescent="0.2">
      <c r="B274" s="319"/>
    </row>
    <row r="275" spans="2:2" x14ac:dyDescent="0.2">
      <c r="B275" s="319"/>
    </row>
    <row r="276" spans="2:2" x14ac:dyDescent="0.2">
      <c r="B276" s="319"/>
    </row>
    <row r="277" spans="2:2" x14ac:dyDescent="0.2">
      <c r="B277" s="319"/>
    </row>
    <row r="278" spans="2:2" x14ac:dyDescent="0.2">
      <c r="B278" s="319"/>
    </row>
    <row r="279" spans="2:2" x14ac:dyDescent="0.2">
      <c r="B279" s="319"/>
    </row>
    <row r="280" spans="2:2" x14ac:dyDescent="0.2">
      <c r="B280" s="319"/>
    </row>
    <row r="281" spans="2:2" x14ac:dyDescent="0.2">
      <c r="B281" s="319"/>
    </row>
    <row r="282" spans="2:2" x14ac:dyDescent="0.2">
      <c r="B282" s="319"/>
    </row>
    <row r="283" spans="2:2" x14ac:dyDescent="0.2">
      <c r="B283" s="319"/>
    </row>
    <row r="284" spans="2:2" x14ac:dyDescent="0.2">
      <c r="B284" s="319"/>
    </row>
    <row r="285" spans="2:2" x14ac:dyDescent="0.2">
      <c r="B285" s="319"/>
    </row>
    <row r="286" spans="2:2" x14ac:dyDescent="0.2">
      <c r="B286" s="319"/>
    </row>
    <row r="287" spans="2:2" x14ac:dyDescent="0.2">
      <c r="B287" s="319"/>
    </row>
    <row r="288" spans="2:2" x14ac:dyDescent="0.2">
      <c r="B288" s="319"/>
    </row>
    <row r="289" spans="2:2" x14ac:dyDescent="0.2">
      <c r="B289" s="319"/>
    </row>
    <row r="290" spans="2:2" x14ac:dyDescent="0.2">
      <c r="B290" s="319"/>
    </row>
    <row r="291" spans="2:2" x14ac:dyDescent="0.2">
      <c r="B291" s="319"/>
    </row>
    <row r="292" spans="2:2" x14ac:dyDescent="0.2">
      <c r="B292" s="319"/>
    </row>
    <row r="293" spans="2:2" x14ac:dyDescent="0.2">
      <c r="B293" s="319"/>
    </row>
    <row r="294" spans="2:2" x14ac:dyDescent="0.2">
      <c r="B294" s="319"/>
    </row>
    <row r="295" spans="2:2" x14ac:dyDescent="0.2">
      <c r="B295" s="319"/>
    </row>
    <row r="296" spans="2:2" x14ac:dyDescent="0.2">
      <c r="B296" s="319"/>
    </row>
    <row r="297" spans="2:2" x14ac:dyDescent="0.2">
      <c r="B297" s="319"/>
    </row>
    <row r="298" spans="2:2" x14ac:dyDescent="0.2">
      <c r="B298" s="319"/>
    </row>
    <row r="299" spans="2:2" x14ac:dyDescent="0.2">
      <c r="B299" s="319"/>
    </row>
    <row r="300" spans="2:2" x14ac:dyDescent="0.2">
      <c r="B300" s="319"/>
    </row>
    <row r="301" spans="2:2" x14ac:dyDescent="0.2">
      <c r="B301" s="319"/>
    </row>
    <row r="302" spans="2:2" x14ac:dyDescent="0.2">
      <c r="B302" s="319"/>
    </row>
    <row r="303" spans="2:2" x14ac:dyDescent="0.2">
      <c r="B303" s="319"/>
    </row>
    <row r="304" spans="2:2" x14ac:dyDescent="0.2">
      <c r="B304" s="319"/>
    </row>
    <row r="305" spans="2:2" x14ac:dyDescent="0.2">
      <c r="B305" s="319"/>
    </row>
    <row r="306" spans="2:2" x14ac:dyDescent="0.2">
      <c r="B306" s="319"/>
    </row>
    <row r="307" spans="2:2" x14ac:dyDescent="0.2">
      <c r="B307" s="319"/>
    </row>
    <row r="308" spans="2:2" x14ac:dyDescent="0.2">
      <c r="B308" s="319"/>
    </row>
    <row r="309" spans="2:2" x14ac:dyDescent="0.2">
      <c r="B309" s="319"/>
    </row>
    <row r="310" spans="2:2" x14ac:dyDescent="0.2">
      <c r="B310" s="319"/>
    </row>
    <row r="311" spans="2:2" x14ac:dyDescent="0.2">
      <c r="B311" s="319"/>
    </row>
    <row r="312" spans="2:2" x14ac:dyDescent="0.2">
      <c r="B312" s="319"/>
    </row>
    <row r="313" spans="2:2" x14ac:dyDescent="0.2">
      <c r="B313" s="319"/>
    </row>
    <row r="314" spans="2:2" x14ac:dyDescent="0.2">
      <c r="B314" s="319"/>
    </row>
    <row r="315" spans="2:2" x14ac:dyDescent="0.2">
      <c r="B315" s="319"/>
    </row>
    <row r="316" spans="2:2" x14ac:dyDescent="0.2">
      <c r="B316" s="319"/>
    </row>
    <row r="317" spans="2:2" x14ac:dyDescent="0.2">
      <c r="B317" s="319"/>
    </row>
    <row r="318" spans="2:2" x14ac:dyDescent="0.2">
      <c r="B318" s="319"/>
    </row>
    <row r="319" spans="2:2" x14ac:dyDescent="0.2">
      <c r="B319" s="319"/>
    </row>
    <row r="320" spans="2:2" x14ac:dyDescent="0.2">
      <c r="B320" s="319"/>
    </row>
    <row r="321" spans="2:2" x14ac:dyDescent="0.2">
      <c r="B321" s="319"/>
    </row>
    <row r="322" spans="2:2" x14ac:dyDescent="0.2">
      <c r="B322" s="319"/>
    </row>
    <row r="323" spans="2:2" x14ac:dyDescent="0.2">
      <c r="B323" s="319"/>
    </row>
    <row r="324" spans="2:2" x14ac:dyDescent="0.2">
      <c r="B324" s="319"/>
    </row>
    <row r="325" spans="2:2" x14ac:dyDescent="0.2">
      <c r="B325" s="319"/>
    </row>
    <row r="326" spans="2:2" x14ac:dyDescent="0.2">
      <c r="B326" s="319"/>
    </row>
    <row r="327" spans="2:2" x14ac:dyDescent="0.2">
      <c r="B327" s="319"/>
    </row>
    <row r="328" spans="2:2" x14ac:dyDescent="0.2">
      <c r="B328" s="319"/>
    </row>
    <row r="329" spans="2:2" x14ac:dyDescent="0.2">
      <c r="B329" s="319"/>
    </row>
    <row r="330" spans="2:2" x14ac:dyDescent="0.2">
      <c r="B330" s="319"/>
    </row>
    <row r="331" spans="2:2" x14ac:dyDescent="0.2">
      <c r="B331" s="319"/>
    </row>
    <row r="332" spans="2:2" x14ac:dyDescent="0.2">
      <c r="B332" s="319"/>
    </row>
    <row r="333" spans="2:2" x14ac:dyDescent="0.2">
      <c r="B333" s="319"/>
    </row>
    <row r="334" spans="2:2" x14ac:dyDescent="0.2">
      <c r="B334" s="319"/>
    </row>
    <row r="335" spans="2:2" x14ac:dyDescent="0.2">
      <c r="B335" s="319"/>
    </row>
    <row r="336" spans="2:2" x14ac:dyDescent="0.2">
      <c r="B336" s="319"/>
    </row>
    <row r="337" spans="2:2" x14ac:dyDescent="0.2">
      <c r="B337" s="319"/>
    </row>
    <row r="338" spans="2:2" x14ac:dyDescent="0.2">
      <c r="B338" s="319"/>
    </row>
    <row r="339" spans="2:2" x14ac:dyDescent="0.2">
      <c r="B339" s="319"/>
    </row>
    <row r="340" spans="2:2" x14ac:dyDescent="0.2">
      <c r="B340" s="319"/>
    </row>
    <row r="341" spans="2:2" x14ac:dyDescent="0.2">
      <c r="B341" s="319"/>
    </row>
    <row r="342" spans="2:2" x14ac:dyDescent="0.2">
      <c r="B342" s="319"/>
    </row>
    <row r="343" spans="2:2" x14ac:dyDescent="0.2">
      <c r="B343" s="319"/>
    </row>
    <row r="344" spans="2:2" x14ac:dyDescent="0.2">
      <c r="B344" s="319"/>
    </row>
    <row r="345" spans="2:2" x14ac:dyDescent="0.2">
      <c r="B345" s="319"/>
    </row>
    <row r="346" spans="2:2" x14ac:dyDescent="0.2">
      <c r="B346" s="319"/>
    </row>
    <row r="347" spans="2:2" x14ac:dyDescent="0.2">
      <c r="B347" s="319"/>
    </row>
    <row r="348" spans="2:2" x14ac:dyDescent="0.2">
      <c r="B348" s="319"/>
    </row>
    <row r="349" spans="2:2" x14ac:dyDescent="0.2">
      <c r="B349" s="319"/>
    </row>
    <row r="350" spans="2:2" x14ac:dyDescent="0.2">
      <c r="B350" s="319"/>
    </row>
    <row r="351" spans="2:2" x14ac:dyDescent="0.2">
      <c r="B351" s="319"/>
    </row>
    <row r="352" spans="2:2" x14ac:dyDescent="0.2">
      <c r="B352" s="319"/>
    </row>
    <row r="353" spans="2:2" x14ac:dyDescent="0.2">
      <c r="B353" s="319"/>
    </row>
    <row r="354" spans="2:2" x14ac:dyDescent="0.2">
      <c r="B354" s="319"/>
    </row>
    <row r="355" spans="2:2" x14ac:dyDescent="0.2">
      <c r="B355" s="319"/>
    </row>
    <row r="356" spans="2:2" x14ac:dyDescent="0.2">
      <c r="B356" s="319"/>
    </row>
    <row r="357" spans="2:2" x14ac:dyDescent="0.2">
      <c r="B357" s="319"/>
    </row>
    <row r="358" spans="2:2" x14ac:dyDescent="0.2">
      <c r="B358" s="319"/>
    </row>
    <row r="359" spans="2:2" x14ac:dyDescent="0.2">
      <c r="B359" s="319"/>
    </row>
    <row r="360" spans="2:2" x14ac:dyDescent="0.2">
      <c r="B360" s="319"/>
    </row>
    <row r="361" spans="2:2" x14ac:dyDescent="0.2">
      <c r="B361" s="319"/>
    </row>
    <row r="362" spans="2:2" x14ac:dyDescent="0.2">
      <c r="B362" s="319"/>
    </row>
    <row r="363" spans="2:2" x14ac:dyDescent="0.2">
      <c r="B363" s="319"/>
    </row>
    <row r="364" spans="2:2" x14ac:dyDescent="0.2">
      <c r="B364" s="319"/>
    </row>
    <row r="365" spans="2:2" x14ac:dyDescent="0.2">
      <c r="B365" s="319"/>
    </row>
    <row r="366" spans="2:2" x14ac:dyDescent="0.2">
      <c r="B366" s="319"/>
    </row>
    <row r="367" spans="2:2" x14ac:dyDescent="0.2">
      <c r="B367" s="319"/>
    </row>
    <row r="368" spans="2:2" x14ac:dyDescent="0.2">
      <c r="B368" s="319"/>
    </row>
    <row r="369" spans="2:2" x14ac:dyDescent="0.2">
      <c r="B369" s="319"/>
    </row>
    <row r="370" spans="2:2" x14ac:dyDescent="0.2">
      <c r="B370" s="319"/>
    </row>
    <row r="371" spans="2:2" x14ac:dyDescent="0.2">
      <c r="B371" s="319"/>
    </row>
    <row r="372" spans="2:2" x14ac:dyDescent="0.2">
      <c r="B372" s="319"/>
    </row>
    <row r="373" spans="2:2" x14ac:dyDescent="0.2">
      <c r="B373" s="319"/>
    </row>
    <row r="374" spans="2:2" x14ac:dyDescent="0.2">
      <c r="B374" s="319"/>
    </row>
    <row r="375" spans="2:2" x14ac:dyDescent="0.2">
      <c r="B375" s="319"/>
    </row>
    <row r="376" spans="2:2" x14ac:dyDescent="0.2">
      <c r="B376" s="319"/>
    </row>
    <row r="377" spans="2:2" x14ac:dyDescent="0.2">
      <c r="B377" s="319"/>
    </row>
    <row r="378" spans="2:2" x14ac:dyDescent="0.2">
      <c r="B378" s="319"/>
    </row>
    <row r="379" spans="2:2" x14ac:dyDescent="0.2">
      <c r="B379" s="319"/>
    </row>
    <row r="380" spans="2:2" x14ac:dyDescent="0.2">
      <c r="B380" s="319"/>
    </row>
    <row r="381" spans="2:2" x14ac:dyDescent="0.2">
      <c r="B381" s="319"/>
    </row>
    <row r="382" spans="2:2" x14ac:dyDescent="0.2">
      <c r="B382" s="319"/>
    </row>
    <row r="383" spans="2:2" x14ac:dyDescent="0.2">
      <c r="B383" s="319"/>
    </row>
    <row r="384" spans="2:2" x14ac:dyDescent="0.2">
      <c r="B384" s="319"/>
    </row>
    <row r="385" spans="2:2" x14ac:dyDescent="0.2">
      <c r="B385" s="319"/>
    </row>
    <row r="386" spans="2:2" x14ac:dyDescent="0.2">
      <c r="B386" s="319"/>
    </row>
    <row r="387" spans="2:2" x14ac:dyDescent="0.2">
      <c r="B387" s="319"/>
    </row>
    <row r="388" spans="2:2" x14ac:dyDescent="0.2">
      <c r="B388" s="319"/>
    </row>
    <row r="389" spans="2:2" x14ac:dyDescent="0.2">
      <c r="B389" s="319"/>
    </row>
    <row r="390" spans="2:2" x14ac:dyDescent="0.2">
      <c r="B390" s="319"/>
    </row>
    <row r="391" spans="2:2" x14ac:dyDescent="0.2">
      <c r="B391" s="319"/>
    </row>
    <row r="392" spans="2:2" x14ac:dyDescent="0.2">
      <c r="B392" s="319"/>
    </row>
    <row r="393" spans="2:2" x14ac:dyDescent="0.2">
      <c r="B393" s="319"/>
    </row>
    <row r="394" spans="2:2" x14ac:dyDescent="0.2">
      <c r="B394" s="319"/>
    </row>
    <row r="395" spans="2:2" x14ac:dyDescent="0.2">
      <c r="B395" s="319"/>
    </row>
    <row r="396" spans="2:2" x14ac:dyDescent="0.2">
      <c r="B396" s="319"/>
    </row>
    <row r="397" spans="2:2" x14ac:dyDescent="0.2">
      <c r="B397" s="319"/>
    </row>
    <row r="398" spans="2:2" x14ac:dyDescent="0.2">
      <c r="B398" s="319"/>
    </row>
    <row r="399" spans="2:2" x14ac:dyDescent="0.2">
      <c r="B399" s="319"/>
    </row>
    <row r="400" spans="2:2" x14ac:dyDescent="0.2">
      <c r="B400" s="319"/>
    </row>
    <row r="401" spans="2:2" x14ac:dyDescent="0.2">
      <c r="B401" s="319"/>
    </row>
    <row r="402" spans="2:2" x14ac:dyDescent="0.2">
      <c r="B402" s="319"/>
    </row>
    <row r="403" spans="2:2" x14ac:dyDescent="0.2">
      <c r="B403" s="319"/>
    </row>
    <row r="404" spans="2:2" x14ac:dyDescent="0.2">
      <c r="B404" s="319"/>
    </row>
    <row r="405" spans="2:2" x14ac:dyDescent="0.2">
      <c r="B405" s="319"/>
    </row>
    <row r="406" spans="2:2" x14ac:dyDescent="0.2">
      <c r="B406" s="319"/>
    </row>
    <row r="407" spans="2:2" x14ac:dyDescent="0.2">
      <c r="B407" s="319"/>
    </row>
    <row r="408" spans="2:2" x14ac:dyDescent="0.2">
      <c r="B408" s="319"/>
    </row>
    <row r="409" spans="2:2" x14ac:dyDescent="0.2">
      <c r="B409" s="319"/>
    </row>
    <row r="410" spans="2:2" x14ac:dyDescent="0.2">
      <c r="B410" s="319"/>
    </row>
    <row r="411" spans="2:2" x14ac:dyDescent="0.2">
      <c r="B411" s="319"/>
    </row>
    <row r="412" spans="2:2" x14ac:dyDescent="0.2">
      <c r="B412" s="319"/>
    </row>
    <row r="413" spans="2:2" x14ac:dyDescent="0.2">
      <c r="B413" s="319"/>
    </row>
    <row r="414" spans="2:2" x14ac:dyDescent="0.2">
      <c r="B414" s="319"/>
    </row>
    <row r="415" spans="2:2" x14ac:dyDescent="0.2">
      <c r="B415" s="319"/>
    </row>
    <row r="416" spans="2:2" x14ac:dyDescent="0.2">
      <c r="B416" s="319"/>
    </row>
    <row r="417" spans="2:2" x14ac:dyDescent="0.2">
      <c r="B417" s="319"/>
    </row>
    <row r="418" spans="2:2" x14ac:dyDescent="0.2">
      <c r="B418" s="319"/>
    </row>
    <row r="419" spans="2:2" x14ac:dyDescent="0.2">
      <c r="B419" s="319"/>
    </row>
    <row r="420" spans="2:2" x14ac:dyDescent="0.2">
      <c r="B420" s="319"/>
    </row>
    <row r="421" spans="2:2" x14ac:dyDescent="0.2">
      <c r="B421" s="319"/>
    </row>
    <row r="422" spans="2:2" x14ac:dyDescent="0.2">
      <c r="B422" s="319"/>
    </row>
    <row r="423" spans="2:2" x14ac:dyDescent="0.2">
      <c r="B423" s="319"/>
    </row>
    <row r="424" spans="2:2" x14ac:dyDescent="0.2">
      <c r="B424" s="319"/>
    </row>
    <row r="425" spans="2:2" x14ac:dyDescent="0.2">
      <c r="B425" s="319"/>
    </row>
    <row r="426" spans="2:2" x14ac:dyDescent="0.2">
      <c r="B426" s="319"/>
    </row>
    <row r="427" spans="2:2" x14ac:dyDescent="0.2">
      <c r="B427" s="319"/>
    </row>
    <row r="428" spans="2:2" x14ac:dyDescent="0.2">
      <c r="B428" s="319"/>
    </row>
    <row r="429" spans="2:2" x14ac:dyDescent="0.2">
      <c r="B429" s="319"/>
    </row>
    <row r="430" spans="2:2" x14ac:dyDescent="0.2">
      <c r="B430" s="152"/>
    </row>
    <row r="431" spans="2:2" x14ac:dyDescent="0.2">
      <c r="B431" s="152"/>
    </row>
    <row r="432" spans="2:2" x14ac:dyDescent="0.2">
      <c r="B432" s="152"/>
    </row>
    <row r="433" spans="2:2" x14ac:dyDescent="0.2">
      <c r="B433" s="152"/>
    </row>
    <row r="434" spans="2:2" x14ac:dyDescent="0.2">
      <c r="B434" s="152"/>
    </row>
    <row r="435" spans="2:2" x14ac:dyDescent="0.2">
      <c r="B435" s="152"/>
    </row>
    <row r="436" spans="2:2" x14ac:dyDescent="0.2">
      <c r="B436" s="152"/>
    </row>
    <row r="437" spans="2:2" x14ac:dyDescent="0.2">
      <c r="B437" s="152"/>
    </row>
    <row r="438" spans="2:2" x14ac:dyDescent="0.2">
      <c r="B438" s="152"/>
    </row>
    <row r="439" spans="2:2" x14ac:dyDescent="0.2">
      <c r="B439" s="152"/>
    </row>
    <row r="440" spans="2:2" x14ac:dyDescent="0.2">
      <c r="B440" s="152"/>
    </row>
    <row r="441" spans="2:2" x14ac:dyDescent="0.2">
      <c r="B441" s="152"/>
    </row>
    <row r="442" spans="2:2" x14ac:dyDescent="0.2">
      <c r="B442" s="152"/>
    </row>
    <row r="443" spans="2:2" x14ac:dyDescent="0.2">
      <c r="B443" s="152"/>
    </row>
    <row r="444" spans="2:2" x14ac:dyDescent="0.2">
      <c r="B444" s="152"/>
    </row>
    <row r="445" spans="2:2" x14ac:dyDescent="0.2">
      <c r="B445" s="152"/>
    </row>
    <row r="446" spans="2:2" x14ac:dyDescent="0.2">
      <c r="B446" s="152"/>
    </row>
    <row r="447" spans="2:2" x14ac:dyDescent="0.2">
      <c r="B447" s="152"/>
    </row>
    <row r="448" spans="2:2" x14ac:dyDescent="0.2">
      <c r="B448" s="152"/>
    </row>
    <row r="449" spans="2:2" x14ac:dyDescent="0.2">
      <c r="B449" s="152"/>
    </row>
    <row r="450" spans="2:2" x14ac:dyDescent="0.2">
      <c r="B450" s="152"/>
    </row>
    <row r="451" spans="2:2" x14ac:dyDescent="0.2">
      <c r="B451" s="152"/>
    </row>
    <row r="452" spans="2:2" x14ac:dyDescent="0.2">
      <c r="B452" s="152"/>
    </row>
    <row r="453" spans="2:2" x14ac:dyDescent="0.2">
      <c r="B453" s="152"/>
    </row>
    <row r="454" spans="2:2" x14ac:dyDescent="0.2">
      <c r="B454" s="152"/>
    </row>
    <row r="455" spans="2:2" x14ac:dyDescent="0.2">
      <c r="B455" s="152"/>
    </row>
    <row r="456" spans="2:2" x14ac:dyDescent="0.2">
      <c r="B456" s="152"/>
    </row>
    <row r="457" spans="2:2" x14ac:dyDescent="0.2">
      <c r="B457" s="152"/>
    </row>
    <row r="458" spans="2:2" x14ac:dyDescent="0.2">
      <c r="B458" s="152"/>
    </row>
    <row r="459" spans="2:2" x14ac:dyDescent="0.2">
      <c r="B459" s="152"/>
    </row>
    <row r="460" spans="2:2" x14ac:dyDescent="0.2">
      <c r="B460" s="152"/>
    </row>
    <row r="461" spans="2:2" x14ac:dyDescent="0.2">
      <c r="B461" s="152"/>
    </row>
    <row r="462" spans="2:2" x14ac:dyDescent="0.2">
      <c r="B462" s="152"/>
    </row>
    <row r="463" spans="2:2" x14ac:dyDescent="0.2">
      <c r="B463" s="152"/>
    </row>
    <row r="464" spans="2:2" x14ac:dyDescent="0.2">
      <c r="B464" s="152"/>
    </row>
    <row r="465" spans="2:2" x14ac:dyDescent="0.2">
      <c r="B465" s="152"/>
    </row>
    <row r="466" spans="2:2" x14ac:dyDescent="0.2">
      <c r="B466" s="152"/>
    </row>
    <row r="467" spans="2:2" x14ac:dyDescent="0.2">
      <c r="B467" s="152"/>
    </row>
    <row r="468" spans="2:2" x14ac:dyDescent="0.2">
      <c r="B468" s="152"/>
    </row>
    <row r="469" spans="2:2" x14ac:dyDescent="0.2">
      <c r="B469" s="152"/>
    </row>
    <row r="470" spans="2:2" x14ac:dyDescent="0.2">
      <c r="B470" s="152"/>
    </row>
    <row r="471" spans="2:2" x14ac:dyDescent="0.2">
      <c r="B471" s="152"/>
    </row>
    <row r="472" spans="2:2" x14ac:dyDescent="0.2">
      <c r="B472" s="152"/>
    </row>
    <row r="473" spans="2:2" x14ac:dyDescent="0.2">
      <c r="B473" s="152"/>
    </row>
    <row r="474" spans="2:2" x14ac:dyDescent="0.2">
      <c r="B474" s="152"/>
    </row>
    <row r="475" spans="2:2" x14ac:dyDescent="0.2">
      <c r="B475" s="152"/>
    </row>
    <row r="476" spans="2:2" x14ac:dyDescent="0.2">
      <c r="B476" s="152"/>
    </row>
    <row r="477" spans="2:2" x14ac:dyDescent="0.2">
      <c r="B477" s="152"/>
    </row>
    <row r="478" spans="2:2" x14ac:dyDescent="0.2">
      <c r="B478" s="152"/>
    </row>
    <row r="479" spans="2:2" x14ac:dyDescent="0.2">
      <c r="B479" s="152"/>
    </row>
    <row r="480" spans="2:2" x14ac:dyDescent="0.2">
      <c r="B480" s="152"/>
    </row>
    <row r="481" spans="2:2" x14ac:dyDescent="0.2">
      <c r="B481" s="152"/>
    </row>
    <row r="482" spans="2:2" x14ac:dyDescent="0.2">
      <c r="B482" s="152"/>
    </row>
    <row r="483" spans="2:2" x14ac:dyDescent="0.2">
      <c r="B483" s="152"/>
    </row>
    <row r="484" spans="2:2" x14ac:dyDescent="0.2">
      <c r="B484" s="152"/>
    </row>
    <row r="485" spans="2:2" x14ac:dyDescent="0.2">
      <c r="B485" s="152"/>
    </row>
    <row r="486" spans="2:2" x14ac:dyDescent="0.2">
      <c r="B486" s="152"/>
    </row>
    <row r="487" spans="2:2" x14ac:dyDescent="0.2">
      <c r="B487" s="152"/>
    </row>
    <row r="488" spans="2:2" x14ac:dyDescent="0.2">
      <c r="B488" s="152"/>
    </row>
    <row r="489" spans="2:2" x14ac:dyDescent="0.2">
      <c r="B489" s="152"/>
    </row>
    <row r="490" spans="2:2" x14ac:dyDescent="0.2">
      <c r="B490" s="152"/>
    </row>
    <row r="491" spans="2:2" x14ac:dyDescent="0.2">
      <c r="B491" s="152"/>
    </row>
    <row r="492" spans="2:2" x14ac:dyDescent="0.2">
      <c r="B492" s="152"/>
    </row>
    <row r="493" spans="2:2" x14ac:dyDescent="0.2">
      <c r="B493" s="152"/>
    </row>
    <row r="494" spans="2:2" x14ac:dyDescent="0.2">
      <c r="B494" s="152"/>
    </row>
    <row r="495" spans="2:2" x14ac:dyDescent="0.2">
      <c r="B495" s="152"/>
    </row>
    <row r="496" spans="2:2" x14ac:dyDescent="0.2">
      <c r="B496" s="152"/>
    </row>
    <row r="497" spans="2:2" x14ac:dyDescent="0.2">
      <c r="B497" s="152"/>
    </row>
    <row r="498" spans="2:2" x14ac:dyDescent="0.2">
      <c r="B498" s="152"/>
    </row>
    <row r="499" spans="2:2" x14ac:dyDescent="0.2">
      <c r="B499" s="152"/>
    </row>
    <row r="500" spans="2:2" x14ac:dyDescent="0.2">
      <c r="B500" s="152"/>
    </row>
    <row r="501" spans="2:2" x14ac:dyDescent="0.2">
      <c r="B501" s="152"/>
    </row>
    <row r="502" spans="2:2" x14ac:dyDescent="0.2">
      <c r="B502" s="152"/>
    </row>
    <row r="503" spans="2:2" x14ac:dyDescent="0.2">
      <c r="B503" s="152"/>
    </row>
    <row r="504" spans="2:2" x14ac:dyDescent="0.2">
      <c r="B504" s="152"/>
    </row>
    <row r="505" spans="2:2" x14ac:dyDescent="0.2">
      <c r="B505" s="152"/>
    </row>
    <row r="506" spans="2:2" x14ac:dyDescent="0.2">
      <c r="B506" s="152"/>
    </row>
    <row r="507" spans="2:2" x14ac:dyDescent="0.2">
      <c r="B507" s="152"/>
    </row>
    <row r="508" spans="2:2" x14ac:dyDescent="0.2">
      <c r="B508" s="152"/>
    </row>
    <row r="509" spans="2:2" x14ac:dyDescent="0.2">
      <c r="B509" s="152"/>
    </row>
    <row r="510" spans="2:2" x14ac:dyDescent="0.2">
      <c r="B510" s="152"/>
    </row>
    <row r="511" spans="2:2" x14ac:dyDescent="0.2">
      <c r="B511" s="152"/>
    </row>
    <row r="512" spans="2:2" x14ac:dyDescent="0.2">
      <c r="B512" s="152"/>
    </row>
    <row r="513" spans="2:2" x14ac:dyDescent="0.2">
      <c r="B513" s="152"/>
    </row>
    <row r="514" spans="2:2" x14ac:dyDescent="0.2">
      <c r="B514" s="152"/>
    </row>
    <row r="515" spans="2:2" x14ac:dyDescent="0.2">
      <c r="B515" s="152"/>
    </row>
    <row r="516" spans="2:2" x14ac:dyDescent="0.2">
      <c r="B516" s="152"/>
    </row>
    <row r="517" spans="2:2" x14ac:dyDescent="0.2">
      <c r="B517" s="152"/>
    </row>
    <row r="518" spans="2:2" x14ac:dyDescent="0.2">
      <c r="B518" s="152"/>
    </row>
    <row r="519" spans="2:2" x14ac:dyDescent="0.2">
      <c r="B519" s="152"/>
    </row>
    <row r="520" spans="2:2" x14ac:dyDescent="0.2">
      <c r="B520" s="152"/>
    </row>
    <row r="521" spans="2:2" x14ac:dyDescent="0.2">
      <c r="B521" s="152"/>
    </row>
    <row r="522" spans="2:2" x14ac:dyDescent="0.2">
      <c r="B522" s="152"/>
    </row>
    <row r="523" spans="2:2" x14ac:dyDescent="0.2">
      <c r="B523" s="152"/>
    </row>
    <row r="524" spans="2:2" x14ac:dyDescent="0.2">
      <c r="B524" s="152"/>
    </row>
    <row r="525" spans="2:2" x14ac:dyDescent="0.2">
      <c r="B525" s="152"/>
    </row>
    <row r="526" spans="2:2" x14ac:dyDescent="0.2">
      <c r="B526" s="152"/>
    </row>
    <row r="527" spans="2:2" x14ac:dyDescent="0.2">
      <c r="B527" s="152"/>
    </row>
    <row r="528" spans="2:2" x14ac:dyDescent="0.2">
      <c r="B528" s="152"/>
    </row>
    <row r="529" spans="2:2" x14ac:dyDescent="0.2">
      <c r="B529" s="152"/>
    </row>
    <row r="530" spans="2:2" x14ac:dyDescent="0.2">
      <c r="B530" s="152"/>
    </row>
    <row r="531" spans="2:2" x14ac:dyDescent="0.2">
      <c r="B531" s="152"/>
    </row>
    <row r="532" spans="2:2" x14ac:dyDescent="0.2">
      <c r="B532" s="152"/>
    </row>
    <row r="533" spans="2:2" x14ac:dyDescent="0.2">
      <c r="B533" s="152"/>
    </row>
    <row r="534" spans="2:2" x14ac:dyDescent="0.2">
      <c r="B534" s="152"/>
    </row>
    <row r="535" spans="2:2" x14ac:dyDescent="0.2">
      <c r="B535" s="152"/>
    </row>
    <row r="536" spans="2:2" x14ac:dyDescent="0.2">
      <c r="B536" s="152"/>
    </row>
    <row r="537" spans="2:2" x14ac:dyDescent="0.2">
      <c r="B537" s="152"/>
    </row>
    <row r="538" spans="2:2" x14ac:dyDescent="0.2">
      <c r="B538" s="152"/>
    </row>
    <row r="539" spans="2:2" x14ac:dyDescent="0.2">
      <c r="B539" s="152"/>
    </row>
    <row r="540" spans="2:2" x14ac:dyDescent="0.2">
      <c r="B540" s="152"/>
    </row>
    <row r="541" spans="2:2" x14ac:dyDescent="0.2">
      <c r="B541" s="152"/>
    </row>
    <row r="542" spans="2:2" x14ac:dyDescent="0.2">
      <c r="B542" s="152"/>
    </row>
    <row r="543" spans="2:2" x14ac:dyDescent="0.2">
      <c r="B543" s="152"/>
    </row>
    <row r="544" spans="2:2" x14ac:dyDescent="0.2">
      <c r="B544" s="152"/>
    </row>
    <row r="545" spans="2:2" x14ac:dyDescent="0.2">
      <c r="B545" s="152"/>
    </row>
    <row r="546" spans="2:2" x14ac:dyDescent="0.2">
      <c r="B546" s="152"/>
    </row>
    <row r="547" spans="2:2" x14ac:dyDescent="0.2">
      <c r="B547" s="152"/>
    </row>
    <row r="548" spans="2:2" x14ac:dyDescent="0.2">
      <c r="B548" s="152"/>
    </row>
    <row r="549" spans="2:2" x14ac:dyDescent="0.2">
      <c r="B549" s="152"/>
    </row>
    <row r="550" spans="2:2" x14ac:dyDescent="0.2">
      <c r="B550" s="152"/>
    </row>
    <row r="551" spans="2:2" x14ac:dyDescent="0.2">
      <c r="B551" s="152"/>
    </row>
    <row r="552" spans="2:2" x14ac:dyDescent="0.2">
      <c r="B552" s="152"/>
    </row>
    <row r="553" spans="2:2" x14ac:dyDescent="0.2">
      <c r="B553" s="152"/>
    </row>
    <row r="554" spans="2:2" x14ac:dyDescent="0.2">
      <c r="B554" s="152"/>
    </row>
    <row r="555" spans="2:2" x14ac:dyDescent="0.2">
      <c r="B555" s="152"/>
    </row>
    <row r="556" spans="2:2" x14ac:dyDescent="0.2">
      <c r="B556" s="152"/>
    </row>
    <row r="557" spans="2:2" x14ac:dyDescent="0.2">
      <c r="B557" s="152"/>
    </row>
    <row r="558" spans="2:2" x14ac:dyDescent="0.2">
      <c r="B558" s="152"/>
    </row>
    <row r="559" spans="2:2" x14ac:dyDescent="0.2">
      <c r="B559" s="152"/>
    </row>
    <row r="560" spans="2:2" x14ac:dyDescent="0.2">
      <c r="B560" s="152"/>
    </row>
    <row r="561" spans="2:2" x14ac:dyDescent="0.2">
      <c r="B561" s="152"/>
    </row>
    <row r="562" spans="2:2" x14ac:dyDescent="0.2">
      <c r="B562" s="152"/>
    </row>
    <row r="563" spans="2:2" x14ac:dyDescent="0.2">
      <c r="B563" s="152"/>
    </row>
    <row r="564" spans="2:2" x14ac:dyDescent="0.2">
      <c r="B564" s="152"/>
    </row>
    <row r="565" spans="2:2" x14ac:dyDescent="0.2">
      <c r="B565" s="152"/>
    </row>
    <row r="566" spans="2:2" x14ac:dyDescent="0.2">
      <c r="B566" s="152"/>
    </row>
    <row r="567" spans="2:2" x14ac:dyDescent="0.2">
      <c r="B567" s="152"/>
    </row>
    <row r="568" spans="2:2" x14ac:dyDescent="0.2">
      <c r="B568" s="152"/>
    </row>
    <row r="569" spans="2:2" x14ac:dyDescent="0.2">
      <c r="B569" s="152"/>
    </row>
    <row r="570" spans="2:2" x14ac:dyDescent="0.2">
      <c r="B570" s="152"/>
    </row>
    <row r="571" spans="2:2" x14ac:dyDescent="0.2">
      <c r="B571" s="152"/>
    </row>
    <row r="572" spans="2:2" x14ac:dyDescent="0.2">
      <c r="B572" s="152"/>
    </row>
    <row r="573" spans="2:2" x14ac:dyDescent="0.2">
      <c r="B573" s="152"/>
    </row>
    <row r="574" spans="2:2" x14ac:dyDescent="0.2">
      <c r="B574" s="152"/>
    </row>
    <row r="575" spans="2:2" x14ac:dyDescent="0.2">
      <c r="B575" s="152"/>
    </row>
    <row r="576" spans="2:2" x14ac:dyDescent="0.2">
      <c r="B576" s="152"/>
    </row>
    <row r="577" spans="2:2" x14ac:dyDescent="0.2">
      <c r="B577" s="152"/>
    </row>
    <row r="578" spans="2:2" x14ac:dyDescent="0.2">
      <c r="B578" s="152"/>
    </row>
    <row r="579" spans="2:2" x14ac:dyDescent="0.2">
      <c r="B579" s="152"/>
    </row>
    <row r="580" spans="2:2" x14ac:dyDescent="0.2">
      <c r="B580" s="152"/>
    </row>
    <row r="581" spans="2:2" x14ac:dyDescent="0.2">
      <c r="B581" s="152"/>
    </row>
    <row r="582" spans="2:2" x14ac:dyDescent="0.2">
      <c r="B582" s="152"/>
    </row>
    <row r="583" spans="2:2" x14ac:dyDescent="0.2">
      <c r="B583" s="152"/>
    </row>
    <row r="584" spans="2:2" x14ac:dyDescent="0.2">
      <c r="B584" s="152"/>
    </row>
    <row r="585" spans="2:2" x14ac:dyDescent="0.2">
      <c r="B585" s="152"/>
    </row>
    <row r="586" spans="2:2" x14ac:dyDescent="0.2">
      <c r="B586" s="152"/>
    </row>
    <row r="587" spans="2:2" x14ac:dyDescent="0.2">
      <c r="B587" s="152"/>
    </row>
    <row r="588" spans="2:2" x14ac:dyDescent="0.2">
      <c r="B588" s="152"/>
    </row>
    <row r="589" spans="2:2" x14ac:dyDescent="0.2">
      <c r="B589" s="152"/>
    </row>
    <row r="590" spans="2:2" x14ac:dyDescent="0.2">
      <c r="B590" s="152"/>
    </row>
    <row r="591" spans="2:2" x14ac:dyDescent="0.2">
      <c r="B591" s="152"/>
    </row>
    <row r="592" spans="2:2" x14ac:dyDescent="0.2">
      <c r="B592" s="152"/>
    </row>
    <row r="593" spans="2:2" x14ac:dyDescent="0.2">
      <c r="B593" s="152"/>
    </row>
    <row r="594" spans="2:2" x14ac:dyDescent="0.2">
      <c r="B594" s="152"/>
    </row>
    <row r="595" spans="2:2" x14ac:dyDescent="0.2">
      <c r="B595" s="152"/>
    </row>
    <row r="596" spans="2:2" x14ac:dyDescent="0.2">
      <c r="B596" s="152"/>
    </row>
    <row r="597" spans="2:2" x14ac:dyDescent="0.2">
      <c r="B597" s="152"/>
    </row>
    <row r="598" spans="2:2" x14ac:dyDescent="0.2">
      <c r="B598" s="152"/>
    </row>
    <row r="599" spans="2:2" x14ac:dyDescent="0.2">
      <c r="B599" s="152"/>
    </row>
    <row r="600" spans="2:2" x14ac:dyDescent="0.2">
      <c r="B600" s="152"/>
    </row>
    <row r="601" spans="2:2" x14ac:dyDescent="0.2">
      <c r="B601" s="152"/>
    </row>
    <row r="602" spans="2:2" x14ac:dyDescent="0.2">
      <c r="B602" s="152"/>
    </row>
    <row r="603" spans="2:2" x14ac:dyDescent="0.2">
      <c r="B603" s="152"/>
    </row>
    <row r="604" spans="2:2" x14ac:dyDescent="0.2">
      <c r="B604" s="152"/>
    </row>
    <row r="605" spans="2:2" x14ac:dyDescent="0.2">
      <c r="B605" s="152"/>
    </row>
    <row r="606" spans="2:2" x14ac:dyDescent="0.2">
      <c r="B606" s="152"/>
    </row>
    <row r="607" spans="2:2" x14ac:dyDescent="0.2">
      <c r="B607" s="152"/>
    </row>
    <row r="608" spans="2:2" x14ac:dyDescent="0.2">
      <c r="B608" s="152"/>
    </row>
    <row r="609" spans="2:2" x14ac:dyDescent="0.2">
      <c r="B609" s="152"/>
    </row>
    <row r="610" spans="2:2" x14ac:dyDescent="0.2">
      <c r="B610" s="152"/>
    </row>
    <row r="611" spans="2:2" x14ac:dyDescent="0.2">
      <c r="B611" s="152"/>
    </row>
    <row r="612" spans="2:2" x14ac:dyDescent="0.2">
      <c r="B612" s="152"/>
    </row>
    <row r="613" spans="2:2" x14ac:dyDescent="0.2">
      <c r="B613" s="152"/>
    </row>
    <row r="614" spans="2:2" x14ac:dyDescent="0.2">
      <c r="B614" s="152"/>
    </row>
    <row r="615" spans="2:2" x14ac:dyDescent="0.2">
      <c r="B615" s="152"/>
    </row>
    <row r="616" spans="2:2" x14ac:dyDescent="0.2">
      <c r="B616" s="152"/>
    </row>
    <row r="617" spans="2:2" x14ac:dyDescent="0.2">
      <c r="B617" s="152"/>
    </row>
    <row r="618" spans="2:2" x14ac:dyDescent="0.2">
      <c r="B618" s="152"/>
    </row>
    <row r="619" spans="2:2" x14ac:dyDescent="0.2">
      <c r="B619" s="152"/>
    </row>
    <row r="620" spans="2:2" x14ac:dyDescent="0.2">
      <c r="B620" s="152"/>
    </row>
    <row r="621" spans="2:2" x14ac:dyDescent="0.2">
      <c r="B621" s="152"/>
    </row>
    <row r="622" spans="2:2" x14ac:dyDescent="0.2">
      <c r="B622" s="152"/>
    </row>
    <row r="623" spans="2:2" x14ac:dyDescent="0.2">
      <c r="B623" s="152"/>
    </row>
    <row r="624" spans="2:2" x14ac:dyDescent="0.2">
      <c r="B624" s="152"/>
    </row>
    <row r="625" spans="2:2" x14ac:dyDescent="0.2">
      <c r="B625" s="152"/>
    </row>
    <row r="626" spans="2:2" x14ac:dyDescent="0.2">
      <c r="B626" s="152"/>
    </row>
    <row r="627" spans="2:2" x14ac:dyDescent="0.2">
      <c r="B627" s="152"/>
    </row>
    <row r="628" spans="2:2" x14ac:dyDescent="0.2">
      <c r="B628" s="152"/>
    </row>
    <row r="629" spans="2:2" x14ac:dyDescent="0.2">
      <c r="B629" s="152"/>
    </row>
    <row r="630" spans="2:2" x14ac:dyDescent="0.2">
      <c r="B630" s="152"/>
    </row>
    <row r="631" spans="2:2" x14ac:dyDescent="0.2">
      <c r="B631" s="152"/>
    </row>
    <row r="632" spans="2:2" x14ac:dyDescent="0.2">
      <c r="B632" s="152"/>
    </row>
    <row r="633" spans="2:2" x14ac:dyDescent="0.2">
      <c r="B633" s="152"/>
    </row>
    <row r="634" spans="2:2" x14ac:dyDescent="0.2">
      <c r="B634" s="152"/>
    </row>
    <row r="635" spans="2:2" x14ac:dyDescent="0.2">
      <c r="B635" s="152"/>
    </row>
    <row r="636" spans="2:2" x14ac:dyDescent="0.2">
      <c r="B636" s="152"/>
    </row>
    <row r="637" spans="2:2" x14ac:dyDescent="0.2">
      <c r="B637" s="152"/>
    </row>
    <row r="638" spans="2:2" x14ac:dyDescent="0.2">
      <c r="B638" s="152"/>
    </row>
    <row r="639" spans="2:2" x14ac:dyDescent="0.2">
      <c r="B639" s="152"/>
    </row>
    <row r="640" spans="2:2" x14ac:dyDescent="0.2">
      <c r="B640" s="152"/>
    </row>
    <row r="641" spans="2:2" x14ac:dyDescent="0.2">
      <c r="B641" s="152"/>
    </row>
    <row r="642" spans="2:2" x14ac:dyDescent="0.2">
      <c r="B642" s="152"/>
    </row>
    <row r="643" spans="2:2" x14ac:dyDescent="0.2">
      <c r="B643" s="152"/>
    </row>
    <row r="644" spans="2:2" x14ac:dyDescent="0.2">
      <c r="B644" s="152"/>
    </row>
    <row r="645" spans="2:2" x14ac:dyDescent="0.2">
      <c r="B645" s="152"/>
    </row>
    <row r="646" spans="2:2" x14ac:dyDescent="0.2">
      <c r="B646" s="152"/>
    </row>
    <row r="647" spans="2:2" x14ac:dyDescent="0.2">
      <c r="B647" s="152"/>
    </row>
    <row r="648" spans="2:2" x14ac:dyDescent="0.2">
      <c r="B648" s="152"/>
    </row>
    <row r="649" spans="2:2" x14ac:dyDescent="0.2">
      <c r="B649" s="152"/>
    </row>
    <row r="650" spans="2:2" x14ac:dyDescent="0.2">
      <c r="B650" s="152"/>
    </row>
    <row r="651" spans="2:2" x14ac:dyDescent="0.2">
      <c r="B651" s="152"/>
    </row>
    <row r="652" spans="2:2" x14ac:dyDescent="0.2">
      <c r="B652" s="152"/>
    </row>
    <row r="653" spans="2:2" x14ac:dyDescent="0.2">
      <c r="B653" s="152"/>
    </row>
    <row r="654" spans="2:2" x14ac:dyDescent="0.2">
      <c r="B654" s="152"/>
    </row>
    <row r="655" spans="2:2" x14ac:dyDescent="0.2">
      <c r="B655" s="152"/>
    </row>
    <row r="656" spans="2:2" x14ac:dyDescent="0.2">
      <c r="B656" s="152"/>
    </row>
    <row r="657" spans="2:2" x14ac:dyDescent="0.2">
      <c r="B657" s="152"/>
    </row>
    <row r="658" spans="2:2" x14ac:dyDescent="0.2">
      <c r="B658" s="152"/>
    </row>
    <row r="659" spans="2:2" x14ac:dyDescent="0.2">
      <c r="B659" s="152"/>
    </row>
    <row r="660" spans="2:2" x14ac:dyDescent="0.2">
      <c r="B660" s="152"/>
    </row>
    <row r="661" spans="2:2" x14ac:dyDescent="0.2">
      <c r="B661" s="152"/>
    </row>
    <row r="662" spans="2:2" x14ac:dyDescent="0.2">
      <c r="B662" s="152"/>
    </row>
    <row r="663" spans="2:2" x14ac:dyDescent="0.2">
      <c r="B663" s="152"/>
    </row>
    <row r="664" spans="2:2" x14ac:dyDescent="0.2">
      <c r="B664" s="152"/>
    </row>
    <row r="665" spans="2:2" x14ac:dyDescent="0.2">
      <c r="B665" s="152"/>
    </row>
    <row r="666" spans="2:2" x14ac:dyDescent="0.2">
      <c r="B666" s="152"/>
    </row>
    <row r="667" spans="2:2" x14ac:dyDescent="0.2">
      <c r="B667" s="152"/>
    </row>
    <row r="668" spans="2:2" x14ac:dyDescent="0.2">
      <c r="B668" s="152"/>
    </row>
    <row r="669" spans="2:2" x14ac:dyDescent="0.2">
      <c r="B669" s="152"/>
    </row>
    <row r="670" spans="2:2" x14ac:dyDescent="0.2">
      <c r="B670" s="152"/>
    </row>
    <row r="671" spans="2:2" x14ac:dyDescent="0.2">
      <c r="B671" s="152"/>
    </row>
    <row r="672" spans="2:2" x14ac:dyDescent="0.2">
      <c r="B672" s="152"/>
    </row>
    <row r="673" spans="2:2" x14ac:dyDescent="0.2">
      <c r="B673" s="152"/>
    </row>
    <row r="674" spans="2:2" x14ac:dyDescent="0.2">
      <c r="B674" s="152"/>
    </row>
    <row r="675" spans="2:2" x14ac:dyDescent="0.2">
      <c r="B675" s="152"/>
    </row>
    <row r="676" spans="2:2" x14ac:dyDescent="0.2">
      <c r="B676" s="152"/>
    </row>
    <row r="677" spans="2:2" x14ac:dyDescent="0.2">
      <c r="B677" s="152"/>
    </row>
    <row r="678" spans="2:2" x14ac:dyDescent="0.2">
      <c r="B678" s="152"/>
    </row>
    <row r="679" spans="2:2" x14ac:dyDescent="0.2">
      <c r="B679" s="152"/>
    </row>
    <row r="680" spans="2:2" x14ac:dyDescent="0.2">
      <c r="B680" s="152"/>
    </row>
    <row r="681" spans="2:2" x14ac:dyDescent="0.2">
      <c r="B681" s="152"/>
    </row>
    <row r="682" spans="2:2" x14ac:dyDescent="0.2">
      <c r="B682" s="152"/>
    </row>
    <row r="683" spans="2:2" x14ac:dyDescent="0.2">
      <c r="B683" s="152"/>
    </row>
    <row r="684" spans="2:2" x14ac:dyDescent="0.2">
      <c r="B684" s="152"/>
    </row>
    <row r="685" spans="2:2" x14ac:dyDescent="0.2">
      <c r="B685" s="152"/>
    </row>
    <row r="686" spans="2:2" x14ac:dyDescent="0.2">
      <c r="B686" s="152"/>
    </row>
    <row r="687" spans="2:2" x14ac:dyDescent="0.2">
      <c r="B687" s="152"/>
    </row>
    <row r="688" spans="2:2" x14ac:dyDescent="0.2">
      <c r="B688" s="152"/>
    </row>
    <row r="689" spans="2:2" x14ac:dyDescent="0.2">
      <c r="B689" s="152"/>
    </row>
    <row r="690" spans="2:2" x14ac:dyDescent="0.2">
      <c r="B690" s="152"/>
    </row>
    <row r="691" spans="2:2" x14ac:dyDescent="0.2">
      <c r="B691" s="152"/>
    </row>
    <row r="692" spans="2:2" x14ac:dyDescent="0.2">
      <c r="B692" s="152"/>
    </row>
    <row r="693" spans="2:2" x14ac:dyDescent="0.2">
      <c r="B693" s="152"/>
    </row>
    <row r="694" spans="2:2" x14ac:dyDescent="0.2">
      <c r="B694" s="152"/>
    </row>
    <row r="695" spans="2:2" x14ac:dyDescent="0.2">
      <c r="B695" s="152"/>
    </row>
    <row r="696" spans="2:2" x14ac:dyDescent="0.2">
      <c r="B696" s="152"/>
    </row>
    <row r="697" spans="2:2" x14ac:dyDescent="0.2">
      <c r="B697" s="152"/>
    </row>
    <row r="698" spans="2:2" x14ac:dyDescent="0.2">
      <c r="B698" s="152"/>
    </row>
    <row r="699" spans="2:2" x14ac:dyDescent="0.2">
      <c r="B699" s="152"/>
    </row>
    <row r="700" spans="2:2" x14ac:dyDescent="0.2">
      <c r="B700" s="152"/>
    </row>
    <row r="701" spans="2:2" x14ac:dyDescent="0.2">
      <c r="B701" s="152"/>
    </row>
    <row r="702" spans="2:2" x14ac:dyDescent="0.2">
      <c r="B702" s="152"/>
    </row>
    <row r="703" spans="2:2" x14ac:dyDescent="0.2">
      <c r="B703" s="152"/>
    </row>
    <row r="704" spans="2:2" x14ac:dyDescent="0.2">
      <c r="B704" s="152"/>
    </row>
    <row r="705" spans="2:2" x14ac:dyDescent="0.2">
      <c r="B705" s="152"/>
    </row>
    <row r="706" spans="2:2" x14ac:dyDescent="0.2">
      <c r="B706" s="152"/>
    </row>
    <row r="707" spans="2:2" x14ac:dyDescent="0.2">
      <c r="B707" s="152"/>
    </row>
    <row r="708" spans="2:2" x14ac:dyDescent="0.2">
      <c r="B708" s="152"/>
    </row>
    <row r="709" spans="2:2" x14ac:dyDescent="0.2">
      <c r="B709" s="152"/>
    </row>
    <row r="710" spans="2:2" x14ac:dyDescent="0.2">
      <c r="B710" s="152"/>
    </row>
    <row r="711" spans="2:2" x14ac:dyDescent="0.2">
      <c r="B711" s="152"/>
    </row>
    <row r="712" spans="2:2" x14ac:dyDescent="0.2">
      <c r="B712" s="152"/>
    </row>
    <row r="713" spans="2:2" x14ac:dyDescent="0.2">
      <c r="B713" s="152"/>
    </row>
    <row r="714" spans="2:2" x14ac:dyDescent="0.2">
      <c r="B714" s="152"/>
    </row>
    <row r="715" spans="2:2" x14ac:dyDescent="0.2">
      <c r="B715" s="152"/>
    </row>
    <row r="716" spans="2:2" x14ac:dyDescent="0.2">
      <c r="B716" s="152"/>
    </row>
    <row r="717" spans="2:2" x14ac:dyDescent="0.2">
      <c r="B717" s="152"/>
    </row>
    <row r="718" spans="2:2" x14ac:dyDescent="0.2">
      <c r="B718" s="152"/>
    </row>
    <row r="719" spans="2:2" x14ac:dyDescent="0.2">
      <c r="B719" s="152"/>
    </row>
    <row r="720" spans="2:2" x14ac:dyDescent="0.2">
      <c r="B720" s="152"/>
    </row>
    <row r="721" spans="2:2" x14ac:dyDescent="0.2">
      <c r="B721" s="152"/>
    </row>
    <row r="722" spans="2:2" x14ac:dyDescent="0.2">
      <c r="B722" s="152"/>
    </row>
    <row r="723" spans="2:2" x14ac:dyDescent="0.2">
      <c r="B723" s="152"/>
    </row>
    <row r="724" spans="2:2" x14ac:dyDescent="0.2">
      <c r="B724" s="152"/>
    </row>
    <row r="725" spans="2:2" x14ac:dyDescent="0.2">
      <c r="B725" s="152"/>
    </row>
    <row r="726" spans="2:2" x14ac:dyDescent="0.2">
      <c r="B726" s="152"/>
    </row>
    <row r="727" spans="2:2" x14ac:dyDescent="0.2">
      <c r="B727" s="152"/>
    </row>
    <row r="728" spans="2:2" x14ac:dyDescent="0.2">
      <c r="B728" s="152"/>
    </row>
    <row r="729" spans="2:2" x14ac:dyDescent="0.2">
      <c r="B729" s="152"/>
    </row>
    <row r="730" spans="2:2" x14ac:dyDescent="0.2">
      <c r="B730" s="152"/>
    </row>
    <row r="731" spans="2:2" x14ac:dyDescent="0.2">
      <c r="B731" s="152"/>
    </row>
    <row r="732" spans="2:2" x14ac:dyDescent="0.2">
      <c r="B732" s="152"/>
    </row>
    <row r="733" spans="2:2" x14ac:dyDescent="0.2">
      <c r="B733" s="152"/>
    </row>
    <row r="734" spans="2:2" x14ac:dyDescent="0.2">
      <c r="B734" s="152"/>
    </row>
    <row r="735" spans="2:2" x14ac:dyDescent="0.2">
      <c r="B735" s="152"/>
    </row>
    <row r="736" spans="2:2" x14ac:dyDescent="0.2">
      <c r="B736" s="152"/>
    </row>
    <row r="737" spans="2:2" x14ac:dyDescent="0.2">
      <c r="B737" s="152"/>
    </row>
    <row r="738" spans="2:2" x14ac:dyDescent="0.2">
      <c r="B738" s="152"/>
    </row>
    <row r="739" spans="2:2" x14ac:dyDescent="0.2">
      <c r="B739" s="152"/>
    </row>
    <row r="740" spans="2:2" x14ac:dyDescent="0.2">
      <c r="B740" s="152"/>
    </row>
    <row r="741" spans="2:2" x14ac:dyDescent="0.2">
      <c r="B741" s="152"/>
    </row>
    <row r="742" spans="2:2" x14ac:dyDescent="0.2">
      <c r="B742" s="152"/>
    </row>
    <row r="743" spans="2:2" x14ac:dyDescent="0.2">
      <c r="B743" s="152"/>
    </row>
    <row r="744" spans="2:2" x14ac:dyDescent="0.2">
      <c r="B744" s="152"/>
    </row>
    <row r="745" spans="2:2" x14ac:dyDescent="0.2">
      <c r="B745" s="152"/>
    </row>
    <row r="746" spans="2:2" x14ac:dyDescent="0.2">
      <c r="B746" s="152"/>
    </row>
    <row r="747" spans="2:2" x14ac:dyDescent="0.2">
      <c r="B747" s="152"/>
    </row>
    <row r="748" spans="2:2" x14ac:dyDescent="0.2">
      <c r="B748" s="152"/>
    </row>
    <row r="749" spans="2:2" x14ac:dyDescent="0.2">
      <c r="B749" s="152"/>
    </row>
    <row r="750" spans="2:2" x14ac:dyDescent="0.2">
      <c r="B750" s="152"/>
    </row>
    <row r="751" spans="2:2" x14ac:dyDescent="0.2">
      <c r="B751" s="152"/>
    </row>
    <row r="752" spans="2:2" x14ac:dyDescent="0.2">
      <c r="B752" s="152"/>
    </row>
    <row r="753" spans="2:2" x14ac:dyDescent="0.2">
      <c r="B753" s="152"/>
    </row>
    <row r="754" spans="2:2" x14ac:dyDescent="0.2">
      <c r="B754" s="152"/>
    </row>
    <row r="755" spans="2:2" x14ac:dyDescent="0.2">
      <c r="B755" s="152"/>
    </row>
    <row r="756" spans="2:2" x14ac:dyDescent="0.2">
      <c r="B756" s="152"/>
    </row>
    <row r="757" spans="2:2" x14ac:dyDescent="0.2">
      <c r="B757" s="152"/>
    </row>
    <row r="758" spans="2:2" x14ac:dyDescent="0.2">
      <c r="B758" s="152"/>
    </row>
    <row r="759" spans="2:2" x14ac:dyDescent="0.2">
      <c r="B759" s="152"/>
    </row>
    <row r="760" spans="2:2" x14ac:dyDescent="0.2">
      <c r="B760" s="152"/>
    </row>
    <row r="761" spans="2:2" x14ac:dyDescent="0.2">
      <c r="B761" s="152"/>
    </row>
    <row r="762" spans="2:2" x14ac:dyDescent="0.2">
      <c r="B762" s="152"/>
    </row>
    <row r="763" spans="2:2" x14ac:dyDescent="0.2">
      <c r="B763" s="152"/>
    </row>
    <row r="764" spans="2:2" x14ac:dyDescent="0.2">
      <c r="B764" s="152"/>
    </row>
    <row r="765" spans="2:2" x14ac:dyDescent="0.2">
      <c r="B765" s="152"/>
    </row>
    <row r="766" spans="2:2" x14ac:dyDescent="0.2">
      <c r="B766" s="152"/>
    </row>
    <row r="767" spans="2:2" x14ac:dyDescent="0.2">
      <c r="B767" s="152"/>
    </row>
    <row r="768" spans="2:2" x14ac:dyDescent="0.2">
      <c r="B768" s="152"/>
    </row>
    <row r="769" spans="2:2" x14ac:dyDescent="0.2">
      <c r="B769" s="152"/>
    </row>
    <row r="770" spans="2:2" x14ac:dyDescent="0.2">
      <c r="B770" s="152"/>
    </row>
    <row r="771" spans="2:2" x14ac:dyDescent="0.2">
      <c r="B771" s="152"/>
    </row>
    <row r="772" spans="2:2" x14ac:dyDescent="0.2">
      <c r="B772" s="152"/>
    </row>
    <row r="773" spans="2:2" x14ac:dyDescent="0.2">
      <c r="B773" s="152"/>
    </row>
    <row r="774" spans="2:2" x14ac:dyDescent="0.2">
      <c r="B774" s="152"/>
    </row>
    <row r="775" spans="2:2" x14ac:dyDescent="0.2">
      <c r="B775" s="152"/>
    </row>
    <row r="776" spans="2:2" x14ac:dyDescent="0.2">
      <c r="B776" s="152"/>
    </row>
    <row r="777" spans="2:2" x14ac:dyDescent="0.2">
      <c r="B777" s="152"/>
    </row>
    <row r="778" spans="2:2" x14ac:dyDescent="0.2">
      <c r="B778" s="152"/>
    </row>
    <row r="779" spans="2:2" x14ac:dyDescent="0.2">
      <c r="B779" s="152"/>
    </row>
    <row r="780" spans="2:2" x14ac:dyDescent="0.2">
      <c r="B780" s="152"/>
    </row>
    <row r="781" spans="2:2" x14ac:dyDescent="0.2">
      <c r="B781" s="152"/>
    </row>
    <row r="782" spans="2:2" x14ac:dyDescent="0.2">
      <c r="B782" s="152"/>
    </row>
    <row r="783" spans="2:2" x14ac:dyDescent="0.2">
      <c r="B783" s="152"/>
    </row>
    <row r="784" spans="2:2" x14ac:dyDescent="0.2">
      <c r="B784" s="152"/>
    </row>
    <row r="785" spans="2:2" x14ac:dyDescent="0.2">
      <c r="B785" s="152"/>
    </row>
    <row r="786" spans="2:2" x14ac:dyDescent="0.2">
      <c r="B786" s="152"/>
    </row>
    <row r="787" spans="2:2" x14ac:dyDescent="0.2">
      <c r="B787" s="152"/>
    </row>
    <row r="788" spans="2:2" x14ac:dyDescent="0.2">
      <c r="B788" s="152"/>
    </row>
    <row r="789" spans="2:2" x14ac:dyDescent="0.2">
      <c r="B789" s="152"/>
    </row>
    <row r="790" spans="2:2" x14ac:dyDescent="0.2">
      <c r="B790" s="152"/>
    </row>
    <row r="791" spans="2:2" x14ac:dyDescent="0.2">
      <c r="B791" s="152"/>
    </row>
    <row r="792" spans="2:2" x14ac:dyDescent="0.2">
      <c r="B792" s="152"/>
    </row>
    <row r="793" spans="2:2" x14ac:dyDescent="0.2">
      <c r="B793" s="152"/>
    </row>
    <row r="794" spans="2:2" x14ac:dyDescent="0.2">
      <c r="B794" s="152"/>
    </row>
    <row r="795" spans="2:2" x14ac:dyDescent="0.2">
      <c r="B795" s="152"/>
    </row>
    <row r="796" spans="2:2" x14ac:dyDescent="0.2">
      <c r="B796" s="152"/>
    </row>
    <row r="797" spans="2:2" x14ac:dyDescent="0.2">
      <c r="B797" s="152"/>
    </row>
    <row r="798" spans="2:2" x14ac:dyDescent="0.2">
      <c r="B798" s="152"/>
    </row>
    <row r="799" spans="2:2" x14ac:dyDescent="0.2">
      <c r="B799" s="152"/>
    </row>
    <row r="800" spans="2:2" x14ac:dyDescent="0.2">
      <c r="B800" s="152"/>
    </row>
    <row r="801" spans="2:2" x14ac:dyDescent="0.2">
      <c r="B801" s="152"/>
    </row>
    <row r="802" spans="2:2" x14ac:dyDescent="0.2">
      <c r="B802" s="152"/>
    </row>
    <row r="803" spans="2:2" x14ac:dyDescent="0.2">
      <c r="B803" s="152"/>
    </row>
    <row r="804" spans="2:2" x14ac:dyDescent="0.2">
      <c r="B804" s="152"/>
    </row>
    <row r="805" spans="2:2" x14ac:dyDescent="0.2">
      <c r="B805" s="152"/>
    </row>
    <row r="806" spans="2:2" x14ac:dyDescent="0.2">
      <c r="B806" s="152"/>
    </row>
    <row r="807" spans="2:2" x14ac:dyDescent="0.2">
      <c r="B807" s="152"/>
    </row>
    <row r="808" spans="2:2" x14ac:dyDescent="0.2">
      <c r="B808" s="152"/>
    </row>
    <row r="809" spans="2:2" x14ac:dyDescent="0.2">
      <c r="B809" s="152"/>
    </row>
    <row r="810" spans="2:2" x14ac:dyDescent="0.2">
      <c r="B810" s="152"/>
    </row>
    <row r="811" spans="2:2" x14ac:dyDescent="0.2">
      <c r="B811" s="152"/>
    </row>
    <row r="812" spans="2:2" x14ac:dyDescent="0.2">
      <c r="B812" s="152"/>
    </row>
    <row r="813" spans="2:2" x14ac:dyDescent="0.2">
      <c r="B813" s="152"/>
    </row>
    <row r="814" spans="2:2" x14ac:dyDescent="0.2">
      <c r="B814" s="152"/>
    </row>
    <row r="815" spans="2:2" x14ac:dyDescent="0.2">
      <c r="B815" s="152"/>
    </row>
    <row r="816" spans="2:2" x14ac:dyDescent="0.2">
      <c r="B816" s="152"/>
    </row>
    <row r="817" spans="2:2" x14ac:dyDescent="0.2">
      <c r="B817" s="152"/>
    </row>
    <row r="818" spans="2:2" x14ac:dyDescent="0.2">
      <c r="B818" s="152"/>
    </row>
    <row r="819" spans="2:2" x14ac:dyDescent="0.2">
      <c r="B819" s="152"/>
    </row>
    <row r="820" spans="2:2" x14ac:dyDescent="0.2">
      <c r="B820" s="152"/>
    </row>
    <row r="821" spans="2:2" x14ac:dyDescent="0.2">
      <c r="B821" s="152"/>
    </row>
    <row r="822" spans="2:2" x14ac:dyDescent="0.2">
      <c r="B822" s="152"/>
    </row>
    <row r="823" spans="2:2" x14ac:dyDescent="0.2">
      <c r="B823" s="152"/>
    </row>
    <row r="824" spans="2:2" x14ac:dyDescent="0.2">
      <c r="B824" s="152"/>
    </row>
    <row r="825" spans="2:2" x14ac:dyDescent="0.2">
      <c r="B825" s="152"/>
    </row>
    <row r="826" spans="2:2" x14ac:dyDescent="0.2">
      <c r="B826" s="152"/>
    </row>
    <row r="827" spans="2:2" x14ac:dyDescent="0.2">
      <c r="B827" s="152"/>
    </row>
    <row r="828" spans="2:2" x14ac:dyDescent="0.2">
      <c r="B828" s="152"/>
    </row>
    <row r="829" spans="2:2" x14ac:dyDescent="0.2">
      <c r="B829" s="152"/>
    </row>
    <row r="830" spans="2:2" x14ac:dyDescent="0.2">
      <c r="B830" s="152"/>
    </row>
    <row r="831" spans="2:2" x14ac:dyDescent="0.2">
      <c r="B831" s="152"/>
    </row>
    <row r="832" spans="2:2" x14ac:dyDescent="0.2">
      <c r="B832" s="152"/>
    </row>
    <row r="833" spans="2:2" x14ac:dyDescent="0.2">
      <c r="B833" s="152"/>
    </row>
    <row r="834" spans="2:2" x14ac:dyDescent="0.2">
      <c r="B834" s="152"/>
    </row>
    <row r="835" spans="2:2" x14ac:dyDescent="0.2">
      <c r="B835" s="152"/>
    </row>
    <row r="836" spans="2:2" x14ac:dyDescent="0.2">
      <c r="B836" s="152"/>
    </row>
    <row r="837" spans="2:2" x14ac:dyDescent="0.2">
      <c r="B837" s="152"/>
    </row>
    <row r="838" spans="2:2" x14ac:dyDescent="0.2">
      <c r="B838" s="152"/>
    </row>
    <row r="839" spans="2:2" x14ac:dyDescent="0.2">
      <c r="B839" s="152"/>
    </row>
    <row r="840" spans="2:2" x14ac:dyDescent="0.2">
      <c r="B840" s="152"/>
    </row>
    <row r="841" spans="2:2" x14ac:dyDescent="0.2">
      <c r="B841" s="152"/>
    </row>
    <row r="842" spans="2:2" x14ac:dyDescent="0.2">
      <c r="B842" s="152"/>
    </row>
    <row r="843" spans="2:2" x14ac:dyDescent="0.2">
      <c r="B843" s="152"/>
    </row>
    <row r="844" spans="2:2" x14ac:dyDescent="0.2">
      <c r="B844" s="152"/>
    </row>
    <row r="845" spans="2:2" x14ac:dyDescent="0.2">
      <c r="B845" s="152"/>
    </row>
    <row r="846" spans="2:2" x14ac:dyDescent="0.2">
      <c r="B846" s="152"/>
    </row>
    <row r="847" spans="2:2" x14ac:dyDescent="0.2">
      <c r="B847" s="152"/>
    </row>
    <row r="848" spans="2:2" x14ac:dyDescent="0.2">
      <c r="B848" s="152"/>
    </row>
    <row r="849" spans="2:2" x14ac:dyDescent="0.2">
      <c r="B849" s="152"/>
    </row>
    <row r="850" spans="2:2" x14ac:dyDescent="0.2">
      <c r="B850" s="152"/>
    </row>
    <row r="851" spans="2:2" x14ac:dyDescent="0.2">
      <c r="B851" s="152"/>
    </row>
    <row r="852" spans="2:2" x14ac:dyDescent="0.2">
      <c r="B852" s="152"/>
    </row>
    <row r="853" spans="2:2" x14ac:dyDescent="0.2">
      <c r="B853" s="152"/>
    </row>
    <row r="854" spans="2:2" x14ac:dyDescent="0.2">
      <c r="B854" s="152"/>
    </row>
    <row r="855" spans="2:2" x14ac:dyDescent="0.2">
      <c r="B855" s="152"/>
    </row>
    <row r="856" spans="2:2" x14ac:dyDescent="0.2">
      <c r="B856" s="152"/>
    </row>
    <row r="857" spans="2:2" x14ac:dyDescent="0.2">
      <c r="B857" s="152"/>
    </row>
    <row r="858" spans="2:2" x14ac:dyDescent="0.2">
      <c r="B858" s="152"/>
    </row>
    <row r="859" spans="2:2" x14ac:dyDescent="0.2">
      <c r="B859" s="152"/>
    </row>
    <row r="860" spans="2:2" x14ac:dyDescent="0.2">
      <c r="B860" s="152"/>
    </row>
    <row r="861" spans="2:2" x14ac:dyDescent="0.2">
      <c r="B861" s="152"/>
    </row>
    <row r="862" spans="2:2" x14ac:dyDescent="0.2">
      <c r="B862" s="152"/>
    </row>
    <row r="863" spans="2:2" x14ac:dyDescent="0.2">
      <c r="B863" s="152"/>
    </row>
    <row r="864" spans="2:2" x14ac:dyDescent="0.2">
      <c r="B864" s="152"/>
    </row>
    <row r="865" spans="2:2" x14ac:dyDescent="0.2">
      <c r="B865" s="152"/>
    </row>
    <row r="866" spans="2:2" x14ac:dyDescent="0.2">
      <c r="B866" s="152"/>
    </row>
    <row r="867" spans="2:2" x14ac:dyDescent="0.2">
      <c r="B867" s="152"/>
    </row>
    <row r="868" spans="2:2" x14ac:dyDescent="0.2">
      <c r="B868" s="152"/>
    </row>
    <row r="869" spans="2:2" x14ac:dyDescent="0.2">
      <c r="B869" s="152"/>
    </row>
    <row r="870" spans="2:2" x14ac:dyDescent="0.2">
      <c r="B870" s="152"/>
    </row>
    <row r="871" spans="2:2" x14ac:dyDescent="0.2">
      <c r="B871" s="152"/>
    </row>
    <row r="872" spans="2:2" x14ac:dyDescent="0.2">
      <c r="B872" s="152"/>
    </row>
    <row r="873" spans="2:2" x14ac:dyDescent="0.2">
      <c r="B873" s="152"/>
    </row>
    <row r="874" spans="2:2" x14ac:dyDescent="0.2">
      <c r="B874" s="152"/>
    </row>
    <row r="875" spans="2:2" x14ac:dyDescent="0.2">
      <c r="B875" s="152"/>
    </row>
    <row r="876" spans="2:2" x14ac:dyDescent="0.2">
      <c r="B876" s="152"/>
    </row>
    <row r="877" spans="2:2" x14ac:dyDescent="0.2">
      <c r="B877" s="152"/>
    </row>
    <row r="878" spans="2:2" x14ac:dyDescent="0.2">
      <c r="B878" s="152"/>
    </row>
    <row r="879" spans="2:2" x14ac:dyDescent="0.2">
      <c r="B879" s="152"/>
    </row>
    <row r="880" spans="2:2" x14ac:dyDescent="0.2">
      <c r="B880" s="152"/>
    </row>
    <row r="881" spans="2:2" x14ac:dyDescent="0.2">
      <c r="B881" s="152"/>
    </row>
    <row r="882" spans="2:2" x14ac:dyDescent="0.2">
      <c r="B882" s="152"/>
    </row>
    <row r="883" spans="2:2" x14ac:dyDescent="0.2">
      <c r="B883" s="152"/>
    </row>
    <row r="884" spans="2:2" x14ac:dyDescent="0.2">
      <c r="B884" s="152"/>
    </row>
    <row r="885" spans="2:2" x14ac:dyDescent="0.2">
      <c r="B885" s="152"/>
    </row>
    <row r="886" spans="2:2" x14ac:dyDescent="0.2">
      <c r="B886" s="152"/>
    </row>
    <row r="887" spans="2:2" x14ac:dyDescent="0.2">
      <c r="B887" s="152"/>
    </row>
    <row r="888" spans="2:2" x14ac:dyDescent="0.2">
      <c r="B888" s="152"/>
    </row>
    <row r="889" spans="2:2" x14ac:dyDescent="0.2">
      <c r="B889" s="152"/>
    </row>
    <row r="890" spans="2:2" x14ac:dyDescent="0.2">
      <c r="B890" s="152"/>
    </row>
    <row r="891" spans="2:2" x14ac:dyDescent="0.2">
      <c r="B891" s="152"/>
    </row>
    <row r="892" spans="2:2" x14ac:dyDescent="0.2">
      <c r="B892" s="152"/>
    </row>
    <row r="893" spans="2:2" x14ac:dyDescent="0.2">
      <c r="B893" s="152"/>
    </row>
    <row r="894" spans="2:2" x14ac:dyDescent="0.2">
      <c r="B894" s="152"/>
    </row>
    <row r="895" spans="2:2" x14ac:dyDescent="0.2">
      <c r="B895" s="152"/>
    </row>
    <row r="896" spans="2:2" x14ac:dyDescent="0.2">
      <c r="B896" s="152"/>
    </row>
    <row r="897" spans="2:2" x14ac:dyDescent="0.2">
      <c r="B897" s="152"/>
    </row>
    <row r="898" spans="2:2" x14ac:dyDescent="0.2">
      <c r="B898" s="152"/>
    </row>
    <row r="899" spans="2:2" x14ac:dyDescent="0.2">
      <c r="B899" s="152"/>
    </row>
    <row r="900" spans="2:2" x14ac:dyDescent="0.2">
      <c r="B900" s="152"/>
    </row>
    <row r="901" spans="2:2" x14ac:dyDescent="0.2">
      <c r="B901" s="152"/>
    </row>
    <row r="902" spans="2:2" x14ac:dyDescent="0.2">
      <c r="B902" s="152"/>
    </row>
    <row r="903" spans="2:2" x14ac:dyDescent="0.2">
      <c r="B903" s="152"/>
    </row>
    <row r="904" spans="2:2" x14ac:dyDescent="0.2">
      <c r="B904" s="152"/>
    </row>
    <row r="905" spans="2:2" x14ac:dyDescent="0.2">
      <c r="B905" s="152"/>
    </row>
    <row r="906" spans="2:2" x14ac:dyDescent="0.2">
      <c r="B906" s="152"/>
    </row>
    <row r="907" spans="2:2" x14ac:dyDescent="0.2">
      <c r="B907" s="152"/>
    </row>
    <row r="908" spans="2:2" x14ac:dyDescent="0.2">
      <c r="B908" s="152"/>
    </row>
    <row r="909" spans="2:2" x14ac:dyDescent="0.2">
      <c r="B909" s="152"/>
    </row>
    <row r="910" spans="2:2" x14ac:dyDescent="0.2">
      <c r="B910" s="152"/>
    </row>
    <row r="911" spans="2:2" x14ac:dyDescent="0.2">
      <c r="B911" s="152"/>
    </row>
    <row r="912" spans="2:2" x14ac:dyDescent="0.2">
      <c r="B912" s="152"/>
    </row>
    <row r="913" spans="2:2" x14ac:dyDescent="0.2">
      <c r="B913" s="152"/>
    </row>
    <row r="914" spans="2:2" x14ac:dyDescent="0.2">
      <c r="B914" s="152"/>
    </row>
    <row r="915" spans="2:2" x14ac:dyDescent="0.2">
      <c r="B915" s="152"/>
    </row>
    <row r="916" spans="2:2" x14ac:dyDescent="0.2">
      <c r="B916" s="152"/>
    </row>
    <row r="917" spans="2:2" x14ac:dyDescent="0.2">
      <c r="B917" s="152"/>
    </row>
    <row r="918" spans="2:2" x14ac:dyDescent="0.2">
      <c r="B918" s="152"/>
    </row>
    <row r="919" spans="2:2" x14ac:dyDescent="0.2">
      <c r="B919" s="152"/>
    </row>
    <row r="920" spans="2:2" x14ac:dyDescent="0.2">
      <c r="B920" s="152"/>
    </row>
    <row r="921" spans="2:2" x14ac:dyDescent="0.2">
      <c r="B921" s="152"/>
    </row>
    <row r="922" spans="2:2" x14ac:dyDescent="0.2">
      <c r="B922" s="152"/>
    </row>
    <row r="923" spans="2:2" x14ac:dyDescent="0.2">
      <c r="B923" s="152"/>
    </row>
    <row r="924" spans="2:2" x14ac:dyDescent="0.2">
      <c r="B924" s="152"/>
    </row>
    <row r="925" spans="2:2" x14ac:dyDescent="0.2">
      <c r="B925" s="152"/>
    </row>
    <row r="926" spans="2:2" x14ac:dyDescent="0.2">
      <c r="B926" s="152"/>
    </row>
    <row r="927" spans="2:2" x14ac:dyDescent="0.2">
      <c r="B927" s="152"/>
    </row>
    <row r="928" spans="2:2" x14ac:dyDescent="0.2">
      <c r="B928" s="152"/>
    </row>
    <row r="929" spans="2:2" x14ac:dyDescent="0.2">
      <c r="B929" s="152"/>
    </row>
    <row r="930" spans="2:2" x14ac:dyDescent="0.2">
      <c r="B930" s="152"/>
    </row>
    <row r="931" spans="2:2" x14ac:dyDescent="0.2">
      <c r="B931" s="152"/>
    </row>
    <row r="932" spans="2:2" x14ac:dyDescent="0.2">
      <c r="B932" s="152"/>
    </row>
    <row r="933" spans="2:2" x14ac:dyDescent="0.2">
      <c r="B933" s="152"/>
    </row>
    <row r="934" spans="2:2" x14ac:dyDescent="0.2">
      <c r="B934" s="152"/>
    </row>
    <row r="935" spans="2:2" x14ac:dyDescent="0.2">
      <c r="B935" s="152"/>
    </row>
    <row r="936" spans="2:2" x14ac:dyDescent="0.2">
      <c r="B936" s="152"/>
    </row>
    <row r="937" spans="2:2" x14ac:dyDescent="0.2">
      <c r="B937" s="152"/>
    </row>
    <row r="938" spans="2:2" x14ac:dyDescent="0.2">
      <c r="B938" s="152"/>
    </row>
    <row r="939" spans="2:2" x14ac:dyDescent="0.2">
      <c r="B939" s="152"/>
    </row>
    <row r="940" spans="2:2" x14ac:dyDescent="0.2">
      <c r="B940" s="152"/>
    </row>
    <row r="941" spans="2:2" x14ac:dyDescent="0.2">
      <c r="B941" s="152"/>
    </row>
    <row r="942" spans="2:2" x14ac:dyDescent="0.2">
      <c r="B942" s="152"/>
    </row>
    <row r="943" spans="2:2" x14ac:dyDescent="0.2">
      <c r="B943" s="152"/>
    </row>
    <row r="944" spans="2:2" x14ac:dyDescent="0.2">
      <c r="B944" s="152"/>
    </row>
    <row r="945" spans="2:2" x14ac:dyDescent="0.2">
      <c r="B945" s="152"/>
    </row>
    <row r="946" spans="2:2" x14ac:dyDescent="0.2">
      <c r="B946" s="152"/>
    </row>
    <row r="947" spans="2:2" x14ac:dyDescent="0.2">
      <c r="B947" s="152"/>
    </row>
    <row r="948" spans="2:2" x14ac:dyDescent="0.2">
      <c r="B948" s="152"/>
    </row>
    <row r="949" spans="2:2" x14ac:dyDescent="0.2">
      <c r="B949" s="152"/>
    </row>
    <row r="950" spans="2:2" x14ac:dyDescent="0.2">
      <c r="B950" s="152"/>
    </row>
    <row r="951" spans="2:2" x14ac:dyDescent="0.2">
      <c r="B951" s="152"/>
    </row>
    <row r="952" spans="2:2" x14ac:dyDescent="0.2">
      <c r="B952" s="152"/>
    </row>
    <row r="953" spans="2:2" x14ac:dyDescent="0.2">
      <c r="B953" s="152"/>
    </row>
    <row r="954" spans="2:2" x14ac:dyDescent="0.2">
      <c r="B954" s="152"/>
    </row>
    <row r="955" spans="2:2" x14ac:dyDescent="0.2">
      <c r="B955" s="152"/>
    </row>
    <row r="956" spans="2:2" x14ac:dyDescent="0.2">
      <c r="B956" s="152"/>
    </row>
    <row r="957" spans="2:2" x14ac:dyDescent="0.2">
      <c r="B957" s="152"/>
    </row>
    <row r="958" spans="2:2" x14ac:dyDescent="0.2">
      <c r="B958" s="152"/>
    </row>
    <row r="959" spans="2:2" x14ac:dyDescent="0.2">
      <c r="B959" s="152"/>
    </row>
    <row r="960" spans="2:2" x14ac:dyDescent="0.2">
      <c r="B960" s="152"/>
    </row>
    <row r="961" spans="2:2" x14ac:dyDescent="0.2">
      <c r="B961" s="152"/>
    </row>
    <row r="962" spans="2:2" x14ac:dyDescent="0.2">
      <c r="B962" s="152"/>
    </row>
    <row r="963" spans="2:2" x14ac:dyDescent="0.2">
      <c r="B963" s="152"/>
    </row>
    <row r="964" spans="2:2" x14ac:dyDescent="0.2">
      <c r="B964" s="152"/>
    </row>
    <row r="965" spans="2:2" x14ac:dyDescent="0.2">
      <c r="B965" s="152"/>
    </row>
    <row r="966" spans="2:2" x14ac:dyDescent="0.2">
      <c r="B966" s="152"/>
    </row>
    <row r="967" spans="2:2" x14ac:dyDescent="0.2">
      <c r="B967" s="152"/>
    </row>
    <row r="968" spans="2:2" x14ac:dyDescent="0.2">
      <c r="B968" s="152"/>
    </row>
    <row r="969" spans="2:2" x14ac:dyDescent="0.2">
      <c r="B969" s="152"/>
    </row>
    <row r="970" spans="2:2" x14ac:dyDescent="0.2">
      <c r="B970" s="152"/>
    </row>
    <row r="971" spans="2:2" x14ac:dyDescent="0.2">
      <c r="B971" s="152"/>
    </row>
    <row r="972" spans="2:2" x14ac:dyDescent="0.2">
      <c r="B972" s="152"/>
    </row>
    <row r="973" spans="2:2" x14ac:dyDescent="0.2">
      <c r="B973" s="152"/>
    </row>
    <row r="974" spans="2:2" x14ac:dyDescent="0.2">
      <c r="B974" s="152"/>
    </row>
    <row r="975" spans="2:2" x14ac:dyDescent="0.2">
      <c r="B975" s="152"/>
    </row>
    <row r="976" spans="2:2" x14ac:dyDescent="0.2">
      <c r="B976" s="152"/>
    </row>
    <row r="977" spans="2:2" x14ac:dyDescent="0.2">
      <c r="B977" s="152"/>
    </row>
    <row r="978" spans="2:2" x14ac:dyDescent="0.2">
      <c r="B978" s="152"/>
    </row>
    <row r="979" spans="2:2" x14ac:dyDescent="0.2">
      <c r="B979" s="152"/>
    </row>
    <row r="980" spans="2:2" x14ac:dyDescent="0.2">
      <c r="B980" s="152"/>
    </row>
    <row r="981" spans="2:2" x14ac:dyDescent="0.2">
      <c r="B981" s="152"/>
    </row>
    <row r="982" spans="2:2" x14ac:dyDescent="0.2">
      <c r="B982" s="152"/>
    </row>
    <row r="983" spans="2:2" x14ac:dyDescent="0.2">
      <c r="B983" s="152"/>
    </row>
    <row r="984" spans="2:2" x14ac:dyDescent="0.2">
      <c r="B984" s="152"/>
    </row>
    <row r="985" spans="2:2" x14ac:dyDescent="0.2">
      <c r="B985" s="152"/>
    </row>
    <row r="986" spans="2:2" x14ac:dyDescent="0.2">
      <c r="B986" s="152"/>
    </row>
    <row r="987" spans="2:2" x14ac:dyDescent="0.2">
      <c r="B987" s="152"/>
    </row>
    <row r="988" spans="2:2" x14ac:dyDescent="0.2">
      <c r="B988" s="152"/>
    </row>
    <row r="989" spans="2:2" x14ac:dyDescent="0.2">
      <c r="B989" s="152"/>
    </row>
    <row r="990" spans="2:2" x14ac:dyDescent="0.2">
      <c r="B990" s="152"/>
    </row>
    <row r="991" spans="2:2" x14ac:dyDescent="0.2">
      <c r="B991" s="152"/>
    </row>
    <row r="992" spans="2:2" x14ac:dyDescent="0.2">
      <c r="B992" s="152"/>
    </row>
    <row r="993" spans="2:2" x14ac:dyDescent="0.2">
      <c r="B993" s="152"/>
    </row>
    <row r="994" spans="2:2" x14ac:dyDescent="0.2">
      <c r="B994" s="152"/>
    </row>
    <row r="995" spans="2:2" x14ac:dyDescent="0.2">
      <c r="B995" s="152"/>
    </row>
    <row r="996" spans="2:2" x14ac:dyDescent="0.2">
      <c r="B996" s="152"/>
    </row>
    <row r="997" spans="2:2" x14ac:dyDescent="0.2">
      <c r="B997" s="152"/>
    </row>
    <row r="998" spans="2:2" x14ac:dyDescent="0.2">
      <c r="B998" s="152"/>
    </row>
    <row r="999" spans="2:2" x14ac:dyDescent="0.2">
      <c r="B999" s="152"/>
    </row>
    <row r="1000" spans="2:2" x14ac:dyDescent="0.2">
      <c r="B1000" s="152"/>
    </row>
    <row r="1001" spans="2:2" x14ac:dyDescent="0.2">
      <c r="B1001" s="152"/>
    </row>
    <row r="1002" spans="2:2" x14ac:dyDescent="0.2">
      <c r="B1002" s="152"/>
    </row>
    <row r="1003" spans="2:2" x14ac:dyDescent="0.2">
      <c r="B1003" s="152"/>
    </row>
  </sheetData>
  <sheetProtection algorithmName="SHA-512" hashValue="z+7sBnqm9pXfMaNjgpvCa+4DQ+G5GmPSfvCJ8MIy62oR/ZqdOyLDGNGewuHEJY+tSf9BzQvi51u87HoTDOLT7A==" saltValue="gE8Pa6la7CxK9uLKOei+Rg==" spinCount="100000" sheet="1" objects="1" scenarios="1"/>
  <conditionalFormatting sqref="B5:B7 B11:B12 B18:B108 B14:B16">
    <cfRule type="expression" dxfId="60" priority="7">
      <formula>IF(B5&lt;&gt;"",TRUE,FALSE)</formula>
    </cfRule>
  </conditionalFormatting>
  <conditionalFormatting sqref="B8">
    <cfRule type="expression" dxfId="59" priority="6">
      <formula>IF(B8&lt;&gt;"",TRUE,FALSE)</formula>
    </cfRule>
  </conditionalFormatting>
  <conditionalFormatting sqref="B17">
    <cfRule type="expression" dxfId="58" priority="4">
      <formula>IF(B17&lt;&gt;"",TRUE,FALSE)</formula>
    </cfRule>
  </conditionalFormatting>
  <conditionalFormatting sqref="B9">
    <cfRule type="expression" dxfId="57" priority="3">
      <formula>IF(B9&lt;&gt;"",TRUE,FALSE)</formula>
    </cfRule>
  </conditionalFormatting>
  <conditionalFormatting sqref="B10">
    <cfRule type="expression" dxfId="56" priority="2">
      <formula>IF(B10&lt;&gt;"",TRUE,FALSE)</formula>
    </cfRule>
  </conditionalFormatting>
  <conditionalFormatting sqref="B13">
    <cfRule type="expression" dxfId="55"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I11" sqref="I11"/>
    </sheetView>
  </sheetViews>
  <sheetFormatPr defaultRowHeight="14.25" x14ac:dyDescent="0.2"/>
  <cols>
    <col min="57" max="57" width="0" hidden="1" customWidth="1"/>
  </cols>
  <sheetData>
    <row r="2" spans="1:9" ht="15" x14ac:dyDescent="0.25">
      <c r="A2" s="2" t="s">
        <v>878</v>
      </c>
    </row>
    <row r="3" spans="1:9" x14ac:dyDescent="0.2">
      <c r="A3" s="273" t="s">
        <v>1231</v>
      </c>
    </row>
    <row r="4" spans="1:9" x14ac:dyDescent="0.2">
      <c r="A4" s="8"/>
      <c r="B4" s="8"/>
      <c r="C4" s="8"/>
      <c r="D4" s="8"/>
      <c r="E4" s="8"/>
      <c r="F4" s="8"/>
      <c r="G4" s="8"/>
      <c r="H4" s="8"/>
      <c r="I4" s="8"/>
    </row>
    <row r="5" spans="1:9" ht="15" x14ac:dyDescent="0.25">
      <c r="A5" s="2" t="s">
        <v>27</v>
      </c>
      <c r="C5" s="397"/>
      <c r="D5" s="398"/>
      <c r="E5" s="398"/>
      <c r="F5" s="398"/>
      <c r="G5" s="399"/>
    </row>
    <row r="7" spans="1:9" ht="15" x14ac:dyDescent="0.25">
      <c r="A7" s="2" t="s">
        <v>28</v>
      </c>
      <c r="C7" s="397"/>
      <c r="D7" s="398"/>
      <c r="E7" s="398"/>
      <c r="F7" s="398"/>
      <c r="G7" s="399"/>
    </row>
    <row r="8" spans="1:9" x14ac:dyDescent="0.2">
      <c r="A8" s="8"/>
      <c r="B8" s="8"/>
      <c r="C8" s="8"/>
      <c r="D8" s="8"/>
      <c r="E8" s="8"/>
      <c r="F8" s="8"/>
      <c r="G8" s="8"/>
      <c r="H8" s="8"/>
      <c r="I8" s="8"/>
    </row>
    <row r="9" spans="1:9" x14ac:dyDescent="0.2">
      <c r="A9" s="3"/>
      <c r="B9" s="3"/>
      <c r="C9" s="3"/>
      <c r="D9" s="3"/>
      <c r="E9" s="3"/>
      <c r="F9" s="3"/>
      <c r="G9" s="3"/>
      <c r="H9" s="3"/>
      <c r="I9" s="3"/>
    </row>
    <row r="10" spans="1:9" ht="15" x14ac:dyDescent="0.25">
      <c r="A10" s="2" t="s">
        <v>51</v>
      </c>
      <c r="I10" s="4"/>
    </row>
    <row r="11" spans="1:9" x14ac:dyDescent="0.2">
      <c r="A11" s="400" t="s">
        <v>923</v>
      </c>
      <c r="B11" s="400"/>
      <c r="C11" s="400"/>
      <c r="D11" s="400"/>
      <c r="E11" s="400"/>
      <c r="F11" s="400"/>
      <c r="G11" s="400"/>
      <c r="H11" s="401"/>
      <c r="I11" s="209">
        <v>10</v>
      </c>
    </row>
    <row r="12" spans="1:9" x14ac:dyDescent="0.2">
      <c r="I12" s="4"/>
    </row>
    <row r="13" spans="1:9" ht="15" x14ac:dyDescent="0.25">
      <c r="A13" s="400" t="s">
        <v>424</v>
      </c>
      <c r="B13" s="400"/>
      <c r="C13" s="400"/>
      <c r="D13" s="400"/>
      <c r="E13" s="400"/>
      <c r="F13" s="400"/>
      <c r="G13" s="400"/>
      <c r="H13" s="401"/>
      <c r="I13" s="209" t="s">
        <v>22</v>
      </c>
    </row>
    <row r="14" spans="1:9" x14ac:dyDescent="0.2">
      <c r="I14" s="4"/>
    </row>
    <row r="15" spans="1:9" ht="15" x14ac:dyDescent="0.25">
      <c r="A15" s="400" t="s">
        <v>425</v>
      </c>
      <c r="B15" s="400"/>
      <c r="C15" s="400"/>
      <c r="D15" s="400"/>
      <c r="E15" s="400"/>
      <c r="F15" s="400"/>
      <c r="G15" s="400"/>
      <c r="H15" s="401"/>
      <c r="I15" s="209" t="s">
        <v>22</v>
      </c>
    </row>
    <row r="16" spans="1:9" x14ac:dyDescent="0.2">
      <c r="I16" s="4"/>
    </row>
    <row r="17" spans="1:9" x14ac:dyDescent="0.2">
      <c r="A17" s="400" t="s">
        <v>29</v>
      </c>
      <c r="B17" s="400"/>
      <c r="C17" s="400"/>
      <c r="D17" s="400"/>
      <c r="E17" s="400"/>
      <c r="F17" s="400"/>
      <c r="G17" s="400"/>
      <c r="H17" s="401"/>
      <c r="I17" s="209" t="s">
        <v>21</v>
      </c>
    </row>
    <row r="18" spans="1:9" x14ac:dyDescent="0.2">
      <c r="I18" s="4"/>
    </row>
    <row r="19" spans="1:9" x14ac:dyDescent="0.2">
      <c r="A19" s="400" t="s">
        <v>30</v>
      </c>
      <c r="B19" s="400"/>
      <c r="C19" s="400"/>
      <c r="D19" s="400"/>
      <c r="E19" s="400"/>
      <c r="F19" s="400"/>
      <c r="G19" s="400"/>
      <c r="H19" s="401"/>
      <c r="I19" s="209">
        <v>65</v>
      </c>
    </row>
    <row r="21" spans="1:9" x14ac:dyDescent="0.2">
      <c r="A21" t="s">
        <v>64</v>
      </c>
    </row>
    <row r="22" spans="1:9" x14ac:dyDescent="0.2">
      <c r="A22" s="141">
        <v>1</v>
      </c>
      <c r="B22" s="162" t="s">
        <v>58</v>
      </c>
    </row>
    <row r="23" spans="1:9" x14ac:dyDescent="0.2">
      <c r="A23" s="141">
        <v>2</v>
      </c>
      <c r="B23" s="162" t="s">
        <v>59</v>
      </c>
    </row>
    <row r="24" spans="1:9" x14ac:dyDescent="0.2">
      <c r="A24" s="141">
        <v>3</v>
      </c>
      <c r="B24" s="162" t="s">
        <v>60</v>
      </c>
    </row>
    <row r="26" spans="1:9" x14ac:dyDescent="0.2">
      <c r="G26" s="407" t="s">
        <v>924</v>
      </c>
      <c r="H26" s="408"/>
      <c r="I26" s="409"/>
    </row>
    <row r="27" spans="1:9" ht="19.5" customHeight="1" x14ac:dyDescent="0.2">
      <c r="A27" s="402" t="s">
        <v>31</v>
      </c>
      <c r="B27" s="403"/>
      <c r="C27" s="404" t="s">
        <v>32</v>
      </c>
      <c r="D27" s="405"/>
      <c r="E27" s="405"/>
      <c r="F27" s="406"/>
      <c r="G27" s="394"/>
      <c r="H27" s="395"/>
      <c r="I27" s="396"/>
    </row>
    <row r="28" spans="1:9" ht="19.5" customHeight="1" x14ac:dyDescent="0.2">
      <c r="A28" s="402" t="s">
        <v>33</v>
      </c>
      <c r="B28" s="403"/>
      <c r="C28" s="404" t="s">
        <v>34</v>
      </c>
      <c r="D28" s="405"/>
      <c r="E28" s="405"/>
      <c r="F28" s="406"/>
      <c r="G28" s="394"/>
      <c r="H28" s="395"/>
      <c r="I28" s="396"/>
    </row>
    <row r="29" spans="1:9" ht="19.5" customHeight="1" x14ac:dyDescent="0.2">
      <c r="A29" s="402" t="s">
        <v>35</v>
      </c>
      <c r="B29" s="403"/>
      <c r="C29" s="404" t="s">
        <v>36</v>
      </c>
      <c r="D29" s="405"/>
      <c r="E29" s="405"/>
      <c r="F29" s="406"/>
      <c r="G29" s="394"/>
      <c r="H29" s="395"/>
      <c r="I29" s="396"/>
    </row>
    <row r="30" spans="1:9" ht="19.5" customHeight="1" x14ac:dyDescent="0.2">
      <c r="A30" s="402" t="s">
        <v>37</v>
      </c>
      <c r="B30" s="403"/>
      <c r="C30" s="404" t="s">
        <v>38</v>
      </c>
      <c r="D30" s="405"/>
      <c r="E30" s="405"/>
      <c r="F30" s="406"/>
      <c r="G30" s="394"/>
      <c r="H30" s="395"/>
      <c r="I30" s="396"/>
    </row>
    <row r="31" spans="1:9" ht="19.5" customHeight="1" x14ac:dyDescent="0.2">
      <c r="A31" s="402" t="s">
        <v>39</v>
      </c>
      <c r="B31" s="403"/>
      <c r="C31" s="404" t="s">
        <v>40</v>
      </c>
      <c r="D31" s="405"/>
      <c r="E31" s="405"/>
      <c r="F31" s="406"/>
      <c r="G31" s="394"/>
      <c r="H31" s="395"/>
      <c r="I31" s="396"/>
    </row>
    <row r="32" spans="1:9" ht="19.5" customHeight="1" x14ac:dyDescent="0.2">
      <c r="A32" s="402" t="s">
        <v>41</v>
      </c>
      <c r="B32" s="403"/>
      <c r="C32" s="404" t="s">
        <v>42</v>
      </c>
      <c r="D32" s="405"/>
      <c r="E32" s="405"/>
      <c r="F32" s="406"/>
      <c r="G32" s="394"/>
      <c r="H32" s="395"/>
      <c r="I32" s="396"/>
    </row>
    <row r="33" spans="1:9" ht="19.5" customHeight="1" x14ac:dyDescent="0.2">
      <c r="A33" s="402" t="s">
        <v>43</v>
      </c>
      <c r="B33" s="403"/>
      <c r="C33" s="404" t="s">
        <v>44</v>
      </c>
      <c r="D33" s="405"/>
      <c r="E33" s="405"/>
      <c r="F33" s="406"/>
      <c r="G33" s="394"/>
      <c r="H33" s="395"/>
      <c r="I33" s="396"/>
    </row>
    <row r="34" spans="1:9" ht="19.5" customHeight="1" x14ac:dyDescent="0.2">
      <c r="A34" s="402" t="s">
        <v>45</v>
      </c>
      <c r="B34" s="403"/>
      <c r="C34" s="404" t="s">
        <v>46</v>
      </c>
      <c r="D34" s="405"/>
      <c r="E34" s="405"/>
      <c r="F34" s="406"/>
      <c r="G34" s="394"/>
      <c r="H34" s="395"/>
      <c r="I34" s="396"/>
    </row>
    <row r="35" spans="1:9" ht="19.5" customHeight="1" x14ac:dyDescent="0.2">
      <c r="A35" s="402" t="s">
        <v>47</v>
      </c>
      <c r="B35" s="403"/>
      <c r="C35" s="404" t="s">
        <v>48</v>
      </c>
      <c r="D35" s="405"/>
      <c r="E35" s="405"/>
      <c r="F35" s="406"/>
      <c r="G35" s="394"/>
      <c r="H35" s="395"/>
      <c r="I35" s="396"/>
    </row>
    <row r="36" spans="1:9" ht="19.5" customHeight="1" x14ac:dyDescent="0.2">
      <c r="A36" s="402" t="s">
        <v>49</v>
      </c>
      <c r="B36" s="403"/>
      <c r="C36" s="404" t="s">
        <v>50</v>
      </c>
      <c r="D36" s="405"/>
      <c r="E36" s="405"/>
      <c r="F36" s="406"/>
      <c r="G36" s="394"/>
      <c r="H36" s="395"/>
      <c r="I36" s="396"/>
    </row>
  </sheetData>
  <sheetProtection algorithmName="SHA-512" hashValue="769tXlrzDMpzT8XshLj0kEPexxHi9KaySkFJ93A7USip8CzBbNpRVwTjFW/2GL71OyTFqvxgKy5+fEm2WlWnNw==" saltValue="0pWzzvulqQRGXwTUyBK/Ig=="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zoomScaleNormal="100" workbookViewId="0">
      <pane xSplit="4" ySplit="12" topLeftCell="E252" activePane="bottomRight" state="frozenSplit"/>
      <selection activeCell="I45" sqref="I45"/>
      <selection pane="topRight" activeCell="I45" sqref="I45"/>
      <selection pane="bottomLeft" activeCell="I45" sqref="I45"/>
      <selection pane="bottomRight" activeCell="C8" sqref="C8"/>
    </sheetView>
  </sheetViews>
  <sheetFormatPr defaultRowHeight="14.25" x14ac:dyDescent="0.2"/>
  <cols>
    <col min="1" max="1" width="9" hidden="1" customWidth="1"/>
    <col min="2" max="2" width="15.5" customWidth="1"/>
    <col min="3" max="3" width="14.125" bestFit="1" customWidth="1"/>
    <col min="4" max="4" width="15.75" hidden="1" customWidth="1"/>
    <col min="5" max="7" width="10.625" customWidth="1"/>
    <col min="8" max="8" width="10.625" hidden="1" customWidth="1"/>
    <col min="9" max="12" width="10.625" customWidth="1"/>
    <col min="13" max="13" width="10.625" hidden="1" customWidth="1"/>
    <col min="14" max="17" width="10.625" customWidth="1"/>
    <col min="18" max="18" width="10.625" hidden="1" customWidth="1"/>
    <col min="19" max="22" width="10.625" customWidth="1"/>
    <col min="23" max="23" width="10.625" hidden="1" customWidth="1"/>
    <col min="24" max="27" width="10.625" customWidth="1"/>
    <col min="28" max="28" width="10.625" hidden="1" customWidth="1"/>
    <col min="29" max="32" width="10.625" customWidth="1"/>
    <col min="33" max="33" width="10.625" hidden="1" customWidth="1"/>
    <col min="34" max="37" width="10.625" customWidth="1"/>
    <col min="38" max="38" width="10.625" hidden="1" customWidth="1"/>
    <col min="39" max="42" width="10.625" customWidth="1"/>
    <col min="43" max="43" width="10.625" hidden="1" customWidth="1"/>
    <col min="44" max="47" width="10.625" customWidth="1"/>
    <col min="48" max="48" width="10.625" hidden="1" customWidth="1"/>
    <col min="49" max="52" width="10.625" customWidth="1"/>
    <col min="53" max="53" width="10.625" hidden="1" customWidth="1"/>
    <col min="54" max="54" width="9" customWidth="1"/>
    <col min="55" max="56" width="9.125" customWidth="1"/>
    <col min="59" max="59" width="9.75" bestFit="1" customWidth="1"/>
  </cols>
  <sheetData>
    <row r="1" spans="1:57" x14ac:dyDescent="0.2">
      <c r="A1" t="s">
        <v>53</v>
      </c>
    </row>
    <row r="2" spans="1:57" x14ac:dyDescent="0.2">
      <c r="B2" t="s">
        <v>103</v>
      </c>
    </row>
    <row r="3" spans="1:57" x14ac:dyDescent="0.2">
      <c r="A3" t="s">
        <v>55</v>
      </c>
      <c r="B3" t="s">
        <v>112</v>
      </c>
    </row>
    <row r="5" spans="1:57" x14ac:dyDescent="0.2">
      <c r="A5" t="s">
        <v>54</v>
      </c>
    </row>
    <row r="6" spans="1:57" x14ac:dyDescent="0.2">
      <c r="A6">
        <f ca="1">IF(LEFT($C$8,1)="H",MAX(A13:A272),MAX(MAX(A13:A272),52))</f>
        <v>1</v>
      </c>
      <c r="B6" t="s">
        <v>1202</v>
      </c>
      <c r="C6" s="331"/>
      <c r="K6" s="72"/>
    </row>
    <row r="7" spans="1:57" ht="14.25" hidden="1" customHeight="1" x14ac:dyDescent="0.2">
      <c r="B7" t="s">
        <v>1174</v>
      </c>
      <c r="C7" s="162">
        <v>4</v>
      </c>
    </row>
    <row r="8" spans="1:57" x14ac:dyDescent="0.2">
      <c r="B8" t="s">
        <v>1175</v>
      </c>
      <c r="C8" s="333" t="s">
        <v>1288</v>
      </c>
    </row>
    <row r="9" spans="1:57" x14ac:dyDescent="0.2">
      <c r="B9" s="339" t="str">
        <f>IF(LEFT(C8,1)="M","Note: SPC Chart is disabled when using your own forecast.","")</f>
        <v/>
      </c>
    </row>
    <row r="10" spans="1:57" ht="13.9" customHeight="1" x14ac:dyDescent="0.2">
      <c r="B10" s="413" t="s">
        <v>128</v>
      </c>
      <c r="C10" s="413" t="s">
        <v>56</v>
      </c>
      <c r="D10" s="410" t="s">
        <v>1203</v>
      </c>
      <c r="E10" s="266" t="str">
        <f ca="1">OFFSET('Control sheet (hide)'!$AA$3,QUOTIENT(COLUMN(Demand!E9)-4,5),0,1,1)</f>
        <v>Modality 1</v>
      </c>
      <c r="F10" s="266"/>
      <c r="G10" s="266"/>
      <c r="H10" s="266"/>
      <c r="I10" s="266"/>
      <c r="J10" s="266" t="str">
        <f ca="1">OFFSET('Control sheet (hide)'!$AA$3,QUOTIENT(COLUMN(Demand!J9)-4,5),0,1,1)</f>
        <v>Modality 2</v>
      </c>
      <c r="K10" s="266"/>
      <c r="L10" s="266"/>
      <c r="M10" s="266"/>
      <c r="N10" s="266"/>
      <c r="O10" s="266" t="str">
        <f ca="1">OFFSET('Control sheet (hide)'!$AA$3,QUOTIENT(COLUMN(Demand!O9)-4,5),0,1,1)</f>
        <v>Modality 3</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0" t="str">
        <f>"Total"&amp;IF(Setup!$I$17&lt;&gt;"Patients","
(Patients)","")</f>
        <v>Total
(Patients)</v>
      </c>
      <c r="BD10" s="410" t="str">
        <f>"Total
("&amp;Setup!$I$17&amp;")"</f>
        <v>Total
(Minutes)</v>
      </c>
      <c r="BE10" s="410" t="s">
        <v>111</v>
      </c>
    </row>
    <row r="11" spans="1:57" ht="14.25" customHeight="1" x14ac:dyDescent="0.2">
      <c r="B11" s="413"/>
      <c r="C11" s="413"/>
      <c r="D11" s="410"/>
      <c r="E11" s="6" t="str">
        <f>IF(Setup!$I$17&lt;&gt;"Patients",Setup!$I$17&amp;":","")</f>
        <v>Minutes:</v>
      </c>
      <c r="F11" s="340"/>
      <c r="G11" s="6"/>
      <c r="H11" s="6"/>
      <c r="I11" s="6"/>
      <c r="J11" s="6" t="str">
        <f>IF(Setup!$I$17&lt;&gt;"Patients",Setup!$I$17&amp;":","")</f>
        <v>Minutes:</v>
      </c>
      <c r="K11" s="340"/>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10"/>
      <c r="BD11" s="410"/>
      <c r="BE11" s="410"/>
    </row>
    <row r="12" spans="1:57" ht="15" thickBot="1" x14ac:dyDescent="0.25">
      <c r="B12" s="413"/>
      <c r="C12" s="414"/>
      <c r="D12" s="412"/>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1"/>
      <c r="BD12" s="411"/>
      <c r="BE12" s="411"/>
    </row>
    <row r="13" spans="1:57" ht="15" x14ac:dyDescent="0.25">
      <c r="A13">
        <v>1</v>
      </c>
      <c r="B13" s="259">
        <f>IF(C6&lt;&gt;"",YEAR(D13),1)</f>
        <v>1</v>
      </c>
      <c r="C13" s="260"/>
      <c r="D13" s="260"/>
      <c r="E13" s="179"/>
      <c r="F13" s="180"/>
      <c r="G13" s="181"/>
      <c r="H13" s="182"/>
      <c r="I13" s="247"/>
      <c r="J13" s="193"/>
      <c r="K13" s="194"/>
      <c r="L13" s="195"/>
      <c r="M13" s="196"/>
      <c r="N13" s="251"/>
      <c r="O13" s="179"/>
      <c r="P13" s="180"/>
      <c r="Q13" s="181"/>
      <c r="R13" s="182"/>
      <c r="S13" s="247"/>
      <c r="T13" s="193"/>
      <c r="U13" s="194"/>
      <c r="V13" s="195"/>
      <c r="W13" s="196"/>
      <c r="X13" s="251"/>
      <c r="Y13" s="179"/>
      <c r="Z13" s="180"/>
      <c r="AA13" s="181"/>
      <c r="AB13" s="182"/>
      <c r="AC13" s="247"/>
      <c r="AD13" s="193"/>
      <c r="AE13" s="194"/>
      <c r="AF13" s="195"/>
      <c r="AG13" s="196"/>
      <c r="AH13" s="251"/>
      <c r="AI13" s="179"/>
      <c r="AJ13" s="180"/>
      <c r="AK13" s="181"/>
      <c r="AL13" s="182"/>
      <c r="AM13" s="247"/>
      <c r="AN13" s="193"/>
      <c r="AO13" s="194"/>
      <c r="AP13" s="195"/>
      <c r="AQ13" s="196"/>
      <c r="AR13" s="251"/>
      <c r="AS13" s="179"/>
      <c r="AT13" s="180"/>
      <c r="AU13" s="181"/>
      <c r="AV13" s="182"/>
      <c r="AW13" s="247"/>
      <c r="AX13" s="193"/>
      <c r="AY13" s="194"/>
      <c r="AZ13" s="195"/>
      <c r="BA13" s="196"/>
      <c r="BB13" s="251"/>
      <c r="BC13" s="255" t="str">
        <f ca="1">IF('Demand background (hide)'!A4=Num_Modalities,"",SUM(Demand!I13, Demand!N13, Demand!S13, Demand!X13, Demand!AC13, Demand!AH13, Demand!AM13, Demand!AR13, Demand!AW13, Demand!BB13))</f>
        <v/>
      </c>
      <c r="BD13" s="255"/>
      <c r="BE13" s="205"/>
    </row>
    <row r="14" spans="1:57" ht="15" x14ac:dyDescent="0.25">
      <c r="A14" t="str">
        <f t="shared" ref="A14:A76" ca="1" si="0">IF(BC14&lt;&gt;"",ROW(A2),"")</f>
        <v/>
      </c>
      <c r="B14" s="259" t="str">
        <f t="shared" ref="B14:B77" ca="1" si="1">IF(A14&lt;=MaxRows,IF($C$6&lt;&gt;"",IF(YEAR(D14)&lt;&gt;YEAR(D13),YEAR(D14)," "),IF(C14&lt;&gt;1,"",OFFSET(B14,-C13,0,1,1)+1))," ")</f>
        <v xml:space="preserve"> </v>
      </c>
      <c r="C14" s="261"/>
      <c r="D14" s="261"/>
      <c r="E14" s="183"/>
      <c r="F14" s="184"/>
      <c r="G14" s="185"/>
      <c r="H14" s="186"/>
      <c r="I14" s="248"/>
      <c r="J14" s="197"/>
      <c r="K14" s="198"/>
      <c r="L14" s="199"/>
      <c r="M14" s="200"/>
      <c r="N14" s="252"/>
      <c r="O14" s="183"/>
      <c r="P14" s="184"/>
      <c r="Q14" s="185"/>
      <c r="R14" s="186"/>
      <c r="S14" s="248"/>
      <c r="T14" s="197"/>
      <c r="U14" s="198"/>
      <c r="V14" s="199"/>
      <c r="W14" s="200"/>
      <c r="X14" s="252"/>
      <c r="Y14" s="183"/>
      <c r="Z14" s="184"/>
      <c r="AA14" s="185"/>
      <c r="AB14" s="186"/>
      <c r="AC14" s="248"/>
      <c r="AD14" s="197"/>
      <c r="AE14" s="198"/>
      <c r="AF14" s="199"/>
      <c r="AG14" s="200"/>
      <c r="AH14" s="252"/>
      <c r="AI14" s="183"/>
      <c r="AJ14" s="184"/>
      <c r="AK14" s="185"/>
      <c r="AL14" s="186"/>
      <c r="AM14" s="248"/>
      <c r="AN14" s="197"/>
      <c r="AO14" s="198"/>
      <c r="AP14" s="199"/>
      <c r="AQ14" s="200"/>
      <c r="AR14" s="252"/>
      <c r="AS14" s="183"/>
      <c r="AT14" s="184"/>
      <c r="AU14" s="185"/>
      <c r="AV14" s="186"/>
      <c r="AW14" s="248"/>
      <c r="AX14" s="197"/>
      <c r="AY14" s="198"/>
      <c r="AZ14" s="199"/>
      <c r="BA14" s="200"/>
      <c r="BB14" s="252"/>
      <c r="BC14" s="256" t="str">
        <f ca="1">IF('Demand background (hide)'!A5=Num_Modalities,"",SUM(Demand!I14, Demand!N14, Demand!S14, Demand!X14, Demand!AC14, Demand!AH14, Demand!AM14, Demand!AR14, Demand!AW14, Demand!BB14))</f>
        <v/>
      </c>
      <c r="BD14" s="256"/>
      <c r="BE14" s="206"/>
    </row>
    <row r="15" spans="1:57" ht="15" x14ac:dyDescent="0.25">
      <c r="A15" t="str">
        <f t="shared" ca="1" si="0"/>
        <v/>
      </c>
      <c r="B15" s="259" t="str">
        <f t="shared" ca="1" si="1"/>
        <v xml:space="preserve"> </v>
      </c>
      <c r="C15" s="261"/>
      <c r="D15" s="261"/>
      <c r="E15" s="183"/>
      <c r="F15" s="184"/>
      <c r="G15" s="185"/>
      <c r="H15" s="186"/>
      <c r="I15" s="248"/>
      <c r="J15" s="197"/>
      <c r="K15" s="198"/>
      <c r="L15" s="199"/>
      <c r="M15" s="200"/>
      <c r="N15" s="252"/>
      <c r="O15" s="183"/>
      <c r="P15" s="184"/>
      <c r="Q15" s="185"/>
      <c r="R15" s="186"/>
      <c r="S15" s="248"/>
      <c r="T15" s="197"/>
      <c r="U15" s="198"/>
      <c r="V15" s="199"/>
      <c r="W15" s="200"/>
      <c r="X15" s="252"/>
      <c r="Y15" s="183"/>
      <c r="Z15" s="184"/>
      <c r="AA15" s="185"/>
      <c r="AB15" s="186"/>
      <c r="AC15" s="248"/>
      <c r="AD15" s="197"/>
      <c r="AE15" s="198"/>
      <c r="AF15" s="199"/>
      <c r="AG15" s="200"/>
      <c r="AH15" s="252"/>
      <c r="AI15" s="183"/>
      <c r="AJ15" s="184"/>
      <c r="AK15" s="185"/>
      <c r="AL15" s="186"/>
      <c r="AM15" s="248"/>
      <c r="AN15" s="197"/>
      <c r="AO15" s="198"/>
      <c r="AP15" s="199"/>
      <c r="AQ15" s="200"/>
      <c r="AR15" s="252"/>
      <c r="AS15" s="183"/>
      <c r="AT15" s="184"/>
      <c r="AU15" s="185"/>
      <c r="AV15" s="186"/>
      <c r="AW15" s="248"/>
      <c r="AX15" s="197"/>
      <c r="AY15" s="198"/>
      <c r="AZ15" s="199"/>
      <c r="BA15" s="200"/>
      <c r="BB15" s="252"/>
      <c r="BC15" s="256" t="str">
        <f ca="1">IF('Demand background (hide)'!A6=Num_Modalities,"",SUM(Demand!I15, Demand!N15, Demand!S15, Demand!X15, Demand!AC15, Demand!AH15, Demand!AM15, Demand!AR15, Demand!AW15, Demand!BB15))</f>
        <v/>
      </c>
      <c r="BD15" s="256"/>
      <c r="BE15" s="206"/>
    </row>
    <row r="16" spans="1:57" ht="15" x14ac:dyDescent="0.25">
      <c r="A16" t="str">
        <f t="shared" ca="1" si="0"/>
        <v/>
      </c>
      <c r="B16" s="259" t="str">
        <f t="shared" ca="1" si="1"/>
        <v xml:space="preserve"> </v>
      </c>
      <c r="C16" s="261"/>
      <c r="D16" s="261"/>
      <c r="E16" s="183"/>
      <c r="F16" s="184"/>
      <c r="G16" s="185"/>
      <c r="H16" s="186"/>
      <c r="I16" s="248"/>
      <c r="J16" s="197"/>
      <c r="K16" s="198"/>
      <c r="L16" s="199"/>
      <c r="M16" s="200"/>
      <c r="N16" s="252"/>
      <c r="O16" s="183"/>
      <c r="P16" s="184"/>
      <c r="Q16" s="185"/>
      <c r="R16" s="186"/>
      <c r="S16" s="248"/>
      <c r="T16" s="197"/>
      <c r="U16" s="198"/>
      <c r="V16" s="199"/>
      <c r="W16" s="200"/>
      <c r="X16" s="252"/>
      <c r="Y16" s="183"/>
      <c r="Z16" s="184"/>
      <c r="AA16" s="185"/>
      <c r="AB16" s="186"/>
      <c r="AC16" s="248"/>
      <c r="AD16" s="197"/>
      <c r="AE16" s="198"/>
      <c r="AF16" s="199"/>
      <c r="AG16" s="200"/>
      <c r="AH16" s="252"/>
      <c r="AI16" s="183"/>
      <c r="AJ16" s="184"/>
      <c r="AK16" s="185"/>
      <c r="AL16" s="186"/>
      <c r="AM16" s="248"/>
      <c r="AN16" s="197"/>
      <c r="AO16" s="198"/>
      <c r="AP16" s="199"/>
      <c r="AQ16" s="200"/>
      <c r="AR16" s="252"/>
      <c r="AS16" s="183"/>
      <c r="AT16" s="184"/>
      <c r="AU16" s="185"/>
      <c r="AV16" s="186"/>
      <c r="AW16" s="248"/>
      <c r="AX16" s="197"/>
      <c r="AY16" s="198"/>
      <c r="AZ16" s="199"/>
      <c r="BA16" s="200"/>
      <c r="BB16" s="252"/>
      <c r="BC16" s="256" t="str">
        <f ca="1">IF('Demand background (hide)'!A7=Num_Modalities,"",SUM(Demand!I16, Demand!N16, Demand!S16, Demand!X16, Demand!AC16, Demand!AH16, Demand!AM16, Demand!AR16, Demand!AW16, Demand!BB16))</f>
        <v/>
      </c>
      <c r="BD16" s="256"/>
      <c r="BE16" s="206"/>
    </row>
    <row r="17" spans="1:57" ht="15" x14ac:dyDescent="0.25">
      <c r="A17" t="str">
        <f t="shared" ca="1" si="0"/>
        <v/>
      </c>
      <c r="B17" s="259" t="str">
        <f t="shared" ca="1" si="1"/>
        <v xml:space="preserve"> </v>
      </c>
      <c r="C17" s="261"/>
      <c r="D17" s="261"/>
      <c r="E17" s="183"/>
      <c r="F17" s="184"/>
      <c r="G17" s="185"/>
      <c r="H17" s="186"/>
      <c r="I17" s="248"/>
      <c r="J17" s="197"/>
      <c r="K17" s="198"/>
      <c r="L17" s="199"/>
      <c r="M17" s="200"/>
      <c r="N17" s="252"/>
      <c r="O17" s="183"/>
      <c r="P17" s="184"/>
      <c r="Q17" s="185"/>
      <c r="R17" s="186"/>
      <c r="S17" s="248"/>
      <c r="T17" s="197"/>
      <c r="U17" s="198"/>
      <c r="V17" s="199"/>
      <c r="W17" s="200"/>
      <c r="X17" s="252"/>
      <c r="Y17" s="183"/>
      <c r="Z17" s="184"/>
      <c r="AA17" s="185"/>
      <c r="AB17" s="186"/>
      <c r="AC17" s="248"/>
      <c r="AD17" s="197"/>
      <c r="AE17" s="198"/>
      <c r="AF17" s="199"/>
      <c r="AG17" s="200"/>
      <c r="AH17" s="252"/>
      <c r="AI17" s="183"/>
      <c r="AJ17" s="184"/>
      <c r="AK17" s="185"/>
      <c r="AL17" s="186"/>
      <c r="AM17" s="248"/>
      <c r="AN17" s="197"/>
      <c r="AO17" s="198"/>
      <c r="AP17" s="199"/>
      <c r="AQ17" s="200"/>
      <c r="AR17" s="252"/>
      <c r="AS17" s="183"/>
      <c r="AT17" s="184"/>
      <c r="AU17" s="185"/>
      <c r="AV17" s="186"/>
      <c r="AW17" s="248"/>
      <c r="AX17" s="197"/>
      <c r="AY17" s="198"/>
      <c r="AZ17" s="199"/>
      <c r="BA17" s="200"/>
      <c r="BB17" s="252"/>
      <c r="BC17" s="256" t="str">
        <f ca="1">IF('Demand background (hide)'!A8=Num_Modalities,"",SUM(Demand!I17, Demand!N17, Demand!S17, Demand!X17, Demand!AC17, Demand!AH17, Demand!AM17, Demand!AR17, Demand!AW17, Demand!BB17))</f>
        <v/>
      </c>
      <c r="BD17" s="256"/>
      <c r="BE17" s="206"/>
    </row>
    <row r="18" spans="1:57" ht="15" x14ac:dyDescent="0.25">
      <c r="A18" t="str">
        <f t="shared" ca="1" si="0"/>
        <v/>
      </c>
      <c r="B18" s="259" t="str">
        <f t="shared" ca="1" si="1"/>
        <v xml:space="preserve"> </v>
      </c>
      <c r="C18" s="261"/>
      <c r="D18" s="261"/>
      <c r="E18" s="183"/>
      <c r="F18" s="184"/>
      <c r="G18" s="185"/>
      <c r="H18" s="186"/>
      <c r="I18" s="248"/>
      <c r="J18" s="197"/>
      <c r="K18" s="198"/>
      <c r="L18" s="199"/>
      <c r="M18" s="200"/>
      <c r="N18" s="252"/>
      <c r="O18" s="183"/>
      <c r="P18" s="184"/>
      <c r="Q18" s="185"/>
      <c r="R18" s="186"/>
      <c r="S18" s="248"/>
      <c r="T18" s="197"/>
      <c r="U18" s="198"/>
      <c r="V18" s="199"/>
      <c r="W18" s="200"/>
      <c r="X18" s="252"/>
      <c r="Y18" s="183"/>
      <c r="Z18" s="184"/>
      <c r="AA18" s="185"/>
      <c r="AB18" s="186"/>
      <c r="AC18" s="248"/>
      <c r="AD18" s="197"/>
      <c r="AE18" s="198"/>
      <c r="AF18" s="199"/>
      <c r="AG18" s="200"/>
      <c r="AH18" s="252"/>
      <c r="AI18" s="183"/>
      <c r="AJ18" s="184"/>
      <c r="AK18" s="185"/>
      <c r="AL18" s="186"/>
      <c r="AM18" s="248"/>
      <c r="AN18" s="197"/>
      <c r="AO18" s="198"/>
      <c r="AP18" s="199"/>
      <c r="AQ18" s="200"/>
      <c r="AR18" s="252"/>
      <c r="AS18" s="183"/>
      <c r="AT18" s="184"/>
      <c r="AU18" s="185"/>
      <c r="AV18" s="186"/>
      <c r="AW18" s="248"/>
      <c r="AX18" s="197"/>
      <c r="AY18" s="198"/>
      <c r="AZ18" s="199"/>
      <c r="BA18" s="200"/>
      <c r="BB18" s="252"/>
      <c r="BC18" s="256" t="str">
        <f ca="1">IF('Demand background (hide)'!A9=Num_Modalities,"",SUM(Demand!I18, Demand!N18, Demand!S18, Demand!X18, Demand!AC18, Demand!AH18, Demand!AM18, Demand!AR18, Demand!AW18, Demand!BB18))</f>
        <v/>
      </c>
      <c r="BD18" s="256"/>
      <c r="BE18" s="206"/>
    </row>
    <row r="19" spans="1:57" ht="15" x14ac:dyDescent="0.25">
      <c r="A19" t="str">
        <f t="shared" ca="1" si="0"/>
        <v/>
      </c>
      <c r="B19" s="259" t="str">
        <f t="shared" ca="1" si="1"/>
        <v xml:space="preserve"> </v>
      </c>
      <c r="C19" s="261"/>
      <c r="D19" s="261"/>
      <c r="E19" s="183"/>
      <c r="F19" s="184"/>
      <c r="G19" s="185"/>
      <c r="H19" s="186"/>
      <c r="I19" s="248"/>
      <c r="J19" s="197"/>
      <c r="K19" s="198"/>
      <c r="L19" s="199"/>
      <c r="M19" s="200"/>
      <c r="N19" s="252"/>
      <c r="O19" s="183"/>
      <c r="P19" s="184"/>
      <c r="Q19" s="185"/>
      <c r="R19" s="186"/>
      <c r="S19" s="248"/>
      <c r="T19" s="197"/>
      <c r="U19" s="198"/>
      <c r="V19" s="199"/>
      <c r="W19" s="200"/>
      <c r="X19" s="252"/>
      <c r="Y19" s="183"/>
      <c r="Z19" s="184"/>
      <c r="AA19" s="185"/>
      <c r="AB19" s="186"/>
      <c r="AC19" s="248"/>
      <c r="AD19" s="197"/>
      <c r="AE19" s="198"/>
      <c r="AF19" s="199"/>
      <c r="AG19" s="200"/>
      <c r="AH19" s="252"/>
      <c r="AI19" s="183"/>
      <c r="AJ19" s="184"/>
      <c r="AK19" s="185"/>
      <c r="AL19" s="186"/>
      <c r="AM19" s="248"/>
      <c r="AN19" s="197"/>
      <c r="AO19" s="198"/>
      <c r="AP19" s="199"/>
      <c r="AQ19" s="200"/>
      <c r="AR19" s="252"/>
      <c r="AS19" s="183"/>
      <c r="AT19" s="184"/>
      <c r="AU19" s="185"/>
      <c r="AV19" s="186"/>
      <c r="AW19" s="248"/>
      <c r="AX19" s="197"/>
      <c r="AY19" s="198"/>
      <c r="AZ19" s="199"/>
      <c r="BA19" s="200"/>
      <c r="BB19" s="252"/>
      <c r="BC19" s="256" t="str">
        <f ca="1">IF('Demand background (hide)'!A10=Num_Modalities,"",SUM(Demand!I19, Demand!N19, Demand!S19, Demand!X19, Demand!AC19, Demand!AH19, Demand!AM19, Demand!AR19, Demand!AW19, Demand!BB19))</f>
        <v/>
      </c>
      <c r="BD19" s="256"/>
      <c r="BE19" s="206"/>
    </row>
    <row r="20" spans="1:57" ht="15" x14ac:dyDescent="0.25">
      <c r="A20" t="str">
        <f t="shared" ca="1" si="0"/>
        <v/>
      </c>
      <c r="B20" s="259" t="str">
        <f t="shared" ca="1" si="1"/>
        <v xml:space="preserve"> </v>
      </c>
      <c r="C20" s="261"/>
      <c r="D20" s="261"/>
      <c r="E20" s="183"/>
      <c r="F20" s="184"/>
      <c r="G20" s="185"/>
      <c r="H20" s="186"/>
      <c r="I20" s="248"/>
      <c r="J20" s="197"/>
      <c r="K20" s="198"/>
      <c r="L20" s="199"/>
      <c r="M20" s="200"/>
      <c r="N20" s="252"/>
      <c r="O20" s="183"/>
      <c r="P20" s="184"/>
      <c r="Q20" s="185"/>
      <c r="R20" s="186"/>
      <c r="S20" s="248"/>
      <c r="T20" s="197"/>
      <c r="U20" s="198"/>
      <c r="V20" s="199"/>
      <c r="W20" s="200"/>
      <c r="X20" s="252"/>
      <c r="Y20" s="183"/>
      <c r="Z20" s="184"/>
      <c r="AA20" s="185"/>
      <c r="AB20" s="186"/>
      <c r="AC20" s="248"/>
      <c r="AD20" s="197"/>
      <c r="AE20" s="198"/>
      <c r="AF20" s="199"/>
      <c r="AG20" s="200"/>
      <c r="AH20" s="252"/>
      <c r="AI20" s="183"/>
      <c r="AJ20" s="184"/>
      <c r="AK20" s="185"/>
      <c r="AL20" s="186"/>
      <c r="AM20" s="248"/>
      <c r="AN20" s="197"/>
      <c r="AO20" s="198"/>
      <c r="AP20" s="199"/>
      <c r="AQ20" s="200"/>
      <c r="AR20" s="252"/>
      <c r="AS20" s="183"/>
      <c r="AT20" s="184"/>
      <c r="AU20" s="185"/>
      <c r="AV20" s="186"/>
      <c r="AW20" s="248"/>
      <c r="AX20" s="197"/>
      <c r="AY20" s="198"/>
      <c r="AZ20" s="199"/>
      <c r="BA20" s="200"/>
      <c r="BB20" s="252"/>
      <c r="BC20" s="256" t="str">
        <f ca="1">IF('Demand background (hide)'!A11=Num_Modalities,"",SUM(Demand!I20, Demand!N20, Demand!S20, Demand!X20, Demand!AC20, Demand!AH20, Demand!AM20, Demand!AR20, Demand!AW20, Demand!BB20))</f>
        <v/>
      </c>
      <c r="BD20" s="256"/>
      <c r="BE20" s="206"/>
    </row>
    <row r="21" spans="1:57" ht="15" x14ac:dyDescent="0.25">
      <c r="A21" t="str">
        <f t="shared" ca="1" si="0"/>
        <v/>
      </c>
      <c r="B21" s="259" t="str">
        <f t="shared" ca="1" si="1"/>
        <v xml:space="preserve"> </v>
      </c>
      <c r="C21" s="261"/>
      <c r="D21" s="261"/>
      <c r="E21" s="183"/>
      <c r="F21" s="184"/>
      <c r="G21" s="185"/>
      <c r="H21" s="186"/>
      <c r="I21" s="248"/>
      <c r="J21" s="197"/>
      <c r="K21" s="198"/>
      <c r="L21" s="199"/>
      <c r="M21" s="200"/>
      <c r="N21" s="252"/>
      <c r="O21" s="183"/>
      <c r="P21" s="184"/>
      <c r="Q21" s="185"/>
      <c r="R21" s="186"/>
      <c r="S21" s="248"/>
      <c r="T21" s="197"/>
      <c r="U21" s="198"/>
      <c r="V21" s="199"/>
      <c r="W21" s="200"/>
      <c r="X21" s="252"/>
      <c r="Y21" s="183"/>
      <c r="Z21" s="184"/>
      <c r="AA21" s="185"/>
      <c r="AB21" s="186"/>
      <c r="AC21" s="248"/>
      <c r="AD21" s="197"/>
      <c r="AE21" s="198"/>
      <c r="AF21" s="199"/>
      <c r="AG21" s="200"/>
      <c r="AH21" s="252"/>
      <c r="AI21" s="183"/>
      <c r="AJ21" s="184"/>
      <c r="AK21" s="185"/>
      <c r="AL21" s="186"/>
      <c r="AM21" s="248"/>
      <c r="AN21" s="197"/>
      <c r="AO21" s="198"/>
      <c r="AP21" s="199"/>
      <c r="AQ21" s="200"/>
      <c r="AR21" s="252"/>
      <c r="AS21" s="183"/>
      <c r="AT21" s="184"/>
      <c r="AU21" s="185"/>
      <c r="AV21" s="186"/>
      <c r="AW21" s="248"/>
      <c r="AX21" s="197"/>
      <c r="AY21" s="198"/>
      <c r="AZ21" s="199"/>
      <c r="BA21" s="200"/>
      <c r="BB21" s="252"/>
      <c r="BC21" s="256" t="str">
        <f ca="1">IF('Demand background (hide)'!A12=Num_Modalities,"",SUM(Demand!I21, Demand!N21, Demand!S21, Demand!X21, Demand!AC21, Demand!AH21, Demand!AM21, Demand!AR21, Demand!AW21, Demand!BB21))</f>
        <v/>
      </c>
      <c r="BD21" s="256"/>
      <c r="BE21" s="206"/>
    </row>
    <row r="22" spans="1:57" ht="15" x14ac:dyDescent="0.25">
      <c r="A22" t="str">
        <f t="shared" ca="1" si="0"/>
        <v/>
      </c>
      <c r="B22" s="259" t="str">
        <f t="shared" ca="1" si="1"/>
        <v xml:space="preserve"> </v>
      </c>
      <c r="C22" s="261"/>
      <c r="D22" s="261"/>
      <c r="E22" s="183"/>
      <c r="F22" s="184"/>
      <c r="G22" s="185"/>
      <c r="H22" s="186"/>
      <c r="I22" s="248"/>
      <c r="J22" s="197"/>
      <c r="K22" s="198"/>
      <c r="L22" s="199"/>
      <c r="M22" s="200"/>
      <c r="N22" s="252"/>
      <c r="O22" s="183"/>
      <c r="P22" s="184"/>
      <c r="Q22" s="185"/>
      <c r="R22" s="186"/>
      <c r="S22" s="248"/>
      <c r="T22" s="197"/>
      <c r="U22" s="198"/>
      <c r="V22" s="199"/>
      <c r="W22" s="200"/>
      <c r="X22" s="252"/>
      <c r="Y22" s="183"/>
      <c r="Z22" s="184"/>
      <c r="AA22" s="185"/>
      <c r="AB22" s="186"/>
      <c r="AC22" s="248"/>
      <c r="AD22" s="197"/>
      <c r="AE22" s="198"/>
      <c r="AF22" s="199"/>
      <c r="AG22" s="200"/>
      <c r="AH22" s="252"/>
      <c r="AI22" s="183"/>
      <c r="AJ22" s="184"/>
      <c r="AK22" s="185"/>
      <c r="AL22" s="186"/>
      <c r="AM22" s="248"/>
      <c r="AN22" s="197"/>
      <c r="AO22" s="198"/>
      <c r="AP22" s="199"/>
      <c r="AQ22" s="200"/>
      <c r="AR22" s="252"/>
      <c r="AS22" s="183"/>
      <c r="AT22" s="184"/>
      <c r="AU22" s="185"/>
      <c r="AV22" s="186"/>
      <c r="AW22" s="248"/>
      <c r="AX22" s="197"/>
      <c r="AY22" s="198"/>
      <c r="AZ22" s="199"/>
      <c r="BA22" s="200"/>
      <c r="BB22" s="252"/>
      <c r="BC22" s="256" t="str">
        <f ca="1">IF('Demand background (hide)'!A13=Num_Modalities,"",SUM(Demand!I22, Demand!N22, Demand!S22, Demand!X22, Demand!AC22, Demand!AH22, Demand!AM22, Demand!AR22, Demand!AW22, Demand!BB22))</f>
        <v/>
      </c>
      <c r="BD22" s="256"/>
      <c r="BE22" s="206"/>
    </row>
    <row r="23" spans="1:57" ht="15" x14ac:dyDescent="0.25">
      <c r="A23" t="str">
        <f t="shared" ca="1" si="0"/>
        <v/>
      </c>
      <c r="B23" s="259" t="str">
        <f t="shared" ca="1" si="1"/>
        <v xml:space="preserve"> </v>
      </c>
      <c r="C23" s="261"/>
      <c r="D23" s="261"/>
      <c r="E23" s="183"/>
      <c r="F23" s="184"/>
      <c r="G23" s="185"/>
      <c r="H23" s="186"/>
      <c r="I23" s="248"/>
      <c r="J23" s="197"/>
      <c r="K23" s="198"/>
      <c r="L23" s="199"/>
      <c r="M23" s="200"/>
      <c r="N23" s="252"/>
      <c r="O23" s="183"/>
      <c r="P23" s="184"/>
      <c r="Q23" s="185"/>
      <c r="R23" s="186"/>
      <c r="S23" s="248"/>
      <c r="T23" s="197"/>
      <c r="U23" s="198"/>
      <c r="V23" s="199"/>
      <c r="W23" s="200"/>
      <c r="X23" s="252"/>
      <c r="Y23" s="183"/>
      <c r="Z23" s="184"/>
      <c r="AA23" s="185"/>
      <c r="AB23" s="186"/>
      <c r="AC23" s="248"/>
      <c r="AD23" s="197"/>
      <c r="AE23" s="198"/>
      <c r="AF23" s="199"/>
      <c r="AG23" s="200"/>
      <c r="AH23" s="252"/>
      <c r="AI23" s="183"/>
      <c r="AJ23" s="184"/>
      <c r="AK23" s="185"/>
      <c r="AL23" s="186"/>
      <c r="AM23" s="248"/>
      <c r="AN23" s="197"/>
      <c r="AO23" s="198"/>
      <c r="AP23" s="199"/>
      <c r="AQ23" s="200"/>
      <c r="AR23" s="252"/>
      <c r="AS23" s="183"/>
      <c r="AT23" s="184"/>
      <c r="AU23" s="185"/>
      <c r="AV23" s="186"/>
      <c r="AW23" s="248"/>
      <c r="AX23" s="197"/>
      <c r="AY23" s="198"/>
      <c r="AZ23" s="199"/>
      <c r="BA23" s="200"/>
      <c r="BB23" s="252"/>
      <c r="BC23" s="256" t="str">
        <f ca="1">IF('Demand background (hide)'!A14=Num_Modalities,"",SUM(Demand!I23, Demand!N23, Demand!S23, Demand!X23, Demand!AC23, Demand!AH23, Demand!AM23, Demand!AR23, Demand!AW23, Demand!BB23))</f>
        <v/>
      </c>
      <c r="BD23" s="256"/>
      <c r="BE23" s="206"/>
    </row>
    <row r="24" spans="1:57" ht="15" x14ac:dyDescent="0.25">
      <c r="A24" t="str">
        <f t="shared" ca="1" si="0"/>
        <v/>
      </c>
      <c r="B24" s="259" t="str">
        <f t="shared" ca="1" si="1"/>
        <v xml:space="preserve"> </v>
      </c>
      <c r="C24" s="261"/>
      <c r="D24" s="261"/>
      <c r="E24" s="183"/>
      <c r="F24" s="184"/>
      <c r="G24" s="185"/>
      <c r="H24" s="186"/>
      <c r="I24" s="248"/>
      <c r="J24" s="197"/>
      <c r="K24" s="198"/>
      <c r="L24" s="199"/>
      <c r="M24" s="200"/>
      <c r="N24" s="252"/>
      <c r="O24" s="183"/>
      <c r="P24" s="184"/>
      <c r="Q24" s="185"/>
      <c r="R24" s="186"/>
      <c r="S24" s="248"/>
      <c r="T24" s="197"/>
      <c r="U24" s="198"/>
      <c r="V24" s="199"/>
      <c r="W24" s="200"/>
      <c r="X24" s="252"/>
      <c r="Y24" s="183"/>
      <c r="Z24" s="184"/>
      <c r="AA24" s="185"/>
      <c r="AB24" s="186"/>
      <c r="AC24" s="248"/>
      <c r="AD24" s="197"/>
      <c r="AE24" s="198"/>
      <c r="AF24" s="199"/>
      <c r="AG24" s="200"/>
      <c r="AH24" s="252"/>
      <c r="AI24" s="183"/>
      <c r="AJ24" s="184"/>
      <c r="AK24" s="185"/>
      <c r="AL24" s="186"/>
      <c r="AM24" s="248"/>
      <c r="AN24" s="197"/>
      <c r="AO24" s="198"/>
      <c r="AP24" s="199"/>
      <c r="AQ24" s="200"/>
      <c r="AR24" s="252"/>
      <c r="AS24" s="183"/>
      <c r="AT24" s="184"/>
      <c r="AU24" s="185"/>
      <c r="AV24" s="186"/>
      <c r="AW24" s="248"/>
      <c r="AX24" s="197"/>
      <c r="AY24" s="198"/>
      <c r="AZ24" s="199"/>
      <c r="BA24" s="200"/>
      <c r="BB24" s="252"/>
      <c r="BC24" s="256" t="str">
        <f ca="1">IF('Demand background (hide)'!A15=Num_Modalities,"",SUM(Demand!I24, Demand!N24, Demand!S24, Demand!X24, Demand!AC24, Demand!AH24, Demand!AM24, Demand!AR24, Demand!AW24, Demand!BB24))</f>
        <v/>
      </c>
      <c r="BD24" s="256"/>
      <c r="BE24" s="206"/>
    </row>
    <row r="25" spans="1:57" ht="15" x14ac:dyDescent="0.25">
      <c r="A25" t="str">
        <f t="shared" ca="1" si="0"/>
        <v/>
      </c>
      <c r="B25" s="259" t="str">
        <f t="shared" ca="1" si="1"/>
        <v xml:space="preserve"> </v>
      </c>
      <c r="C25" s="261"/>
      <c r="D25" s="261"/>
      <c r="E25" s="183"/>
      <c r="F25" s="184"/>
      <c r="G25" s="185"/>
      <c r="H25" s="186"/>
      <c r="I25" s="248"/>
      <c r="J25" s="197"/>
      <c r="K25" s="198"/>
      <c r="L25" s="199"/>
      <c r="M25" s="200"/>
      <c r="N25" s="252"/>
      <c r="O25" s="183"/>
      <c r="P25" s="184"/>
      <c r="Q25" s="185"/>
      <c r="R25" s="186"/>
      <c r="S25" s="248"/>
      <c r="T25" s="197"/>
      <c r="U25" s="198"/>
      <c r="V25" s="199"/>
      <c r="W25" s="200"/>
      <c r="X25" s="252"/>
      <c r="Y25" s="183"/>
      <c r="Z25" s="184"/>
      <c r="AA25" s="185"/>
      <c r="AB25" s="186"/>
      <c r="AC25" s="248"/>
      <c r="AD25" s="197"/>
      <c r="AE25" s="198"/>
      <c r="AF25" s="199"/>
      <c r="AG25" s="200"/>
      <c r="AH25" s="252"/>
      <c r="AI25" s="183"/>
      <c r="AJ25" s="184"/>
      <c r="AK25" s="185"/>
      <c r="AL25" s="186"/>
      <c r="AM25" s="248"/>
      <c r="AN25" s="197"/>
      <c r="AO25" s="198"/>
      <c r="AP25" s="199"/>
      <c r="AQ25" s="200"/>
      <c r="AR25" s="252"/>
      <c r="AS25" s="183"/>
      <c r="AT25" s="184"/>
      <c r="AU25" s="185"/>
      <c r="AV25" s="186"/>
      <c r="AW25" s="248"/>
      <c r="AX25" s="197"/>
      <c r="AY25" s="198"/>
      <c r="AZ25" s="199"/>
      <c r="BA25" s="200"/>
      <c r="BB25" s="252"/>
      <c r="BC25" s="256" t="str">
        <f ca="1">IF('Demand background (hide)'!A16=Num_Modalities,"",SUM(Demand!I25, Demand!N25, Demand!S25, Demand!X25, Demand!AC25, Demand!AH25, Demand!AM25, Demand!AR25, Demand!AW25, Demand!BB25))</f>
        <v/>
      </c>
      <c r="BD25" s="256"/>
      <c r="BE25" s="206"/>
    </row>
    <row r="26" spans="1:57" ht="15" x14ac:dyDescent="0.25">
      <c r="A26" t="str">
        <f t="shared" ca="1" si="0"/>
        <v/>
      </c>
      <c r="B26" s="259" t="str">
        <f t="shared" ca="1" si="1"/>
        <v xml:space="preserve"> </v>
      </c>
      <c r="C26" s="261"/>
      <c r="D26" s="261"/>
      <c r="E26" s="183"/>
      <c r="F26" s="184"/>
      <c r="G26" s="185"/>
      <c r="H26" s="186"/>
      <c r="I26" s="248"/>
      <c r="J26" s="197"/>
      <c r="K26" s="198"/>
      <c r="L26" s="199"/>
      <c r="M26" s="200"/>
      <c r="N26" s="252"/>
      <c r="O26" s="183"/>
      <c r="P26" s="184"/>
      <c r="Q26" s="185"/>
      <c r="R26" s="186"/>
      <c r="S26" s="248"/>
      <c r="T26" s="197"/>
      <c r="U26" s="198"/>
      <c r="V26" s="199"/>
      <c r="W26" s="200"/>
      <c r="X26" s="252"/>
      <c r="Y26" s="183"/>
      <c r="Z26" s="184"/>
      <c r="AA26" s="185"/>
      <c r="AB26" s="186"/>
      <c r="AC26" s="248"/>
      <c r="AD26" s="197"/>
      <c r="AE26" s="198"/>
      <c r="AF26" s="199"/>
      <c r="AG26" s="200"/>
      <c r="AH26" s="252"/>
      <c r="AI26" s="183"/>
      <c r="AJ26" s="184"/>
      <c r="AK26" s="185"/>
      <c r="AL26" s="186"/>
      <c r="AM26" s="248"/>
      <c r="AN26" s="197"/>
      <c r="AO26" s="198"/>
      <c r="AP26" s="199"/>
      <c r="AQ26" s="200"/>
      <c r="AR26" s="252"/>
      <c r="AS26" s="183"/>
      <c r="AT26" s="184"/>
      <c r="AU26" s="185"/>
      <c r="AV26" s="186"/>
      <c r="AW26" s="248"/>
      <c r="AX26" s="197"/>
      <c r="AY26" s="198"/>
      <c r="AZ26" s="199"/>
      <c r="BA26" s="200"/>
      <c r="BB26" s="252"/>
      <c r="BC26" s="256" t="str">
        <f ca="1">IF('Demand background (hide)'!A17=Num_Modalities,"",SUM(Demand!I26, Demand!N26, Demand!S26, Demand!X26, Demand!AC26, Demand!AH26, Demand!AM26, Demand!AR26, Demand!AW26, Demand!BB26))</f>
        <v/>
      </c>
      <c r="BD26" s="256"/>
      <c r="BE26" s="206"/>
    </row>
    <row r="27" spans="1:57" ht="15" x14ac:dyDescent="0.25">
      <c r="A27" t="str">
        <f t="shared" ca="1" si="0"/>
        <v/>
      </c>
      <c r="B27" s="259" t="str">
        <f t="shared" ca="1" si="1"/>
        <v xml:space="preserve"> </v>
      </c>
      <c r="C27" s="261"/>
      <c r="D27" s="261"/>
      <c r="E27" s="183"/>
      <c r="F27" s="184"/>
      <c r="G27" s="185"/>
      <c r="H27" s="186"/>
      <c r="I27" s="248"/>
      <c r="J27" s="197"/>
      <c r="K27" s="198"/>
      <c r="L27" s="199"/>
      <c r="M27" s="200"/>
      <c r="N27" s="252"/>
      <c r="O27" s="183"/>
      <c r="P27" s="184"/>
      <c r="Q27" s="185"/>
      <c r="R27" s="186"/>
      <c r="S27" s="248"/>
      <c r="T27" s="197"/>
      <c r="U27" s="198"/>
      <c r="V27" s="199"/>
      <c r="W27" s="200"/>
      <c r="X27" s="252"/>
      <c r="Y27" s="183"/>
      <c r="Z27" s="184"/>
      <c r="AA27" s="185"/>
      <c r="AB27" s="186"/>
      <c r="AC27" s="248"/>
      <c r="AD27" s="197"/>
      <c r="AE27" s="198"/>
      <c r="AF27" s="199"/>
      <c r="AG27" s="200"/>
      <c r="AH27" s="252"/>
      <c r="AI27" s="183"/>
      <c r="AJ27" s="184"/>
      <c r="AK27" s="185"/>
      <c r="AL27" s="186"/>
      <c r="AM27" s="248"/>
      <c r="AN27" s="197"/>
      <c r="AO27" s="198"/>
      <c r="AP27" s="199"/>
      <c r="AQ27" s="200"/>
      <c r="AR27" s="252"/>
      <c r="AS27" s="183"/>
      <c r="AT27" s="184"/>
      <c r="AU27" s="185"/>
      <c r="AV27" s="186"/>
      <c r="AW27" s="248"/>
      <c r="AX27" s="197"/>
      <c r="AY27" s="198"/>
      <c r="AZ27" s="199"/>
      <c r="BA27" s="200"/>
      <c r="BB27" s="252"/>
      <c r="BC27" s="256" t="str">
        <f ca="1">IF('Demand background (hide)'!A18=Num_Modalities,"",SUM(Demand!I27, Demand!N27, Demand!S27, Demand!X27, Demand!AC27, Demand!AH27, Demand!AM27, Demand!AR27, Demand!AW27, Demand!BB27))</f>
        <v/>
      </c>
      <c r="BD27" s="256"/>
      <c r="BE27" s="206"/>
    </row>
    <row r="28" spans="1:57" ht="15" x14ac:dyDescent="0.25">
      <c r="A28" t="str">
        <f t="shared" ca="1" si="0"/>
        <v/>
      </c>
      <c r="B28" s="259" t="str">
        <f t="shared" ca="1" si="1"/>
        <v xml:space="preserve"> </v>
      </c>
      <c r="C28" s="261"/>
      <c r="D28" s="261"/>
      <c r="E28" s="183"/>
      <c r="F28" s="184"/>
      <c r="G28" s="185"/>
      <c r="H28" s="186"/>
      <c r="I28" s="248"/>
      <c r="J28" s="197"/>
      <c r="K28" s="198"/>
      <c r="L28" s="199"/>
      <c r="M28" s="200"/>
      <c r="N28" s="252"/>
      <c r="O28" s="183"/>
      <c r="P28" s="184"/>
      <c r="Q28" s="185"/>
      <c r="R28" s="186"/>
      <c r="S28" s="248"/>
      <c r="T28" s="197"/>
      <c r="U28" s="198"/>
      <c r="V28" s="199"/>
      <c r="W28" s="200"/>
      <c r="X28" s="252"/>
      <c r="Y28" s="183"/>
      <c r="Z28" s="184"/>
      <c r="AA28" s="185"/>
      <c r="AB28" s="186"/>
      <c r="AC28" s="248"/>
      <c r="AD28" s="197"/>
      <c r="AE28" s="198"/>
      <c r="AF28" s="199"/>
      <c r="AG28" s="200"/>
      <c r="AH28" s="252"/>
      <c r="AI28" s="183"/>
      <c r="AJ28" s="184"/>
      <c r="AK28" s="185"/>
      <c r="AL28" s="186"/>
      <c r="AM28" s="248"/>
      <c r="AN28" s="197"/>
      <c r="AO28" s="198"/>
      <c r="AP28" s="199"/>
      <c r="AQ28" s="200"/>
      <c r="AR28" s="252"/>
      <c r="AS28" s="183"/>
      <c r="AT28" s="184"/>
      <c r="AU28" s="185"/>
      <c r="AV28" s="186"/>
      <c r="AW28" s="248"/>
      <c r="AX28" s="197"/>
      <c r="AY28" s="198"/>
      <c r="AZ28" s="199"/>
      <c r="BA28" s="200"/>
      <c r="BB28" s="252"/>
      <c r="BC28" s="256" t="str">
        <f ca="1">IF('Demand background (hide)'!A19=Num_Modalities,"",SUM(Demand!I28, Demand!N28, Demand!S28, Demand!X28, Demand!AC28, Demand!AH28, Demand!AM28, Demand!AR28, Demand!AW28, Demand!BB28))</f>
        <v/>
      </c>
      <c r="BD28" s="256"/>
      <c r="BE28" s="206"/>
    </row>
    <row r="29" spans="1:57" ht="15" x14ac:dyDescent="0.25">
      <c r="A29" t="str">
        <f t="shared" ca="1" si="0"/>
        <v/>
      </c>
      <c r="B29" s="259" t="str">
        <f t="shared" ca="1" si="1"/>
        <v xml:space="preserve"> </v>
      </c>
      <c r="C29" s="261"/>
      <c r="D29" s="261"/>
      <c r="E29" s="183"/>
      <c r="F29" s="184"/>
      <c r="G29" s="185"/>
      <c r="H29" s="186"/>
      <c r="I29" s="248"/>
      <c r="J29" s="197"/>
      <c r="K29" s="198"/>
      <c r="L29" s="199"/>
      <c r="M29" s="200"/>
      <c r="N29" s="252"/>
      <c r="O29" s="183"/>
      <c r="P29" s="184"/>
      <c r="Q29" s="185"/>
      <c r="R29" s="186"/>
      <c r="S29" s="248"/>
      <c r="T29" s="197"/>
      <c r="U29" s="198"/>
      <c r="V29" s="199"/>
      <c r="W29" s="200"/>
      <c r="X29" s="252"/>
      <c r="Y29" s="183"/>
      <c r="Z29" s="184"/>
      <c r="AA29" s="185"/>
      <c r="AB29" s="186"/>
      <c r="AC29" s="248"/>
      <c r="AD29" s="197"/>
      <c r="AE29" s="198"/>
      <c r="AF29" s="199"/>
      <c r="AG29" s="200"/>
      <c r="AH29" s="252"/>
      <c r="AI29" s="183"/>
      <c r="AJ29" s="184"/>
      <c r="AK29" s="185"/>
      <c r="AL29" s="186"/>
      <c r="AM29" s="248"/>
      <c r="AN29" s="197"/>
      <c r="AO29" s="198"/>
      <c r="AP29" s="199"/>
      <c r="AQ29" s="200"/>
      <c r="AR29" s="252"/>
      <c r="AS29" s="183"/>
      <c r="AT29" s="184"/>
      <c r="AU29" s="185"/>
      <c r="AV29" s="186"/>
      <c r="AW29" s="248"/>
      <c r="AX29" s="197"/>
      <c r="AY29" s="198"/>
      <c r="AZ29" s="199"/>
      <c r="BA29" s="200"/>
      <c r="BB29" s="252"/>
      <c r="BC29" s="256" t="str">
        <f ca="1">IF('Demand background (hide)'!A20=Num_Modalities,"",SUM(Demand!I29, Demand!N29, Demand!S29, Demand!X29, Demand!AC29, Demand!AH29, Demand!AM29, Demand!AR29, Demand!AW29, Demand!BB29))</f>
        <v/>
      </c>
      <c r="BD29" s="256"/>
      <c r="BE29" s="206"/>
    </row>
    <row r="30" spans="1:57" ht="15" x14ac:dyDescent="0.25">
      <c r="A30" t="str">
        <f t="shared" ca="1" si="0"/>
        <v/>
      </c>
      <c r="B30" s="259" t="str">
        <f t="shared" ca="1" si="1"/>
        <v xml:space="preserve"> </v>
      </c>
      <c r="C30" s="261"/>
      <c r="D30" s="261"/>
      <c r="E30" s="183"/>
      <c r="F30" s="184"/>
      <c r="G30" s="185"/>
      <c r="H30" s="186"/>
      <c r="I30" s="248"/>
      <c r="J30" s="197"/>
      <c r="K30" s="198"/>
      <c r="L30" s="199"/>
      <c r="M30" s="200"/>
      <c r="N30" s="252"/>
      <c r="O30" s="183"/>
      <c r="P30" s="184"/>
      <c r="Q30" s="185"/>
      <c r="R30" s="186"/>
      <c r="S30" s="248"/>
      <c r="T30" s="197"/>
      <c r="U30" s="198"/>
      <c r="V30" s="199"/>
      <c r="W30" s="200"/>
      <c r="X30" s="252"/>
      <c r="Y30" s="183"/>
      <c r="Z30" s="184"/>
      <c r="AA30" s="185"/>
      <c r="AB30" s="186"/>
      <c r="AC30" s="248"/>
      <c r="AD30" s="197"/>
      <c r="AE30" s="198"/>
      <c r="AF30" s="199"/>
      <c r="AG30" s="200"/>
      <c r="AH30" s="252"/>
      <c r="AI30" s="183"/>
      <c r="AJ30" s="184"/>
      <c r="AK30" s="185"/>
      <c r="AL30" s="186"/>
      <c r="AM30" s="248"/>
      <c r="AN30" s="197"/>
      <c r="AO30" s="198"/>
      <c r="AP30" s="199"/>
      <c r="AQ30" s="200"/>
      <c r="AR30" s="252"/>
      <c r="AS30" s="183"/>
      <c r="AT30" s="184"/>
      <c r="AU30" s="185"/>
      <c r="AV30" s="186"/>
      <c r="AW30" s="248"/>
      <c r="AX30" s="197"/>
      <c r="AY30" s="198"/>
      <c r="AZ30" s="199"/>
      <c r="BA30" s="200"/>
      <c r="BB30" s="252"/>
      <c r="BC30" s="256" t="str">
        <f ca="1">IF('Demand background (hide)'!A21=Num_Modalities,"",SUM(Demand!I30, Demand!N30, Demand!S30, Demand!X30, Demand!AC30, Demand!AH30, Demand!AM30, Demand!AR30, Demand!AW30, Demand!BB30))</f>
        <v/>
      </c>
      <c r="BD30" s="256"/>
      <c r="BE30" s="206"/>
    </row>
    <row r="31" spans="1:57" ht="15" x14ac:dyDescent="0.25">
      <c r="A31" t="str">
        <f t="shared" ca="1" si="0"/>
        <v/>
      </c>
      <c r="B31" s="259" t="str">
        <f t="shared" ca="1" si="1"/>
        <v xml:space="preserve"> </v>
      </c>
      <c r="C31" s="261"/>
      <c r="D31" s="261"/>
      <c r="E31" s="183"/>
      <c r="F31" s="184"/>
      <c r="G31" s="185"/>
      <c r="H31" s="186"/>
      <c r="I31" s="248"/>
      <c r="J31" s="197"/>
      <c r="K31" s="198"/>
      <c r="L31" s="199"/>
      <c r="M31" s="200"/>
      <c r="N31" s="252"/>
      <c r="O31" s="183"/>
      <c r="P31" s="184"/>
      <c r="Q31" s="185"/>
      <c r="R31" s="186"/>
      <c r="S31" s="248"/>
      <c r="T31" s="197"/>
      <c r="U31" s="198"/>
      <c r="V31" s="199"/>
      <c r="W31" s="200"/>
      <c r="X31" s="252"/>
      <c r="Y31" s="183"/>
      <c r="Z31" s="184"/>
      <c r="AA31" s="185"/>
      <c r="AB31" s="186"/>
      <c r="AC31" s="248"/>
      <c r="AD31" s="197"/>
      <c r="AE31" s="198"/>
      <c r="AF31" s="199"/>
      <c r="AG31" s="200"/>
      <c r="AH31" s="252"/>
      <c r="AI31" s="183"/>
      <c r="AJ31" s="184"/>
      <c r="AK31" s="185"/>
      <c r="AL31" s="186"/>
      <c r="AM31" s="248"/>
      <c r="AN31" s="197"/>
      <c r="AO31" s="198"/>
      <c r="AP31" s="199"/>
      <c r="AQ31" s="200"/>
      <c r="AR31" s="252"/>
      <c r="AS31" s="183"/>
      <c r="AT31" s="184"/>
      <c r="AU31" s="185"/>
      <c r="AV31" s="186"/>
      <c r="AW31" s="248"/>
      <c r="AX31" s="197"/>
      <c r="AY31" s="198"/>
      <c r="AZ31" s="199"/>
      <c r="BA31" s="200"/>
      <c r="BB31" s="252"/>
      <c r="BC31" s="256" t="str">
        <f ca="1">IF('Demand background (hide)'!A22=Num_Modalities,"",SUM(Demand!I31, Demand!N31, Demand!S31, Demand!X31, Demand!AC31, Demand!AH31, Demand!AM31, Demand!AR31, Demand!AW31, Demand!BB31))</f>
        <v/>
      </c>
      <c r="BD31" s="256"/>
      <c r="BE31" s="206"/>
    </row>
    <row r="32" spans="1:57" ht="15" x14ac:dyDescent="0.25">
      <c r="A32" t="str">
        <f t="shared" ca="1" si="0"/>
        <v/>
      </c>
      <c r="B32" s="259" t="str">
        <f t="shared" ca="1" si="1"/>
        <v xml:space="preserve"> </v>
      </c>
      <c r="C32" s="261"/>
      <c r="D32" s="261"/>
      <c r="E32" s="183"/>
      <c r="F32" s="184"/>
      <c r="G32" s="185"/>
      <c r="H32" s="186"/>
      <c r="I32" s="248"/>
      <c r="J32" s="197"/>
      <c r="K32" s="198"/>
      <c r="L32" s="199"/>
      <c r="M32" s="200"/>
      <c r="N32" s="252"/>
      <c r="O32" s="183"/>
      <c r="P32" s="184"/>
      <c r="Q32" s="185"/>
      <c r="R32" s="186"/>
      <c r="S32" s="248"/>
      <c r="T32" s="197"/>
      <c r="U32" s="198"/>
      <c r="V32" s="199"/>
      <c r="W32" s="200"/>
      <c r="X32" s="252"/>
      <c r="Y32" s="183"/>
      <c r="Z32" s="184"/>
      <c r="AA32" s="185"/>
      <c r="AB32" s="186"/>
      <c r="AC32" s="248"/>
      <c r="AD32" s="197"/>
      <c r="AE32" s="198"/>
      <c r="AF32" s="199"/>
      <c r="AG32" s="200"/>
      <c r="AH32" s="252"/>
      <c r="AI32" s="183"/>
      <c r="AJ32" s="184"/>
      <c r="AK32" s="185"/>
      <c r="AL32" s="186"/>
      <c r="AM32" s="248"/>
      <c r="AN32" s="197"/>
      <c r="AO32" s="198"/>
      <c r="AP32" s="199"/>
      <c r="AQ32" s="200"/>
      <c r="AR32" s="252"/>
      <c r="AS32" s="183"/>
      <c r="AT32" s="184"/>
      <c r="AU32" s="185"/>
      <c r="AV32" s="186"/>
      <c r="AW32" s="248"/>
      <c r="AX32" s="197"/>
      <c r="AY32" s="198"/>
      <c r="AZ32" s="199"/>
      <c r="BA32" s="200"/>
      <c r="BB32" s="252"/>
      <c r="BC32" s="256" t="str">
        <f ca="1">IF('Demand background (hide)'!A23=Num_Modalities,"",SUM(Demand!I32, Demand!N32, Demand!S32, Demand!X32, Demand!AC32, Demand!AH32, Demand!AM32, Demand!AR32, Demand!AW32, Demand!BB32))</f>
        <v/>
      </c>
      <c r="BD32" s="256"/>
      <c r="BE32" s="206"/>
    </row>
    <row r="33" spans="1:57" ht="15" x14ac:dyDescent="0.25">
      <c r="A33" t="str">
        <f t="shared" ca="1" si="0"/>
        <v/>
      </c>
      <c r="B33" s="259" t="str">
        <f t="shared" ca="1" si="1"/>
        <v xml:space="preserve"> </v>
      </c>
      <c r="C33" s="261"/>
      <c r="D33" s="261"/>
      <c r="E33" s="183"/>
      <c r="F33" s="184"/>
      <c r="G33" s="185"/>
      <c r="H33" s="186"/>
      <c r="I33" s="248"/>
      <c r="J33" s="197"/>
      <c r="K33" s="198"/>
      <c r="L33" s="199"/>
      <c r="M33" s="200"/>
      <c r="N33" s="252"/>
      <c r="O33" s="183"/>
      <c r="P33" s="184"/>
      <c r="Q33" s="185"/>
      <c r="R33" s="186"/>
      <c r="S33" s="248"/>
      <c r="T33" s="197"/>
      <c r="U33" s="198"/>
      <c r="V33" s="199"/>
      <c r="W33" s="200"/>
      <c r="X33" s="252"/>
      <c r="Y33" s="183"/>
      <c r="Z33" s="184"/>
      <c r="AA33" s="185"/>
      <c r="AB33" s="186"/>
      <c r="AC33" s="248"/>
      <c r="AD33" s="197"/>
      <c r="AE33" s="198"/>
      <c r="AF33" s="199"/>
      <c r="AG33" s="200"/>
      <c r="AH33" s="252"/>
      <c r="AI33" s="183"/>
      <c r="AJ33" s="184"/>
      <c r="AK33" s="185"/>
      <c r="AL33" s="186"/>
      <c r="AM33" s="248"/>
      <c r="AN33" s="197"/>
      <c r="AO33" s="198"/>
      <c r="AP33" s="199"/>
      <c r="AQ33" s="200"/>
      <c r="AR33" s="252"/>
      <c r="AS33" s="183"/>
      <c r="AT33" s="184"/>
      <c r="AU33" s="185"/>
      <c r="AV33" s="186"/>
      <c r="AW33" s="248"/>
      <c r="AX33" s="197"/>
      <c r="AY33" s="198"/>
      <c r="AZ33" s="199"/>
      <c r="BA33" s="200"/>
      <c r="BB33" s="252"/>
      <c r="BC33" s="256" t="str">
        <f ca="1">IF('Demand background (hide)'!A24=Num_Modalities,"",SUM(Demand!I33, Demand!N33, Demand!S33, Demand!X33, Demand!AC33, Demand!AH33, Demand!AM33, Demand!AR33, Demand!AW33, Demand!BB33))</f>
        <v/>
      </c>
      <c r="BD33" s="256"/>
      <c r="BE33" s="206"/>
    </row>
    <row r="34" spans="1:57" ht="15" x14ac:dyDescent="0.25">
      <c r="A34" t="str">
        <f t="shared" ca="1" si="0"/>
        <v/>
      </c>
      <c r="B34" s="259" t="str">
        <f t="shared" ca="1" si="1"/>
        <v xml:space="preserve"> </v>
      </c>
      <c r="C34" s="261"/>
      <c r="D34" s="261"/>
      <c r="E34" s="183"/>
      <c r="F34" s="184"/>
      <c r="G34" s="185"/>
      <c r="H34" s="186"/>
      <c r="I34" s="248"/>
      <c r="J34" s="197"/>
      <c r="K34" s="198"/>
      <c r="L34" s="199"/>
      <c r="M34" s="200"/>
      <c r="N34" s="252"/>
      <c r="O34" s="183"/>
      <c r="P34" s="184"/>
      <c r="Q34" s="185"/>
      <c r="R34" s="186"/>
      <c r="S34" s="248"/>
      <c r="T34" s="197"/>
      <c r="U34" s="198"/>
      <c r="V34" s="199"/>
      <c r="W34" s="200"/>
      <c r="X34" s="252"/>
      <c r="Y34" s="183"/>
      <c r="Z34" s="184"/>
      <c r="AA34" s="185"/>
      <c r="AB34" s="186"/>
      <c r="AC34" s="248"/>
      <c r="AD34" s="197"/>
      <c r="AE34" s="198"/>
      <c r="AF34" s="199"/>
      <c r="AG34" s="200"/>
      <c r="AH34" s="252"/>
      <c r="AI34" s="183"/>
      <c r="AJ34" s="184"/>
      <c r="AK34" s="185"/>
      <c r="AL34" s="186"/>
      <c r="AM34" s="248"/>
      <c r="AN34" s="197"/>
      <c r="AO34" s="198"/>
      <c r="AP34" s="199"/>
      <c r="AQ34" s="200"/>
      <c r="AR34" s="252"/>
      <c r="AS34" s="183"/>
      <c r="AT34" s="184"/>
      <c r="AU34" s="185"/>
      <c r="AV34" s="186"/>
      <c r="AW34" s="248"/>
      <c r="AX34" s="197"/>
      <c r="AY34" s="198"/>
      <c r="AZ34" s="199"/>
      <c r="BA34" s="200"/>
      <c r="BB34" s="252"/>
      <c r="BC34" s="256" t="str">
        <f ca="1">IF('Demand background (hide)'!A25=Num_Modalities,"",SUM(Demand!I34, Demand!N34, Demand!S34, Demand!X34, Demand!AC34, Demand!AH34, Demand!AM34, Demand!AR34, Demand!AW34, Demand!BB34))</f>
        <v/>
      </c>
      <c r="BD34" s="256"/>
      <c r="BE34" s="206"/>
    </row>
    <row r="35" spans="1:57" ht="15" x14ac:dyDescent="0.25">
      <c r="A35" t="str">
        <f t="shared" ca="1" si="0"/>
        <v/>
      </c>
      <c r="B35" s="259" t="str">
        <f t="shared" ca="1" si="1"/>
        <v xml:space="preserve"> </v>
      </c>
      <c r="C35" s="261"/>
      <c r="D35" s="261"/>
      <c r="E35" s="183"/>
      <c r="F35" s="184"/>
      <c r="G35" s="185"/>
      <c r="H35" s="186"/>
      <c r="I35" s="248"/>
      <c r="J35" s="197"/>
      <c r="K35" s="198"/>
      <c r="L35" s="199"/>
      <c r="M35" s="200"/>
      <c r="N35" s="252"/>
      <c r="O35" s="183"/>
      <c r="P35" s="184"/>
      <c r="Q35" s="185"/>
      <c r="R35" s="186"/>
      <c r="S35" s="248"/>
      <c r="T35" s="197"/>
      <c r="U35" s="198"/>
      <c r="V35" s="199"/>
      <c r="W35" s="200"/>
      <c r="X35" s="252"/>
      <c r="Y35" s="183"/>
      <c r="Z35" s="184"/>
      <c r="AA35" s="185"/>
      <c r="AB35" s="186"/>
      <c r="AC35" s="248"/>
      <c r="AD35" s="197"/>
      <c r="AE35" s="198"/>
      <c r="AF35" s="199"/>
      <c r="AG35" s="200"/>
      <c r="AH35" s="252"/>
      <c r="AI35" s="183"/>
      <c r="AJ35" s="184"/>
      <c r="AK35" s="185"/>
      <c r="AL35" s="186"/>
      <c r="AM35" s="248"/>
      <c r="AN35" s="197"/>
      <c r="AO35" s="198"/>
      <c r="AP35" s="199"/>
      <c r="AQ35" s="200"/>
      <c r="AR35" s="252"/>
      <c r="AS35" s="183"/>
      <c r="AT35" s="184"/>
      <c r="AU35" s="185"/>
      <c r="AV35" s="186"/>
      <c r="AW35" s="248"/>
      <c r="AX35" s="197"/>
      <c r="AY35" s="198"/>
      <c r="AZ35" s="199"/>
      <c r="BA35" s="200"/>
      <c r="BB35" s="252"/>
      <c r="BC35" s="256" t="str">
        <f ca="1">IF('Demand background (hide)'!A26=Num_Modalities,"",SUM(Demand!I35, Demand!N35, Demand!S35, Demand!X35, Demand!AC35, Demand!AH35, Demand!AM35, Demand!AR35, Demand!AW35, Demand!BB35))</f>
        <v/>
      </c>
      <c r="BD35" s="256"/>
      <c r="BE35" s="206"/>
    </row>
    <row r="36" spans="1:57" ht="15" x14ac:dyDescent="0.25">
      <c r="A36" t="str">
        <f t="shared" ca="1" si="0"/>
        <v/>
      </c>
      <c r="B36" s="259" t="str">
        <f t="shared" ca="1" si="1"/>
        <v xml:space="preserve"> </v>
      </c>
      <c r="C36" s="261"/>
      <c r="D36" s="261"/>
      <c r="E36" s="183"/>
      <c r="F36" s="184"/>
      <c r="G36" s="185"/>
      <c r="H36" s="186"/>
      <c r="I36" s="248"/>
      <c r="J36" s="197"/>
      <c r="K36" s="198"/>
      <c r="L36" s="199"/>
      <c r="M36" s="200"/>
      <c r="N36" s="252"/>
      <c r="O36" s="183"/>
      <c r="P36" s="184"/>
      <c r="Q36" s="185"/>
      <c r="R36" s="186"/>
      <c r="S36" s="248"/>
      <c r="T36" s="197"/>
      <c r="U36" s="198"/>
      <c r="V36" s="199"/>
      <c r="W36" s="200"/>
      <c r="X36" s="252"/>
      <c r="Y36" s="183"/>
      <c r="Z36" s="184"/>
      <c r="AA36" s="185"/>
      <c r="AB36" s="186"/>
      <c r="AC36" s="248"/>
      <c r="AD36" s="197"/>
      <c r="AE36" s="198"/>
      <c r="AF36" s="199"/>
      <c r="AG36" s="200"/>
      <c r="AH36" s="252"/>
      <c r="AI36" s="183"/>
      <c r="AJ36" s="184"/>
      <c r="AK36" s="185"/>
      <c r="AL36" s="186"/>
      <c r="AM36" s="248"/>
      <c r="AN36" s="197"/>
      <c r="AO36" s="198"/>
      <c r="AP36" s="199"/>
      <c r="AQ36" s="200"/>
      <c r="AR36" s="252"/>
      <c r="AS36" s="183"/>
      <c r="AT36" s="184"/>
      <c r="AU36" s="185"/>
      <c r="AV36" s="186"/>
      <c r="AW36" s="248"/>
      <c r="AX36" s="197"/>
      <c r="AY36" s="198"/>
      <c r="AZ36" s="199"/>
      <c r="BA36" s="200"/>
      <c r="BB36" s="252"/>
      <c r="BC36" s="256" t="str">
        <f ca="1">IF('Demand background (hide)'!A27=Num_Modalities,"",SUM(Demand!I36, Demand!N36, Demand!S36, Demand!X36, Demand!AC36, Demand!AH36, Demand!AM36, Demand!AR36, Demand!AW36, Demand!BB36))</f>
        <v/>
      </c>
      <c r="BD36" s="256"/>
      <c r="BE36" s="206"/>
    </row>
    <row r="37" spans="1:57" ht="15" x14ac:dyDescent="0.25">
      <c r="A37" t="str">
        <f t="shared" ca="1" si="0"/>
        <v/>
      </c>
      <c r="B37" s="259" t="str">
        <f t="shared" ca="1" si="1"/>
        <v xml:space="preserve"> </v>
      </c>
      <c r="C37" s="261"/>
      <c r="D37" s="261"/>
      <c r="E37" s="183"/>
      <c r="F37" s="184"/>
      <c r="G37" s="185"/>
      <c r="H37" s="186"/>
      <c r="I37" s="248"/>
      <c r="J37" s="197"/>
      <c r="K37" s="198"/>
      <c r="L37" s="199"/>
      <c r="M37" s="200"/>
      <c r="N37" s="252"/>
      <c r="O37" s="183"/>
      <c r="P37" s="184"/>
      <c r="Q37" s="185"/>
      <c r="R37" s="186"/>
      <c r="S37" s="248"/>
      <c r="T37" s="197"/>
      <c r="U37" s="198"/>
      <c r="V37" s="199"/>
      <c r="W37" s="200"/>
      <c r="X37" s="252"/>
      <c r="Y37" s="183"/>
      <c r="Z37" s="184"/>
      <c r="AA37" s="185"/>
      <c r="AB37" s="186"/>
      <c r="AC37" s="248"/>
      <c r="AD37" s="197"/>
      <c r="AE37" s="198"/>
      <c r="AF37" s="199"/>
      <c r="AG37" s="200"/>
      <c r="AH37" s="252"/>
      <c r="AI37" s="183"/>
      <c r="AJ37" s="184"/>
      <c r="AK37" s="185"/>
      <c r="AL37" s="186"/>
      <c r="AM37" s="248"/>
      <c r="AN37" s="197"/>
      <c r="AO37" s="198"/>
      <c r="AP37" s="199"/>
      <c r="AQ37" s="200"/>
      <c r="AR37" s="252"/>
      <c r="AS37" s="183"/>
      <c r="AT37" s="184"/>
      <c r="AU37" s="185"/>
      <c r="AV37" s="186"/>
      <c r="AW37" s="248"/>
      <c r="AX37" s="197"/>
      <c r="AY37" s="198"/>
      <c r="AZ37" s="199"/>
      <c r="BA37" s="200"/>
      <c r="BB37" s="252"/>
      <c r="BC37" s="256" t="str">
        <f ca="1">IF('Demand background (hide)'!A28=Num_Modalities,"",SUM(Demand!I37, Demand!N37, Demand!S37, Demand!X37, Demand!AC37, Demand!AH37, Demand!AM37, Demand!AR37, Demand!AW37, Demand!BB37))</f>
        <v/>
      </c>
      <c r="BD37" s="256"/>
      <c r="BE37" s="206"/>
    </row>
    <row r="38" spans="1:57" ht="15" x14ac:dyDescent="0.25">
      <c r="A38" t="str">
        <f t="shared" ca="1" si="0"/>
        <v/>
      </c>
      <c r="B38" s="259" t="str">
        <f t="shared" ca="1" si="1"/>
        <v xml:space="preserve"> </v>
      </c>
      <c r="C38" s="261"/>
      <c r="D38" s="261"/>
      <c r="E38" s="183"/>
      <c r="F38" s="184"/>
      <c r="G38" s="185"/>
      <c r="H38" s="186"/>
      <c r="I38" s="248"/>
      <c r="J38" s="197"/>
      <c r="K38" s="198"/>
      <c r="L38" s="199"/>
      <c r="M38" s="200"/>
      <c r="N38" s="252"/>
      <c r="O38" s="183"/>
      <c r="P38" s="184"/>
      <c r="Q38" s="185"/>
      <c r="R38" s="186"/>
      <c r="S38" s="248"/>
      <c r="T38" s="197"/>
      <c r="U38" s="198"/>
      <c r="V38" s="199"/>
      <c r="W38" s="200"/>
      <c r="X38" s="252"/>
      <c r="Y38" s="183"/>
      <c r="Z38" s="184"/>
      <c r="AA38" s="185"/>
      <c r="AB38" s="186"/>
      <c r="AC38" s="248"/>
      <c r="AD38" s="197"/>
      <c r="AE38" s="198"/>
      <c r="AF38" s="199"/>
      <c r="AG38" s="200"/>
      <c r="AH38" s="252"/>
      <c r="AI38" s="183"/>
      <c r="AJ38" s="184"/>
      <c r="AK38" s="185"/>
      <c r="AL38" s="186"/>
      <c r="AM38" s="248"/>
      <c r="AN38" s="197"/>
      <c r="AO38" s="198"/>
      <c r="AP38" s="199"/>
      <c r="AQ38" s="200"/>
      <c r="AR38" s="252"/>
      <c r="AS38" s="183"/>
      <c r="AT38" s="184"/>
      <c r="AU38" s="185"/>
      <c r="AV38" s="186"/>
      <c r="AW38" s="248"/>
      <c r="AX38" s="197"/>
      <c r="AY38" s="198"/>
      <c r="AZ38" s="199"/>
      <c r="BA38" s="200"/>
      <c r="BB38" s="252"/>
      <c r="BC38" s="256" t="str">
        <f ca="1">IF('Demand background (hide)'!A29=Num_Modalities,"",SUM(Demand!I38, Demand!N38, Demand!S38, Demand!X38, Demand!AC38, Demand!AH38, Demand!AM38, Demand!AR38, Demand!AW38, Demand!BB38))</f>
        <v/>
      </c>
      <c r="BD38" s="256"/>
      <c r="BE38" s="206"/>
    </row>
    <row r="39" spans="1:57" ht="15" x14ac:dyDescent="0.25">
      <c r="A39" t="str">
        <f t="shared" ca="1" si="0"/>
        <v/>
      </c>
      <c r="B39" s="259" t="str">
        <f t="shared" ca="1" si="1"/>
        <v xml:space="preserve"> </v>
      </c>
      <c r="C39" s="261"/>
      <c r="D39" s="261"/>
      <c r="E39" s="183"/>
      <c r="F39" s="184"/>
      <c r="G39" s="185"/>
      <c r="H39" s="186"/>
      <c r="I39" s="248"/>
      <c r="J39" s="197"/>
      <c r="K39" s="198"/>
      <c r="L39" s="199"/>
      <c r="M39" s="200"/>
      <c r="N39" s="252"/>
      <c r="O39" s="183"/>
      <c r="P39" s="184"/>
      <c r="Q39" s="185"/>
      <c r="R39" s="186"/>
      <c r="S39" s="248"/>
      <c r="T39" s="197"/>
      <c r="U39" s="198"/>
      <c r="V39" s="199"/>
      <c r="W39" s="200"/>
      <c r="X39" s="252"/>
      <c r="Y39" s="183"/>
      <c r="Z39" s="184"/>
      <c r="AA39" s="185"/>
      <c r="AB39" s="186"/>
      <c r="AC39" s="248"/>
      <c r="AD39" s="197"/>
      <c r="AE39" s="198"/>
      <c r="AF39" s="199"/>
      <c r="AG39" s="200"/>
      <c r="AH39" s="252"/>
      <c r="AI39" s="183"/>
      <c r="AJ39" s="184"/>
      <c r="AK39" s="185"/>
      <c r="AL39" s="186"/>
      <c r="AM39" s="248"/>
      <c r="AN39" s="197"/>
      <c r="AO39" s="198"/>
      <c r="AP39" s="199"/>
      <c r="AQ39" s="200"/>
      <c r="AR39" s="252"/>
      <c r="AS39" s="183"/>
      <c r="AT39" s="184"/>
      <c r="AU39" s="185"/>
      <c r="AV39" s="186"/>
      <c r="AW39" s="248"/>
      <c r="AX39" s="197"/>
      <c r="AY39" s="198"/>
      <c r="AZ39" s="199"/>
      <c r="BA39" s="200"/>
      <c r="BB39" s="252"/>
      <c r="BC39" s="256" t="str">
        <f ca="1">IF('Demand background (hide)'!A30=Num_Modalities,"",SUM(Demand!I39, Demand!N39, Demand!S39, Demand!X39, Demand!AC39, Demand!AH39, Demand!AM39, Demand!AR39, Demand!AW39, Demand!BB39))</f>
        <v/>
      </c>
      <c r="BD39" s="256"/>
      <c r="BE39" s="206"/>
    </row>
    <row r="40" spans="1:57" ht="15" x14ac:dyDescent="0.25">
      <c r="A40" t="str">
        <f t="shared" ca="1" si="0"/>
        <v/>
      </c>
      <c r="B40" s="259" t="str">
        <f t="shared" ca="1" si="1"/>
        <v xml:space="preserve"> </v>
      </c>
      <c r="C40" s="261"/>
      <c r="D40" s="261"/>
      <c r="E40" s="183"/>
      <c r="F40" s="184"/>
      <c r="G40" s="185"/>
      <c r="H40" s="186"/>
      <c r="I40" s="248"/>
      <c r="J40" s="197"/>
      <c r="K40" s="198"/>
      <c r="L40" s="199"/>
      <c r="M40" s="200"/>
      <c r="N40" s="252"/>
      <c r="O40" s="183"/>
      <c r="P40" s="184"/>
      <c r="Q40" s="185"/>
      <c r="R40" s="186"/>
      <c r="S40" s="248"/>
      <c r="T40" s="197"/>
      <c r="U40" s="198"/>
      <c r="V40" s="199"/>
      <c r="W40" s="200"/>
      <c r="X40" s="252"/>
      <c r="Y40" s="183"/>
      <c r="Z40" s="184"/>
      <c r="AA40" s="185"/>
      <c r="AB40" s="186"/>
      <c r="AC40" s="248"/>
      <c r="AD40" s="197"/>
      <c r="AE40" s="198"/>
      <c r="AF40" s="199"/>
      <c r="AG40" s="200"/>
      <c r="AH40" s="252"/>
      <c r="AI40" s="183"/>
      <c r="AJ40" s="184"/>
      <c r="AK40" s="185"/>
      <c r="AL40" s="186"/>
      <c r="AM40" s="248"/>
      <c r="AN40" s="197"/>
      <c r="AO40" s="198"/>
      <c r="AP40" s="199"/>
      <c r="AQ40" s="200"/>
      <c r="AR40" s="252"/>
      <c r="AS40" s="183"/>
      <c r="AT40" s="184"/>
      <c r="AU40" s="185"/>
      <c r="AV40" s="186"/>
      <c r="AW40" s="248"/>
      <c r="AX40" s="197"/>
      <c r="AY40" s="198"/>
      <c r="AZ40" s="199"/>
      <c r="BA40" s="200"/>
      <c r="BB40" s="252"/>
      <c r="BC40" s="256" t="str">
        <f ca="1">IF('Demand background (hide)'!A31=Num_Modalities,"",SUM(Demand!I40, Demand!N40, Demand!S40, Demand!X40, Demand!AC40, Demand!AH40, Demand!AM40, Demand!AR40, Demand!AW40, Demand!BB40))</f>
        <v/>
      </c>
      <c r="BD40" s="256"/>
      <c r="BE40" s="206"/>
    </row>
    <row r="41" spans="1:57" ht="15" x14ac:dyDescent="0.25">
      <c r="A41" t="str">
        <f t="shared" ca="1" si="0"/>
        <v/>
      </c>
      <c r="B41" s="259" t="str">
        <f t="shared" ca="1" si="1"/>
        <v xml:space="preserve"> </v>
      </c>
      <c r="C41" s="261"/>
      <c r="D41" s="261"/>
      <c r="E41" s="183"/>
      <c r="F41" s="184"/>
      <c r="G41" s="185"/>
      <c r="H41" s="186"/>
      <c r="I41" s="248"/>
      <c r="J41" s="197"/>
      <c r="K41" s="198"/>
      <c r="L41" s="199"/>
      <c r="M41" s="200"/>
      <c r="N41" s="252"/>
      <c r="O41" s="183"/>
      <c r="P41" s="184"/>
      <c r="Q41" s="185"/>
      <c r="R41" s="186"/>
      <c r="S41" s="248"/>
      <c r="T41" s="197"/>
      <c r="U41" s="198"/>
      <c r="V41" s="199"/>
      <c r="W41" s="200"/>
      <c r="X41" s="252"/>
      <c r="Y41" s="183"/>
      <c r="Z41" s="184"/>
      <c r="AA41" s="185"/>
      <c r="AB41" s="186"/>
      <c r="AC41" s="248"/>
      <c r="AD41" s="197"/>
      <c r="AE41" s="198"/>
      <c r="AF41" s="199"/>
      <c r="AG41" s="200"/>
      <c r="AH41" s="252"/>
      <c r="AI41" s="183"/>
      <c r="AJ41" s="184"/>
      <c r="AK41" s="185"/>
      <c r="AL41" s="186"/>
      <c r="AM41" s="248"/>
      <c r="AN41" s="197"/>
      <c r="AO41" s="198"/>
      <c r="AP41" s="199"/>
      <c r="AQ41" s="200"/>
      <c r="AR41" s="252"/>
      <c r="AS41" s="183"/>
      <c r="AT41" s="184"/>
      <c r="AU41" s="185"/>
      <c r="AV41" s="186"/>
      <c r="AW41" s="248"/>
      <c r="AX41" s="197"/>
      <c r="AY41" s="198"/>
      <c r="AZ41" s="199"/>
      <c r="BA41" s="200"/>
      <c r="BB41" s="252"/>
      <c r="BC41" s="256" t="str">
        <f ca="1">IF('Demand background (hide)'!A32=Num_Modalities,"",SUM(Demand!I41, Demand!N41, Demand!S41, Demand!X41, Demand!AC41, Demand!AH41, Demand!AM41, Demand!AR41, Demand!AW41, Demand!BB41))</f>
        <v/>
      </c>
      <c r="BD41" s="256"/>
      <c r="BE41" s="206"/>
    </row>
    <row r="42" spans="1:57" ht="15" x14ac:dyDescent="0.25">
      <c r="A42" t="str">
        <f t="shared" ca="1" si="0"/>
        <v/>
      </c>
      <c r="B42" s="259" t="str">
        <f t="shared" ca="1" si="1"/>
        <v xml:space="preserve"> </v>
      </c>
      <c r="C42" s="261"/>
      <c r="D42" s="261"/>
      <c r="E42" s="183"/>
      <c r="F42" s="184"/>
      <c r="G42" s="185"/>
      <c r="H42" s="186"/>
      <c r="I42" s="248"/>
      <c r="J42" s="197"/>
      <c r="K42" s="198"/>
      <c r="L42" s="199"/>
      <c r="M42" s="200"/>
      <c r="N42" s="252"/>
      <c r="O42" s="183"/>
      <c r="P42" s="184"/>
      <c r="Q42" s="185"/>
      <c r="R42" s="186"/>
      <c r="S42" s="248"/>
      <c r="T42" s="197"/>
      <c r="U42" s="198"/>
      <c r="V42" s="199"/>
      <c r="W42" s="200"/>
      <c r="X42" s="252"/>
      <c r="Y42" s="183"/>
      <c r="Z42" s="184"/>
      <c r="AA42" s="185"/>
      <c r="AB42" s="186"/>
      <c r="AC42" s="248"/>
      <c r="AD42" s="197"/>
      <c r="AE42" s="198"/>
      <c r="AF42" s="199"/>
      <c r="AG42" s="200"/>
      <c r="AH42" s="252"/>
      <c r="AI42" s="183"/>
      <c r="AJ42" s="184"/>
      <c r="AK42" s="185"/>
      <c r="AL42" s="186"/>
      <c r="AM42" s="248"/>
      <c r="AN42" s="197"/>
      <c r="AO42" s="198"/>
      <c r="AP42" s="199"/>
      <c r="AQ42" s="200"/>
      <c r="AR42" s="252"/>
      <c r="AS42" s="183"/>
      <c r="AT42" s="184"/>
      <c r="AU42" s="185"/>
      <c r="AV42" s="186"/>
      <c r="AW42" s="248"/>
      <c r="AX42" s="197"/>
      <c r="AY42" s="198"/>
      <c r="AZ42" s="199"/>
      <c r="BA42" s="200"/>
      <c r="BB42" s="252"/>
      <c r="BC42" s="256" t="str">
        <f ca="1">IF('Demand background (hide)'!A33=Num_Modalities,"",SUM(Demand!I42, Demand!N42, Demand!S42, Demand!X42, Demand!AC42, Demand!AH42, Demand!AM42, Demand!AR42, Demand!AW42, Demand!BB42))</f>
        <v/>
      </c>
      <c r="BD42" s="256"/>
      <c r="BE42" s="206"/>
    </row>
    <row r="43" spans="1:57" ht="15" x14ac:dyDescent="0.25">
      <c r="A43" t="str">
        <f t="shared" ca="1" si="0"/>
        <v/>
      </c>
      <c r="B43" s="259" t="str">
        <f t="shared" ca="1" si="1"/>
        <v xml:space="preserve"> </v>
      </c>
      <c r="C43" s="261"/>
      <c r="D43" s="261"/>
      <c r="E43" s="183"/>
      <c r="F43" s="184"/>
      <c r="G43" s="185"/>
      <c r="H43" s="186"/>
      <c r="I43" s="248"/>
      <c r="J43" s="197"/>
      <c r="K43" s="198"/>
      <c r="L43" s="199"/>
      <c r="M43" s="200"/>
      <c r="N43" s="252"/>
      <c r="O43" s="183"/>
      <c r="P43" s="184"/>
      <c r="Q43" s="185"/>
      <c r="R43" s="186"/>
      <c r="S43" s="248"/>
      <c r="T43" s="197"/>
      <c r="U43" s="198"/>
      <c r="V43" s="199"/>
      <c r="W43" s="200"/>
      <c r="X43" s="252"/>
      <c r="Y43" s="183"/>
      <c r="Z43" s="184"/>
      <c r="AA43" s="185"/>
      <c r="AB43" s="186"/>
      <c r="AC43" s="248"/>
      <c r="AD43" s="197"/>
      <c r="AE43" s="198"/>
      <c r="AF43" s="199"/>
      <c r="AG43" s="200"/>
      <c r="AH43" s="252"/>
      <c r="AI43" s="183"/>
      <c r="AJ43" s="184"/>
      <c r="AK43" s="185"/>
      <c r="AL43" s="186"/>
      <c r="AM43" s="248"/>
      <c r="AN43" s="197"/>
      <c r="AO43" s="198"/>
      <c r="AP43" s="199"/>
      <c r="AQ43" s="200"/>
      <c r="AR43" s="252"/>
      <c r="AS43" s="183"/>
      <c r="AT43" s="184"/>
      <c r="AU43" s="185"/>
      <c r="AV43" s="186"/>
      <c r="AW43" s="248"/>
      <c r="AX43" s="197"/>
      <c r="AY43" s="198"/>
      <c r="AZ43" s="199"/>
      <c r="BA43" s="200"/>
      <c r="BB43" s="252"/>
      <c r="BC43" s="256" t="str">
        <f ca="1">IF('Demand background (hide)'!A34=Num_Modalities,"",SUM(Demand!I43, Demand!N43, Demand!S43, Demand!X43, Demand!AC43, Demand!AH43, Demand!AM43, Demand!AR43, Demand!AW43, Demand!BB43))</f>
        <v/>
      </c>
      <c r="BD43" s="256"/>
      <c r="BE43" s="206"/>
    </row>
    <row r="44" spans="1:57" ht="15" x14ac:dyDescent="0.25">
      <c r="A44" t="str">
        <f t="shared" ca="1" si="0"/>
        <v/>
      </c>
      <c r="B44" s="259" t="str">
        <f t="shared" ca="1" si="1"/>
        <v xml:space="preserve"> </v>
      </c>
      <c r="C44" s="261"/>
      <c r="D44" s="261"/>
      <c r="E44" s="183"/>
      <c r="F44" s="184"/>
      <c r="G44" s="185"/>
      <c r="H44" s="186"/>
      <c r="I44" s="248"/>
      <c r="J44" s="197"/>
      <c r="K44" s="198"/>
      <c r="L44" s="199"/>
      <c r="M44" s="200"/>
      <c r="N44" s="252"/>
      <c r="O44" s="183"/>
      <c r="P44" s="184"/>
      <c r="Q44" s="185"/>
      <c r="R44" s="186"/>
      <c r="S44" s="248"/>
      <c r="T44" s="197"/>
      <c r="U44" s="198"/>
      <c r="V44" s="199"/>
      <c r="W44" s="200"/>
      <c r="X44" s="252"/>
      <c r="Y44" s="183"/>
      <c r="Z44" s="184"/>
      <c r="AA44" s="185"/>
      <c r="AB44" s="186"/>
      <c r="AC44" s="248"/>
      <c r="AD44" s="197"/>
      <c r="AE44" s="198"/>
      <c r="AF44" s="199"/>
      <c r="AG44" s="200"/>
      <c r="AH44" s="252"/>
      <c r="AI44" s="183"/>
      <c r="AJ44" s="184"/>
      <c r="AK44" s="185"/>
      <c r="AL44" s="186"/>
      <c r="AM44" s="248"/>
      <c r="AN44" s="197"/>
      <c r="AO44" s="198"/>
      <c r="AP44" s="199"/>
      <c r="AQ44" s="200"/>
      <c r="AR44" s="252"/>
      <c r="AS44" s="183"/>
      <c r="AT44" s="184"/>
      <c r="AU44" s="185"/>
      <c r="AV44" s="186"/>
      <c r="AW44" s="248"/>
      <c r="AX44" s="197"/>
      <c r="AY44" s="198"/>
      <c r="AZ44" s="199"/>
      <c r="BA44" s="200"/>
      <c r="BB44" s="252"/>
      <c r="BC44" s="256" t="str">
        <f ca="1">IF('Demand background (hide)'!A35=Num_Modalities,"",SUM(Demand!I44, Demand!N44, Demand!S44, Demand!X44, Demand!AC44, Demand!AH44, Demand!AM44, Demand!AR44, Demand!AW44, Demand!BB44))</f>
        <v/>
      </c>
      <c r="BD44" s="256"/>
      <c r="BE44" s="206"/>
    </row>
    <row r="45" spans="1:57" ht="15" x14ac:dyDescent="0.25">
      <c r="A45" t="str">
        <f t="shared" ca="1" si="0"/>
        <v/>
      </c>
      <c r="B45" s="259" t="str">
        <f t="shared" ca="1" si="1"/>
        <v xml:space="preserve"> </v>
      </c>
      <c r="C45" s="261"/>
      <c r="D45" s="261"/>
      <c r="E45" s="183"/>
      <c r="F45" s="184"/>
      <c r="G45" s="185"/>
      <c r="H45" s="186"/>
      <c r="I45" s="248"/>
      <c r="J45" s="197"/>
      <c r="K45" s="198"/>
      <c r="L45" s="199"/>
      <c r="M45" s="200"/>
      <c r="N45" s="252"/>
      <c r="O45" s="183"/>
      <c r="P45" s="184"/>
      <c r="Q45" s="185"/>
      <c r="R45" s="186"/>
      <c r="S45" s="248"/>
      <c r="T45" s="197"/>
      <c r="U45" s="198"/>
      <c r="V45" s="199"/>
      <c r="W45" s="200"/>
      <c r="X45" s="252"/>
      <c r="Y45" s="183"/>
      <c r="Z45" s="184"/>
      <c r="AA45" s="185"/>
      <c r="AB45" s="186"/>
      <c r="AC45" s="248"/>
      <c r="AD45" s="197"/>
      <c r="AE45" s="198"/>
      <c r="AF45" s="199"/>
      <c r="AG45" s="200"/>
      <c r="AH45" s="252"/>
      <c r="AI45" s="183"/>
      <c r="AJ45" s="184"/>
      <c r="AK45" s="185"/>
      <c r="AL45" s="186"/>
      <c r="AM45" s="248"/>
      <c r="AN45" s="197"/>
      <c r="AO45" s="198"/>
      <c r="AP45" s="199"/>
      <c r="AQ45" s="200"/>
      <c r="AR45" s="252"/>
      <c r="AS45" s="183"/>
      <c r="AT45" s="184"/>
      <c r="AU45" s="185"/>
      <c r="AV45" s="186"/>
      <c r="AW45" s="248"/>
      <c r="AX45" s="197"/>
      <c r="AY45" s="198"/>
      <c r="AZ45" s="199"/>
      <c r="BA45" s="200"/>
      <c r="BB45" s="252"/>
      <c r="BC45" s="256" t="str">
        <f ca="1">IF('Demand background (hide)'!A36=Num_Modalities,"",SUM(Demand!I45, Demand!N45, Demand!S45, Demand!X45, Demand!AC45, Demand!AH45, Demand!AM45, Demand!AR45, Demand!AW45, Demand!BB45))</f>
        <v/>
      </c>
      <c r="BD45" s="256"/>
      <c r="BE45" s="206"/>
    </row>
    <row r="46" spans="1:57" ht="15" x14ac:dyDescent="0.25">
      <c r="A46" t="str">
        <f t="shared" ca="1" si="0"/>
        <v/>
      </c>
      <c r="B46" s="259" t="str">
        <f t="shared" ca="1" si="1"/>
        <v xml:space="preserve"> </v>
      </c>
      <c r="C46" s="261"/>
      <c r="D46" s="261"/>
      <c r="E46" s="183"/>
      <c r="F46" s="184"/>
      <c r="G46" s="185"/>
      <c r="H46" s="186"/>
      <c r="I46" s="248"/>
      <c r="J46" s="197"/>
      <c r="K46" s="198"/>
      <c r="L46" s="199"/>
      <c r="M46" s="200"/>
      <c r="N46" s="252"/>
      <c r="O46" s="183"/>
      <c r="P46" s="184"/>
      <c r="Q46" s="185"/>
      <c r="R46" s="186"/>
      <c r="S46" s="248"/>
      <c r="T46" s="197"/>
      <c r="U46" s="198"/>
      <c r="V46" s="199"/>
      <c r="W46" s="200"/>
      <c r="X46" s="252"/>
      <c r="Y46" s="183"/>
      <c r="Z46" s="184"/>
      <c r="AA46" s="185"/>
      <c r="AB46" s="186"/>
      <c r="AC46" s="248"/>
      <c r="AD46" s="197"/>
      <c r="AE46" s="198"/>
      <c r="AF46" s="199"/>
      <c r="AG46" s="200"/>
      <c r="AH46" s="252"/>
      <c r="AI46" s="183"/>
      <c r="AJ46" s="184"/>
      <c r="AK46" s="185"/>
      <c r="AL46" s="186"/>
      <c r="AM46" s="248"/>
      <c r="AN46" s="197"/>
      <c r="AO46" s="198"/>
      <c r="AP46" s="199"/>
      <c r="AQ46" s="200"/>
      <c r="AR46" s="252"/>
      <c r="AS46" s="183"/>
      <c r="AT46" s="184"/>
      <c r="AU46" s="185"/>
      <c r="AV46" s="186"/>
      <c r="AW46" s="248"/>
      <c r="AX46" s="197"/>
      <c r="AY46" s="198"/>
      <c r="AZ46" s="199"/>
      <c r="BA46" s="200"/>
      <c r="BB46" s="252"/>
      <c r="BC46" s="256" t="str">
        <f ca="1">IF('Demand background (hide)'!A37=Num_Modalities,"",SUM(Demand!I46, Demand!N46, Demand!S46, Demand!X46, Demand!AC46, Demand!AH46, Demand!AM46, Demand!AR46, Demand!AW46, Demand!BB46))</f>
        <v/>
      </c>
      <c r="BD46" s="256"/>
      <c r="BE46" s="206"/>
    </row>
    <row r="47" spans="1:57" ht="15" x14ac:dyDescent="0.25">
      <c r="A47" t="str">
        <f t="shared" ca="1" si="0"/>
        <v/>
      </c>
      <c r="B47" s="259" t="str">
        <f t="shared" ca="1" si="1"/>
        <v xml:space="preserve"> </v>
      </c>
      <c r="C47" s="261"/>
      <c r="D47" s="261"/>
      <c r="E47" s="183"/>
      <c r="F47" s="184"/>
      <c r="G47" s="185"/>
      <c r="H47" s="186"/>
      <c r="I47" s="248"/>
      <c r="J47" s="197"/>
      <c r="K47" s="198"/>
      <c r="L47" s="199"/>
      <c r="M47" s="200"/>
      <c r="N47" s="252"/>
      <c r="O47" s="183"/>
      <c r="P47" s="184"/>
      <c r="Q47" s="185"/>
      <c r="R47" s="186"/>
      <c r="S47" s="248"/>
      <c r="T47" s="197"/>
      <c r="U47" s="198"/>
      <c r="V47" s="199"/>
      <c r="W47" s="200"/>
      <c r="X47" s="252"/>
      <c r="Y47" s="183"/>
      <c r="Z47" s="184"/>
      <c r="AA47" s="185"/>
      <c r="AB47" s="186"/>
      <c r="AC47" s="248"/>
      <c r="AD47" s="197"/>
      <c r="AE47" s="198"/>
      <c r="AF47" s="199"/>
      <c r="AG47" s="200"/>
      <c r="AH47" s="252"/>
      <c r="AI47" s="183"/>
      <c r="AJ47" s="184"/>
      <c r="AK47" s="185"/>
      <c r="AL47" s="186"/>
      <c r="AM47" s="248"/>
      <c r="AN47" s="197"/>
      <c r="AO47" s="198"/>
      <c r="AP47" s="199"/>
      <c r="AQ47" s="200"/>
      <c r="AR47" s="252"/>
      <c r="AS47" s="183"/>
      <c r="AT47" s="184"/>
      <c r="AU47" s="185"/>
      <c r="AV47" s="186"/>
      <c r="AW47" s="248"/>
      <c r="AX47" s="197"/>
      <c r="AY47" s="198"/>
      <c r="AZ47" s="199"/>
      <c r="BA47" s="200"/>
      <c r="BB47" s="252"/>
      <c r="BC47" s="256" t="str">
        <f ca="1">IF('Demand background (hide)'!A38=Num_Modalities,"",SUM(Demand!I47, Demand!N47, Demand!S47, Demand!X47, Demand!AC47, Demand!AH47, Demand!AM47, Demand!AR47, Demand!AW47, Demand!BB47))</f>
        <v/>
      </c>
      <c r="BD47" s="256"/>
      <c r="BE47" s="206"/>
    </row>
    <row r="48" spans="1:57" ht="15" x14ac:dyDescent="0.25">
      <c r="A48" t="str">
        <f t="shared" ca="1" si="0"/>
        <v/>
      </c>
      <c r="B48" s="259" t="str">
        <f t="shared" ca="1" si="1"/>
        <v xml:space="preserve"> </v>
      </c>
      <c r="C48" s="261"/>
      <c r="D48" s="261"/>
      <c r="E48" s="183"/>
      <c r="F48" s="184"/>
      <c r="G48" s="185"/>
      <c r="H48" s="186"/>
      <c r="I48" s="248"/>
      <c r="J48" s="197"/>
      <c r="K48" s="198"/>
      <c r="L48" s="199"/>
      <c r="M48" s="200"/>
      <c r="N48" s="252"/>
      <c r="O48" s="183"/>
      <c r="P48" s="184"/>
      <c r="Q48" s="185"/>
      <c r="R48" s="186"/>
      <c r="S48" s="248"/>
      <c r="T48" s="197"/>
      <c r="U48" s="198"/>
      <c r="V48" s="199"/>
      <c r="W48" s="200"/>
      <c r="X48" s="252"/>
      <c r="Y48" s="183"/>
      <c r="Z48" s="184"/>
      <c r="AA48" s="185"/>
      <c r="AB48" s="186"/>
      <c r="AC48" s="248"/>
      <c r="AD48" s="197"/>
      <c r="AE48" s="198"/>
      <c r="AF48" s="199"/>
      <c r="AG48" s="200"/>
      <c r="AH48" s="252"/>
      <c r="AI48" s="183"/>
      <c r="AJ48" s="184"/>
      <c r="AK48" s="185"/>
      <c r="AL48" s="186"/>
      <c r="AM48" s="248"/>
      <c r="AN48" s="197"/>
      <c r="AO48" s="198"/>
      <c r="AP48" s="199"/>
      <c r="AQ48" s="200"/>
      <c r="AR48" s="252"/>
      <c r="AS48" s="183"/>
      <c r="AT48" s="184"/>
      <c r="AU48" s="185"/>
      <c r="AV48" s="186"/>
      <c r="AW48" s="248"/>
      <c r="AX48" s="197"/>
      <c r="AY48" s="198"/>
      <c r="AZ48" s="199"/>
      <c r="BA48" s="200"/>
      <c r="BB48" s="252"/>
      <c r="BC48" s="256" t="str">
        <f ca="1">IF('Demand background (hide)'!A39=Num_Modalities,"",SUM(Demand!I48, Demand!N48, Demand!S48, Demand!X48, Demand!AC48, Demand!AH48, Demand!AM48, Demand!AR48, Demand!AW48, Demand!BB48))</f>
        <v/>
      </c>
      <c r="BD48" s="256"/>
      <c r="BE48" s="206"/>
    </row>
    <row r="49" spans="1:57" ht="15" x14ac:dyDescent="0.25">
      <c r="A49" t="str">
        <f t="shared" ca="1" si="0"/>
        <v/>
      </c>
      <c r="B49" s="259" t="str">
        <f t="shared" ca="1" si="1"/>
        <v xml:space="preserve"> </v>
      </c>
      <c r="C49" s="261"/>
      <c r="D49" s="261"/>
      <c r="E49" s="183"/>
      <c r="F49" s="184"/>
      <c r="G49" s="185"/>
      <c r="H49" s="186"/>
      <c r="I49" s="248"/>
      <c r="J49" s="197"/>
      <c r="K49" s="198"/>
      <c r="L49" s="199"/>
      <c r="M49" s="200"/>
      <c r="N49" s="252"/>
      <c r="O49" s="183"/>
      <c r="P49" s="184"/>
      <c r="Q49" s="185"/>
      <c r="R49" s="186"/>
      <c r="S49" s="248"/>
      <c r="T49" s="197"/>
      <c r="U49" s="198"/>
      <c r="V49" s="199"/>
      <c r="W49" s="200"/>
      <c r="X49" s="252"/>
      <c r="Y49" s="183"/>
      <c r="Z49" s="184"/>
      <c r="AA49" s="185"/>
      <c r="AB49" s="186"/>
      <c r="AC49" s="248"/>
      <c r="AD49" s="197"/>
      <c r="AE49" s="198"/>
      <c r="AF49" s="199"/>
      <c r="AG49" s="200"/>
      <c r="AH49" s="252"/>
      <c r="AI49" s="183"/>
      <c r="AJ49" s="184"/>
      <c r="AK49" s="185"/>
      <c r="AL49" s="186"/>
      <c r="AM49" s="248"/>
      <c r="AN49" s="197"/>
      <c r="AO49" s="198"/>
      <c r="AP49" s="199"/>
      <c r="AQ49" s="200"/>
      <c r="AR49" s="252"/>
      <c r="AS49" s="183"/>
      <c r="AT49" s="184"/>
      <c r="AU49" s="185"/>
      <c r="AV49" s="186"/>
      <c r="AW49" s="248"/>
      <c r="AX49" s="197"/>
      <c r="AY49" s="198"/>
      <c r="AZ49" s="199"/>
      <c r="BA49" s="200"/>
      <c r="BB49" s="252"/>
      <c r="BC49" s="256" t="str">
        <f ca="1">IF('Demand background (hide)'!A40=Num_Modalities,"",SUM(Demand!I49, Demand!N49, Demand!S49, Demand!X49, Demand!AC49, Demand!AH49, Demand!AM49, Demand!AR49, Demand!AW49, Demand!BB49))</f>
        <v/>
      </c>
      <c r="BD49" s="256"/>
      <c r="BE49" s="206"/>
    </row>
    <row r="50" spans="1:57" ht="15" x14ac:dyDescent="0.25">
      <c r="A50" t="str">
        <f t="shared" ca="1" si="0"/>
        <v/>
      </c>
      <c r="B50" s="259" t="str">
        <f t="shared" ca="1" si="1"/>
        <v xml:space="preserve"> </v>
      </c>
      <c r="C50" s="261"/>
      <c r="D50" s="261"/>
      <c r="E50" s="183"/>
      <c r="F50" s="184"/>
      <c r="G50" s="185"/>
      <c r="H50" s="186"/>
      <c r="I50" s="248"/>
      <c r="J50" s="197"/>
      <c r="K50" s="198"/>
      <c r="L50" s="199"/>
      <c r="M50" s="200"/>
      <c r="N50" s="252"/>
      <c r="O50" s="183"/>
      <c r="P50" s="184"/>
      <c r="Q50" s="185"/>
      <c r="R50" s="186"/>
      <c r="S50" s="248"/>
      <c r="T50" s="197"/>
      <c r="U50" s="198"/>
      <c r="V50" s="199"/>
      <c r="W50" s="200"/>
      <c r="X50" s="252"/>
      <c r="Y50" s="183"/>
      <c r="Z50" s="184"/>
      <c r="AA50" s="185"/>
      <c r="AB50" s="186"/>
      <c r="AC50" s="248"/>
      <c r="AD50" s="197"/>
      <c r="AE50" s="198"/>
      <c r="AF50" s="199"/>
      <c r="AG50" s="200"/>
      <c r="AH50" s="252"/>
      <c r="AI50" s="183"/>
      <c r="AJ50" s="184"/>
      <c r="AK50" s="185"/>
      <c r="AL50" s="186"/>
      <c r="AM50" s="248"/>
      <c r="AN50" s="197"/>
      <c r="AO50" s="198"/>
      <c r="AP50" s="199"/>
      <c r="AQ50" s="200"/>
      <c r="AR50" s="252"/>
      <c r="AS50" s="183"/>
      <c r="AT50" s="184"/>
      <c r="AU50" s="185"/>
      <c r="AV50" s="186"/>
      <c r="AW50" s="248"/>
      <c r="AX50" s="197"/>
      <c r="AY50" s="198"/>
      <c r="AZ50" s="199"/>
      <c r="BA50" s="200"/>
      <c r="BB50" s="252"/>
      <c r="BC50" s="256" t="str">
        <f ca="1">IF('Demand background (hide)'!A41=Num_Modalities,"",SUM(Demand!I50, Demand!N50, Demand!S50, Demand!X50, Demand!AC50, Demand!AH50, Demand!AM50, Demand!AR50, Demand!AW50, Demand!BB50))</f>
        <v/>
      </c>
      <c r="BD50" s="256"/>
      <c r="BE50" s="206"/>
    </row>
    <row r="51" spans="1:57" ht="15" x14ac:dyDescent="0.25">
      <c r="A51" t="str">
        <f t="shared" ca="1" si="0"/>
        <v/>
      </c>
      <c r="B51" s="259" t="str">
        <f t="shared" ca="1" si="1"/>
        <v xml:space="preserve"> </v>
      </c>
      <c r="C51" s="261"/>
      <c r="D51" s="261"/>
      <c r="E51" s="183"/>
      <c r="F51" s="184"/>
      <c r="G51" s="185"/>
      <c r="H51" s="186"/>
      <c r="I51" s="248"/>
      <c r="J51" s="197"/>
      <c r="K51" s="198"/>
      <c r="L51" s="199"/>
      <c r="M51" s="200"/>
      <c r="N51" s="252"/>
      <c r="O51" s="183"/>
      <c r="P51" s="184"/>
      <c r="Q51" s="185"/>
      <c r="R51" s="186"/>
      <c r="S51" s="248"/>
      <c r="T51" s="197"/>
      <c r="U51" s="198"/>
      <c r="V51" s="199"/>
      <c r="W51" s="200"/>
      <c r="X51" s="252"/>
      <c r="Y51" s="183"/>
      <c r="Z51" s="184"/>
      <c r="AA51" s="185"/>
      <c r="AB51" s="186"/>
      <c r="AC51" s="248"/>
      <c r="AD51" s="197"/>
      <c r="AE51" s="198"/>
      <c r="AF51" s="199"/>
      <c r="AG51" s="200"/>
      <c r="AH51" s="252"/>
      <c r="AI51" s="183"/>
      <c r="AJ51" s="184"/>
      <c r="AK51" s="185"/>
      <c r="AL51" s="186"/>
      <c r="AM51" s="248"/>
      <c r="AN51" s="197"/>
      <c r="AO51" s="198"/>
      <c r="AP51" s="199"/>
      <c r="AQ51" s="200"/>
      <c r="AR51" s="252"/>
      <c r="AS51" s="183"/>
      <c r="AT51" s="184"/>
      <c r="AU51" s="185"/>
      <c r="AV51" s="186"/>
      <c r="AW51" s="248"/>
      <c r="AX51" s="197"/>
      <c r="AY51" s="198"/>
      <c r="AZ51" s="199"/>
      <c r="BA51" s="200"/>
      <c r="BB51" s="252"/>
      <c r="BC51" s="256" t="str">
        <f ca="1">IF('Demand background (hide)'!A42=Num_Modalities,"",SUM(Demand!I51, Demand!N51, Demand!S51, Demand!X51, Demand!AC51, Demand!AH51, Demand!AM51, Demand!AR51, Demand!AW51, Demand!BB51))</f>
        <v/>
      </c>
      <c r="BD51" s="256"/>
      <c r="BE51" s="206"/>
    </row>
    <row r="52" spans="1:57" ht="15" x14ac:dyDescent="0.25">
      <c r="A52" t="str">
        <f t="shared" ca="1" si="0"/>
        <v/>
      </c>
      <c r="B52" s="259" t="str">
        <f t="shared" ca="1" si="1"/>
        <v xml:space="preserve"> </v>
      </c>
      <c r="C52" s="261"/>
      <c r="D52" s="261"/>
      <c r="E52" s="183"/>
      <c r="F52" s="184"/>
      <c r="G52" s="185"/>
      <c r="H52" s="186"/>
      <c r="I52" s="248"/>
      <c r="J52" s="197"/>
      <c r="K52" s="198"/>
      <c r="L52" s="199"/>
      <c r="M52" s="200"/>
      <c r="N52" s="252"/>
      <c r="O52" s="183"/>
      <c r="P52" s="184"/>
      <c r="Q52" s="185"/>
      <c r="R52" s="186"/>
      <c r="S52" s="248"/>
      <c r="T52" s="197"/>
      <c r="U52" s="198"/>
      <c r="V52" s="199"/>
      <c r="W52" s="200"/>
      <c r="X52" s="252"/>
      <c r="Y52" s="183"/>
      <c r="Z52" s="184"/>
      <c r="AA52" s="185"/>
      <c r="AB52" s="186"/>
      <c r="AC52" s="248"/>
      <c r="AD52" s="197"/>
      <c r="AE52" s="198"/>
      <c r="AF52" s="199"/>
      <c r="AG52" s="200"/>
      <c r="AH52" s="252"/>
      <c r="AI52" s="183"/>
      <c r="AJ52" s="184"/>
      <c r="AK52" s="185"/>
      <c r="AL52" s="186"/>
      <c r="AM52" s="248"/>
      <c r="AN52" s="197"/>
      <c r="AO52" s="198"/>
      <c r="AP52" s="199"/>
      <c r="AQ52" s="200"/>
      <c r="AR52" s="252"/>
      <c r="AS52" s="183"/>
      <c r="AT52" s="184"/>
      <c r="AU52" s="185"/>
      <c r="AV52" s="186"/>
      <c r="AW52" s="248"/>
      <c r="AX52" s="197"/>
      <c r="AY52" s="198"/>
      <c r="AZ52" s="199"/>
      <c r="BA52" s="200"/>
      <c r="BB52" s="252"/>
      <c r="BC52" s="256" t="str">
        <f ca="1">IF('Demand background (hide)'!A43=Num_Modalities,"",SUM(Demand!I52, Demand!N52, Demand!S52, Demand!X52, Demand!AC52, Demand!AH52, Demand!AM52, Demand!AR52, Demand!AW52, Demand!BB52))</f>
        <v/>
      </c>
      <c r="BD52" s="256"/>
      <c r="BE52" s="206"/>
    </row>
    <row r="53" spans="1:57" ht="15" x14ac:dyDescent="0.25">
      <c r="A53" t="str">
        <f t="shared" ca="1" si="0"/>
        <v/>
      </c>
      <c r="B53" s="259" t="str">
        <f t="shared" ca="1" si="1"/>
        <v xml:space="preserve"> </v>
      </c>
      <c r="C53" s="261"/>
      <c r="D53" s="261"/>
      <c r="E53" s="183"/>
      <c r="F53" s="184"/>
      <c r="G53" s="185"/>
      <c r="H53" s="186"/>
      <c r="I53" s="248"/>
      <c r="J53" s="197"/>
      <c r="K53" s="198"/>
      <c r="L53" s="199"/>
      <c r="M53" s="200"/>
      <c r="N53" s="252"/>
      <c r="O53" s="183"/>
      <c r="P53" s="184"/>
      <c r="Q53" s="185"/>
      <c r="R53" s="186"/>
      <c r="S53" s="248"/>
      <c r="T53" s="197"/>
      <c r="U53" s="198"/>
      <c r="V53" s="199"/>
      <c r="W53" s="200"/>
      <c r="X53" s="252"/>
      <c r="Y53" s="183"/>
      <c r="Z53" s="184"/>
      <c r="AA53" s="185"/>
      <c r="AB53" s="186"/>
      <c r="AC53" s="248"/>
      <c r="AD53" s="197"/>
      <c r="AE53" s="198"/>
      <c r="AF53" s="199"/>
      <c r="AG53" s="200"/>
      <c r="AH53" s="252"/>
      <c r="AI53" s="183"/>
      <c r="AJ53" s="184"/>
      <c r="AK53" s="185"/>
      <c r="AL53" s="186"/>
      <c r="AM53" s="248"/>
      <c r="AN53" s="197"/>
      <c r="AO53" s="198"/>
      <c r="AP53" s="199"/>
      <c r="AQ53" s="200"/>
      <c r="AR53" s="252"/>
      <c r="AS53" s="183"/>
      <c r="AT53" s="184"/>
      <c r="AU53" s="185"/>
      <c r="AV53" s="186"/>
      <c r="AW53" s="248"/>
      <c r="AX53" s="197"/>
      <c r="AY53" s="198"/>
      <c r="AZ53" s="199"/>
      <c r="BA53" s="200"/>
      <c r="BB53" s="252"/>
      <c r="BC53" s="256" t="str">
        <f ca="1">IF('Demand background (hide)'!A44=Num_Modalities,"",SUM(Demand!I53, Demand!N53, Demand!S53, Demand!X53, Demand!AC53, Demand!AH53, Demand!AM53, Demand!AR53, Demand!AW53, Demand!BB53))</f>
        <v/>
      </c>
      <c r="BD53" s="256"/>
      <c r="BE53" s="206"/>
    </row>
    <row r="54" spans="1:57" ht="15" x14ac:dyDescent="0.25">
      <c r="A54" t="str">
        <f t="shared" ca="1" si="0"/>
        <v/>
      </c>
      <c r="B54" s="259" t="str">
        <f t="shared" ca="1" si="1"/>
        <v xml:space="preserve"> </v>
      </c>
      <c r="C54" s="261"/>
      <c r="D54" s="261"/>
      <c r="E54" s="183"/>
      <c r="F54" s="184"/>
      <c r="G54" s="185"/>
      <c r="H54" s="186"/>
      <c r="I54" s="248"/>
      <c r="J54" s="197"/>
      <c r="K54" s="198"/>
      <c r="L54" s="199"/>
      <c r="M54" s="200"/>
      <c r="N54" s="252"/>
      <c r="O54" s="183"/>
      <c r="P54" s="184"/>
      <c r="Q54" s="185"/>
      <c r="R54" s="186"/>
      <c r="S54" s="248"/>
      <c r="T54" s="197"/>
      <c r="U54" s="198"/>
      <c r="V54" s="199"/>
      <c r="W54" s="200"/>
      <c r="X54" s="252"/>
      <c r="Y54" s="183"/>
      <c r="Z54" s="184"/>
      <c r="AA54" s="185"/>
      <c r="AB54" s="186"/>
      <c r="AC54" s="248"/>
      <c r="AD54" s="197"/>
      <c r="AE54" s="198"/>
      <c r="AF54" s="199"/>
      <c r="AG54" s="200"/>
      <c r="AH54" s="252"/>
      <c r="AI54" s="183"/>
      <c r="AJ54" s="184"/>
      <c r="AK54" s="185"/>
      <c r="AL54" s="186"/>
      <c r="AM54" s="248"/>
      <c r="AN54" s="197"/>
      <c r="AO54" s="198"/>
      <c r="AP54" s="199"/>
      <c r="AQ54" s="200"/>
      <c r="AR54" s="252"/>
      <c r="AS54" s="183"/>
      <c r="AT54" s="184"/>
      <c r="AU54" s="185"/>
      <c r="AV54" s="186"/>
      <c r="AW54" s="248"/>
      <c r="AX54" s="197"/>
      <c r="AY54" s="198"/>
      <c r="AZ54" s="199"/>
      <c r="BA54" s="200"/>
      <c r="BB54" s="252"/>
      <c r="BC54" s="256" t="str">
        <f ca="1">IF('Demand background (hide)'!A45=Num_Modalities,"",SUM(Demand!I54, Demand!N54, Demand!S54, Demand!X54, Demand!AC54, Demand!AH54, Demand!AM54, Demand!AR54, Demand!AW54, Demand!BB54))</f>
        <v/>
      </c>
      <c r="BD54" s="256"/>
      <c r="BE54" s="206"/>
    </row>
    <row r="55" spans="1:57" ht="15" x14ac:dyDescent="0.25">
      <c r="A55" t="str">
        <f t="shared" ca="1" si="0"/>
        <v/>
      </c>
      <c r="B55" s="259" t="str">
        <f t="shared" ca="1" si="1"/>
        <v xml:space="preserve"> </v>
      </c>
      <c r="C55" s="261"/>
      <c r="D55" s="261"/>
      <c r="E55" s="183"/>
      <c r="F55" s="184"/>
      <c r="G55" s="185"/>
      <c r="H55" s="186"/>
      <c r="I55" s="248"/>
      <c r="J55" s="197"/>
      <c r="K55" s="198"/>
      <c r="L55" s="199"/>
      <c r="M55" s="200"/>
      <c r="N55" s="252"/>
      <c r="O55" s="183"/>
      <c r="P55" s="184"/>
      <c r="Q55" s="185"/>
      <c r="R55" s="186"/>
      <c r="S55" s="248"/>
      <c r="T55" s="197"/>
      <c r="U55" s="198"/>
      <c r="V55" s="199"/>
      <c r="W55" s="200"/>
      <c r="X55" s="252"/>
      <c r="Y55" s="183"/>
      <c r="Z55" s="184"/>
      <c r="AA55" s="185"/>
      <c r="AB55" s="186"/>
      <c r="AC55" s="248"/>
      <c r="AD55" s="197"/>
      <c r="AE55" s="198"/>
      <c r="AF55" s="199"/>
      <c r="AG55" s="200"/>
      <c r="AH55" s="252"/>
      <c r="AI55" s="183"/>
      <c r="AJ55" s="184"/>
      <c r="AK55" s="185"/>
      <c r="AL55" s="186"/>
      <c r="AM55" s="248"/>
      <c r="AN55" s="197"/>
      <c r="AO55" s="198"/>
      <c r="AP55" s="199"/>
      <c r="AQ55" s="200"/>
      <c r="AR55" s="252"/>
      <c r="AS55" s="183"/>
      <c r="AT55" s="184"/>
      <c r="AU55" s="185"/>
      <c r="AV55" s="186"/>
      <c r="AW55" s="248"/>
      <c r="AX55" s="197"/>
      <c r="AY55" s="198"/>
      <c r="AZ55" s="199"/>
      <c r="BA55" s="200"/>
      <c r="BB55" s="252"/>
      <c r="BC55" s="256" t="str">
        <f ca="1">IF('Demand background (hide)'!A46=Num_Modalities,"",SUM(Demand!I55, Demand!N55, Demand!S55, Demand!X55, Demand!AC55, Demand!AH55, Demand!AM55, Demand!AR55, Demand!AW55, Demand!BB55))</f>
        <v/>
      </c>
      <c r="BD55" s="256"/>
      <c r="BE55" s="206"/>
    </row>
    <row r="56" spans="1:57" ht="15" x14ac:dyDescent="0.25">
      <c r="A56" t="str">
        <f t="shared" ca="1" si="0"/>
        <v/>
      </c>
      <c r="B56" s="259" t="str">
        <f t="shared" ca="1" si="1"/>
        <v xml:space="preserve"> </v>
      </c>
      <c r="C56" s="261"/>
      <c r="D56" s="261"/>
      <c r="E56" s="183"/>
      <c r="F56" s="184"/>
      <c r="G56" s="185"/>
      <c r="H56" s="186"/>
      <c r="I56" s="248"/>
      <c r="J56" s="197"/>
      <c r="K56" s="198"/>
      <c r="L56" s="199"/>
      <c r="M56" s="200"/>
      <c r="N56" s="252"/>
      <c r="O56" s="183"/>
      <c r="P56" s="184"/>
      <c r="Q56" s="185"/>
      <c r="R56" s="186"/>
      <c r="S56" s="248"/>
      <c r="T56" s="197"/>
      <c r="U56" s="198"/>
      <c r="V56" s="199"/>
      <c r="W56" s="200"/>
      <c r="X56" s="252"/>
      <c r="Y56" s="183"/>
      <c r="Z56" s="184"/>
      <c r="AA56" s="185"/>
      <c r="AB56" s="186"/>
      <c r="AC56" s="248"/>
      <c r="AD56" s="197"/>
      <c r="AE56" s="198"/>
      <c r="AF56" s="199"/>
      <c r="AG56" s="200"/>
      <c r="AH56" s="252"/>
      <c r="AI56" s="183"/>
      <c r="AJ56" s="184"/>
      <c r="AK56" s="185"/>
      <c r="AL56" s="186"/>
      <c r="AM56" s="248"/>
      <c r="AN56" s="197"/>
      <c r="AO56" s="198"/>
      <c r="AP56" s="199"/>
      <c r="AQ56" s="200"/>
      <c r="AR56" s="252"/>
      <c r="AS56" s="183"/>
      <c r="AT56" s="184"/>
      <c r="AU56" s="185"/>
      <c r="AV56" s="186"/>
      <c r="AW56" s="248"/>
      <c r="AX56" s="197"/>
      <c r="AY56" s="198"/>
      <c r="AZ56" s="199"/>
      <c r="BA56" s="200"/>
      <c r="BB56" s="252"/>
      <c r="BC56" s="256" t="str">
        <f ca="1">IF('Demand background (hide)'!A47=Num_Modalities,"",SUM(Demand!I56, Demand!N56, Demand!S56, Demand!X56, Demand!AC56, Demand!AH56, Demand!AM56, Demand!AR56, Demand!AW56, Demand!BB56))</f>
        <v/>
      </c>
      <c r="BD56" s="256"/>
      <c r="BE56" s="206"/>
    </row>
    <row r="57" spans="1:57" ht="15" x14ac:dyDescent="0.25">
      <c r="A57" t="str">
        <f t="shared" ca="1" si="0"/>
        <v/>
      </c>
      <c r="B57" s="259" t="str">
        <f t="shared" ca="1" si="1"/>
        <v xml:space="preserve"> </v>
      </c>
      <c r="C57" s="261"/>
      <c r="D57" s="261"/>
      <c r="E57" s="183"/>
      <c r="F57" s="184"/>
      <c r="G57" s="185"/>
      <c r="H57" s="186"/>
      <c r="I57" s="248"/>
      <c r="J57" s="197"/>
      <c r="K57" s="198"/>
      <c r="L57" s="199"/>
      <c r="M57" s="200"/>
      <c r="N57" s="252"/>
      <c r="O57" s="183"/>
      <c r="P57" s="184"/>
      <c r="Q57" s="185"/>
      <c r="R57" s="186"/>
      <c r="S57" s="248"/>
      <c r="T57" s="197"/>
      <c r="U57" s="198"/>
      <c r="V57" s="199"/>
      <c r="W57" s="200"/>
      <c r="X57" s="252"/>
      <c r="Y57" s="183"/>
      <c r="Z57" s="184"/>
      <c r="AA57" s="185"/>
      <c r="AB57" s="186"/>
      <c r="AC57" s="248"/>
      <c r="AD57" s="197"/>
      <c r="AE57" s="198"/>
      <c r="AF57" s="199"/>
      <c r="AG57" s="200"/>
      <c r="AH57" s="252"/>
      <c r="AI57" s="183"/>
      <c r="AJ57" s="184"/>
      <c r="AK57" s="185"/>
      <c r="AL57" s="186"/>
      <c r="AM57" s="248"/>
      <c r="AN57" s="197"/>
      <c r="AO57" s="198"/>
      <c r="AP57" s="199"/>
      <c r="AQ57" s="200"/>
      <c r="AR57" s="252"/>
      <c r="AS57" s="183"/>
      <c r="AT57" s="184"/>
      <c r="AU57" s="185"/>
      <c r="AV57" s="186"/>
      <c r="AW57" s="248"/>
      <c r="AX57" s="197"/>
      <c r="AY57" s="198"/>
      <c r="AZ57" s="199"/>
      <c r="BA57" s="200"/>
      <c r="BB57" s="252"/>
      <c r="BC57" s="256" t="str">
        <f ca="1">IF('Demand background (hide)'!A48=Num_Modalities,"",SUM(Demand!I57, Demand!N57, Demand!S57, Demand!X57, Demand!AC57, Demand!AH57, Demand!AM57, Demand!AR57, Demand!AW57, Demand!BB57))</f>
        <v/>
      </c>
      <c r="BD57" s="256"/>
      <c r="BE57" s="206"/>
    </row>
    <row r="58" spans="1:57" ht="15" x14ac:dyDescent="0.25">
      <c r="A58" t="str">
        <f t="shared" ca="1" si="0"/>
        <v/>
      </c>
      <c r="B58" s="259" t="str">
        <f t="shared" ca="1" si="1"/>
        <v xml:space="preserve"> </v>
      </c>
      <c r="C58" s="261"/>
      <c r="D58" s="261"/>
      <c r="E58" s="183"/>
      <c r="F58" s="184"/>
      <c r="G58" s="185"/>
      <c r="H58" s="186"/>
      <c r="I58" s="248"/>
      <c r="J58" s="197"/>
      <c r="K58" s="198"/>
      <c r="L58" s="199"/>
      <c r="M58" s="200"/>
      <c r="N58" s="252"/>
      <c r="O58" s="183"/>
      <c r="P58" s="184"/>
      <c r="Q58" s="185"/>
      <c r="R58" s="186"/>
      <c r="S58" s="248"/>
      <c r="T58" s="197"/>
      <c r="U58" s="198"/>
      <c r="V58" s="199"/>
      <c r="W58" s="200"/>
      <c r="X58" s="252"/>
      <c r="Y58" s="183"/>
      <c r="Z58" s="184"/>
      <c r="AA58" s="185"/>
      <c r="AB58" s="186"/>
      <c r="AC58" s="248"/>
      <c r="AD58" s="197"/>
      <c r="AE58" s="198"/>
      <c r="AF58" s="199"/>
      <c r="AG58" s="200"/>
      <c r="AH58" s="252"/>
      <c r="AI58" s="183"/>
      <c r="AJ58" s="184"/>
      <c r="AK58" s="185"/>
      <c r="AL58" s="186"/>
      <c r="AM58" s="248"/>
      <c r="AN58" s="197"/>
      <c r="AO58" s="198"/>
      <c r="AP58" s="199"/>
      <c r="AQ58" s="200"/>
      <c r="AR58" s="252"/>
      <c r="AS58" s="183"/>
      <c r="AT58" s="184"/>
      <c r="AU58" s="185"/>
      <c r="AV58" s="186"/>
      <c r="AW58" s="248"/>
      <c r="AX58" s="197"/>
      <c r="AY58" s="198"/>
      <c r="AZ58" s="199"/>
      <c r="BA58" s="200"/>
      <c r="BB58" s="252"/>
      <c r="BC58" s="256" t="str">
        <f ca="1">IF('Demand background (hide)'!A49=Num_Modalities,"",SUM(Demand!I58, Demand!N58, Demand!S58, Demand!X58, Demand!AC58, Demand!AH58, Demand!AM58, Demand!AR58, Demand!AW58, Demand!BB58))</f>
        <v/>
      </c>
      <c r="BD58" s="256"/>
      <c r="BE58" s="206"/>
    </row>
    <row r="59" spans="1:57" ht="15" x14ac:dyDescent="0.25">
      <c r="A59" t="str">
        <f t="shared" ca="1" si="0"/>
        <v/>
      </c>
      <c r="B59" s="259" t="str">
        <f t="shared" ca="1" si="1"/>
        <v xml:space="preserve"> </v>
      </c>
      <c r="C59" s="261"/>
      <c r="D59" s="261"/>
      <c r="E59" s="183"/>
      <c r="F59" s="184"/>
      <c r="G59" s="185"/>
      <c r="H59" s="186"/>
      <c r="I59" s="248"/>
      <c r="J59" s="197"/>
      <c r="K59" s="198"/>
      <c r="L59" s="199"/>
      <c r="M59" s="200"/>
      <c r="N59" s="252"/>
      <c r="O59" s="183"/>
      <c r="P59" s="184"/>
      <c r="Q59" s="185"/>
      <c r="R59" s="186"/>
      <c r="S59" s="248"/>
      <c r="T59" s="197"/>
      <c r="U59" s="198"/>
      <c r="V59" s="199"/>
      <c r="W59" s="200"/>
      <c r="X59" s="252"/>
      <c r="Y59" s="183"/>
      <c r="Z59" s="184"/>
      <c r="AA59" s="185"/>
      <c r="AB59" s="186"/>
      <c r="AC59" s="248"/>
      <c r="AD59" s="197"/>
      <c r="AE59" s="198"/>
      <c r="AF59" s="199"/>
      <c r="AG59" s="200"/>
      <c r="AH59" s="252"/>
      <c r="AI59" s="183"/>
      <c r="AJ59" s="184"/>
      <c r="AK59" s="185"/>
      <c r="AL59" s="186"/>
      <c r="AM59" s="248"/>
      <c r="AN59" s="197"/>
      <c r="AO59" s="198"/>
      <c r="AP59" s="199"/>
      <c r="AQ59" s="200"/>
      <c r="AR59" s="252"/>
      <c r="AS59" s="183"/>
      <c r="AT59" s="184"/>
      <c r="AU59" s="185"/>
      <c r="AV59" s="186"/>
      <c r="AW59" s="248"/>
      <c r="AX59" s="197"/>
      <c r="AY59" s="198"/>
      <c r="AZ59" s="199"/>
      <c r="BA59" s="200"/>
      <c r="BB59" s="252"/>
      <c r="BC59" s="256" t="str">
        <f ca="1">IF('Demand background (hide)'!A50=Num_Modalities,"",SUM(Demand!I59, Demand!N59, Demand!S59, Demand!X59, Demand!AC59, Demand!AH59, Demand!AM59, Demand!AR59, Demand!AW59, Demand!BB59))</f>
        <v/>
      </c>
      <c r="BD59" s="256"/>
      <c r="BE59" s="206"/>
    </row>
    <row r="60" spans="1:57" ht="15" x14ac:dyDescent="0.25">
      <c r="A60" t="str">
        <f t="shared" ca="1" si="0"/>
        <v/>
      </c>
      <c r="B60" s="259" t="str">
        <f t="shared" ca="1" si="1"/>
        <v xml:space="preserve"> </v>
      </c>
      <c r="C60" s="261"/>
      <c r="D60" s="261"/>
      <c r="E60" s="183"/>
      <c r="F60" s="184"/>
      <c r="G60" s="185"/>
      <c r="H60" s="186"/>
      <c r="I60" s="248"/>
      <c r="J60" s="197"/>
      <c r="K60" s="198"/>
      <c r="L60" s="199"/>
      <c r="M60" s="200"/>
      <c r="N60" s="252"/>
      <c r="O60" s="183"/>
      <c r="P60" s="184"/>
      <c r="Q60" s="185"/>
      <c r="R60" s="186"/>
      <c r="S60" s="248"/>
      <c r="T60" s="197"/>
      <c r="U60" s="198"/>
      <c r="V60" s="199"/>
      <c r="W60" s="200"/>
      <c r="X60" s="252"/>
      <c r="Y60" s="183"/>
      <c r="Z60" s="184"/>
      <c r="AA60" s="185"/>
      <c r="AB60" s="186"/>
      <c r="AC60" s="248"/>
      <c r="AD60" s="197"/>
      <c r="AE60" s="198"/>
      <c r="AF60" s="199"/>
      <c r="AG60" s="200"/>
      <c r="AH60" s="252"/>
      <c r="AI60" s="183"/>
      <c r="AJ60" s="184"/>
      <c r="AK60" s="185"/>
      <c r="AL60" s="186"/>
      <c r="AM60" s="248"/>
      <c r="AN60" s="197"/>
      <c r="AO60" s="198"/>
      <c r="AP60" s="199"/>
      <c r="AQ60" s="200"/>
      <c r="AR60" s="252"/>
      <c r="AS60" s="183"/>
      <c r="AT60" s="184"/>
      <c r="AU60" s="185"/>
      <c r="AV60" s="186"/>
      <c r="AW60" s="248"/>
      <c r="AX60" s="197"/>
      <c r="AY60" s="198"/>
      <c r="AZ60" s="199"/>
      <c r="BA60" s="200"/>
      <c r="BB60" s="252"/>
      <c r="BC60" s="256" t="str">
        <f ca="1">IF('Demand background (hide)'!A51=Num_Modalities,"",SUM(Demand!I60, Demand!N60, Demand!S60, Demand!X60, Demand!AC60, Demand!AH60, Demand!AM60, Demand!AR60, Demand!AW60, Demand!BB60))</f>
        <v/>
      </c>
      <c r="BD60" s="256"/>
      <c r="BE60" s="206"/>
    </row>
    <row r="61" spans="1:57" ht="15" x14ac:dyDescent="0.25">
      <c r="A61" t="str">
        <f t="shared" ca="1" si="0"/>
        <v/>
      </c>
      <c r="B61" s="259" t="str">
        <f t="shared" ca="1" si="1"/>
        <v xml:space="preserve"> </v>
      </c>
      <c r="C61" s="261"/>
      <c r="D61" s="261"/>
      <c r="E61" s="183"/>
      <c r="F61" s="184"/>
      <c r="G61" s="185"/>
      <c r="H61" s="186"/>
      <c r="I61" s="248"/>
      <c r="J61" s="197"/>
      <c r="K61" s="198"/>
      <c r="L61" s="199"/>
      <c r="M61" s="200"/>
      <c r="N61" s="252"/>
      <c r="O61" s="183"/>
      <c r="P61" s="184"/>
      <c r="Q61" s="185"/>
      <c r="R61" s="186"/>
      <c r="S61" s="248"/>
      <c r="T61" s="197"/>
      <c r="U61" s="198"/>
      <c r="V61" s="199"/>
      <c r="W61" s="200"/>
      <c r="X61" s="252"/>
      <c r="Y61" s="183"/>
      <c r="Z61" s="184"/>
      <c r="AA61" s="185"/>
      <c r="AB61" s="186"/>
      <c r="AC61" s="248"/>
      <c r="AD61" s="197"/>
      <c r="AE61" s="198"/>
      <c r="AF61" s="199"/>
      <c r="AG61" s="200"/>
      <c r="AH61" s="252"/>
      <c r="AI61" s="183"/>
      <c r="AJ61" s="184"/>
      <c r="AK61" s="185"/>
      <c r="AL61" s="186"/>
      <c r="AM61" s="248"/>
      <c r="AN61" s="197"/>
      <c r="AO61" s="198"/>
      <c r="AP61" s="199"/>
      <c r="AQ61" s="200"/>
      <c r="AR61" s="252"/>
      <c r="AS61" s="183"/>
      <c r="AT61" s="184"/>
      <c r="AU61" s="185"/>
      <c r="AV61" s="186"/>
      <c r="AW61" s="248"/>
      <c r="AX61" s="197"/>
      <c r="AY61" s="198"/>
      <c r="AZ61" s="199"/>
      <c r="BA61" s="200"/>
      <c r="BB61" s="252"/>
      <c r="BC61" s="256" t="str">
        <f ca="1">IF('Demand background (hide)'!A52=Num_Modalities,"",SUM(Demand!I61, Demand!N61, Demand!S61, Demand!X61, Demand!AC61, Demand!AH61, Demand!AM61, Demand!AR61, Demand!AW61, Demand!BB61))</f>
        <v/>
      </c>
      <c r="BD61" s="256"/>
      <c r="BE61" s="206"/>
    </row>
    <row r="62" spans="1:57" ht="15" x14ac:dyDescent="0.25">
      <c r="A62" t="str">
        <f t="shared" ca="1" si="0"/>
        <v/>
      </c>
      <c r="B62" s="259" t="str">
        <f t="shared" ca="1" si="1"/>
        <v xml:space="preserve"> </v>
      </c>
      <c r="C62" s="261"/>
      <c r="D62" s="261"/>
      <c r="E62" s="183"/>
      <c r="F62" s="184"/>
      <c r="G62" s="185"/>
      <c r="H62" s="186"/>
      <c r="I62" s="248"/>
      <c r="J62" s="197"/>
      <c r="K62" s="198"/>
      <c r="L62" s="199"/>
      <c r="M62" s="200"/>
      <c r="N62" s="252"/>
      <c r="O62" s="183"/>
      <c r="P62" s="184"/>
      <c r="Q62" s="185"/>
      <c r="R62" s="186"/>
      <c r="S62" s="248"/>
      <c r="T62" s="197"/>
      <c r="U62" s="198"/>
      <c r="V62" s="199"/>
      <c r="W62" s="200"/>
      <c r="X62" s="252"/>
      <c r="Y62" s="183"/>
      <c r="Z62" s="184"/>
      <c r="AA62" s="185"/>
      <c r="AB62" s="186"/>
      <c r="AC62" s="248"/>
      <c r="AD62" s="197"/>
      <c r="AE62" s="198"/>
      <c r="AF62" s="199"/>
      <c r="AG62" s="200"/>
      <c r="AH62" s="252"/>
      <c r="AI62" s="183"/>
      <c r="AJ62" s="184"/>
      <c r="AK62" s="185"/>
      <c r="AL62" s="186"/>
      <c r="AM62" s="248"/>
      <c r="AN62" s="197"/>
      <c r="AO62" s="198"/>
      <c r="AP62" s="199"/>
      <c r="AQ62" s="200"/>
      <c r="AR62" s="252"/>
      <c r="AS62" s="183"/>
      <c r="AT62" s="184"/>
      <c r="AU62" s="185"/>
      <c r="AV62" s="186"/>
      <c r="AW62" s="248"/>
      <c r="AX62" s="197"/>
      <c r="AY62" s="198"/>
      <c r="AZ62" s="199"/>
      <c r="BA62" s="200"/>
      <c r="BB62" s="252"/>
      <c r="BC62" s="256" t="str">
        <f ca="1">IF('Demand background (hide)'!A53=Num_Modalities,"",SUM(Demand!I62, Demand!N62, Demand!S62, Demand!X62, Demand!AC62, Demand!AH62, Demand!AM62, Demand!AR62, Demand!AW62, Demand!BB62))</f>
        <v/>
      </c>
      <c r="BD62" s="256"/>
      <c r="BE62" s="206"/>
    </row>
    <row r="63" spans="1:57" ht="15" x14ac:dyDescent="0.25">
      <c r="A63" t="str">
        <f t="shared" ca="1" si="0"/>
        <v/>
      </c>
      <c r="B63" s="259" t="str">
        <f t="shared" ca="1" si="1"/>
        <v xml:space="preserve"> </v>
      </c>
      <c r="C63" s="261"/>
      <c r="D63" s="261"/>
      <c r="E63" s="183"/>
      <c r="F63" s="184"/>
      <c r="G63" s="185"/>
      <c r="H63" s="186"/>
      <c r="I63" s="248"/>
      <c r="J63" s="197"/>
      <c r="K63" s="198"/>
      <c r="L63" s="199"/>
      <c r="M63" s="200"/>
      <c r="N63" s="252"/>
      <c r="O63" s="183"/>
      <c r="P63" s="184"/>
      <c r="Q63" s="185"/>
      <c r="R63" s="186"/>
      <c r="S63" s="248"/>
      <c r="T63" s="197"/>
      <c r="U63" s="198"/>
      <c r="V63" s="199"/>
      <c r="W63" s="200"/>
      <c r="X63" s="252"/>
      <c r="Y63" s="183"/>
      <c r="Z63" s="184"/>
      <c r="AA63" s="185"/>
      <c r="AB63" s="186"/>
      <c r="AC63" s="248"/>
      <c r="AD63" s="197"/>
      <c r="AE63" s="198"/>
      <c r="AF63" s="199"/>
      <c r="AG63" s="200"/>
      <c r="AH63" s="252"/>
      <c r="AI63" s="183"/>
      <c r="AJ63" s="184"/>
      <c r="AK63" s="185"/>
      <c r="AL63" s="186"/>
      <c r="AM63" s="248"/>
      <c r="AN63" s="197"/>
      <c r="AO63" s="198"/>
      <c r="AP63" s="199"/>
      <c r="AQ63" s="200"/>
      <c r="AR63" s="252"/>
      <c r="AS63" s="183"/>
      <c r="AT63" s="184"/>
      <c r="AU63" s="185"/>
      <c r="AV63" s="186"/>
      <c r="AW63" s="248"/>
      <c r="AX63" s="197"/>
      <c r="AY63" s="198"/>
      <c r="AZ63" s="199"/>
      <c r="BA63" s="200"/>
      <c r="BB63" s="252"/>
      <c r="BC63" s="256" t="str">
        <f ca="1">IF('Demand background (hide)'!A54=Num_Modalities,"",SUM(Demand!I63, Demand!N63, Demand!S63, Demand!X63, Demand!AC63, Demand!AH63, Demand!AM63, Demand!AR63, Demand!AW63, Demand!BB63))</f>
        <v/>
      </c>
      <c r="BD63" s="256"/>
      <c r="BE63" s="206"/>
    </row>
    <row r="64" spans="1:57" ht="15.75" thickBot="1" x14ac:dyDescent="0.3">
      <c r="A64" t="str">
        <f t="shared" ca="1" si="0"/>
        <v/>
      </c>
      <c r="B64" s="259" t="str">
        <f t="shared" ca="1" si="1"/>
        <v xml:space="preserve"> </v>
      </c>
      <c r="C64" s="262"/>
      <c r="D64" s="262"/>
      <c r="E64" s="187"/>
      <c r="F64" s="188"/>
      <c r="G64" s="189"/>
      <c r="H64" s="190"/>
      <c r="I64" s="249"/>
      <c r="J64" s="201"/>
      <c r="K64" s="202"/>
      <c r="L64" s="203"/>
      <c r="M64" s="204"/>
      <c r="N64" s="253"/>
      <c r="O64" s="187"/>
      <c r="P64" s="188"/>
      <c r="Q64" s="189"/>
      <c r="R64" s="190"/>
      <c r="S64" s="249"/>
      <c r="T64" s="201"/>
      <c r="U64" s="202"/>
      <c r="V64" s="203"/>
      <c r="W64" s="204"/>
      <c r="X64" s="253"/>
      <c r="Y64" s="187"/>
      <c r="Z64" s="188"/>
      <c r="AA64" s="189"/>
      <c r="AB64" s="190"/>
      <c r="AC64" s="249"/>
      <c r="AD64" s="201"/>
      <c r="AE64" s="202"/>
      <c r="AF64" s="203"/>
      <c r="AG64" s="204"/>
      <c r="AH64" s="253"/>
      <c r="AI64" s="187"/>
      <c r="AJ64" s="188"/>
      <c r="AK64" s="189"/>
      <c r="AL64" s="190"/>
      <c r="AM64" s="249"/>
      <c r="AN64" s="201"/>
      <c r="AO64" s="202"/>
      <c r="AP64" s="203"/>
      <c r="AQ64" s="204"/>
      <c r="AR64" s="253"/>
      <c r="AS64" s="187"/>
      <c r="AT64" s="188"/>
      <c r="AU64" s="189"/>
      <c r="AV64" s="190"/>
      <c r="AW64" s="249"/>
      <c r="AX64" s="201"/>
      <c r="AY64" s="202"/>
      <c r="AZ64" s="203"/>
      <c r="BA64" s="204"/>
      <c r="BB64" s="253"/>
      <c r="BC64" s="257" t="str">
        <f ca="1">IF('Demand background (hide)'!A55=Num_Modalities,"",SUM(Demand!I64, Demand!N64, Demand!S64, Demand!X64, Demand!AC64, Demand!AH64, Demand!AM64, Demand!AR64, Demand!AW64, Demand!BB64))</f>
        <v/>
      </c>
      <c r="BD64" s="257"/>
      <c r="BE64" s="207"/>
    </row>
    <row r="65" spans="1:57" ht="15" x14ac:dyDescent="0.25">
      <c r="A65" t="str">
        <f t="shared" ca="1" si="0"/>
        <v/>
      </c>
      <c r="B65" s="263" t="str">
        <f t="shared" ca="1" si="1"/>
        <v xml:space="preserve"> </v>
      </c>
      <c r="C65" s="264"/>
      <c r="D65" s="264"/>
      <c r="E65" s="191"/>
      <c r="F65" s="191"/>
      <c r="G65" s="192"/>
      <c r="H65" s="191"/>
      <c r="I65" s="250"/>
      <c r="J65" s="191"/>
      <c r="K65" s="191"/>
      <c r="L65" s="191"/>
      <c r="M65" s="191"/>
      <c r="N65" s="254"/>
      <c r="O65" s="191"/>
      <c r="P65" s="191"/>
      <c r="Q65" s="191"/>
      <c r="R65" s="191"/>
      <c r="S65" s="254"/>
      <c r="T65" s="191"/>
      <c r="U65" s="191"/>
      <c r="V65" s="191"/>
      <c r="W65" s="191"/>
      <c r="X65" s="254"/>
      <c r="Y65" s="191"/>
      <c r="Z65" s="191"/>
      <c r="AA65" s="191"/>
      <c r="AB65" s="191"/>
      <c r="AC65" s="254"/>
      <c r="AD65" s="191"/>
      <c r="AE65" s="191"/>
      <c r="AF65" s="191"/>
      <c r="AG65" s="191"/>
      <c r="AH65" s="254"/>
      <c r="AI65" s="191"/>
      <c r="AJ65" s="191"/>
      <c r="AK65" s="191"/>
      <c r="AL65" s="191"/>
      <c r="AM65" s="254"/>
      <c r="AN65" s="191"/>
      <c r="AO65" s="191"/>
      <c r="AP65" s="191"/>
      <c r="AQ65" s="191"/>
      <c r="AR65" s="254"/>
      <c r="AS65" s="191"/>
      <c r="AT65" s="191"/>
      <c r="AU65" s="191"/>
      <c r="AV65" s="191"/>
      <c r="AW65" s="254"/>
      <c r="AX65" s="191"/>
      <c r="AY65" s="191"/>
      <c r="AZ65" s="191"/>
      <c r="BA65" s="191"/>
      <c r="BB65" s="254"/>
      <c r="BC65" s="258" t="str">
        <f ca="1">IF('Demand background (hide)'!A56=Num_Modalities,"",SUM(Demand!I65, Demand!N65, Demand!S65, Demand!X65, Demand!AC65, Demand!AH65, Demand!AM65, Demand!AR65, Demand!AW65, Demand!BB65))</f>
        <v/>
      </c>
      <c r="BD65" s="258"/>
      <c r="BE65" s="208"/>
    </row>
    <row r="66" spans="1:57" ht="15" x14ac:dyDescent="0.25">
      <c r="A66" t="str">
        <f t="shared" ca="1" si="0"/>
        <v/>
      </c>
      <c r="B66" s="263" t="str">
        <f t="shared" ca="1" si="1"/>
        <v xml:space="preserve"> </v>
      </c>
      <c r="C66" s="264"/>
      <c r="D66" s="264"/>
      <c r="E66" s="191"/>
      <c r="F66" s="191"/>
      <c r="G66" s="192"/>
      <c r="H66" s="191"/>
      <c r="I66" s="250"/>
      <c r="J66" s="191"/>
      <c r="K66" s="191"/>
      <c r="L66" s="191"/>
      <c r="M66" s="191"/>
      <c r="N66" s="254"/>
      <c r="O66" s="191"/>
      <c r="P66" s="191"/>
      <c r="Q66" s="191"/>
      <c r="R66" s="191"/>
      <c r="S66" s="254"/>
      <c r="T66" s="191"/>
      <c r="U66" s="191"/>
      <c r="V66" s="191"/>
      <c r="W66" s="191"/>
      <c r="X66" s="254"/>
      <c r="Y66" s="191"/>
      <c r="Z66" s="191"/>
      <c r="AA66" s="191"/>
      <c r="AB66" s="191"/>
      <c r="AC66" s="254"/>
      <c r="AD66" s="191"/>
      <c r="AE66" s="191"/>
      <c r="AF66" s="191"/>
      <c r="AG66" s="191"/>
      <c r="AH66" s="254"/>
      <c r="AI66" s="191"/>
      <c r="AJ66" s="191"/>
      <c r="AK66" s="191"/>
      <c r="AL66" s="191"/>
      <c r="AM66" s="254"/>
      <c r="AN66" s="191"/>
      <c r="AO66" s="191"/>
      <c r="AP66" s="191"/>
      <c r="AQ66" s="191"/>
      <c r="AR66" s="254"/>
      <c r="AS66" s="191"/>
      <c r="AT66" s="191"/>
      <c r="AU66" s="191"/>
      <c r="AV66" s="191"/>
      <c r="AW66" s="254"/>
      <c r="AX66" s="191"/>
      <c r="AY66" s="191"/>
      <c r="AZ66" s="191"/>
      <c r="BA66" s="191"/>
      <c r="BB66" s="254"/>
      <c r="BC66" s="258" t="str">
        <f ca="1">IF('Demand background (hide)'!A57=Num_Modalities,"",SUM(Demand!I66, Demand!N66, Demand!S66, Demand!X66, Demand!AC66, Demand!AH66, Demand!AM66, Demand!AR66, Demand!AW66, Demand!BB66))</f>
        <v/>
      </c>
      <c r="BD66" s="258"/>
      <c r="BE66" s="208"/>
    </row>
    <row r="67" spans="1:57" ht="15" x14ac:dyDescent="0.25">
      <c r="A67" t="str">
        <f t="shared" ca="1" si="0"/>
        <v/>
      </c>
      <c r="B67" s="263" t="str">
        <f t="shared" ca="1" si="1"/>
        <v xml:space="preserve"> </v>
      </c>
      <c r="C67" s="264"/>
      <c r="D67" s="264"/>
      <c r="E67" s="191"/>
      <c r="F67" s="191"/>
      <c r="G67" s="192"/>
      <c r="H67" s="191"/>
      <c r="I67" s="250"/>
      <c r="J67" s="191"/>
      <c r="K67" s="191"/>
      <c r="L67" s="191"/>
      <c r="M67" s="191"/>
      <c r="N67" s="254"/>
      <c r="O67" s="191"/>
      <c r="P67" s="191"/>
      <c r="Q67" s="191"/>
      <c r="R67" s="191"/>
      <c r="S67" s="254"/>
      <c r="T67" s="191"/>
      <c r="U67" s="191"/>
      <c r="V67" s="191"/>
      <c r="W67" s="191"/>
      <c r="X67" s="254"/>
      <c r="Y67" s="191"/>
      <c r="Z67" s="191"/>
      <c r="AA67" s="191"/>
      <c r="AB67" s="191"/>
      <c r="AC67" s="254"/>
      <c r="AD67" s="191"/>
      <c r="AE67" s="191"/>
      <c r="AF67" s="191"/>
      <c r="AG67" s="191"/>
      <c r="AH67" s="254"/>
      <c r="AI67" s="191"/>
      <c r="AJ67" s="191"/>
      <c r="AK67" s="191"/>
      <c r="AL67" s="191"/>
      <c r="AM67" s="254"/>
      <c r="AN67" s="191"/>
      <c r="AO67" s="191"/>
      <c r="AP67" s="191"/>
      <c r="AQ67" s="191"/>
      <c r="AR67" s="254"/>
      <c r="AS67" s="191"/>
      <c r="AT67" s="191"/>
      <c r="AU67" s="191"/>
      <c r="AV67" s="191"/>
      <c r="AW67" s="254"/>
      <c r="AX67" s="191"/>
      <c r="AY67" s="191"/>
      <c r="AZ67" s="191"/>
      <c r="BA67" s="191"/>
      <c r="BB67" s="254"/>
      <c r="BC67" s="258" t="str">
        <f ca="1">IF('Demand background (hide)'!A58=Num_Modalities,"",SUM(Demand!I67, Demand!N67, Demand!S67, Demand!X67, Demand!AC67, Demand!AH67, Demand!AM67, Demand!AR67, Demand!AW67, Demand!BB67))</f>
        <v/>
      </c>
      <c r="BD67" s="258"/>
      <c r="BE67" s="208"/>
    </row>
    <row r="68" spans="1:57" ht="15" x14ac:dyDescent="0.25">
      <c r="A68" t="str">
        <f t="shared" ca="1" si="0"/>
        <v/>
      </c>
      <c r="B68" s="263" t="str">
        <f t="shared" ca="1" si="1"/>
        <v xml:space="preserve"> </v>
      </c>
      <c r="C68" s="264"/>
      <c r="D68" s="264"/>
      <c r="E68" s="191"/>
      <c r="F68" s="191"/>
      <c r="G68" s="192"/>
      <c r="H68" s="191"/>
      <c r="I68" s="250"/>
      <c r="J68" s="191"/>
      <c r="K68" s="191"/>
      <c r="L68" s="191"/>
      <c r="M68" s="191"/>
      <c r="N68" s="254"/>
      <c r="O68" s="191"/>
      <c r="P68" s="191"/>
      <c r="Q68" s="191"/>
      <c r="R68" s="191"/>
      <c r="S68" s="254"/>
      <c r="T68" s="191"/>
      <c r="U68" s="191"/>
      <c r="V68" s="191"/>
      <c r="W68" s="191"/>
      <c r="X68" s="254"/>
      <c r="Y68" s="191"/>
      <c r="Z68" s="191"/>
      <c r="AA68" s="191"/>
      <c r="AB68" s="191"/>
      <c r="AC68" s="254"/>
      <c r="AD68" s="191"/>
      <c r="AE68" s="191"/>
      <c r="AF68" s="191"/>
      <c r="AG68" s="191"/>
      <c r="AH68" s="254"/>
      <c r="AI68" s="191"/>
      <c r="AJ68" s="191"/>
      <c r="AK68" s="191"/>
      <c r="AL68" s="191"/>
      <c r="AM68" s="254"/>
      <c r="AN68" s="191"/>
      <c r="AO68" s="191"/>
      <c r="AP68" s="191"/>
      <c r="AQ68" s="191"/>
      <c r="AR68" s="254"/>
      <c r="AS68" s="191"/>
      <c r="AT68" s="191"/>
      <c r="AU68" s="191"/>
      <c r="AV68" s="191"/>
      <c r="AW68" s="254"/>
      <c r="AX68" s="191"/>
      <c r="AY68" s="191"/>
      <c r="AZ68" s="191"/>
      <c r="BA68" s="191"/>
      <c r="BB68" s="254"/>
      <c r="BC68" s="258" t="str">
        <f ca="1">IF('Demand background (hide)'!A59=Num_Modalities,"",SUM(Demand!I68, Demand!N68, Demand!S68, Demand!X68, Demand!AC68, Demand!AH68, Demand!AM68, Demand!AR68, Demand!AW68, Demand!BB68))</f>
        <v/>
      </c>
      <c r="BD68" s="258"/>
      <c r="BE68" s="208"/>
    </row>
    <row r="69" spans="1:57" ht="15" x14ac:dyDescent="0.25">
      <c r="A69" t="str">
        <f t="shared" ca="1" si="0"/>
        <v/>
      </c>
      <c r="B69" s="263" t="str">
        <f t="shared" ca="1" si="1"/>
        <v xml:space="preserve"> </v>
      </c>
      <c r="C69" s="264"/>
      <c r="D69" s="264"/>
      <c r="E69" s="191"/>
      <c r="F69" s="191"/>
      <c r="G69" s="192"/>
      <c r="H69" s="191"/>
      <c r="I69" s="250"/>
      <c r="J69" s="191"/>
      <c r="K69" s="191"/>
      <c r="L69" s="191"/>
      <c r="M69" s="191"/>
      <c r="N69" s="254"/>
      <c r="O69" s="191"/>
      <c r="P69" s="191"/>
      <c r="Q69" s="191"/>
      <c r="R69" s="191"/>
      <c r="S69" s="254"/>
      <c r="T69" s="191"/>
      <c r="U69" s="191"/>
      <c r="V69" s="191"/>
      <c r="W69" s="191"/>
      <c r="X69" s="254"/>
      <c r="Y69" s="191"/>
      <c r="Z69" s="191"/>
      <c r="AA69" s="191"/>
      <c r="AB69" s="191"/>
      <c r="AC69" s="254"/>
      <c r="AD69" s="191"/>
      <c r="AE69" s="191"/>
      <c r="AF69" s="191"/>
      <c r="AG69" s="191"/>
      <c r="AH69" s="254"/>
      <c r="AI69" s="191"/>
      <c r="AJ69" s="191"/>
      <c r="AK69" s="191"/>
      <c r="AL69" s="191"/>
      <c r="AM69" s="254"/>
      <c r="AN69" s="191"/>
      <c r="AO69" s="191"/>
      <c r="AP69" s="191"/>
      <c r="AQ69" s="191"/>
      <c r="AR69" s="254"/>
      <c r="AS69" s="191"/>
      <c r="AT69" s="191"/>
      <c r="AU69" s="191"/>
      <c r="AV69" s="191"/>
      <c r="AW69" s="254"/>
      <c r="AX69" s="191"/>
      <c r="AY69" s="191"/>
      <c r="AZ69" s="191"/>
      <c r="BA69" s="191"/>
      <c r="BB69" s="254"/>
      <c r="BC69" s="258" t="str">
        <f ca="1">IF('Demand background (hide)'!A60=Num_Modalities,"",SUM(Demand!I69, Demand!N69, Demand!S69, Demand!X69, Demand!AC69, Demand!AH69, Demand!AM69, Demand!AR69, Demand!AW69, Demand!BB69))</f>
        <v/>
      </c>
      <c r="BD69" s="258"/>
      <c r="BE69" s="208"/>
    </row>
    <row r="70" spans="1:57" ht="15" x14ac:dyDescent="0.25">
      <c r="A70" t="str">
        <f t="shared" ca="1" si="0"/>
        <v/>
      </c>
      <c r="B70" s="263" t="str">
        <f t="shared" ca="1" si="1"/>
        <v xml:space="preserve"> </v>
      </c>
      <c r="C70" s="264"/>
      <c r="D70" s="264"/>
      <c r="E70" s="191"/>
      <c r="F70" s="191"/>
      <c r="G70" s="192"/>
      <c r="H70" s="191"/>
      <c r="I70" s="250"/>
      <c r="J70" s="191"/>
      <c r="K70" s="191"/>
      <c r="L70" s="191"/>
      <c r="M70" s="191"/>
      <c r="N70" s="254"/>
      <c r="O70" s="191"/>
      <c r="P70" s="191"/>
      <c r="Q70" s="191"/>
      <c r="R70" s="191"/>
      <c r="S70" s="254"/>
      <c r="T70" s="191"/>
      <c r="U70" s="191"/>
      <c r="V70" s="191"/>
      <c r="W70" s="191"/>
      <c r="X70" s="254"/>
      <c r="Y70" s="191"/>
      <c r="Z70" s="191"/>
      <c r="AA70" s="191"/>
      <c r="AB70" s="191"/>
      <c r="AC70" s="254"/>
      <c r="AD70" s="191"/>
      <c r="AE70" s="191"/>
      <c r="AF70" s="191"/>
      <c r="AG70" s="191"/>
      <c r="AH70" s="254"/>
      <c r="AI70" s="191"/>
      <c r="AJ70" s="191"/>
      <c r="AK70" s="191"/>
      <c r="AL70" s="191"/>
      <c r="AM70" s="254"/>
      <c r="AN70" s="191"/>
      <c r="AO70" s="191"/>
      <c r="AP70" s="191"/>
      <c r="AQ70" s="191"/>
      <c r="AR70" s="254"/>
      <c r="AS70" s="191"/>
      <c r="AT70" s="191"/>
      <c r="AU70" s="191"/>
      <c r="AV70" s="191"/>
      <c r="AW70" s="254"/>
      <c r="AX70" s="191"/>
      <c r="AY70" s="191"/>
      <c r="AZ70" s="191"/>
      <c r="BA70" s="191"/>
      <c r="BB70" s="254"/>
      <c r="BC70" s="258" t="str">
        <f ca="1">IF('Demand background (hide)'!A61=Num_Modalities,"",SUM(Demand!I70, Demand!N70, Demand!S70, Demand!X70, Demand!AC70, Demand!AH70, Demand!AM70, Demand!AR70, Demand!AW70, Demand!BB70))</f>
        <v/>
      </c>
      <c r="BD70" s="258"/>
      <c r="BE70" s="208"/>
    </row>
    <row r="71" spans="1:57" ht="15" x14ac:dyDescent="0.25">
      <c r="A71" t="str">
        <f t="shared" ca="1" si="0"/>
        <v/>
      </c>
      <c r="B71" s="263" t="str">
        <f t="shared" ca="1" si="1"/>
        <v xml:space="preserve"> </v>
      </c>
      <c r="C71" s="264"/>
      <c r="D71" s="264"/>
      <c r="E71" s="191"/>
      <c r="F71" s="191"/>
      <c r="G71" s="192"/>
      <c r="H71" s="191"/>
      <c r="I71" s="250"/>
      <c r="J71" s="191"/>
      <c r="K71" s="191"/>
      <c r="L71" s="191"/>
      <c r="M71" s="191"/>
      <c r="N71" s="254"/>
      <c r="O71" s="191"/>
      <c r="P71" s="191"/>
      <c r="Q71" s="191"/>
      <c r="R71" s="191"/>
      <c r="S71" s="254"/>
      <c r="T71" s="191"/>
      <c r="U71" s="191"/>
      <c r="V71" s="191"/>
      <c r="W71" s="191"/>
      <c r="X71" s="254"/>
      <c r="Y71" s="191"/>
      <c r="Z71" s="191"/>
      <c r="AA71" s="191"/>
      <c r="AB71" s="191"/>
      <c r="AC71" s="254"/>
      <c r="AD71" s="191"/>
      <c r="AE71" s="191"/>
      <c r="AF71" s="191"/>
      <c r="AG71" s="191"/>
      <c r="AH71" s="254"/>
      <c r="AI71" s="191"/>
      <c r="AJ71" s="191"/>
      <c r="AK71" s="191"/>
      <c r="AL71" s="191"/>
      <c r="AM71" s="254"/>
      <c r="AN71" s="191"/>
      <c r="AO71" s="191"/>
      <c r="AP71" s="191"/>
      <c r="AQ71" s="191"/>
      <c r="AR71" s="254"/>
      <c r="AS71" s="191"/>
      <c r="AT71" s="191"/>
      <c r="AU71" s="191"/>
      <c r="AV71" s="191"/>
      <c r="AW71" s="254"/>
      <c r="AX71" s="191"/>
      <c r="AY71" s="191"/>
      <c r="AZ71" s="191"/>
      <c r="BA71" s="191"/>
      <c r="BB71" s="254"/>
      <c r="BC71" s="258" t="str">
        <f ca="1">IF('Demand background (hide)'!A62=Num_Modalities,"",SUM(Demand!I71, Demand!N71, Demand!S71, Demand!X71, Demand!AC71, Demand!AH71, Demand!AM71, Demand!AR71, Demand!AW71, Demand!BB71))</f>
        <v/>
      </c>
      <c r="BD71" s="258"/>
      <c r="BE71" s="208"/>
    </row>
    <row r="72" spans="1:57" ht="15" x14ac:dyDescent="0.25">
      <c r="A72" t="str">
        <f t="shared" ca="1" si="0"/>
        <v/>
      </c>
      <c r="B72" s="263" t="str">
        <f t="shared" ca="1" si="1"/>
        <v xml:space="preserve"> </v>
      </c>
      <c r="C72" s="264"/>
      <c r="D72" s="264"/>
      <c r="E72" s="191"/>
      <c r="F72" s="191"/>
      <c r="G72" s="192"/>
      <c r="H72" s="191"/>
      <c r="I72" s="250"/>
      <c r="J72" s="191"/>
      <c r="K72" s="191"/>
      <c r="L72" s="191"/>
      <c r="M72" s="191"/>
      <c r="N72" s="254"/>
      <c r="O72" s="191"/>
      <c r="P72" s="191"/>
      <c r="Q72" s="191"/>
      <c r="R72" s="191"/>
      <c r="S72" s="254"/>
      <c r="T72" s="191"/>
      <c r="U72" s="191"/>
      <c r="V72" s="191"/>
      <c r="W72" s="191"/>
      <c r="X72" s="254"/>
      <c r="Y72" s="191"/>
      <c r="Z72" s="191"/>
      <c r="AA72" s="191"/>
      <c r="AB72" s="191"/>
      <c r="AC72" s="254"/>
      <c r="AD72" s="191"/>
      <c r="AE72" s="191"/>
      <c r="AF72" s="191"/>
      <c r="AG72" s="191"/>
      <c r="AH72" s="254"/>
      <c r="AI72" s="191"/>
      <c r="AJ72" s="191"/>
      <c r="AK72" s="191"/>
      <c r="AL72" s="191"/>
      <c r="AM72" s="254"/>
      <c r="AN72" s="191"/>
      <c r="AO72" s="191"/>
      <c r="AP72" s="191"/>
      <c r="AQ72" s="191"/>
      <c r="AR72" s="254"/>
      <c r="AS72" s="191"/>
      <c r="AT72" s="191"/>
      <c r="AU72" s="191"/>
      <c r="AV72" s="191"/>
      <c r="AW72" s="254"/>
      <c r="AX72" s="191"/>
      <c r="AY72" s="191"/>
      <c r="AZ72" s="191"/>
      <c r="BA72" s="191"/>
      <c r="BB72" s="254"/>
      <c r="BC72" s="258" t="str">
        <f ca="1">IF('Demand background (hide)'!A63=Num_Modalities,"",SUM(Demand!I72, Demand!N72, Demand!S72, Demand!X72, Demand!AC72, Demand!AH72, Demand!AM72, Demand!AR72, Demand!AW72, Demand!BB72))</f>
        <v/>
      </c>
      <c r="BD72" s="258"/>
      <c r="BE72" s="208"/>
    </row>
    <row r="73" spans="1:57" ht="15" x14ac:dyDescent="0.25">
      <c r="A73" t="str">
        <f t="shared" ca="1" si="0"/>
        <v/>
      </c>
      <c r="B73" s="263" t="str">
        <f t="shared" ca="1" si="1"/>
        <v xml:space="preserve"> </v>
      </c>
      <c r="C73" s="264"/>
      <c r="D73" s="264"/>
      <c r="E73" s="191"/>
      <c r="F73" s="191"/>
      <c r="G73" s="192"/>
      <c r="H73" s="191"/>
      <c r="I73" s="250"/>
      <c r="J73" s="191"/>
      <c r="K73" s="191"/>
      <c r="L73" s="191"/>
      <c r="M73" s="191"/>
      <c r="N73" s="254"/>
      <c r="O73" s="191"/>
      <c r="P73" s="191"/>
      <c r="Q73" s="191"/>
      <c r="R73" s="191"/>
      <c r="S73" s="254"/>
      <c r="T73" s="191"/>
      <c r="U73" s="191"/>
      <c r="V73" s="191"/>
      <c r="W73" s="191"/>
      <c r="X73" s="254"/>
      <c r="Y73" s="191"/>
      <c r="Z73" s="191"/>
      <c r="AA73" s="191"/>
      <c r="AB73" s="191"/>
      <c r="AC73" s="254"/>
      <c r="AD73" s="191"/>
      <c r="AE73" s="191"/>
      <c r="AF73" s="191"/>
      <c r="AG73" s="191"/>
      <c r="AH73" s="254"/>
      <c r="AI73" s="191"/>
      <c r="AJ73" s="191"/>
      <c r="AK73" s="191"/>
      <c r="AL73" s="191"/>
      <c r="AM73" s="254"/>
      <c r="AN73" s="191"/>
      <c r="AO73" s="191"/>
      <c r="AP73" s="191"/>
      <c r="AQ73" s="191"/>
      <c r="AR73" s="254"/>
      <c r="AS73" s="191"/>
      <c r="AT73" s="191"/>
      <c r="AU73" s="191"/>
      <c r="AV73" s="191"/>
      <c r="AW73" s="254"/>
      <c r="AX73" s="191"/>
      <c r="AY73" s="191"/>
      <c r="AZ73" s="191"/>
      <c r="BA73" s="191"/>
      <c r="BB73" s="254"/>
      <c r="BC73" s="258" t="str">
        <f ca="1">IF('Demand background (hide)'!A64=Num_Modalities,"",SUM(Demand!I73, Demand!N73, Demand!S73, Demand!X73, Demand!AC73, Demand!AH73, Demand!AM73, Demand!AR73, Demand!AW73, Demand!BB73))</f>
        <v/>
      </c>
      <c r="BD73" s="258"/>
      <c r="BE73" s="208"/>
    </row>
    <row r="74" spans="1:57" ht="15" x14ac:dyDescent="0.25">
      <c r="A74" t="str">
        <f t="shared" ca="1" si="0"/>
        <v/>
      </c>
      <c r="B74" s="263" t="str">
        <f t="shared" ca="1" si="1"/>
        <v xml:space="preserve"> </v>
      </c>
      <c r="C74" s="264"/>
      <c r="D74" s="264"/>
      <c r="E74" s="191"/>
      <c r="F74" s="191"/>
      <c r="G74" s="192"/>
      <c r="H74" s="191"/>
      <c r="I74" s="250"/>
      <c r="J74" s="191"/>
      <c r="K74" s="191"/>
      <c r="L74" s="191"/>
      <c r="M74" s="191"/>
      <c r="N74" s="254"/>
      <c r="O74" s="191"/>
      <c r="P74" s="191"/>
      <c r="Q74" s="191"/>
      <c r="R74" s="191"/>
      <c r="S74" s="254"/>
      <c r="T74" s="191"/>
      <c r="U74" s="191"/>
      <c r="V74" s="191"/>
      <c r="W74" s="191"/>
      <c r="X74" s="254"/>
      <c r="Y74" s="191"/>
      <c r="Z74" s="191"/>
      <c r="AA74" s="191"/>
      <c r="AB74" s="191"/>
      <c r="AC74" s="254"/>
      <c r="AD74" s="191"/>
      <c r="AE74" s="191"/>
      <c r="AF74" s="191"/>
      <c r="AG74" s="191"/>
      <c r="AH74" s="254"/>
      <c r="AI74" s="191"/>
      <c r="AJ74" s="191"/>
      <c r="AK74" s="191"/>
      <c r="AL74" s="191"/>
      <c r="AM74" s="254"/>
      <c r="AN74" s="191"/>
      <c r="AO74" s="191"/>
      <c r="AP74" s="191"/>
      <c r="AQ74" s="191"/>
      <c r="AR74" s="254"/>
      <c r="AS74" s="191"/>
      <c r="AT74" s="191"/>
      <c r="AU74" s="191"/>
      <c r="AV74" s="191"/>
      <c r="AW74" s="254"/>
      <c r="AX74" s="191"/>
      <c r="AY74" s="191"/>
      <c r="AZ74" s="191"/>
      <c r="BA74" s="191"/>
      <c r="BB74" s="254"/>
      <c r="BC74" s="258" t="str">
        <f ca="1">IF('Demand background (hide)'!A65=Num_Modalities,"",SUM(Demand!I74, Demand!N74, Demand!S74, Demand!X74, Demand!AC74, Demand!AH74, Demand!AM74, Demand!AR74, Demand!AW74, Demand!BB74))</f>
        <v/>
      </c>
      <c r="BD74" s="258"/>
      <c r="BE74" s="208"/>
    </row>
    <row r="75" spans="1:57" ht="15" x14ac:dyDescent="0.25">
      <c r="A75" t="str">
        <f t="shared" ca="1" si="0"/>
        <v/>
      </c>
      <c r="B75" s="263" t="str">
        <f t="shared" ca="1" si="1"/>
        <v xml:space="preserve"> </v>
      </c>
      <c r="C75" s="264"/>
      <c r="D75" s="264"/>
      <c r="E75" s="191"/>
      <c r="F75" s="191"/>
      <c r="G75" s="192"/>
      <c r="H75" s="191"/>
      <c r="I75" s="250"/>
      <c r="J75" s="191"/>
      <c r="K75" s="191"/>
      <c r="L75" s="191"/>
      <c r="M75" s="191"/>
      <c r="N75" s="254"/>
      <c r="O75" s="191"/>
      <c r="P75" s="191"/>
      <c r="Q75" s="191"/>
      <c r="R75" s="191"/>
      <c r="S75" s="254"/>
      <c r="T75" s="191"/>
      <c r="U75" s="191"/>
      <c r="V75" s="191"/>
      <c r="W75" s="191"/>
      <c r="X75" s="254"/>
      <c r="Y75" s="191"/>
      <c r="Z75" s="191"/>
      <c r="AA75" s="191"/>
      <c r="AB75" s="191"/>
      <c r="AC75" s="254"/>
      <c r="AD75" s="191"/>
      <c r="AE75" s="191"/>
      <c r="AF75" s="191"/>
      <c r="AG75" s="191"/>
      <c r="AH75" s="254"/>
      <c r="AI75" s="191"/>
      <c r="AJ75" s="191"/>
      <c r="AK75" s="191"/>
      <c r="AL75" s="191"/>
      <c r="AM75" s="254"/>
      <c r="AN75" s="191"/>
      <c r="AO75" s="191"/>
      <c r="AP75" s="191"/>
      <c r="AQ75" s="191"/>
      <c r="AR75" s="254"/>
      <c r="AS75" s="191"/>
      <c r="AT75" s="191"/>
      <c r="AU75" s="191"/>
      <c r="AV75" s="191"/>
      <c r="AW75" s="254"/>
      <c r="AX75" s="191"/>
      <c r="AY75" s="191"/>
      <c r="AZ75" s="191"/>
      <c r="BA75" s="191"/>
      <c r="BB75" s="254"/>
      <c r="BC75" s="258" t="str">
        <f ca="1">IF('Demand background (hide)'!A66=Num_Modalities,"",SUM(Demand!I75, Demand!N75, Demand!S75, Demand!X75, Demand!AC75, Demand!AH75, Demand!AM75, Demand!AR75, Demand!AW75, Demand!BB75))</f>
        <v/>
      </c>
      <c r="BD75" s="258"/>
      <c r="BE75" s="208"/>
    </row>
    <row r="76" spans="1:57" ht="15" x14ac:dyDescent="0.25">
      <c r="A76" t="str">
        <f t="shared" ca="1" si="0"/>
        <v/>
      </c>
      <c r="B76" s="263" t="str">
        <f t="shared" ca="1" si="1"/>
        <v xml:space="preserve"> </v>
      </c>
      <c r="C76" s="264"/>
      <c r="D76" s="264"/>
      <c r="E76" s="191"/>
      <c r="F76" s="191"/>
      <c r="G76" s="192"/>
      <c r="H76" s="191"/>
      <c r="I76" s="250"/>
      <c r="J76" s="191"/>
      <c r="K76" s="191"/>
      <c r="L76" s="191"/>
      <c r="M76" s="191"/>
      <c r="N76" s="254"/>
      <c r="O76" s="191"/>
      <c r="P76" s="191"/>
      <c r="Q76" s="191"/>
      <c r="R76" s="191"/>
      <c r="S76" s="254"/>
      <c r="T76" s="191"/>
      <c r="U76" s="191"/>
      <c r="V76" s="191"/>
      <c r="W76" s="191"/>
      <c r="X76" s="254"/>
      <c r="Y76" s="191"/>
      <c r="Z76" s="191"/>
      <c r="AA76" s="191"/>
      <c r="AB76" s="191"/>
      <c r="AC76" s="254"/>
      <c r="AD76" s="191"/>
      <c r="AE76" s="191"/>
      <c r="AF76" s="191"/>
      <c r="AG76" s="191"/>
      <c r="AH76" s="254"/>
      <c r="AI76" s="191"/>
      <c r="AJ76" s="191"/>
      <c r="AK76" s="191"/>
      <c r="AL76" s="191"/>
      <c r="AM76" s="254"/>
      <c r="AN76" s="191"/>
      <c r="AO76" s="191"/>
      <c r="AP76" s="191"/>
      <c r="AQ76" s="191"/>
      <c r="AR76" s="254"/>
      <c r="AS76" s="191"/>
      <c r="AT76" s="191"/>
      <c r="AU76" s="191"/>
      <c r="AV76" s="191"/>
      <c r="AW76" s="254"/>
      <c r="AX76" s="191"/>
      <c r="AY76" s="191"/>
      <c r="AZ76" s="191"/>
      <c r="BA76" s="191"/>
      <c r="BB76" s="254"/>
      <c r="BC76" s="258" t="str">
        <f ca="1">IF('Demand background (hide)'!A67=Num_Modalities,"",SUM(Demand!I76, Demand!N76, Demand!S76, Demand!X76, Demand!AC76, Demand!AH76, Demand!AM76, Demand!AR76, Demand!AW76, Demand!BB76))</f>
        <v/>
      </c>
      <c r="BD76" s="258"/>
      <c r="BE76" s="208"/>
    </row>
    <row r="77" spans="1:57" ht="15" x14ac:dyDescent="0.25">
      <c r="A77" t="str">
        <f t="shared" ref="A77:A140" ca="1" si="2">IF(BC77&lt;&gt;"",ROW(A65),"")</f>
        <v/>
      </c>
      <c r="B77" s="263" t="str">
        <f t="shared" ca="1" si="1"/>
        <v xml:space="preserve"> </v>
      </c>
      <c r="C77" s="264"/>
      <c r="D77" s="264"/>
      <c r="E77" s="191"/>
      <c r="F77" s="191"/>
      <c r="G77" s="192"/>
      <c r="H77" s="191"/>
      <c r="I77" s="250"/>
      <c r="J77" s="191"/>
      <c r="K77" s="191"/>
      <c r="L77" s="191"/>
      <c r="M77" s="191"/>
      <c r="N77" s="254"/>
      <c r="O77" s="191"/>
      <c r="P77" s="191"/>
      <c r="Q77" s="191"/>
      <c r="R77" s="191"/>
      <c r="S77" s="254"/>
      <c r="T77" s="191"/>
      <c r="U77" s="191"/>
      <c r="V77" s="191"/>
      <c r="W77" s="191"/>
      <c r="X77" s="254"/>
      <c r="Y77" s="191"/>
      <c r="Z77" s="191"/>
      <c r="AA77" s="191"/>
      <c r="AB77" s="191"/>
      <c r="AC77" s="254"/>
      <c r="AD77" s="191"/>
      <c r="AE77" s="191"/>
      <c r="AF77" s="191"/>
      <c r="AG77" s="191"/>
      <c r="AH77" s="254"/>
      <c r="AI77" s="191"/>
      <c r="AJ77" s="191"/>
      <c r="AK77" s="191"/>
      <c r="AL77" s="191"/>
      <c r="AM77" s="254"/>
      <c r="AN77" s="191"/>
      <c r="AO77" s="191"/>
      <c r="AP77" s="191"/>
      <c r="AQ77" s="191"/>
      <c r="AR77" s="254"/>
      <c r="AS77" s="191"/>
      <c r="AT77" s="191"/>
      <c r="AU77" s="191"/>
      <c r="AV77" s="191"/>
      <c r="AW77" s="254"/>
      <c r="AX77" s="191"/>
      <c r="AY77" s="191"/>
      <c r="AZ77" s="191"/>
      <c r="BA77" s="191"/>
      <c r="BB77" s="254"/>
      <c r="BC77" s="258" t="str">
        <f ca="1">IF('Demand background (hide)'!A68=Num_Modalities,"",SUM(Demand!I77, Demand!N77, Demand!S77, Demand!X77, Demand!AC77, Demand!AH77, Demand!AM77, Demand!AR77, Demand!AW77, Demand!BB77))</f>
        <v/>
      </c>
      <c r="BD77" s="258"/>
      <c r="BE77" s="208"/>
    </row>
    <row r="78" spans="1:57" ht="15" x14ac:dyDescent="0.25">
      <c r="A78" t="str">
        <f t="shared" ca="1" si="2"/>
        <v/>
      </c>
      <c r="B78" s="263" t="str">
        <f t="shared" ref="B78:B141" ca="1" si="3">IF(A78&lt;=MaxRows,IF($C$6&lt;&gt;"",IF(YEAR(D78)&lt;&gt;YEAR(D77),YEAR(D78)," "),IF(C78&lt;&gt;1,"",OFFSET(B78,-C77,0,1,1)+1))," ")</f>
        <v xml:space="preserve"> </v>
      </c>
      <c r="C78" s="264"/>
      <c r="D78" s="264"/>
      <c r="E78" s="191"/>
      <c r="F78" s="191"/>
      <c r="G78" s="192"/>
      <c r="H78" s="191"/>
      <c r="I78" s="250"/>
      <c r="J78" s="191"/>
      <c r="K78" s="191"/>
      <c r="L78" s="191"/>
      <c r="M78" s="191"/>
      <c r="N78" s="254"/>
      <c r="O78" s="191"/>
      <c r="P78" s="191"/>
      <c r="Q78" s="191"/>
      <c r="R78" s="191"/>
      <c r="S78" s="254"/>
      <c r="T78" s="191"/>
      <c r="U78" s="191"/>
      <c r="V78" s="191"/>
      <c r="W78" s="191"/>
      <c r="X78" s="254"/>
      <c r="Y78" s="191"/>
      <c r="Z78" s="191"/>
      <c r="AA78" s="191"/>
      <c r="AB78" s="191"/>
      <c r="AC78" s="254"/>
      <c r="AD78" s="191"/>
      <c r="AE78" s="191"/>
      <c r="AF78" s="191"/>
      <c r="AG78" s="191"/>
      <c r="AH78" s="254"/>
      <c r="AI78" s="191"/>
      <c r="AJ78" s="191"/>
      <c r="AK78" s="191"/>
      <c r="AL78" s="191"/>
      <c r="AM78" s="254"/>
      <c r="AN78" s="191"/>
      <c r="AO78" s="191"/>
      <c r="AP78" s="191"/>
      <c r="AQ78" s="191"/>
      <c r="AR78" s="254"/>
      <c r="AS78" s="191"/>
      <c r="AT78" s="191"/>
      <c r="AU78" s="191"/>
      <c r="AV78" s="191"/>
      <c r="AW78" s="254"/>
      <c r="AX78" s="191"/>
      <c r="AY78" s="191"/>
      <c r="AZ78" s="191"/>
      <c r="BA78" s="191"/>
      <c r="BB78" s="254"/>
      <c r="BC78" s="258" t="str">
        <f ca="1">IF('Demand background (hide)'!A69=Num_Modalities,"",SUM(Demand!I78, Demand!N78, Demand!S78, Demand!X78, Demand!AC78, Demand!AH78, Demand!AM78, Demand!AR78, Demand!AW78, Demand!BB78))</f>
        <v/>
      </c>
      <c r="BD78" s="258"/>
      <c r="BE78" s="208"/>
    </row>
    <row r="79" spans="1:57" ht="15" x14ac:dyDescent="0.25">
      <c r="A79" t="str">
        <f t="shared" ca="1" si="2"/>
        <v/>
      </c>
      <c r="B79" s="263" t="str">
        <f t="shared" ca="1" si="3"/>
        <v xml:space="preserve"> </v>
      </c>
      <c r="C79" s="264"/>
      <c r="D79" s="264"/>
      <c r="E79" s="191"/>
      <c r="F79" s="191"/>
      <c r="G79" s="192"/>
      <c r="H79" s="191"/>
      <c r="I79" s="250"/>
      <c r="J79" s="191"/>
      <c r="K79" s="191"/>
      <c r="L79" s="191"/>
      <c r="M79" s="191"/>
      <c r="N79" s="254"/>
      <c r="O79" s="191"/>
      <c r="P79" s="191"/>
      <c r="Q79" s="191"/>
      <c r="R79" s="191"/>
      <c r="S79" s="254"/>
      <c r="T79" s="191"/>
      <c r="U79" s="191"/>
      <c r="V79" s="191"/>
      <c r="W79" s="191"/>
      <c r="X79" s="254"/>
      <c r="Y79" s="191"/>
      <c r="Z79" s="191"/>
      <c r="AA79" s="191"/>
      <c r="AB79" s="191"/>
      <c r="AC79" s="254"/>
      <c r="AD79" s="191"/>
      <c r="AE79" s="191"/>
      <c r="AF79" s="191"/>
      <c r="AG79" s="191"/>
      <c r="AH79" s="254"/>
      <c r="AI79" s="191"/>
      <c r="AJ79" s="191"/>
      <c r="AK79" s="191"/>
      <c r="AL79" s="191"/>
      <c r="AM79" s="254"/>
      <c r="AN79" s="191"/>
      <c r="AO79" s="191"/>
      <c r="AP79" s="191"/>
      <c r="AQ79" s="191"/>
      <c r="AR79" s="254"/>
      <c r="AS79" s="191"/>
      <c r="AT79" s="191"/>
      <c r="AU79" s="191"/>
      <c r="AV79" s="191"/>
      <c r="AW79" s="254"/>
      <c r="AX79" s="191"/>
      <c r="AY79" s="191"/>
      <c r="AZ79" s="191"/>
      <c r="BA79" s="191"/>
      <c r="BB79" s="254"/>
      <c r="BC79" s="258" t="str">
        <f ca="1">IF('Demand background (hide)'!A70=Num_Modalities,"",SUM(Demand!I79, Demand!N79, Demand!S79, Demand!X79, Demand!AC79, Demand!AH79, Demand!AM79, Demand!AR79, Demand!AW79, Demand!BB79))</f>
        <v/>
      </c>
      <c r="BD79" s="258"/>
      <c r="BE79" s="208"/>
    </row>
    <row r="80" spans="1:57" ht="15" x14ac:dyDescent="0.25">
      <c r="A80" t="str">
        <f t="shared" ca="1" si="2"/>
        <v/>
      </c>
      <c r="B80" s="263" t="str">
        <f t="shared" ca="1" si="3"/>
        <v xml:space="preserve"> </v>
      </c>
      <c r="C80" s="264"/>
      <c r="D80" s="264"/>
      <c r="E80" s="191"/>
      <c r="F80" s="191"/>
      <c r="G80" s="192"/>
      <c r="H80" s="191"/>
      <c r="I80" s="250"/>
      <c r="J80" s="191"/>
      <c r="K80" s="191"/>
      <c r="L80" s="191"/>
      <c r="M80" s="191"/>
      <c r="N80" s="254"/>
      <c r="O80" s="191"/>
      <c r="P80" s="191"/>
      <c r="Q80" s="191"/>
      <c r="R80" s="191"/>
      <c r="S80" s="254"/>
      <c r="T80" s="191"/>
      <c r="U80" s="191"/>
      <c r="V80" s="191"/>
      <c r="W80" s="191"/>
      <c r="X80" s="254"/>
      <c r="Y80" s="191"/>
      <c r="Z80" s="191"/>
      <c r="AA80" s="191"/>
      <c r="AB80" s="191"/>
      <c r="AC80" s="254"/>
      <c r="AD80" s="191"/>
      <c r="AE80" s="191"/>
      <c r="AF80" s="191"/>
      <c r="AG80" s="191"/>
      <c r="AH80" s="254"/>
      <c r="AI80" s="191"/>
      <c r="AJ80" s="191"/>
      <c r="AK80" s="191"/>
      <c r="AL80" s="191"/>
      <c r="AM80" s="254"/>
      <c r="AN80" s="191"/>
      <c r="AO80" s="191"/>
      <c r="AP80" s="191"/>
      <c r="AQ80" s="191"/>
      <c r="AR80" s="254"/>
      <c r="AS80" s="191"/>
      <c r="AT80" s="191"/>
      <c r="AU80" s="191"/>
      <c r="AV80" s="191"/>
      <c r="AW80" s="254"/>
      <c r="AX80" s="191"/>
      <c r="AY80" s="191"/>
      <c r="AZ80" s="191"/>
      <c r="BA80" s="191"/>
      <c r="BB80" s="254"/>
      <c r="BC80" s="258" t="str">
        <f ca="1">IF('Demand background (hide)'!A71=Num_Modalities,"",SUM(Demand!I80, Demand!N80, Demand!S80, Demand!X80, Demand!AC80, Demand!AH80, Demand!AM80, Demand!AR80, Demand!AW80, Demand!BB80))</f>
        <v/>
      </c>
      <c r="BD80" s="258"/>
      <c r="BE80" s="208"/>
    </row>
    <row r="81" spans="1:57" ht="15" x14ac:dyDescent="0.25">
      <c r="A81" t="str">
        <f t="shared" ca="1" si="2"/>
        <v/>
      </c>
      <c r="B81" s="263" t="str">
        <f t="shared" ca="1" si="3"/>
        <v xml:space="preserve"> </v>
      </c>
      <c r="C81" s="264"/>
      <c r="D81" s="264"/>
      <c r="E81" s="191"/>
      <c r="F81" s="191"/>
      <c r="G81" s="192"/>
      <c r="H81" s="191"/>
      <c r="I81" s="250"/>
      <c r="J81" s="191"/>
      <c r="K81" s="191"/>
      <c r="L81" s="191"/>
      <c r="M81" s="191"/>
      <c r="N81" s="254"/>
      <c r="O81" s="191"/>
      <c r="P81" s="191"/>
      <c r="Q81" s="191"/>
      <c r="R81" s="191"/>
      <c r="S81" s="254"/>
      <c r="T81" s="191"/>
      <c r="U81" s="191"/>
      <c r="V81" s="191"/>
      <c r="W81" s="191"/>
      <c r="X81" s="254"/>
      <c r="Y81" s="191"/>
      <c r="Z81" s="191"/>
      <c r="AA81" s="191"/>
      <c r="AB81" s="191"/>
      <c r="AC81" s="254"/>
      <c r="AD81" s="191"/>
      <c r="AE81" s="191"/>
      <c r="AF81" s="191"/>
      <c r="AG81" s="191"/>
      <c r="AH81" s="254"/>
      <c r="AI81" s="191"/>
      <c r="AJ81" s="191"/>
      <c r="AK81" s="191"/>
      <c r="AL81" s="191"/>
      <c r="AM81" s="254"/>
      <c r="AN81" s="191"/>
      <c r="AO81" s="191"/>
      <c r="AP81" s="191"/>
      <c r="AQ81" s="191"/>
      <c r="AR81" s="254"/>
      <c r="AS81" s="191"/>
      <c r="AT81" s="191"/>
      <c r="AU81" s="191"/>
      <c r="AV81" s="191"/>
      <c r="AW81" s="254"/>
      <c r="AX81" s="191"/>
      <c r="AY81" s="191"/>
      <c r="AZ81" s="191"/>
      <c r="BA81" s="191"/>
      <c r="BB81" s="254"/>
      <c r="BC81" s="258" t="str">
        <f ca="1">IF('Demand background (hide)'!A72=Num_Modalities,"",SUM(Demand!I81, Demand!N81, Demand!S81, Demand!X81, Demand!AC81, Demand!AH81, Demand!AM81, Demand!AR81, Demand!AW81, Demand!BB81))</f>
        <v/>
      </c>
      <c r="BD81" s="258"/>
      <c r="BE81" s="208"/>
    </row>
    <row r="82" spans="1:57" ht="15" x14ac:dyDescent="0.25">
      <c r="A82" t="str">
        <f t="shared" ca="1" si="2"/>
        <v/>
      </c>
      <c r="B82" s="263" t="str">
        <f t="shared" ca="1" si="3"/>
        <v xml:space="preserve"> </v>
      </c>
      <c r="C82" s="264"/>
      <c r="D82" s="264"/>
      <c r="E82" s="191"/>
      <c r="F82" s="191"/>
      <c r="G82" s="192"/>
      <c r="H82" s="191"/>
      <c r="I82" s="250"/>
      <c r="J82" s="191"/>
      <c r="K82" s="191"/>
      <c r="L82" s="191"/>
      <c r="M82" s="191"/>
      <c r="N82" s="254"/>
      <c r="O82" s="191"/>
      <c r="P82" s="191"/>
      <c r="Q82" s="191"/>
      <c r="R82" s="191"/>
      <c r="S82" s="254"/>
      <c r="T82" s="191"/>
      <c r="U82" s="191"/>
      <c r="V82" s="191"/>
      <c r="W82" s="191"/>
      <c r="X82" s="254"/>
      <c r="Y82" s="191"/>
      <c r="Z82" s="191"/>
      <c r="AA82" s="191"/>
      <c r="AB82" s="191"/>
      <c r="AC82" s="254"/>
      <c r="AD82" s="191"/>
      <c r="AE82" s="191"/>
      <c r="AF82" s="191"/>
      <c r="AG82" s="191"/>
      <c r="AH82" s="254"/>
      <c r="AI82" s="191"/>
      <c r="AJ82" s="191"/>
      <c r="AK82" s="191"/>
      <c r="AL82" s="191"/>
      <c r="AM82" s="254"/>
      <c r="AN82" s="191"/>
      <c r="AO82" s="191"/>
      <c r="AP82" s="191"/>
      <c r="AQ82" s="191"/>
      <c r="AR82" s="254"/>
      <c r="AS82" s="191"/>
      <c r="AT82" s="191"/>
      <c r="AU82" s="191"/>
      <c r="AV82" s="191"/>
      <c r="AW82" s="254"/>
      <c r="AX82" s="191"/>
      <c r="AY82" s="191"/>
      <c r="AZ82" s="191"/>
      <c r="BA82" s="191"/>
      <c r="BB82" s="254"/>
      <c r="BC82" s="258" t="str">
        <f ca="1">IF('Demand background (hide)'!A73=Num_Modalities,"",SUM(Demand!I82, Demand!N82, Demand!S82, Demand!X82, Demand!AC82, Demand!AH82, Demand!AM82, Demand!AR82, Demand!AW82, Demand!BB82))</f>
        <v/>
      </c>
      <c r="BD82" s="258"/>
      <c r="BE82" s="208"/>
    </row>
    <row r="83" spans="1:57" ht="15" x14ac:dyDescent="0.25">
      <c r="A83" t="str">
        <f t="shared" ca="1" si="2"/>
        <v/>
      </c>
      <c r="B83" s="263" t="str">
        <f t="shared" ca="1" si="3"/>
        <v xml:space="preserve"> </v>
      </c>
      <c r="C83" s="264"/>
      <c r="D83" s="264"/>
      <c r="E83" s="191"/>
      <c r="F83" s="191"/>
      <c r="G83" s="192"/>
      <c r="H83" s="191"/>
      <c r="I83" s="250"/>
      <c r="J83" s="191"/>
      <c r="K83" s="191"/>
      <c r="L83" s="191"/>
      <c r="M83" s="191"/>
      <c r="N83" s="254"/>
      <c r="O83" s="191"/>
      <c r="P83" s="191"/>
      <c r="Q83" s="191"/>
      <c r="R83" s="191"/>
      <c r="S83" s="254"/>
      <c r="T83" s="191"/>
      <c r="U83" s="191"/>
      <c r="V83" s="191"/>
      <c r="W83" s="191"/>
      <c r="X83" s="254"/>
      <c r="Y83" s="191"/>
      <c r="Z83" s="191"/>
      <c r="AA83" s="191"/>
      <c r="AB83" s="191"/>
      <c r="AC83" s="254"/>
      <c r="AD83" s="191"/>
      <c r="AE83" s="191"/>
      <c r="AF83" s="191"/>
      <c r="AG83" s="191"/>
      <c r="AH83" s="254"/>
      <c r="AI83" s="191"/>
      <c r="AJ83" s="191"/>
      <c r="AK83" s="191"/>
      <c r="AL83" s="191"/>
      <c r="AM83" s="254"/>
      <c r="AN83" s="191"/>
      <c r="AO83" s="191"/>
      <c r="AP83" s="191"/>
      <c r="AQ83" s="191"/>
      <c r="AR83" s="254"/>
      <c r="AS83" s="191"/>
      <c r="AT83" s="191"/>
      <c r="AU83" s="191"/>
      <c r="AV83" s="191"/>
      <c r="AW83" s="254"/>
      <c r="AX83" s="191"/>
      <c r="AY83" s="191"/>
      <c r="AZ83" s="191"/>
      <c r="BA83" s="191"/>
      <c r="BB83" s="254"/>
      <c r="BC83" s="258" t="str">
        <f ca="1">IF('Demand background (hide)'!A74=Num_Modalities,"",SUM(Demand!I83, Demand!N83, Demand!S83, Demand!X83, Demand!AC83, Demand!AH83, Demand!AM83, Demand!AR83, Demand!AW83, Demand!BB83))</f>
        <v/>
      </c>
      <c r="BD83" s="258"/>
      <c r="BE83" s="208"/>
    </row>
    <row r="84" spans="1:57" ht="15" x14ac:dyDescent="0.25">
      <c r="A84" t="str">
        <f t="shared" ca="1" si="2"/>
        <v/>
      </c>
      <c r="B84" s="263" t="str">
        <f t="shared" ca="1" si="3"/>
        <v xml:space="preserve"> </v>
      </c>
      <c r="C84" s="264"/>
      <c r="D84" s="264"/>
      <c r="E84" s="191"/>
      <c r="F84" s="191"/>
      <c r="G84" s="192"/>
      <c r="H84" s="191"/>
      <c r="I84" s="250"/>
      <c r="J84" s="191"/>
      <c r="K84" s="191"/>
      <c r="L84" s="191"/>
      <c r="M84" s="191"/>
      <c r="N84" s="254"/>
      <c r="O84" s="191"/>
      <c r="P84" s="191"/>
      <c r="Q84" s="191"/>
      <c r="R84" s="191"/>
      <c r="S84" s="254"/>
      <c r="T84" s="191"/>
      <c r="U84" s="191"/>
      <c r="V84" s="191"/>
      <c r="W84" s="191"/>
      <c r="X84" s="254"/>
      <c r="Y84" s="191"/>
      <c r="Z84" s="191"/>
      <c r="AA84" s="191"/>
      <c r="AB84" s="191"/>
      <c r="AC84" s="254"/>
      <c r="AD84" s="191"/>
      <c r="AE84" s="191"/>
      <c r="AF84" s="191"/>
      <c r="AG84" s="191"/>
      <c r="AH84" s="254"/>
      <c r="AI84" s="191"/>
      <c r="AJ84" s="191"/>
      <c r="AK84" s="191"/>
      <c r="AL84" s="191"/>
      <c r="AM84" s="254"/>
      <c r="AN84" s="191"/>
      <c r="AO84" s="191"/>
      <c r="AP84" s="191"/>
      <c r="AQ84" s="191"/>
      <c r="AR84" s="254"/>
      <c r="AS84" s="191"/>
      <c r="AT84" s="191"/>
      <c r="AU84" s="191"/>
      <c r="AV84" s="191"/>
      <c r="AW84" s="254"/>
      <c r="AX84" s="191"/>
      <c r="AY84" s="191"/>
      <c r="AZ84" s="191"/>
      <c r="BA84" s="191"/>
      <c r="BB84" s="254"/>
      <c r="BC84" s="258" t="str">
        <f ca="1">IF('Demand background (hide)'!A75=Num_Modalities,"",SUM(Demand!I84, Demand!N84, Demand!S84, Demand!X84, Demand!AC84, Demand!AH84, Demand!AM84, Demand!AR84, Demand!AW84, Demand!BB84))</f>
        <v/>
      </c>
      <c r="BD84" s="258"/>
      <c r="BE84" s="208"/>
    </row>
    <row r="85" spans="1:57" ht="15" x14ac:dyDescent="0.25">
      <c r="A85" t="str">
        <f t="shared" ca="1" si="2"/>
        <v/>
      </c>
      <c r="B85" s="263" t="str">
        <f t="shared" ca="1" si="3"/>
        <v xml:space="preserve"> </v>
      </c>
      <c r="C85" s="264"/>
      <c r="D85" s="264"/>
      <c r="E85" s="191"/>
      <c r="F85" s="191"/>
      <c r="G85" s="192"/>
      <c r="H85" s="191"/>
      <c r="I85" s="250"/>
      <c r="J85" s="191"/>
      <c r="K85" s="191"/>
      <c r="L85" s="191"/>
      <c r="M85" s="191"/>
      <c r="N85" s="254"/>
      <c r="O85" s="191"/>
      <c r="P85" s="191"/>
      <c r="Q85" s="191"/>
      <c r="R85" s="191"/>
      <c r="S85" s="254"/>
      <c r="T85" s="191"/>
      <c r="U85" s="191"/>
      <c r="V85" s="191"/>
      <c r="W85" s="191"/>
      <c r="X85" s="254"/>
      <c r="Y85" s="191"/>
      <c r="Z85" s="191"/>
      <c r="AA85" s="191"/>
      <c r="AB85" s="191"/>
      <c r="AC85" s="254"/>
      <c r="AD85" s="191"/>
      <c r="AE85" s="191"/>
      <c r="AF85" s="191"/>
      <c r="AG85" s="191"/>
      <c r="AH85" s="254"/>
      <c r="AI85" s="191"/>
      <c r="AJ85" s="191"/>
      <c r="AK85" s="191"/>
      <c r="AL85" s="191"/>
      <c r="AM85" s="254"/>
      <c r="AN85" s="191"/>
      <c r="AO85" s="191"/>
      <c r="AP85" s="191"/>
      <c r="AQ85" s="191"/>
      <c r="AR85" s="254"/>
      <c r="AS85" s="191"/>
      <c r="AT85" s="191"/>
      <c r="AU85" s="191"/>
      <c r="AV85" s="191"/>
      <c r="AW85" s="254"/>
      <c r="AX85" s="191"/>
      <c r="AY85" s="191"/>
      <c r="AZ85" s="191"/>
      <c r="BA85" s="191"/>
      <c r="BB85" s="254"/>
      <c r="BC85" s="258" t="str">
        <f ca="1">IF('Demand background (hide)'!A76=Num_Modalities,"",SUM(Demand!I85, Demand!N85, Demand!S85, Demand!X85, Demand!AC85, Demand!AH85, Demand!AM85, Demand!AR85, Demand!AW85, Demand!BB85))</f>
        <v/>
      </c>
      <c r="BD85" s="258"/>
      <c r="BE85" s="208"/>
    </row>
    <row r="86" spans="1:57" ht="15" x14ac:dyDescent="0.25">
      <c r="A86" t="str">
        <f t="shared" ca="1" si="2"/>
        <v/>
      </c>
      <c r="B86" s="263" t="str">
        <f t="shared" ca="1" si="3"/>
        <v xml:space="preserve"> </v>
      </c>
      <c r="C86" s="264"/>
      <c r="D86" s="264"/>
      <c r="E86" s="191"/>
      <c r="F86" s="191"/>
      <c r="G86" s="192"/>
      <c r="H86" s="191"/>
      <c r="I86" s="250"/>
      <c r="J86" s="191"/>
      <c r="K86" s="191"/>
      <c r="L86" s="191"/>
      <c r="M86" s="191"/>
      <c r="N86" s="254"/>
      <c r="O86" s="191"/>
      <c r="P86" s="191"/>
      <c r="Q86" s="191"/>
      <c r="R86" s="191"/>
      <c r="S86" s="254"/>
      <c r="T86" s="191"/>
      <c r="U86" s="191"/>
      <c r="V86" s="191"/>
      <c r="W86" s="191"/>
      <c r="X86" s="254"/>
      <c r="Y86" s="191"/>
      <c r="Z86" s="191"/>
      <c r="AA86" s="191"/>
      <c r="AB86" s="191"/>
      <c r="AC86" s="254"/>
      <c r="AD86" s="191"/>
      <c r="AE86" s="191"/>
      <c r="AF86" s="191"/>
      <c r="AG86" s="191"/>
      <c r="AH86" s="254"/>
      <c r="AI86" s="191"/>
      <c r="AJ86" s="191"/>
      <c r="AK86" s="191"/>
      <c r="AL86" s="191"/>
      <c r="AM86" s="254"/>
      <c r="AN86" s="191"/>
      <c r="AO86" s="191"/>
      <c r="AP86" s="191"/>
      <c r="AQ86" s="191"/>
      <c r="AR86" s="254"/>
      <c r="AS86" s="191"/>
      <c r="AT86" s="191"/>
      <c r="AU86" s="191"/>
      <c r="AV86" s="191"/>
      <c r="AW86" s="254"/>
      <c r="AX86" s="191"/>
      <c r="AY86" s="191"/>
      <c r="AZ86" s="191"/>
      <c r="BA86" s="191"/>
      <c r="BB86" s="254"/>
      <c r="BC86" s="258" t="str">
        <f ca="1">IF('Demand background (hide)'!A77=Num_Modalities,"",SUM(Demand!I86, Demand!N86, Demand!S86, Demand!X86, Demand!AC86, Demand!AH86, Demand!AM86, Demand!AR86, Demand!AW86, Demand!BB86))</f>
        <v/>
      </c>
      <c r="BD86" s="258"/>
      <c r="BE86" s="208"/>
    </row>
    <row r="87" spans="1:57" ht="15" x14ac:dyDescent="0.25">
      <c r="A87" t="str">
        <f t="shared" ca="1" si="2"/>
        <v/>
      </c>
      <c r="B87" s="263" t="str">
        <f t="shared" ca="1" si="3"/>
        <v xml:space="preserve"> </v>
      </c>
      <c r="C87" s="264"/>
      <c r="D87" s="264"/>
      <c r="E87" s="191"/>
      <c r="F87" s="191"/>
      <c r="G87" s="192"/>
      <c r="H87" s="191"/>
      <c r="I87" s="250"/>
      <c r="J87" s="191"/>
      <c r="K87" s="191"/>
      <c r="L87" s="191"/>
      <c r="M87" s="191"/>
      <c r="N87" s="254"/>
      <c r="O87" s="191"/>
      <c r="P87" s="191"/>
      <c r="Q87" s="191"/>
      <c r="R87" s="191"/>
      <c r="S87" s="254"/>
      <c r="T87" s="191"/>
      <c r="U87" s="191"/>
      <c r="V87" s="191"/>
      <c r="W87" s="191"/>
      <c r="X87" s="254"/>
      <c r="Y87" s="191"/>
      <c r="Z87" s="191"/>
      <c r="AA87" s="191"/>
      <c r="AB87" s="191"/>
      <c r="AC87" s="254"/>
      <c r="AD87" s="191"/>
      <c r="AE87" s="191"/>
      <c r="AF87" s="191"/>
      <c r="AG87" s="191"/>
      <c r="AH87" s="254"/>
      <c r="AI87" s="191"/>
      <c r="AJ87" s="191"/>
      <c r="AK87" s="191"/>
      <c r="AL87" s="191"/>
      <c r="AM87" s="254"/>
      <c r="AN87" s="191"/>
      <c r="AO87" s="191"/>
      <c r="AP87" s="191"/>
      <c r="AQ87" s="191"/>
      <c r="AR87" s="254"/>
      <c r="AS87" s="191"/>
      <c r="AT87" s="191"/>
      <c r="AU87" s="191"/>
      <c r="AV87" s="191"/>
      <c r="AW87" s="254"/>
      <c r="AX87" s="191"/>
      <c r="AY87" s="191"/>
      <c r="AZ87" s="191"/>
      <c r="BA87" s="191"/>
      <c r="BB87" s="254"/>
      <c r="BC87" s="258" t="str">
        <f ca="1">IF('Demand background (hide)'!A78=Num_Modalities,"",SUM(Demand!I87, Demand!N87, Demand!S87, Demand!X87, Demand!AC87, Demand!AH87, Demand!AM87, Demand!AR87, Demand!AW87, Demand!BB87))</f>
        <v/>
      </c>
      <c r="BD87" s="258"/>
      <c r="BE87" s="208"/>
    </row>
    <row r="88" spans="1:57" ht="15" x14ac:dyDescent="0.25">
      <c r="A88" t="str">
        <f t="shared" ca="1" si="2"/>
        <v/>
      </c>
      <c r="B88" s="263" t="str">
        <f t="shared" ca="1" si="3"/>
        <v xml:space="preserve"> </v>
      </c>
      <c r="C88" s="264"/>
      <c r="D88" s="264"/>
      <c r="E88" s="191"/>
      <c r="F88" s="191"/>
      <c r="G88" s="192"/>
      <c r="H88" s="191"/>
      <c r="I88" s="250"/>
      <c r="J88" s="191"/>
      <c r="K88" s="191"/>
      <c r="L88" s="191"/>
      <c r="M88" s="191"/>
      <c r="N88" s="254"/>
      <c r="O88" s="191"/>
      <c r="P88" s="191"/>
      <c r="Q88" s="191"/>
      <c r="R88" s="191"/>
      <c r="S88" s="254"/>
      <c r="T88" s="191"/>
      <c r="U88" s="191"/>
      <c r="V88" s="191"/>
      <c r="W88" s="191"/>
      <c r="X88" s="254"/>
      <c r="Y88" s="191"/>
      <c r="Z88" s="191"/>
      <c r="AA88" s="191"/>
      <c r="AB88" s="191"/>
      <c r="AC88" s="254"/>
      <c r="AD88" s="191"/>
      <c r="AE88" s="191"/>
      <c r="AF88" s="191"/>
      <c r="AG88" s="191"/>
      <c r="AH88" s="254"/>
      <c r="AI88" s="191"/>
      <c r="AJ88" s="191"/>
      <c r="AK88" s="191"/>
      <c r="AL88" s="191"/>
      <c r="AM88" s="254"/>
      <c r="AN88" s="191"/>
      <c r="AO88" s="191"/>
      <c r="AP88" s="191"/>
      <c r="AQ88" s="191"/>
      <c r="AR88" s="254"/>
      <c r="AS88" s="191"/>
      <c r="AT88" s="191"/>
      <c r="AU88" s="191"/>
      <c r="AV88" s="191"/>
      <c r="AW88" s="254"/>
      <c r="AX88" s="191"/>
      <c r="AY88" s="191"/>
      <c r="AZ88" s="191"/>
      <c r="BA88" s="191"/>
      <c r="BB88" s="254"/>
      <c r="BC88" s="258" t="str">
        <f ca="1">IF('Demand background (hide)'!A79=Num_Modalities,"",SUM(Demand!I88, Demand!N88, Demand!S88, Demand!X88, Demand!AC88, Demand!AH88, Demand!AM88, Demand!AR88, Demand!AW88, Demand!BB88))</f>
        <v/>
      </c>
      <c r="BD88" s="258"/>
      <c r="BE88" s="208"/>
    </row>
    <row r="89" spans="1:57" ht="15" x14ac:dyDescent="0.25">
      <c r="A89" t="str">
        <f t="shared" ca="1" si="2"/>
        <v/>
      </c>
      <c r="B89" s="263" t="str">
        <f t="shared" ca="1" si="3"/>
        <v xml:space="preserve"> </v>
      </c>
      <c r="C89" s="264"/>
      <c r="D89" s="264"/>
      <c r="E89" s="191"/>
      <c r="F89" s="191"/>
      <c r="G89" s="192"/>
      <c r="H89" s="191"/>
      <c r="I89" s="250"/>
      <c r="J89" s="191"/>
      <c r="K89" s="191"/>
      <c r="L89" s="191"/>
      <c r="M89" s="191"/>
      <c r="N89" s="254"/>
      <c r="O89" s="191"/>
      <c r="P89" s="191"/>
      <c r="Q89" s="191"/>
      <c r="R89" s="191"/>
      <c r="S89" s="254"/>
      <c r="T89" s="191"/>
      <c r="U89" s="191"/>
      <c r="V89" s="191"/>
      <c r="W89" s="191"/>
      <c r="X89" s="254"/>
      <c r="Y89" s="191"/>
      <c r="Z89" s="191"/>
      <c r="AA89" s="191"/>
      <c r="AB89" s="191"/>
      <c r="AC89" s="254"/>
      <c r="AD89" s="191"/>
      <c r="AE89" s="191"/>
      <c r="AF89" s="191"/>
      <c r="AG89" s="191"/>
      <c r="AH89" s="254"/>
      <c r="AI89" s="191"/>
      <c r="AJ89" s="191"/>
      <c r="AK89" s="191"/>
      <c r="AL89" s="191"/>
      <c r="AM89" s="254"/>
      <c r="AN89" s="191"/>
      <c r="AO89" s="191"/>
      <c r="AP89" s="191"/>
      <c r="AQ89" s="191"/>
      <c r="AR89" s="254"/>
      <c r="AS89" s="191"/>
      <c r="AT89" s="191"/>
      <c r="AU89" s="191"/>
      <c r="AV89" s="191"/>
      <c r="AW89" s="254"/>
      <c r="AX89" s="191"/>
      <c r="AY89" s="191"/>
      <c r="AZ89" s="191"/>
      <c r="BA89" s="191"/>
      <c r="BB89" s="254"/>
      <c r="BC89" s="258" t="str">
        <f ca="1">IF('Demand background (hide)'!A80=Num_Modalities,"",SUM(Demand!I89, Demand!N89, Demand!S89, Demand!X89, Demand!AC89, Demand!AH89, Demand!AM89, Demand!AR89, Demand!AW89, Demand!BB89))</f>
        <v/>
      </c>
      <c r="BD89" s="258"/>
      <c r="BE89" s="208"/>
    </row>
    <row r="90" spans="1:57" ht="15" x14ac:dyDescent="0.25">
      <c r="A90" t="str">
        <f t="shared" ca="1" si="2"/>
        <v/>
      </c>
      <c r="B90" s="263" t="str">
        <f t="shared" ca="1" si="3"/>
        <v xml:space="preserve"> </v>
      </c>
      <c r="C90" s="264"/>
      <c r="D90" s="264"/>
      <c r="E90" s="191"/>
      <c r="F90" s="191"/>
      <c r="G90" s="192"/>
      <c r="H90" s="191"/>
      <c r="I90" s="250"/>
      <c r="J90" s="191"/>
      <c r="K90" s="191"/>
      <c r="L90" s="191"/>
      <c r="M90" s="191"/>
      <c r="N90" s="254"/>
      <c r="O90" s="191"/>
      <c r="P90" s="191"/>
      <c r="Q90" s="191"/>
      <c r="R90" s="191"/>
      <c r="S90" s="254"/>
      <c r="T90" s="191"/>
      <c r="U90" s="191"/>
      <c r="V90" s="191"/>
      <c r="W90" s="191"/>
      <c r="X90" s="254"/>
      <c r="Y90" s="191"/>
      <c r="Z90" s="191"/>
      <c r="AA90" s="191"/>
      <c r="AB90" s="191"/>
      <c r="AC90" s="254"/>
      <c r="AD90" s="191"/>
      <c r="AE90" s="191"/>
      <c r="AF90" s="191"/>
      <c r="AG90" s="191"/>
      <c r="AH90" s="254"/>
      <c r="AI90" s="191"/>
      <c r="AJ90" s="191"/>
      <c r="AK90" s="191"/>
      <c r="AL90" s="191"/>
      <c r="AM90" s="254"/>
      <c r="AN90" s="191"/>
      <c r="AO90" s="191"/>
      <c r="AP90" s="191"/>
      <c r="AQ90" s="191"/>
      <c r="AR90" s="254"/>
      <c r="AS90" s="191"/>
      <c r="AT90" s="191"/>
      <c r="AU90" s="191"/>
      <c r="AV90" s="191"/>
      <c r="AW90" s="254"/>
      <c r="AX90" s="191"/>
      <c r="AY90" s="191"/>
      <c r="AZ90" s="191"/>
      <c r="BA90" s="191"/>
      <c r="BB90" s="254"/>
      <c r="BC90" s="258" t="str">
        <f ca="1">IF('Demand background (hide)'!A81=Num_Modalities,"",SUM(Demand!I90, Demand!N90, Demand!S90, Demand!X90, Demand!AC90, Demand!AH90, Demand!AM90, Demand!AR90, Demand!AW90, Demand!BB90))</f>
        <v/>
      </c>
      <c r="BD90" s="258"/>
      <c r="BE90" s="208"/>
    </row>
    <row r="91" spans="1:57" ht="15" x14ac:dyDescent="0.25">
      <c r="A91" t="str">
        <f t="shared" ca="1" si="2"/>
        <v/>
      </c>
      <c r="B91" s="263" t="str">
        <f t="shared" ca="1" si="3"/>
        <v xml:space="preserve"> </v>
      </c>
      <c r="C91" s="264"/>
      <c r="D91" s="264"/>
      <c r="E91" s="191"/>
      <c r="F91" s="191"/>
      <c r="G91" s="192"/>
      <c r="H91" s="191"/>
      <c r="I91" s="250"/>
      <c r="J91" s="191"/>
      <c r="K91" s="191"/>
      <c r="L91" s="191"/>
      <c r="M91" s="191"/>
      <c r="N91" s="254"/>
      <c r="O91" s="191"/>
      <c r="P91" s="191"/>
      <c r="Q91" s="191"/>
      <c r="R91" s="191"/>
      <c r="S91" s="254"/>
      <c r="T91" s="191"/>
      <c r="U91" s="191"/>
      <c r="V91" s="191"/>
      <c r="W91" s="191"/>
      <c r="X91" s="254"/>
      <c r="Y91" s="191"/>
      <c r="Z91" s="191"/>
      <c r="AA91" s="191"/>
      <c r="AB91" s="191"/>
      <c r="AC91" s="254"/>
      <c r="AD91" s="191"/>
      <c r="AE91" s="191"/>
      <c r="AF91" s="191"/>
      <c r="AG91" s="191"/>
      <c r="AH91" s="254"/>
      <c r="AI91" s="191"/>
      <c r="AJ91" s="191"/>
      <c r="AK91" s="191"/>
      <c r="AL91" s="191"/>
      <c r="AM91" s="254"/>
      <c r="AN91" s="191"/>
      <c r="AO91" s="191"/>
      <c r="AP91" s="191"/>
      <c r="AQ91" s="191"/>
      <c r="AR91" s="254"/>
      <c r="AS91" s="191"/>
      <c r="AT91" s="191"/>
      <c r="AU91" s="191"/>
      <c r="AV91" s="191"/>
      <c r="AW91" s="254"/>
      <c r="AX91" s="191"/>
      <c r="AY91" s="191"/>
      <c r="AZ91" s="191"/>
      <c r="BA91" s="191"/>
      <c r="BB91" s="254"/>
      <c r="BC91" s="258" t="str">
        <f ca="1">IF('Demand background (hide)'!A82=Num_Modalities,"",SUM(Demand!I91, Demand!N91, Demand!S91, Demand!X91, Demand!AC91, Demand!AH91, Demand!AM91, Demand!AR91, Demand!AW91, Demand!BB91))</f>
        <v/>
      </c>
      <c r="BD91" s="258"/>
      <c r="BE91" s="208"/>
    </row>
    <row r="92" spans="1:57" ht="15" x14ac:dyDescent="0.25">
      <c r="A92" t="str">
        <f t="shared" ca="1" si="2"/>
        <v/>
      </c>
      <c r="B92" s="263" t="str">
        <f t="shared" ca="1" si="3"/>
        <v xml:space="preserve"> </v>
      </c>
      <c r="C92" s="264"/>
      <c r="D92" s="264"/>
      <c r="E92" s="191"/>
      <c r="F92" s="191"/>
      <c r="G92" s="192"/>
      <c r="H92" s="191"/>
      <c r="I92" s="250"/>
      <c r="J92" s="191"/>
      <c r="K92" s="191"/>
      <c r="L92" s="191"/>
      <c r="M92" s="191"/>
      <c r="N92" s="254"/>
      <c r="O92" s="191"/>
      <c r="P92" s="191"/>
      <c r="Q92" s="191"/>
      <c r="R92" s="191"/>
      <c r="S92" s="254"/>
      <c r="T92" s="191"/>
      <c r="U92" s="191"/>
      <c r="V92" s="191"/>
      <c r="W92" s="191"/>
      <c r="X92" s="254"/>
      <c r="Y92" s="191"/>
      <c r="Z92" s="191"/>
      <c r="AA92" s="191"/>
      <c r="AB92" s="191"/>
      <c r="AC92" s="254"/>
      <c r="AD92" s="191"/>
      <c r="AE92" s="191"/>
      <c r="AF92" s="191"/>
      <c r="AG92" s="191"/>
      <c r="AH92" s="254"/>
      <c r="AI92" s="191"/>
      <c r="AJ92" s="191"/>
      <c r="AK92" s="191"/>
      <c r="AL92" s="191"/>
      <c r="AM92" s="254"/>
      <c r="AN92" s="191"/>
      <c r="AO92" s="191"/>
      <c r="AP92" s="191"/>
      <c r="AQ92" s="191"/>
      <c r="AR92" s="254"/>
      <c r="AS92" s="191"/>
      <c r="AT92" s="191"/>
      <c r="AU92" s="191"/>
      <c r="AV92" s="191"/>
      <c r="AW92" s="254"/>
      <c r="AX92" s="191"/>
      <c r="AY92" s="191"/>
      <c r="AZ92" s="191"/>
      <c r="BA92" s="191"/>
      <c r="BB92" s="254"/>
      <c r="BC92" s="258" t="str">
        <f ca="1">IF('Demand background (hide)'!A83=Num_Modalities,"",SUM(Demand!I92, Demand!N92, Demand!S92, Demand!X92, Demand!AC92, Demand!AH92, Demand!AM92, Demand!AR92, Demand!AW92, Demand!BB92))</f>
        <v/>
      </c>
      <c r="BD92" s="258"/>
      <c r="BE92" s="208"/>
    </row>
    <row r="93" spans="1:57" ht="15" x14ac:dyDescent="0.25">
      <c r="A93" t="str">
        <f t="shared" ca="1" si="2"/>
        <v/>
      </c>
      <c r="B93" s="263" t="str">
        <f t="shared" ca="1" si="3"/>
        <v xml:space="preserve"> </v>
      </c>
      <c r="C93" s="264"/>
      <c r="D93" s="264"/>
      <c r="E93" s="191"/>
      <c r="F93" s="191"/>
      <c r="G93" s="192"/>
      <c r="H93" s="191"/>
      <c r="I93" s="250"/>
      <c r="J93" s="191"/>
      <c r="K93" s="191"/>
      <c r="L93" s="191"/>
      <c r="M93" s="191"/>
      <c r="N93" s="254"/>
      <c r="O93" s="191"/>
      <c r="P93" s="191"/>
      <c r="Q93" s="191"/>
      <c r="R93" s="191"/>
      <c r="S93" s="254"/>
      <c r="T93" s="191"/>
      <c r="U93" s="191"/>
      <c r="V93" s="191"/>
      <c r="W93" s="191"/>
      <c r="X93" s="254"/>
      <c r="Y93" s="191"/>
      <c r="Z93" s="191"/>
      <c r="AA93" s="191"/>
      <c r="AB93" s="191"/>
      <c r="AC93" s="254"/>
      <c r="AD93" s="191"/>
      <c r="AE93" s="191"/>
      <c r="AF93" s="191"/>
      <c r="AG93" s="191"/>
      <c r="AH93" s="254"/>
      <c r="AI93" s="191"/>
      <c r="AJ93" s="191"/>
      <c r="AK93" s="191"/>
      <c r="AL93" s="191"/>
      <c r="AM93" s="254"/>
      <c r="AN93" s="191"/>
      <c r="AO93" s="191"/>
      <c r="AP93" s="191"/>
      <c r="AQ93" s="191"/>
      <c r="AR93" s="254"/>
      <c r="AS93" s="191"/>
      <c r="AT93" s="191"/>
      <c r="AU93" s="191"/>
      <c r="AV93" s="191"/>
      <c r="AW93" s="254"/>
      <c r="AX93" s="191"/>
      <c r="AY93" s="191"/>
      <c r="AZ93" s="191"/>
      <c r="BA93" s="191"/>
      <c r="BB93" s="254"/>
      <c r="BC93" s="258" t="str">
        <f ca="1">IF('Demand background (hide)'!A84=Num_Modalities,"",SUM(Demand!I93, Demand!N93, Demand!S93, Demand!X93, Demand!AC93, Demand!AH93, Demand!AM93, Demand!AR93, Demand!AW93, Demand!BB93))</f>
        <v/>
      </c>
      <c r="BD93" s="258"/>
      <c r="BE93" s="208"/>
    </row>
    <row r="94" spans="1:57" ht="15" x14ac:dyDescent="0.25">
      <c r="A94" t="str">
        <f t="shared" ca="1" si="2"/>
        <v/>
      </c>
      <c r="B94" s="263" t="str">
        <f t="shared" ca="1" si="3"/>
        <v xml:space="preserve"> </v>
      </c>
      <c r="C94" s="264"/>
      <c r="D94" s="264"/>
      <c r="E94" s="191"/>
      <c r="F94" s="191"/>
      <c r="G94" s="192"/>
      <c r="H94" s="191"/>
      <c r="I94" s="250"/>
      <c r="J94" s="191"/>
      <c r="K94" s="191"/>
      <c r="L94" s="191"/>
      <c r="M94" s="191"/>
      <c r="N94" s="254"/>
      <c r="O94" s="191"/>
      <c r="P94" s="191"/>
      <c r="Q94" s="191"/>
      <c r="R94" s="191"/>
      <c r="S94" s="254"/>
      <c r="T94" s="191"/>
      <c r="U94" s="191"/>
      <c r="V94" s="191"/>
      <c r="W94" s="191"/>
      <c r="X94" s="254"/>
      <c r="Y94" s="191"/>
      <c r="Z94" s="191"/>
      <c r="AA94" s="191"/>
      <c r="AB94" s="191"/>
      <c r="AC94" s="254"/>
      <c r="AD94" s="191"/>
      <c r="AE94" s="191"/>
      <c r="AF94" s="191"/>
      <c r="AG94" s="191"/>
      <c r="AH94" s="254"/>
      <c r="AI94" s="191"/>
      <c r="AJ94" s="191"/>
      <c r="AK94" s="191"/>
      <c r="AL94" s="191"/>
      <c r="AM94" s="254"/>
      <c r="AN94" s="191"/>
      <c r="AO94" s="191"/>
      <c r="AP94" s="191"/>
      <c r="AQ94" s="191"/>
      <c r="AR94" s="254"/>
      <c r="AS94" s="191"/>
      <c r="AT94" s="191"/>
      <c r="AU94" s="191"/>
      <c r="AV94" s="191"/>
      <c r="AW94" s="254"/>
      <c r="AX94" s="191"/>
      <c r="AY94" s="191"/>
      <c r="AZ94" s="191"/>
      <c r="BA94" s="191"/>
      <c r="BB94" s="254"/>
      <c r="BC94" s="258" t="str">
        <f ca="1">IF('Demand background (hide)'!A85=Num_Modalities,"",SUM(Demand!I94, Demand!N94, Demand!S94, Demand!X94, Demand!AC94, Demand!AH94, Demand!AM94, Demand!AR94, Demand!AW94, Demand!BB94))</f>
        <v/>
      </c>
      <c r="BD94" s="258"/>
      <c r="BE94" s="208"/>
    </row>
    <row r="95" spans="1:57" ht="15" x14ac:dyDescent="0.25">
      <c r="A95" t="str">
        <f t="shared" ca="1" si="2"/>
        <v/>
      </c>
      <c r="B95" s="263" t="str">
        <f t="shared" ca="1" si="3"/>
        <v xml:space="preserve"> </v>
      </c>
      <c r="C95" s="264"/>
      <c r="D95" s="264"/>
      <c r="E95" s="191"/>
      <c r="F95" s="191"/>
      <c r="G95" s="192"/>
      <c r="H95" s="191"/>
      <c r="I95" s="250"/>
      <c r="J95" s="191"/>
      <c r="K95" s="191"/>
      <c r="L95" s="191"/>
      <c r="M95" s="191"/>
      <c r="N95" s="254"/>
      <c r="O95" s="191"/>
      <c r="P95" s="191"/>
      <c r="Q95" s="191"/>
      <c r="R95" s="191"/>
      <c r="S95" s="254"/>
      <c r="T95" s="191"/>
      <c r="U95" s="191"/>
      <c r="V95" s="191"/>
      <c r="W95" s="191"/>
      <c r="X95" s="254"/>
      <c r="Y95" s="191"/>
      <c r="Z95" s="191"/>
      <c r="AA95" s="191"/>
      <c r="AB95" s="191"/>
      <c r="AC95" s="254"/>
      <c r="AD95" s="191"/>
      <c r="AE95" s="191"/>
      <c r="AF95" s="191"/>
      <c r="AG95" s="191"/>
      <c r="AH95" s="254"/>
      <c r="AI95" s="191"/>
      <c r="AJ95" s="191"/>
      <c r="AK95" s="191"/>
      <c r="AL95" s="191"/>
      <c r="AM95" s="254"/>
      <c r="AN95" s="191"/>
      <c r="AO95" s="191"/>
      <c r="AP95" s="191"/>
      <c r="AQ95" s="191"/>
      <c r="AR95" s="254"/>
      <c r="AS95" s="191"/>
      <c r="AT95" s="191"/>
      <c r="AU95" s="191"/>
      <c r="AV95" s="191"/>
      <c r="AW95" s="254"/>
      <c r="AX95" s="191"/>
      <c r="AY95" s="191"/>
      <c r="AZ95" s="191"/>
      <c r="BA95" s="191"/>
      <c r="BB95" s="254"/>
      <c r="BC95" s="258" t="str">
        <f ca="1">IF('Demand background (hide)'!A86=Num_Modalities,"",SUM(Demand!I95, Demand!N95, Demand!S95, Demand!X95, Demand!AC95, Demand!AH95, Demand!AM95, Demand!AR95, Demand!AW95, Demand!BB95))</f>
        <v/>
      </c>
      <c r="BD95" s="258"/>
      <c r="BE95" s="208"/>
    </row>
    <row r="96" spans="1:57" ht="15" x14ac:dyDescent="0.25">
      <c r="A96" t="str">
        <f t="shared" ca="1" si="2"/>
        <v/>
      </c>
      <c r="B96" s="263" t="str">
        <f t="shared" ca="1" si="3"/>
        <v xml:space="preserve"> </v>
      </c>
      <c r="C96" s="264"/>
      <c r="D96" s="264"/>
      <c r="E96" s="191"/>
      <c r="F96" s="191"/>
      <c r="G96" s="192"/>
      <c r="H96" s="191"/>
      <c r="I96" s="250"/>
      <c r="J96" s="191"/>
      <c r="K96" s="191"/>
      <c r="L96" s="191"/>
      <c r="M96" s="191"/>
      <c r="N96" s="254"/>
      <c r="O96" s="191"/>
      <c r="P96" s="191"/>
      <c r="Q96" s="191"/>
      <c r="R96" s="191"/>
      <c r="S96" s="254"/>
      <c r="T96" s="191"/>
      <c r="U96" s="191"/>
      <c r="V96" s="191"/>
      <c r="W96" s="191"/>
      <c r="X96" s="254"/>
      <c r="Y96" s="191"/>
      <c r="Z96" s="191"/>
      <c r="AA96" s="191"/>
      <c r="AB96" s="191"/>
      <c r="AC96" s="254"/>
      <c r="AD96" s="191"/>
      <c r="AE96" s="191"/>
      <c r="AF96" s="191"/>
      <c r="AG96" s="191"/>
      <c r="AH96" s="254"/>
      <c r="AI96" s="191"/>
      <c r="AJ96" s="191"/>
      <c r="AK96" s="191"/>
      <c r="AL96" s="191"/>
      <c r="AM96" s="254"/>
      <c r="AN96" s="191"/>
      <c r="AO96" s="191"/>
      <c r="AP96" s="191"/>
      <c r="AQ96" s="191"/>
      <c r="AR96" s="254"/>
      <c r="AS96" s="191"/>
      <c r="AT96" s="191"/>
      <c r="AU96" s="191"/>
      <c r="AV96" s="191"/>
      <c r="AW96" s="254"/>
      <c r="AX96" s="191"/>
      <c r="AY96" s="191"/>
      <c r="AZ96" s="191"/>
      <c r="BA96" s="191"/>
      <c r="BB96" s="254"/>
      <c r="BC96" s="258" t="str">
        <f ca="1">IF('Demand background (hide)'!A87=Num_Modalities,"",SUM(Demand!I96, Demand!N96, Demand!S96, Demand!X96, Demand!AC96, Demand!AH96, Demand!AM96, Demand!AR96, Demand!AW96, Demand!BB96))</f>
        <v/>
      </c>
      <c r="BD96" s="258"/>
      <c r="BE96" s="208"/>
    </row>
    <row r="97" spans="1:57" ht="15" x14ac:dyDescent="0.25">
      <c r="A97" t="str">
        <f t="shared" ca="1" si="2"/>
        <v/>
      </c>
      <c r="B97" s="263" t="str">
        <f t="shared" ca="1" si="3"/>
        <v xml:space="preserve"> </v>
      </c>
      <c r="C97" s="264"/>
      <c r="D97" s="264"/>
      <c r="E97" s="191"/>
      <c r="F97" s="191"/>
      <c r="G97" s="192"/>
      <c r="H97" s="191"/>
      <c r="I97" s="250"/>
      <c r="J97" s="191"/>
      <c r="K97" s="191"/>
      <c r="L97" s="191"/>
      <c r="M97" s="191"/>
      <c r="N97" s="254"/>
      <c r="O97" s="191"/>
      <c r="P97" s="191"/>
      <c r="Q97" s="191"/>
      <c r="R97" s="191"/>
      <c r="S97" s="254"/>
      <c r="T97" s="191"/>
      <c r="U97" s="191"/>
      <c r="V97" s="191"/>
      <c r="W97" s="191"/>
      <c r="X97" s="254"/>
      <c r="Y97" s="191"/>
      <c r="Z97" s="191"/>
      <c r="AA97" s="191"/>
      <c r="AB97" s="191"/>
      <c r="AC97" s="254"/>
      <c r="AD97" s="191"/>
      <c r="AE97" s="191"/>
      <c r="AF97" s="191"/>
      <c r="AG97" s="191"/>
      <c r="AH97" s="254"/>
      <c r="AI97" s="191"/>
      <c r="AJ97" s="191"/>
      <c r="AK97" s="191"/>
      <c r="AL97" s="191"/>
      <c r="AM97" s="254"/>
      <c r="AN97" s="191"/>
      <c r="AO97" s="191"/>
      <c r="AP97" s="191"/>
      <c r="AQ97" s="191"/>
      <c r="AR97" s="254"/>
      <c r="AS97" s="191"/>
      <c r="AT97" s="191"/>
      <c r="AU97" s="191"/>
      <c r="AV97" s="191"/>
      <c r="AW97" s="254"/>
      <c r="AX97" s="191"/>
      <c r="AY97" s="191"/>
      <c r="AZ97" s="191"/>
      <c r="BA97" s="191"/>
      <c r="BB97" s="254"/>
      <c r="BC97" s="258" t="str">
        <f ca="1">IF('Demand background (hide)'!A88=Num_Modalities,"",SUM(Demand!I97, Demand!N97, Demand!S97, Demand!X97, Demand!AC97, Demand!AH97, Demand!AM97, Demand!AR97, Demand!AW97, Demand!BB97))</f>
        <v/>
      </c>
      <c r="BD97" s="258"/>
      <c r="BE97" s="208"/>
    </row>
    <row r="98" spans="1:57" ht="15" x14ac:dyDescent="0.25">
      <c r="A98" t="str">
        <f t="shared" ca="1" si="2"/>
        <v/>
      </c>
      <c r="B98" s="263" t="str">
        <f t="shared" ca="1" si="3"/>
        <v xml:space="preserve"> </v>
      </c>
      <c r="C98" s="264"/>
      <c r="D98" s="264"/>
      <c r="E98" s="191"/>
      <c r="F98" s="191"/>
      <c r="G98" s="192"/>
      <c r="H98" s="191"/>
      <c r="I98" s="250"/>
      <c r="J98" s="191"/>
      <c r="K98" s="191"/>
      <c r="L98" s="191"/>
      <c r="M98" s="191"/>
      <c r="N98" s="254"/>
      <c r="O98" s="191"/>
      <c r="P98" s="191"/>
      <c r="Q98" s="191"/>
      <c r="R98" s="191"/>
      <c r="S98" s="254"/>
      <c r="T98" s="191"/>
      <c r="U98" s="191"/>
      <c r="V98" s="191"/>
      <c r="W98" s="191"/>
      <c r="X98" s="254"/>
      <c r="Y98" s="191"/>
      <c r="Z98" s="191"/>
      <c r="AA98" s="191"/>
      <c r="AB98" s="191"/>
      <c r="AC98" s="254"/>
      <c r="AD98" s="191"/>
      <c r="AE98" s="191"/>
      <c r="AF98" s="191"/>
      <c r="AG98" s="191"/>
      <c r="AH98" s="254"/>
      <c r="AI98" s="191"/>
      <c r="AJ98" s="191"/>
      <c r="AK98" s="191"/>
      <c r="AL98" s="191"/>
      <c r="AM98" s="254"/>
      <c r="AN98" s="191"/>
      <c r="AO98" s="191"/>
      <c r="AP98" s="191"/>
      <c r="AQ98" s="191"/>
      <c r="AR98" s="254"/>
      <c r="AS98" s="191"/>
      <c r="AT98" s="191"/>
      <c r="AU98" s="191"/>
      <c r="AV98" s="191"/>
      <c r="AW98" s="254"/>
      <c r="AX98" s="191"/>
      <c r="AY98" s="191"/>
      <c r="AZ98" s="191"/>
      <c r="BA98" s="191"/>
      <c r="BB98" s="254"/>
      <c r="BC98" s="258" t="str">
        <f ca="1">IF('Demand background (hide)'!A89=Num_Modalities,"",SUM(Demand!I98, Demand!N98, Demand!S98, Demand!X98, Demand!AC98, Demand!AH98, Demand!AM98, Demand!AR98, Demand!AW98, Demand!BB98))</f>
        <v/>
      </c>
      <c r="BD98" s="258"/>
      <c r="BE98" s="208"/>
    </row>
    <row r="99" spans="1:57" ht="15" x14ac:dyDescent="0.25">
      <c r="A99" t="str">
        <f t="shared" ca="1" si="2"/>
        <v/>
      </c>
      <c r="B99" s="263" t="str">
        <f t="shared" ca="1" si="3"/>
        <v xml:space="preserve"> </v>
      </c>
      <c r="C99" s="264"/>
      <c r="D99" s="264"/>
      <c r="E99" s="191"/>
      <c r="F99" s="191"/>
      <c r="G99" s="192"/>
      <c r="H99" s="191"/>
      <c r="I99" s="250"/>
      <c r="J99" s="191"/>
      <c r="K99" s="191"/>
      <c r="L99" s="191"/>
      <c r="M99" s="191"/>
      <c r="N99" s="254"/>
      <c r="O99" s="191"/>
      <c r="P99" s="191"/>
      <c r="Q99" s="191"/>
      <c r="R99" s="191"/>
      <c r="S99" s="254"/>
      <c r="T99" s="191"/>
      <c r="U99" s="191"/>
      <c r="V99" s="191"/>
      <c r="W99" s="191"/>
      <c r="X99" s="254"/>
      <c r="Y99" s="191"/>
      <c r="Z99" s="191"/>
      <c r="AA99" s="191"/>
      <c r="AB99" s="191"/>
      <c r="AC99" s="254"/>
      <c r="AD99" s="191"/>
      <c r="AE99" s="191"/>
      <c r="AF99" s="191"/>
      <c r="AG99" s="191"/>
      <c r="AH99" s="254"/>
      <c r="AI99" s="191"/>
      <c r="AJ99" s="191"/>
      <c r="AK99" s="191"/>
      <c r="AL99" s="191"/>
      <c r="AM99" s="254"/>
      <c r="AN99" s="191"/>
      <c r="AO99" s="191"/>
      <c r="AP99" s="191"/>
      <c r="AQ99" s="191"/>
      <c r="AR99" s="254"/>
      <c r="AS99" s="191"/>
      <c r="AT99" s="191"/>
      <c r="AU99" s="191"/>
      <c r="AV99" s="191"/>
      <c r="AW99" s="254"/>
      <c r="AX99" s="191"/>
      <c r="AY99" s="191"/>
      <c r="AZ99" s="191"/>
      <c r="BA99" s="191"/>
      <c r="BB99" s="254"/>
      <c r="BC99" s="258" t="str">
        <f ca="1">IF('Demand background (hide)'!A90=Num_Modalities,"",SUM(Demand!I99, Demand!N99, Demand!S99, Demand!X99, Demand!AC99, Demand!AH99, Demand!AM99, Demand!AR99, Demand!AW99, Demand!BB99))</f>
        <v/>
      </c>
      <c r="BD99" s="258"/>
      <c r="BE99" s="208"/>
    </row>
    <row r="100" spans="1:57" ht="15" x14ac:dyDescent="0.25">
      <c r="A100" t="str">
        <f t="shared" ca="1" si="2"/>
        <v/>
      </c>
      <c r="B100" s="263" t="str">
        <f t="shared" ca="1" si="3"/>
        <v xml:space="preserve"> </v>
      </c>
      <c r="C100" s="264"/>
      <c r="D100" s="264"/>
      <c r="E100" s="191"/>
      <c r="F100" s="191"/>
      <c r="G100" s="192"/>
      <c r="H100" s="191"/>
      <c r="I100" s="250"/>
      <c r="J100" s="191"/>
      <c r="K100" s="191"/>
      <c r="L100" s="191"/>
      <c r="M100" s="191"/>
      <c r="N100" s="254"/>
      <c r="O100" s="191"/>
      <c r="P100" s="191"/>
      <c r="Q100" s="191"/>
      <c r="R100" s="191"/>
      <c r="S100" s="254"/>
      <c r="T100" s="191"/>
      <c r="U100" s="191"/>
      <c r="V100" s="191"/>
      <c r="W100" s="191"/>
      <c r="X100" s="254"/>
      <c r="Y100" s="191"/>
      <c r="Z100" s="191"/>
      <c r="AA100" s="191"/>
      <c r="AB100" s="191"/>
      <c r="AC100" s="254"/>
      <c r="AD100" s="191"/>
      <c r="AE100" s="191"/>
      <c r="AF100" s="191"/>
      <c r="AG100" s="191"/>
      <c r="AH100" s="254"/>
      <c r="AI100" s="191"/>
      <c r="AJ100" s="191"/>
      <c r="AK100" s="191"/>
      <c r="AL100" s="191"/>
      <c r="AM100" s="254"/>
      <c r="AN100" s="191"/>
      <c r="AO100" s="191"/>
      <c r="AP100" s="191"/>
      <c r="AQ100" s="191"/>
      <c r="AR100" s="254"/>
      <c r="AS100" s="191"/>
      <c r="AT100" s="191"/>
      <c r="AU100" s="191"/>
      <c r="AV100" s="191"/>
      <c r="AW100" s="254"/>
      <c r="AX100" s="191"/>
      <c r="AY100" s="191"/>
      <c r="AZ100" s="191"/>
      <c r="BA100" s="191"/>
      <c r="BB100" s="254"/>
      <c r="BC100" s="258" t="str">
        <f ca="1">IF('Demand background (hide)'!A91=Num_Modalities,"",SUM(Demand!I100, Demand!N100, Demand!S100, Demand!X100, Demand!AC100, Demand!AH100, Demand!AM100, Demand!AR100, Demand!AW100, Demand!BB100))</f>
        <v/>
      </c>
      <c r="BD100" s="258"/>
      <c r="BE100" s="208"/>
    </row>
    <row r="101" spans="1:57" ht="15" x14ac:dyDescent="0.25">
      <c r="A101" t="str">
        <f t="shared" ca="1" si="2"/>
        <v/>
      </c>
      <c r="B101" s="263" t="str">
        <f t="shared" ca="1" si="3"/>
        <v xml:space="preserve"> </v>
      </c>
      <c r="C101" s="264"/>
      <c r="D101" s="264"/>
      <c r="E101" s="191"/>
      <c r="F101" s="191"/>
      <c r="G101" s="192"/>
      <c r="H101" s="191"/>
      <c r="I101" s="250"/>
      <c r="J101" s="191"/>
      <c r="K101" s="191"/>
      <c r="L101" s="191"/>
      <c r="M101" s="191"/>
      <c r="N101" s="254"/>
      <c r="O101" s="191"/>
      <c r="P101" s="191"/>
      <c r="Q101" s="191"/>
      <c r="R101" s="191"/>
      <c r="S101" s="254"/>
      <c r="T101" s="191"/>
      <c r="U101" s="191"/>
      <c r="V101" s="191"/>
      <c r="W101" s="191"/>
      <c r="X101" s="254"/>
      <c r="Y101" s="191"/>
      <c r="Z101" s="191"/>
      <c r="AA101" s="191"/>
      <c r="AB101" s="191"/>
      <c r="AC101" s="254"/>
      <c r="AD101" s="191"/>
      <c r="AE101" s="191"/>
      <c r="AF101" s="191"/>
      <c r="AG101" s="191"/>
      <c r="AH101" s="254"/>
      <c r="AI101" s="191"/>
      <c r="AJ101" s="191"/>
      <c r="AK101" s="191"/>
      <c r="AL101" s="191"/>
      <c r="AM101" s="254"/>
      <c r="AN101" s="191"/>
      <c r="AO101" s="191"/>
      <c r="AP101" s="191"/>
      <c r="AQ101" s="191"/>
      <c r="AR101" s="254"/>
      <c r="AS101" s="191"/>
      <c r="AT101" s="191"/>
      <c r="AU101" s="191"/>
      <c r="AV101" s="191"/>
      <c r="AW101" s="254"/>
      <c r="AX101" s="191"/>
      <c r="AY101" s="191"/>
      <c r="AZ101" s="191"/>
      <c r="BA101" s="191"/>
      <c r="BB101" s="254"/>
      <c r="BC101" s="258" t="str">
        <f ca="1">IF('Demand background (hide)'!A92=Num_Modalities,"",SUM(Demand!I101, Demand!N101, Demand!S101, Demand!X101, Demand!AC101, Demand!AH101, Demand!AM101, Demand!AR101, Demand!AW101, Demand!BB101))</f>
        <v/>
      </c>
      <c r="BD101" s="258"/>
      <c r="BE101" s="208"/>
    </row>
    <row r="102" spans="1:57" ht="15" x14ac:dyDescent="0.25">
      <c r="A102" t="str">
        <f t="shared" ca="1" si="2"/>
        <v/>
      </c>
      <c r="B102" s="263" t="str">
        <f t="shared" ca="1" si="3"/>
        <v xml:space="preserve"> </v>
      </c>
      <c r="C102" s="264"/>
      <c r="D102" s="264"/>
      <c r="E102" s="191"/>
      <c r="F102" s="191"/>
      <c r="G102" s="192"/>
      <c r="H102" s="191"/>
      <c r="I102" s="250"/>
      <c r="J102" s="191"/>
      <c r="K102" s="191"/>
      <c r="L102" s="191"/>
      <c r="M102" s="191"/>
      <c r="N102" s="254"/>
      <c r="O102" s="191"/>
      <c r="P102" s="191"/>
      <c r="Q102" s="191"/>
      <c r="R102" s="191"/>
      <c r="S102" s="254"/>
      <c r="T102" s="191"/>
      <c r="U102" s="191"/>
      <c r="V102" s="191"/>
      <c r="W102" s="191"/>
      <c r="X102" s="254"/>
      <c r="Y102" s="191"/>
      <c r="Z102" s="191"/>
      <c r="AA102" s="191"/>
      <c r="AB102" s="191"/>
      <c r="AC102" s="254"/>
      <c r="AD102" s="191"/>
      <c r="AE102" s="191"/>
      <c r="AF102" s="191"/>
      <c r="AG102" s="191"/>
      <c r="AH102" s="254"/>
      <c r="AI102" s="191"/>
      <c r="AJ102" s="191"/>
      <c r="AK102" s="191"/>
      <c r="AL102" s="191"/>
      <c r="AM102" s="254"/>
      <c r="AN102" s="191"/>
      <c r="AO102" s="191"/>
      <c r="AP102" s="191"/>
      <c r="AQ102" s="191"/>
      <c r="AR102" s="254"/>
      <c r="AS102" s="191"/>
      <c r="AT102" s="191"/>
      <c r="AU102" s="191"/>
      <c r="AV102" s="191"/>
      <c r="AW102" s="254"/>
      <c r="AX102" s="191"/>
      <c r="AY102" s="191"/>
      <c r="AZ102" s="191"/>
      <c r="BA102" s="191"/>
      <c r="BB102" s="254"/>
      <c r="BC102" s="258" t="str">
        <f ca="1">IF('Demand background (hide)'!A93=Num_Modalities,"",SUM(Demand!I102, Demand!N102, Demand!S102, Demand!X102, Demand!AC102, Demand!AH102, Demand!AM102, Demand!AR102, Demand!AW102, Demand!BB102))</f>
        <v/>
      </c>
      <c r="BD102" s="258"/>
      <c r="BE102" s="208"/>
    </row>
    <row r="103" spans="1:57" ht="15" x14ac:dyDescent="0.25">
      <c r="A103" t="str">
        <f t="shared" ca="1" si="2"/>
        <v/>
      </c>
      <c r="B103" s="263" t="str">
        <f t="shared" ca="1" si="3"/>
        <v xml:space="preserve"> </v>
      </c>
      <c r="C103" s="264"/>
      <c r="D103" s="264"/>
      <c r="E103" s="191"/>
      <c r="F103" s="191"/>
      <c r="G103" s="192"/>
      <c r="H103" s="191"/>
      <c r="I103" s="250"/>
      <c r="J103" s="191"/>
      <c r="K103" s="191"/>
      <c r="L103" s="191"/>
      <c r="M103" s="191"/>
      <c r="N103" s="254"/>
      <c r="O103" s="191"/>
      <c r="P103" s="191"/>
      <c r="Q103" s="191"/>
      <c r="R103" s="191"/>
      <c r="S103" s="254"/>
      <c r="T103" s="191"/>
      <c r="U103" s="191"/>
      <c r="V103" s="191"/>
      <c r="W103" s="191"/>
      <c r="X103" s="254"/>
      <c r="Y103" s="191"/>
      <c r="Z103" s="191"/>
      <c r="AA103" s="191"/>
      <c r="AB103" s="191"/>
      <c r="AC103" s="254"/>
      <c r="AD103" s="191"/>
      <c r="AE103" s="191"/>
      <c r="AF103" s="191"/>
      <c r="AG103" s="191"/>
      <c r="AH103" s="254"/>
      <c r="AI103" s="191"/>
      <c r="AJ103" s="191"/>
      <c r="AK103" s="191"/>
      <c r="AL103" s="191"/>
      <c r="AM103" s="254"/>
      <c r="AN103" s="191"/>
      <c r="AO103" s="191"/>
      <c r="AP103" s="191"/>
      <c r="AQ103" s="191"/>
      <c r="AR103" s="254"/>
      <c r="AS103" s="191"/>
      <c r="AT103" s="191"/>
      <c r="AU103" s="191"/>
      <c r="AV103" s="191"/>
      <c r="AW103" s="254"/>
      <c r="AX103" s="191"/>
      <c r="AY103" s="191"/>
      <c r="AZ103" s="191"/>
      <c r="BA103" s="191"/>
      <c r="BB103" s="254"/>
      <c r="BC103" s="258" t="str">
        <f ca="1">IF('Demand background (hide)'!A94=Num_Modalities,"",SUM(Demand!I103, Demand!N103, Demand!S103, Demand!X103, Demand!AC103, Demand!AH103, Demand!AM103, Demand!AR103, Demand!AW103, Demand!BB103))</f>
        <v/>
      </c>
      <c r="BD103" s="258"/>
      <c r="BE103" s="208"/>
    </row>
    <row r="104" spans="1:57" ht="15" x14ac:dyDescent="0.25">
      <c r="A104" t="str">
        <f t="shared" ca="1" si="2"/>
        <v/>
      </c>
      <c r="B104" s="263" t="str">
        <f t="shared" ca="1" si="3"/>
        <v xml:space="preserve"> </v>
      </c>
      <c r="C104" s="264"/>
      <c r="D104" s="264"/>
      <c r="E104" s="191"/>
      <c r="F104" s="191"/>
      <c r="G104" s="192"/>
      <c r="H104" s="191"/>
      <c r="I104" s="250"/>
      <c r="J104" s="191"/>
      <c r="K104" s="191"/>
      <c r="L104" s="191"/>
      <c r="M104" s="191"/>
      <c r="N104" s="254"/>
      <c r="O104" s="191"/>
      <c r="P104" s="191"/>
      <c r="Q104" s="191"/>
      <c r="R104" s="191"/>
      <c r="S104" s="254"/>
      <c r="T104" s="191"/>
      <c r="U104" s="191"/>
      <c r="V104" s="191"/>
      <c r="W104" s="191"/>
      <c r="X104" s="254"/>
      <c r="Y104" s="191"/>
      <c r="Z104" s="191"/>
      <c r="AA104" s="191"/>
      <c r="AB104" s="191"/>
      <c r="AC104" s="254"/>
      <c r="AD104" s="191"/>
      <c r="AE104" s="191"/>
      <c r="AF104" s="191"/>
      <c r="AG104" s="191"/>
      <c r="AH104" s="254"/>
      <c r="AI104" s="191"/>
      <c r="AJ104" s="191"/>
      <c r="AK104" s="191"/>
      <c r="AL104" s="191"/>
      <c r="AM104" s="254"/>
      <c r="AN104" s="191"/>
      <c r="AO104" s="191"/>
      <c r="AP104" s="191"/>
      <c r="AQ104" s="191"/>
      <c r="AR104" s="254"/>
      <c r="AS104" s="191"/>
      <c r="AT104" s="191"/>
      <c r="AU104" s="191"/>
      <c r="AV104" s="191"/>
      <c r="AW104" s="254"/>
      <c r="AX104" s="191"/>
      <c r="AY104" s="191"/>
      <c r="AZ104" s="191"/>
      <c r="BA104" s="191"/>
      <c r="BB104" s="254"/>
      <c r="BC104" s="258" t="str">
        <f ca="1">IF('Demand background (hide)'!A95=Num_Modalities,"",SUM(Demand!I104, Demand!N104, Demand!S104, Demand!X104, Demand!AC104, Demand!AH104, Demand!AM104, Demand!AR104, Demand!AW104, Demand!BB104))</f>
        <v/>
      </c>
      <c r="BD104" s="258"/>
      <c r="BE104" s="208"/>
    </row>
    <row r="105" spans="1:57" ht="15" x14ac:dyDescent="0.25">
      <c r="A105" t="str">
        <f t="shared" ca="1" si="2"/>
        <v/>
      </c>
      <c r="B105" s="263" t="str">
        <f t="shared" ca="1" si="3"/>
        <v xml:space="preserve"> </v>
      </c>
      <c r="C105" s="264"/>
      <c r="D105" s="264"/>
      <c r="E105" s="191"/>
      <c r="F105" s="191"/>
      <c r="G105" s="192"/>
      <c r="H105" s="191"/>
      <c r="I105" s="250"/>
      <c r="J105" s="191"/>
      <c r="K105" s="191"/>
      <c r="L105" s="191"/>
      <c r="M105" s="191"/>
      <c r="N105" s="254"/>
      <c r="O105" s="191"/>
      <c r="P105" s="191"/>
      <c r="Q105" s="191"/>
      <c r="R105" s="191"/>
      <c r="S105" s="254"/>
      <c r="T105" s="191"/>
      <c r="U105" s="191"/>
      <c r="V105" s="191"/>
      <c r="W105" s="191"/>
      <c r="X105" s="254"/>
      <c r="Y105" s="191"/>
      <c r="Z105" s="191"/>
      <c r="AA105" s="191"/>
      <c r="AB105" s="191"/>
      <c r="AC105" s="254"/>
      <c r="AD105" s="191"/>
      <c r="AE105" s="191"/>
      <c r="AF105" s="191"/>
      <c r="AG105" s="191"/>
      <c r="AH105" s="254"/>
      <c r="AI105" s="191"/>
      <c r="AJ105" s="191"/>
      <c r="AK105" s="191"/>
      <c r="AL105" s="191"/>
      <c r="AM105" s="254"/>
      <c r="AN105" s="191"/>
      <c r="AO105" s="191"/>
      <c r="AP105" s="191"/>
      <c r="AQ105" s="191"/>
      <c r="AR105" s="254"/>
      <c r="AS105" s="191"/>
      <c r="AT105" s="191"/>
      <c r="AU105" s="191"/>
      <c r="AV105" s="191"/>
      <c r="AW105" s="254"/>
      <c r="AX105" s="191"/>
      <c r="AY105" s="191"/>
      <c r="AZ105" s="191"/>
      <c r="BA105" s="191"/>
      <c r="BB105" s="254"/>
      <c r="BC105" s="258" t="str">
        <f ca="1">IF('Demand background (hide)'!A96=Num_Modalities,"",SUM(Demand!I105, Demand!N105, Demand!S105, Demand!X105, Demand!AC105, Demand!AH105, Demand!AM105, Demand!AR105, Demand!AW105, Demand!BB105))</f>
        <v/>
      </c>
      <c r="BD105" s="258"/>
      <c r="BE105" s="208"/>
    </row>
    <row r="106" spans="1:57" ht="15" x14ac:dyDescent="0.25">
      <c r="A106" t="str">
        <f t="shared" ca="1" si="2"/>
        <v/>
      </c>
      <c r="B106" s="263" t="str">
        <f t="shared" ca="1" si="3"/>
        <v xml:space="preserve"> </v>
      </c>
      <c r="C106" s="264"/>
      <c r="D106" s="264"/>
      <c r="E106" s="191"/>
      <c r="F106" s="191"/>
      <c r="G106" s="192"/>
      <c r="H106" s="191"/>
      <c r="I106" s="250"/>
      <c r="J106" s="191"/>
      <c r="K106" s="191"/>
      <c r="L106" s="191"/>
      <c r="M106" s="191"/>
      <c r="N106" s="254"/>
      <c r="O106" s="191"/>
      <c r="P106" s="191"/>
      <c r="Q106" s="191"/>
      <c r="R106" s="191"/>
      <c r="S106" s="254"/>
      <c r="T106" s="191"/>
      <c r="U106" s="191"/>
      <c r="V106" s="191"/>
      <c r="W106" s="191"/>
      <c r="X106" s="254"/>
      <c r="Y106" s="191"/>
      <c r="Z106" s="191"/>
      <c r="AA106" s="191"/>
      <c r="AB106" s="191"/>
      <c r="AC106" s="254"/>
      <c r="AD106" s="191"/>
      <c r="AE106" s="191"/>
      <c r="AF106" s="191"/>
      <c r="AG106" s="191"/>
      <c r="AH106" s="254"/>
      <c r="AI106" s="191"/>
      <c r="AJ106" s="191"/>
      <c r="AK106" s="191"/>
      <c r="AL106" s="191"/>
      <c r="AM106" s="254"/>
      <c r="AN106" s="191"/>
      <c r="AO106" s="191"/>
      <c r="AP106" s="191"/>
      <c r="AQ106" s="191"/>
      <c r="AR106" s="254"/>
      <c r="AS106" s="191"/>
      <c r="AT106" s="191"/>
      <c r="AU106" s="191"/>
      <c r="AV106" s="191"/>
      <c r="AW106" s="254"/>
      <c r="AX106" s="191"/>
      <c r="AY106" s="191"/>
      <c r="AZ106" s="191"/>
      <c r="BA106" s="191"/>
      <c r="BB106" s="254"/>
      <c r="BC106" s="258" t="str">
        <f ca="1">IF('Demand background (hide)'!A97=Num_Modalities,"",SUM(Demand!I106, Demand!N106, Demand!S106, Demand!X106, Demand!AC106, Demand!AH106, Demand!AM106, Demand!AR106, Demand!AW106, Demand!BB106))</f>
        <v/>
      </c>
      <c r="BD106" s="258"/>
      <c r="BE106" s="208"/>
    </row>
    <row r="107" spans="1:57" ht="15" x14ac:dyDescent="0.25">
      <c r="A107" t="str">
        <f t="shared" ca="1" si="2"/>
        <v/>
      </c>
      <c r="B107" s="263" t="str">
        <f t="shared" ca="1" si="3"/>
        <v xml:space="preserve"> </v>
      </c>
      <c r="C107" s="264"/>
      <c r="D107" s="264"/>
      <c r="E107" s="191"/>
      <c r="F107" s="191"/>
      <c r="G107" s="192"/>
      <c r="H107" s="191"/>
      <c r="I107" s="250"/>
      <c r="J107" s="191"/>
      <c r="K107" s="191"/>
      <c r="L107" s="191"/>
      <c r="M107" s="191"/>
      <c r="N107" s="254"/>
      <c r="O107" s="191"/>
      <c r="P107" s="191"/>
      <c r="Q107" s="191"/>
      <c r="R107" s="191"/>
      <c r="S107" s="254"/>
      <c r="T107" s="191"/>
      <c r="U107" s="191"/>
      <c r="V107" s="191"/>
      <c r="W107" s="191"/>
      <c r="X107" s="254"/>
      <c r="Y107" s="191"/>
      <c r="Z107" s="191"/>
      <c r="AA107" s="191"/>
      <c r="AB107" s="191"/>
      <c r="AC107" s="254"/>
      <c r="AD107" s="191"/>
      <c r="AE107" s="191"/>
      <c r="AF107" s="191"/>
      <c r="AG107" s="191"/>
      <c r="AH107" s="254"/>
      <c r="AI107" s="191"/>
      <c r="AJ107" s="191"/>
      <c r="AK107" s="191"/>
      <c r="AL107" s="191"/>
      <c r="AM107" s="254"/>
      <c r="AN107" s="191"/>
      <c r="AO107" s="191"/>
      <c r="AP107" s="191"/>
      <c r="AQ107" s="191"/>
      <c r="AR107" s="254"/>
      <c r="AS107" s="191"/>
      <c r="AT107" s="191"/>
      <c r="AU107" s="191"/>
      <c r="AV107" s="191"/>
      <c r="AW107" s="254"/>
      <c r="AX107" s="191"/>
      <c r="AY107" s="191"/>
      <c r="AZ107" s="191"/>
      <c r="BA107" s="191"/>
      <c r="BB107" s="254"/>
      <c r="BC107" s="258" t="str">
        <f ca="1">IF('Demand background (hide)'!A98=Num_Modalities,"",SUM(Demand!I107, Demand!N107, Demand!S107, Demand!X107, Demand!AC107, Demand!AH107, Demand!AM107, Demand!AR107, Demand!AW107, Demand!BB107))</f>
        <v/>
      </c>
      <c r="BD107" s="258"/>
      <c r="BE107" s="208"/>
    </row>
    <row r="108" spans="1:57" ht="15" x14ac:dyDescent="0.25">
      <c r="A108" t="str">
        <f t="shared" ca="1" si="2"/>
        <v/>
      </c>
      <c r="B108" s="263" t="str">
        <f t="shared" ca="1" si="3"/>
        <v xml:space="preserve"> </v>
      </c>
      <c r="C108" s="264"/>
      <c r="D108" s="264"/>
      <c r="E108" s="191"/>
      <c r="F108" s="191"/>
      <c r="G108" s="192"/>
      <c r="H108" s="191"/>
      <c r="I108" s="250"/>
      <c r="J108" s="191"/>
      <c r="K108" s="191"/>
      <c r="L108" s="191"/>
      <c r="M108" s="191"/>
      <c r="N108" s="254"/>
      <c r="O108" s="191"/>
      <c r="P108" s="191"/>
      <c r="Q108" s="191"/>
      <c r="R108" s="191"/>
      <c r="S108" s="254"/>
      <c r="T108" s="191"/>
      <c r="U108" s="191"/>
      <c r="V108" s="191"/>
      <c r="W108" s="191"/>
      <c r="X108" s="254"/>
      <c r="Y108" s="191"/>
      <c r="Z108" s="191"/>
      <c r="AA108" s="191"/>
      <c r="AB108" s="191"/>
      <c r="AC108" s="254"/>
      <c r="AD108" s="191"/>
      <c r="AE108" s="191"/>
      <c r="AF108" s="191"/>
      <c r="AG108" s="191"/>
      <c r="AH108" s="254"/>
      <c r="AI108" s="191"/>
      <c r="AJ108" s="191"/>
      <c r="AK108" s="191"/>
      <c r="AL108" s="191"/>
      <c r="AM108" s="254"/>
      <c r="AN108" s="191"/>
      <c r="AO108" s="191"/>
      <c r="AP108" s="191"/>
      <c r="AQ108" s="191"/>
      <c r="AR108" s="254"/>
      <c r="AS108" s="191"/>
      <c r="AT108" s="191"/>
      <c r="AU108" s="191"/>
      <c r="AV108" s="191"/>
      <c r="AW108" s="254"/>
      <c r="AX108" s="191"/>
      <c r="AY108" s="191"/>
      <c r="AZ108" s="191"/>
      <c r="BA108" s="191"/>
      <c r="BB108" s="254"/>
      <c r="BC108" s="258" t="str">
        <f ca="1">IF('Demand background (hide)'!A99=Num_Modalities,"",SUM(Demand!I108, Demand!N108, Demand!S108, Demand!X108, Demand!AC108, Demand!AH108, Demand!AM108, Demand!AR108, Demand!AW108, Demand!BB108))</f>
        <v/>
      </c>
      <c r="BD108" s="258"/>
      <c r="BE108" s="208"/>
    </row>
    <row r="109" spans="1:57" ht="15" x14ac:dyDescent="0.25">
      <c r="A109" t="str">
        <f t="shared" ca="1" si="2"/>
        <v/>
      </c>
      <c r="B109" s="263" t="str">
        <f t="shared" ca="1" si="3"/>
        <v xml:space="preserve"> </v>
      </c>
      <c r="C109" s="264"/>
      <c r="D109" s="264"/>
      <c r="E109" s="191"/>
      <c r="F109" s="191"/>
      <c r="G109" s="192"/>
      <c r="H109" s="191"/>
      <c r="I109" s="250"/>
      <c r="J109" s="191"/>
      <c r="K109" s="191"/>
      <c r="L109" s="191"/>
      <c r="M109" s="191"/>
      <c r="N109" s="254"/>
      <c r="O109" s="191"/>
      <c r="P109" s="191"/>
      <c r="Q109" s="191"/>
      <c r="R109" s="191"/>
      <c r="S109" s="254"/>
      <c r="T109" s="191"/>
      <c r="U109" s="191"/>
      <c r="V109" s="191"/>
      <c r="W109" s="191"/>
      <c r="X109" s="254"/>
      <c r="Y109" s="191"/>
      <c r="Z109" s="191"/>
      <c r="AA109" s="191"/>
      <c r="AB109" s="191"/>
      <c r="AC109" s="254"/>
      <c r="AD109" s="191"/>
      <c r="AE109" s="191"/>
      <c r="AF109" s="191"/>
      <c r="AG109" s="191"/>
      <c r="AH109" s="254"/>
      <c r="AI109" s="191"/>
      <c r="AJ109" s="191"/>
      <c r="AK109" s="191"/>
      <c r="AL109" s="191"/>
      <c r="AM109" s="254"/>
      <c r="AN109" s="191"/>
      <c r="AO109" s="191"/>
      <c r="AP109" s="191"/>
      <c r="AQ109" s="191"/>
      <c r="AR109" s="254"/>
      <c r="AS109" s="191"/>
      <c r="AT109" s="191"/>
      <c r="AU109" s="191"/>
      <c r="AV109" s="191"/>
      <c r="AW109" s="254"/>
      <c r="AX109" s="191"/>
      <c r="AY109" s="191"/>
      <c r="AZ109" s="191"/>
      <c r="BA109" s="191"/>
      <c r="BB109" s="254"/>
      <c r="BC109" s="258" t="str">
        <f ca="1">IF('Demand background (hide)'!A100=Num_Modalities,"",SUM(Demand!I109, Demand!N109, Demand!S109, Demand!X109, Demand!AC109, Demand!AH109, Demand!AM109, Demand!AR109, Demand!AW109, Demand!BB109))</f>
        <v/>
      </c>
      <c r="BD109" s="258"/>
      <c r="BE109" s="208"/>
    </row>
    <row r="110" spans="1:57" ht="15" x14ac:dyDescent="0.25">
      <c r="A110" t="str">
        <f t="shared" ca="1" si="2"/>
        <v/>
      </c>
      <c r="B110" s="263" t="str">
        <f t="shared" ca="1" si="3"/>
        <v xml:space="preserve"> </v>
      </c>
      <c r="C110" s="264"/>
      <c r="D110" s="264"/>
      <c r="E110" s="191"/>
      <c r="F110" s="191"/>
      <c r="G110" s="192"/>
      <c r="H110" s="191"/>
      <c r="I110" s="250"/>
      <c r="J110" s="191"/>
      <c r="K110" s="191"/>
      <c r="L110" s="191"/>
      <c r="M110" s="191"/>
      <c r="N110" s="254"/>
      <c r="O110" s="191"/>
      <c r="P110" s="191"/>
      <c r="Q110" s="191"/>
      <c r="R110" s="191"/>
      <c r="S110" s="254"/>
      <c r="T110" s="191"/>
      <c r="U110" s="191"/>
      <c r="V110" s="191"/>
      <c r="W110" s="191"/>
      <c r="X110" s="254"/>
      <c r="Y110" s="191"/>
      <c r="Z110" s="191"/>
      <c r="AA110" s="191"/>
      <c r="AB110" s="191"/>
      <c r="AC110" s="254"/>
      <c r="AD110" s="191"/>
      <c r="AE110" s="191"/>
      <c r="AF110" s="191"/>
      <c r="AG110" s="191"/>
      <c r="AH110" s="254"/>
      <c r="AI110" s="191"/>
      <c r="AJ110" s="191"/>
      <c r="AK110" s="191"/>
      <c r="AL110" s="191"/>
      <c r="AM110" s="254"/>
      <c r="AN110" s="191"/>
      <c r="AO110" s="191"/>
      <c r="AP110" s="191"/>
      <c r="AQ110" s="191"/>
      <c r="AR110" s="254"/>
      <c r="AS110" s="191"/>
      <c r="AT110" s="191"/>
      <c r="AU110" s="191"/>
      <c r="AV110" s="191"/>
      <c r="AW110" s="254"/>
      <c r="AX110" s="191"/>
      <c r="AY110" s="191"/>
      <c r="AZ110" s="191"/>
      <c r="BA110" s="191"/>
      <c r="BB110" s="254"/>
      <c r="BC110" s="258" t="str">
        <f ca="1">IF('Demand background (hide)'!A101=Num_Modalities,"",SUM(Demand!I110, Demand!N110, Demand!S110, Demand!X110, Demand!AC110, Demand!AH110, Demand!AM110, Demand!AR110, Demand!AW110, Demand!BB110))</f>
        <v/>
      </c>
      <c r="BD110" s="258"/>
      <c r="BE110" s="208"/>
    </row>
    <row r="111" spans="1:57" ht="15" x14ac:dyDescent="0.25">
      <c r="A111" t="str">
        <f t="shared" ca="1" si="2"/>
        <v/>
      </c>
      <c r="B111" s="263" t="str">
        <f t="shared" ca="1" si="3"/>
        <v xml:space="preserve"> </v>
      </c>
      <c r="C111" s="264"/>
      <c r="D111" s="264"/>
      <c r="E111" s="191"/>
      <c r="F111" s="191"/>
      <c r="G111" s="192"/>
      <c r="H111" s="191"/>
      <c r="I111" s="250"/>
      <c r="J111" s="191"/>
      <c r="K111" s="191"/>
      <c r="L111" s="191"/>
      <c r="M111" s="191"/>
      <c r="N111" s="254"/>
      <c r="O111" s="191"/>
      <c r="P111" s="191"/>
      <c r="Q111" s="191"/>
      <c r="R111" s="191"/>
      <c r="S111" s="254"/>
      <c r="T111" s="191"/>
      <c r="U111" s="191"/>
      <c r="V111" s="191"/>
      <c r="W111" s="191"/>
      <c r="X111" s="254"/>
      <c r="Y111" s="191"/>
      <c r="Z111" s="191"/>
      <c r="AA111" s="191"/>
      <c r="AB111" s="191"/>
      <c r="AC111" s="254"/>
      <c r="AD111" s="191"/>
      <c r="AE111" s="191"/>
      <c r="AF111" s="191"/>
      <c r="AG111" s="191"/>
      <c r="AH111" s="254"/>
      <c r="AI111" s="191"/>
      <c r="AJ111" s="191"/>
      <c r="AK111" s="191"/>
      <c r="AL111" s="191"/>
      <c r="AM111" s="254"/>
      <c r="AN111" s="191"/>
      <c r="AO111" s="191"/>
      <c r="AP111" s="191"/>
      <c r="AQ111" s="191"/>
      <c r="AR111" s="254"/>
      <c r="AS111" s="191"/>
      <c r="AT111" s="191"/>
      <c r="AU111" s="191"/>
      <c r="AV111" s="191"/>
      <c r="AW111" s="254"/>
      <c r="AX111" s="191"/>
      <c r="AY111" s="191"/>
      <c r="AZ111" s="191"/>
      <c r="BA111" s="191"/>
      <c r="BB111" s="254"/>
      <c r="BC111" s="258" t="str">
        <f ca="1">IF('Demand background (hide)'!A102=Num_Modalities,"",SUM(Demand!I111, Demand!N111, Demand!S111, Demand!X111, Demand!AC111, Demand!AH111, Demand!AM111, Demand!AR111, Demand!AW111, Demand!BB111))</f>
        <v/>
      </c>
      <c r="BD111" s="258"/>
      <c r="BE111" s="208"/>
    </row>
    <row r="112" spans="1:57" ht="15" x14ac:dyDescent="0.25">
      <c r="A112" t="str">
        <f t="shared" ca="1" si="2"/>
        <v/>
      </c>
      <c r="B112" s="263" t="str">
        <f t="shared" ca="1" si="3"/>
        <v xml:space="preserve"> </v>
      </c>
      <c r="C112" s="264"/>
      <c r="D112" s="264"/>
      <c r="E112" s="191"/>
      <c r="F112" s="191"/>
      <c r="G112" s="192"/>
      <c r="H112" s="191"/>
      <c r="I112" s="250"/>
      <c r="J112" s="191"/>
      <c r="K112" s="191"/>
      <c r="L112" s="191"/>
      <c r="M112" s="191"/>
      <c r="N112" s="254"/>
      <c r="O112" s="191"/>
      <c r="P112" s="191"/>
      <c r="Q112" s="191"/>
      <c r="R112" s="191"/>
      <c r="S112" s="254"/>
      <c r="T112" s="191"/>
      <c r="U112" s="191"/>
      <c r="V112" s="191"/>
      <c r="W112" s="191"/>
      <c r="X112" s="254"/>
      <c r="Y112" s="191"/>
      <c r="Z112" s="191"/>
      <c r="AA112" s="191"/>
      <c r="AB112" s="191"/>
      <c r="AC112" s="254"/>
      <c r="AD112" s="191"/>
      <c r="AE112" s="191"/>
      <c r="AF112" s="191"/>
      <c r="AG112" s="191"/>
      <c r="AH112" s="254"/>
      <c r="AI112" s="191"/>
      <c r="AJ112" s="191"/>
      <c r="AK112" s="191"/>
      <c r="AL112" s="191"/>
      <c r="AM112" s="254"/>
      <c r="AN112" s="191"/>
      <c r="AO112" s="191"/>
      <c r="AP112" s="191"/>
      <c r="AQ112" s="191"/>
      <c r="AR112" s="254"/>
      <c r="AS112" s="191"/>
      <c r="AT112" s="191"/>
      <c r="AU112" s="191"/>
      <c r="AV112" s="191"/>
      <c r="AW112" s="254"/>
      <c r="AX112" s="191"/>
      <c r="AY112" s="191"/>
      <c r="AZ112" s="191"/>
      <c r="BA112" s="191"/>
      <c r="BB112" s="254"/>
      <c r="BC112" s="258" t="str">
        <f ca="1">IF('Demand background (hide)'!A103=Num_Modalities,"",SUM(Demand!I112, Demand!N112, Demand!S112, Demand!X112, Demand!AC112, Demand!AH112, Demand!AM112, Demand!AR112, Demand!AW112, Demand!BB112))</f>
        <v/>
      </c>
      <c r="BD112" s="258"/>
      <c r="BE112" s="208"/>
    </row>
    <row r="113" spans="1:59" ht="15" x14ac:dyDescent="0.25">
      <c r="A113" t="str">
        <f t="shared" ca="1" si="2"/>
        <v/>
      </c>
      <c r="B113" s="263" t="str">
        <f t="shared" ca="1" si="3"/>
        <v xml:space="preserve"> </v>
      </c>
      <c r="C113" s="264"/>
      <c r="D113" s="264"/>
      <c r="E113" s="191"/>
      <c r="F113" s="191"/>
      <c r="G113" s="192"/>
      <c r="H113" s="191"/>
      <c r="I113" s="250"/>
      <c r="J113" s="191"/>
      <c r="K113" s="191"/>
      <c r="L113" s="191"/>
      <c r="M113" s="191"/>
      <c r="N113" s="254"/>
      <c r="O113" s="191"/>
      <c r="P113" s="191"/>
      <c r="Q113" s="191"/>
      <c r="R113" s="191"/>
      <c r="S113" s="254"/>
      <c r="T113" s="191"/>
      <c r="U113" s="191"/>
      <c r="V113" s="191"/>
      <c r="W113" s="191"/>
      <c r="X113" s="254"/>
      <c r="Y113" s="191"/>
      <c r="Z113" s="191"/>
      <c r="AA113" s="191"/>
      <c r="AB113" s="191"/>
      <c r="AC113" s="254"/>
      <c r="AD113" s="191"/>
      <c r="AE113" s="191"/>
      <c r="AF113" s="191"/>
      <c r="AG113" s="191"/>
      <c r="AH113" s="254"/>
      <c r="AI113" s="191"/>
      <c r="AJ113" s="191"/>
      <c r="AK113" s="191"/>
      <c r="AL113" s="191"/>
      <c r="AM113" s="254"/>
      <c r="AN113" s="191"/>
      <c r="AO113" s="191"/>
      <c r="AP113" s="191"/>
      <c r="AQ113" s="191"/>
      <c r="AR113" s="254"/>
      <c r="AS113" s="191"/>
      <c r="AT113" s="191"/>
      <c r="AU113" s="191"/>
      <c r="AV113" s="191"/>
      <c r="AW113" s="254"/>
      <c r="AX113" s="191"/>
      <c r="AY113" s="191"/>
      <c r="AZ113" s="191"/>
      <c r="BA113" s="191"/>
      <c r="BB113" s="254"/>
      <c r="BC113" s="258" t="str">
        <f ca="1">IF('Demand background (hide)'!A104=Num_Modalities,"",SUM(Demand!I113, Demand!N113, Demand!S113, Demand!X113, Demand!AC113, Demand!AH113, Demand!AM113, Demand!AR113, Demand!AW113, Demand!BB113))</f>
        <v/>
      </c>
      <c r="BD113" s="258"/>
      <c r="BE113" s="208"/>
    </row>
    <row r="114" spans="1:59" ht="15" x14ac:dyDescent="0.25">
      <c r="A114" t="str">
        <f t="shared" ca="1" si="2"/>
        <v/>
      </c>
      <c r="B114" s="263" t="str">
        <f t="shared" ca="1" si="3"/>
        <v xml:space="preserve"> </v>
      </c>
      <c r="C114" s="264"/>
      <c r="D114" s="264"/>
      <c r="E114" s="191"/>
      <c r="F114" s="191"/>
      <c r="G114" s="192"/>
      <c r="H114" s="191"/>
      <c r="I114" s="250"/>
      <c r="J114" s="191"/>
      <c r="K114" s="191"/>
      <c r="L114" s="191"/>
      <c r="M114" s="191"/>
      <c r="N114" s="254"/>
      <c r="O114" s="191"/>
      <c r="P114" s="191"/>
      <c r="Q114" s="191"/>
      <c r="R114" s="191"/>
      <c r="S114" s="254"/>
      <c r="T114" s="191"/>
      <c r="U114" s="191"/>
      <c r="V114" s="191"/>
      <c r="W114" s="191"/>
      <c r="X114" s="254"/>
      <c r="Y114" s="191"/>
      <c r="Z114" s="191"/>
      <c r="AA114" s="191"/>
      <c r="AB114" s="191"/>
      <c r="AC114" s="254"/>
      <c r="AD114" s="191"/>
      <c r="AE114" s="191"/>
      <c r="AF114" s="191"/>
      <c r="AG114" s="191"/>
      <c r="AH114" s="254"/>
      <c r="AI114" s="191"/>
      <c r="AJ114" s="191"/>
      <c r="AK114" s="191"/>
      <c r="AL114" s="191"/>
      <c r="AM114" s="254"/>
      <c r="AN114" s="191"/>
      <c r="AO114" s="191"/>
      <c r="AP114" s="191"/>
      <c r="AQ114" s="191"/>
      <c r="AR114" s="254"/>
      <c r="AS114" s="191"/>
      <c r="AT114" s="191"/>
      <c r="AU114" s="191"/>
      <c r="AV114" s="191"/>
      <c r="AW114" s="254"/>
      <c r="AX114" s="191"/>
      <c r="AY114" s="191"/>
      <c r="AZ114" s="191"/>
      <c r="BA114" s="191"/>
      <c r="BB114" s="254"/>
      <c r="BC114" s="258" t="str">
        <f ca="1">IF('Demand background (hide)'!A105=Num_Modalities,"",SUM(Demand!I114, Demand!N114, Demand!S114, Demand!X114, Demand!AC114, Demand!AH114, Demand!AM114, Demand!AR114, Demand!AW114, Demand!BB114))</f>
        <v/>
      </c>
      <c r="BD114" s="258"/>
      <c r="BE114" s="208"/>
    </row>
    <row r="115" spans="1:59" ht="15" x14ac:dyDescent="0.25">
      <c r="A115" t="str">
        <f t="shared" ca="1" si="2"/>
        <v/>
      </c>
      <c r="B115" s="263" t="str">
        <f t="shared" ca="1" si="3"/>
        <v xml:space="preserve"> </v>
      </c>
      <c r="C115" s="264"/>
      <c r="D115" s="264"/>
      <c r="E115" s="191"/>
      <c r="F115" s="191"/>
      <c r="G115" s="192"/>
      <c r="H115" s="191"/>
      <c r="I115" s="250"/>
      <c r="J115" s="191"/>
      <c r="K115" s="191"/>
      <c r="L115" s="191"/>
      <c r="M115" s="191"/>
      <c r="N115" s="254"/>
      <c r="O115" s="191"/>
      <c r="P115" s="191"/>
      <c r="Q115" s="191"/>
      <c r="R115" s="191"/>
      <c r="S115" s="254"/>
      <c r="T115" s="191"/>
      <c r="U115" s="191"/>
      <c r="V115" s="191"/>
      <c r="W115" s="191"/>
      <c r="X115" s="254"/>
      <c r="Y115" s="191"/>
      <c r="Z115" s="191"/>
      <c r="AA115" s="191"/>
      <c r="AB115" s="191"/>
      <c r="AC115" s="254"/>
      <c r="AD115" s="191"/>
      <c r="AE115" s="191"/>
      <c r="AF115" s="191"/>
      <c r="AG115" s="191"/>
      <c r="AH115" s="254"/>
      <c r="AI115" s="191"/>
      <c r="AJ115" s="191"/>
      <c r="AK115" s="191"/>
      <c r="AL115" s="191"/>
      <c r="AM115" s="254"/>
      <c r="AN115" s="191"/>
      <c r="AO115" s="191"/>
      <c r="AP115" s="191"/>
      <c r="AQ115" s="191"/>
      <c r="AR115" s="254"/>
      <c r="AS115" s="191"/>
      <c r="AT115" s="191"/>
      <c r="AU115" s="191"/>
      <c r="AV115" s="191"/>
      <c r="AW115" s="254"/>
      <c r="AX115" s="191"/>
      <c r="AY115" s="191"/>
      <c r="AZ115" s="191"/>
      <c r="BA115" s="191"/>
      <c r="BB115" s="254"/>
      <c r="BC115" s="258" t="str">
        <f ca="1">IF('Demand background (hide)'!A106=Num_Modalities,"",SUM(Demand!I115, Demand!N115, Demand!S115, Demand!X115, Demand!AC115, Demand!AH115, Demand!AM115, Demand!AR115, Demand!AW115, Demand!BB115))</f>
        <v/>
      </c>
      <c r="BD115" s="258"/>
      <c r="BE115" s="208"/>
    </row>
    <row r="116" spans="1:59" ht="15" x14ac:dyDescent="0.25">
      <c r="A116" t="str">
        <f t="shared" ca="1" si="2"/>
        <v/>
      </c>
      <c r="B116" s="263" t="str">
        <f t="shared" ca="1" si="3"/>
        <v xml:space="preserve"> </v>
      </c>
      <c r="C116" s="264"/>
      <c r="D116" s="264"/>
      <c r="E116" s="191"/>
      <c r="F116" s="191"/>
      <c r="G116" s="192"/>
      <c r="H116" s="191"/>
      <c r="I116" s="250"/>
      <c r="J116" s="191"/>
      <c r="K116" s="191"/>
      <c r="L116" s="191"/>
      <c r="M116" s="191"/>
      <c r="N116" s="254"/>
      <c r="O116" s="191"/>
      <c r="P116" s="191"/>
      <c r="Q116" s="191"/>
      <c r="R116" s="191"/>
      <c r="S116" s="254"/>
      <c r="T116" s="191"/>
      <c r="U116" s="191"/>
      <c r="V116" s="191"/>
      <c r="W116" s="191"/>
      <c r="X116" s="254"/>
      <c r="Y116" s="191"/>
      <c r="Z116" s="191"/>
      <c r="AA116" s="191"/>
      <c r="AB116" s="191"/>
      <c r="AC116" s="254"/>
      <c r="AD116" s="191"/>
      <c r="AE116" s="191"/>
      <c r="AF116" s="191"/>
      <c r="AG116" s="191"/>
      <c r="AH116" s="254"/>
      <c r="AI116" s="191"/>
      <c r="AJ116" s="191"/>
      <c r="AK116" s="191"/>
      <c r="AL116" s="191"/>
      <c r="AM116" s="254"/>
      <c r="AN116" s="191"/>
      <c r="AO116" s="191"/>
      <c r="AP116" s="191"/>
      <c r="AQ116" s="191"/>
      <c r="AR116" s="254"/>
      <c r="AS116" s="191"/>
      <c r="AT116" s="191"/>
      <c r="AU116" s="191"/>
      <c r="AV116" s="191"/>
      <c r="AW116" s="254"/>
      <c r="AX116" s="191"/>
      <c r="AY116" s="191"/>
      <c r="AZ116" s="191"/>
      <c r="BA116" s="191"/>
      <c r="BB116" s="254"/>
      <c r="BC116" s="258" t="str">
        <f ca="1">IF('Demand background (hide)'!A107=Num_Modalities,"",SUM(Demand!I116, Demand!N116, Demand!S116, Demand!X116, Demand!AC116, Demand!AH116, Demand!AM116, Demand!AR116, Demand!AW116, Demand!BB116))</f>
        <v/>
      </c>
      <c r="BD116" s="258"/>
      <c r="BE116" s="208"/>
    </row>
    <row r="117" spans="1:59" ht="15" x14ac:dyDescent="0.25">
      <c r="A117" t="str">
        <f t="shared" ca="1" si="2"/>
        <v/>
      </c>
      <c r="B117" s="263" t="str">
        <f t="shared" ca="1" si="3"/>
        <v xml:space="preserve"> </v>
      </c>
      <c r="C117" s="264"/>
      <c r="D117" s="264"/>
      <c r="E117" s="191"/>
      <c r="F117" s="191"/>
      <c r="G117" s="191"/>
      <c r="H117" s="191"/>
      <c r="I117" s="250"/>
      <c r="J117" s="191"/>
      <c r="K117" s="191"/>
      <c r="L117" s="191"/>
      <c r="M117" s="191"/>
      <c r="N117" s="254"/>
      <c r="O117" s="191"/>
      <c r="P117" s="191"/>
      <c r="Q117" s="191"/>
      <c r="R117" s="191"/>
      <c r="S117" s="254"/>
      <c r="T117" s="191"/>
      <c r="U117" s="191"/>
      <c r="V117" s="191"/>
      <c r="W117" s="191"/>
      <c r="X117" s="254"/>
      <c r="Y117" s="191"/>
      <c r="Z117" s="191"/>
      <c r="AA117" s="191"/>
      <c r="AB117" s="191"/>
      <c r="AC117" s="254"/>
      <c r="AD117" s="191"/>
      <c r="AE117" s="191"/>
      <c r="AF117" s="191"/>
      <c r="AG117" s="191"/>
      <c r="AH117" s="254"/>
      <c r="AI117" s="191"/>
      <c r="AJ117" s="191"/>
      <c r="AK117" s="191"/>
      <c r="AL117" s="191"/>
      <c r="AM117" s="254"/>
      <c r="AN117" s="191"/>
      <c r="AO117" s="191"/>
      <c r="AP117" s="191"/>
      <c r="AQ117" s="191"/>
      <c r="AR117" s="254"/>
      <c r="AS117" s="191"/>
      <c r="AT117" s="191"/>
      <c r="AU117" s="191"/>
      <c r="AV117" s="191"/>
      <c r="AW117" s="254"/>
      <c r="AX117" s="191"/>
      <c r="AY117" s="191"/>
      <c r="AZ117" s="191"/>
      <c r="BA117" s="191"/>
      <c r="BB117" s="254"/>
      <c r="BC117" s="258" t="str">
        <f ca="1">IF('Demand background (hide)'!A108=Num_Modalities,"",SUM(Demand!I117, Demand!N117, Demand!S117, Demand!X117, Demand!AC117, Demand!AH117, Demand!AM117, Demand!AR117, Demand!AW117, Demand!BB117))</f>
        <v/>
      </c>
      <c r="BD117" s="258"/>
      <c r="BE117" s="208"/>
      <c r="BG117" s="50"/>
    </row>
    <row r="118" spans="1:59" ht="15" x14ac:dyDescent="0.25">
      <c r="A118" t="str">
        <f t="shared" ca="1" si="2"/>
        <v/>
      </c>
      <c r="B118" s="263" t="str">
        <f t="shared" ca="1" si="3"/>
        <v xml:space="preserve"> </v>
      </c>
      <c r="C118" s="264"/>
      <c r="D118" s="264"/>
      <c r="E118" s="191"/>
      <c r="F118" s="191"/>
      <c r="G118" s="191"/>
      <c r="H118" s="191"/>
      <c r="I118" s="250"/>
      <c r="J118" s="191"/>
      <c r="K118" s="191"/>
      <c r="L118" s="191"/>
      <c r="M118" s="191"/>
      <c r="N118" s="254"/>
      <c r="O118" s="191"/>
      <c r="P118" s="191"/>
      <c r="Q118" s="191"/>
      <c r="R118" s="191"/>
      <c r="S118" s="254"/>
      <c r="T118" s="191"/>
      <c r="U118" s="191"/>
      <c r="V118" s="191"/>
      <c r="W118" s="191"/>
      <c r="X118" s="254"/>
      <c r="Y118" s="191"/>
      <c r="Z118" s="191"/>
      <c r="AA118" s="191"/>
      <c r="AB118" s="191"/>
      <c r="AC118" s="254"/>
      <c r="AD118" s="191"/>
      <c r="AE118" s="191"/>
      <c r="AF118" s="191"/>
      <c r="AG118" s="191"/>
      <c r="AH118" s="254"/>
      <c r="AI118" s="191"/>
      <c r="AJ118" s="191"/>
      <c r="AK118" s="191"/>
      <c r="AL118" s="191"/>
      <c r="AM118" s="254"/>
      <c r="AN118" s="191"/>
      <c r="AO118" s="191"/>
      <c r="AP118" s="191"/>
      <c r="AQ118" s="191"/>
      <c r="AR118" s="254"/>
      <c r="AS118" s="191"/>
      <c r="AT118" s="191"/>
      <c r="AU118" s="191"/>
      <c r="AV118" s="191"/>
      <c r="AW118" s="254"/>
      <c r="AX118" s="191"/>
      <c r="AY118" s="191"/>
      <c r="AZ118" s="191"/>
      <c r="BA118" s="191"/>
      <c r="BB118" s="254"/>
      <c r="BC118" s="258" t="str">
        <f ca="1">IF('Demand background (hide)'!A109=Num_Modalities,"",SUM(Demand!I118, Demand!N118, Demand!S118, Demand!X118, Demand!AC118, Demand!AH118, Demand!AM118, Demand!AR118, Demand!AW118, Demand!BB118))</f>
        <v/>
      </c>
      <c r="BD118" s="258"/>
      <c r="BE118" s="208"/>
    </row>
    <row r="119" spans="1:59" ht="15" x14ac:dyDescent="0.25">
      <c r="A119" t="str">
        <f t="shared" ca="1" si="2"/>
        <v/>
      </c>
      <c r="B119" s="263" t="str">
        <f t="shared" ca="1" si="3"/>
        <v xml:space="preserve"> </v>
      </c>
      <c r="C119" s="264"/>
      <c r="D119" s="264"/>
      <c r="E119" s="191"/>
      <c r="F119" s="191"/>
      <c r="G119" s="191"/>
      <c r="H119" s="191"/>
      <c r="I119" s="250"/>
      <c r="J119" s="191"/>
      <c r="K119" s="191"/>
      <c r="L119" s="191"/>
      <c r="M119" s="191"/>
      <c r="N119" s="254"/>
      <c r="O119" s="191"/>
      <c r="P119" s="191"/>
      <c r="Q119" s="191"/>
      <c r="R119" s="191"/>
      <c r="S119" s="254"/>
      <c r="T119" s="191"/>
      <c r="U119" s="191"/>
      <c r="V119" s="191"/>
      <c r="W119" s="191"/>
      <c r="X119" s="254"/>
      <c r="Y119" s="191"/>
      <c r="Z119" s="191"/>
      <c r="AA119" s="191"/>
      <c r="AB119" s="191"/>
      <c r="AC119" s="254"/>
      <c r="AD119" s="191"/>
      <c r="AE119" s="191"/>
      <c r="AF119" s="191"/>
      <c r="AG119" s="191"/>
      <c r="AH119" s="254"/>
      <c r="AI119" s="191"/>
      <c r="AJ119" s="191"/>
      <c r="AK119" s="191"/>
      <c r="AL119" s="191"/>
      <c r="AM119" s="254"/>
      <c r="AN119" s="191"/>
      <c r="AO119" s="191"/>
      <c r="AP119" s="191"/>
      <c r="AQ119" s="191"/>
      <c r="AR119" s="254"/>
      <c r="AS119" s="191"/>
      <c r="AT119" s="191"/>
      <c r="AU119" s="191"/>
      <c r="AV119" s="191"/>
      <c r="AW119" s="254"/>
      <c r="AX119" s="191"/>
      <c r="AY119" s="191"/>
      <c r="AZ119" s="191"/>
      <c r="BA119" s="191"/>
      <c r="BB119" s="254"/>
      <c r="BC119" s="258" t="str">
        <f ca="1">IF('Demand background (hide)'!A110=Num_Modalities,"",SUM(Demand!I119, Demand!N119, Demand!S119, Demand!X119, Demand!AC119, Demand!AH119, Demand!AM119, Demand!AR119, Demand!AW119, Demand!BB119))</f>
        <v/>
      </c>
      <c r="BD119" s="258"/>
      <c r="BE119" s="208"/>
    </row>
    <row r="120" spans="1:59" ht="15" x14ac:dyDescent="0.25">
      <c r="A120" t="str">
        <f t="shared" ca="1" si="2"/>
        <v/>
      </c>
      <c r="B120" s="263" t="str">
        <f t="shared" ca="1" si="3"/>
        <v xml:space="preserve"> </v>
      </c>
      <c r="C120" s="264"/>
      <c r="D120" s="264"/>
      <c r="E120" s="191"/>
      <c r="F120" s="191"/>
      <c r="G120" s="191"/>
      <c r="H120" s="191"/>
      <c r="I120" s="250"/>
      <c r="J120" s="191"/>
      <c r="K120" s="191"/>
      <c r="L120" s="191"/>
      <c r="M120" s="191"/>
      <c r="N120" s="254"/>
      <c r="O120" s="191"/>
      <c r="P120" s="191"/>
      <c r="Q120" s="191"/>
      <c r="R120" s="191"/>
      <c r="S120" s="254"/>
      <c r="T120" s="191"/>
      <c r="U120" s="191"/>
      <c r="V120" s="191"/>
      <c r="W120" s="191"/>
      <c r="X120" s="254"/>
      <c r="Y120" s="191"/>
      <c r="Z120" s="191"/>
      <c r="AA120" s="191"/>
      <c r="AB120" s="191"/>
      <c r="AC120" s="254"/>
      <c r="AD120" s="191"/>
      <c r="AE120" s="191"/>
      <c r="AF120" s="191"/>
      <c r="AG120" s="191"/>
      <c r="AH120" s="254"/>
      <c r="AI120" s="191"/>
      <c r="AJ120" s="191"/>
      <c r="AK120" s="191"/>
      <c r="AL120" s="191"/>
      <c r="AM120" s="254"/>
      <c r="AN120" s="191"/>
      <c r="AO120" s="191"/>
      <c r="AP120" s="191"/>
      <c r="AQ120" s="191"/>
      <c r="AR120" s="254"/>
      <c r="AS120" s="191"/>
      <c r="AT120" s="191"/>
      <c r="AU120" s="191"/>
      <c r="AV120" s="191"/>
      <c r="AW120" s="254"/>
      <c r="AX120" s="191"/>
      <c r="AY120" s="191"/>
      <c r="AZ120" s="191"/>
      <c r="BA120" s="191"/>
      <c r="BB120" s="254"/>
      <c r="BC120" s="258" t="str">
        <f ca="1">IF('Demand background (hide)'!A111=Num_Modalities,"",SUM(Demand!I120, Demand!N120, Demand!S120, Demand!X120, Demand!AC120, Demand!AH120, Demand!AM120, Demand!AR120, Demand!AW120, Demand!BB120))</f>
        <v/>
      </c>
      <c r="BD120" s="258"/>
      <c r="BE120" s="208"/>
    </row>
    <row r="121" spans="1:59" ht="15" x14ac:dyDescent="0.25">
      <c r="A121" t="str">
        <f t="shared" ca="1" si="2"/>
        <v/>
      </c>
      <c r="B121" s="263" t="str">
        <f t="shared" ca="1" si="3"/>
        <v xml:space="preserve"> </v>
      </c>
      <c r="C121" s="264"/>
      <c r="D121" s="264"/>
      <c r="E121" s="191"/>
      <c r="F121" s="191"/>
      <c r="G121" s="191"/>
      <c r="H121" s="191"/>
      <c r="I121" s="250"/>
      <c r="J121" s="191"/>
      <c r="K121" s="191"/>
      <c r="L121" s="191"/>
      <c r="M121" s="191"/>
      <c r="N121" s="254"/>
      <c r="O121" s="191"/>
      <c r="P121" s="191"/>
      <c r="Q121" s="191"/>
      <c r="R121" s="191"/>
      <c r="S121" s="254"/>
      <c r="T121" s="191"/>
      <c r="U121" s="191"/>
      <c r="V121" s="191"/>
      <c r="W121" s="191"/>
      <c r="X121" s="254"/>
      <c r="Y121" s="191"/>
      <c r="Z121" s="191"/>
      <c r="AA121" s="191"/>
      <c r="AB121" s="191"/>
      <c r="AC121" s="254"/>
      <c r="AD121" s="191"/>
      <c r="AE121" s="191"/>
      <c r="AF121" s="191"/>
      <c r="AG121" s="191"/>
      <c r="AH121" s="254"/>
      <c r="AI121" s="191"/>
      <c r="AJ121" s="191"/>
      <c r="AK121" s="191"/>
      <c r="AL121" s="191"/>
      <c r="AM121" s="254"/>
      <c r="AN121" s="191"/>
      <c r="AO121" s="191"/>
      <c r="AP121" s="191"/>
      <c r="AQ121" s="191"/>
      <c r="AR121" s="254"/>
      <c r="AS121" s="191"/>
      <c r="AT121" s="191"/>
      <c r="AU121" s="191"/>
      <c r="AV121" s="191"/>
      <c r="AW121" s="254"/>
      <c r="AX121" s="191"/>
      <c r="AY121" s="191"/>
      <c r="AZ121" s="191"/>
      <c r="BA121" s="191"/>
      <c r="BB121" s="254"/>
      <c r="BC121" s="258" t="str">
        <f ca="1">IF('Demand background (hide)'!A112=Num_Modalities,"",SUM(Demand!I121, Demand!N121, Demand!S121, Demand!X121, Demand!AC121, Demand!AH121, Demand!AM121, Demand!AR121, Demand!AW121, Demand!BB121))</f>
        <v/>
      </c>
      <c r="BD121" s="258"/>
      <c r="BE121" s="208"/>
    </row>
    <row r="122" spans="1:59" ht="15" x14ac:dyDescent="0.25">
      <c r="A122" t="str">
        <f t="shared" ca="1" si="2"/>
        <v/>
      </c>
      <c r="B122" s="263" t="str">
        <f t="shared" ca="1" si="3"/>
        <v xml:space="preserve"> </v>
      </c>
      <c r="C122" s="264"/>
      <c r="D122" s="264"/>
      <c r="E122" s="191"/>
      <c r="F122" s="191"/>
      <c r="G122" s="191"/>
      <c r="H122" s="191"/>
      <c r="I122" s="250"/>
      <c r="J122" s="191"/>
      <c r="K122" s="191"/>
      <c r="L122" s="191"/>
      <c r="M122" s="191"/>
      <c r="N122" s="254"/>
      <c r="O122" s="191"/>
      <c r="P122" s="191"/>
      <c r="Q122" s="191"/>
      <c r="R122" s="191"/>
      <c r="S122" s="254"/>
      <c r="T122" s="191"/>
      <c r="U122" s="191"/>
      <c r="V122" s="191"/>
      <c r="W122" s="191"/>
      <c r="X122" s="254"/>
      <c r="Y122" s="191"/>
      <c r="Z122" s="191"/>
      <c r="AA122" s="191"/>
      <c r="AB122" s="191"/>
      <c r="AC122" s="254"/>
      <c r="AD122" s="191"/>
      <c r="AE122" s="191"/>
      <c r="AF122" s="191"/>
      <c r="AG122" s="191"/>
      <c r="AH122" s="254"/>
      <c r="AI122" s="191"/>
      <c r="AJ122" s="191"/>
      <c r="AK122" s="191"/>
      <c r="AL122" s="191"/>
      <c r="AM122" s="254"/>
      <c r="AN122" s="191"/>
      <c r="AO122" s="191"/>
      <c r="AP122" s="191"/>
      <c r="AQ122" s="191"/>
      <c r="AR122" s="254"/>
      <c r="AS122" s="191"/>
      <c r="AT122" s="191"/>
      <c r="AU122" s="191"/>
      <c r="AV122" s="191"/>
      <c r="AW122" s="254"/>
      <c r="AX122" s="191"/>
      <c r="AY122" s="191"/>
      <c r="AZ122" s="191"/>
      <c r="BA122" s="191"/>
      <c r="BB122" s="254"/>
      <c r="BC122" s="258" t="str">
        <f ca="1">IF('Demand background (hide)'!A113=Num_Modalities,"",SUM(Demand!I122, Demand!N122, Demand!S122, Demand!X122, Demand!AC122, Demand!AH122, Demand!AM122, Demand!AR122, Demand!AW122, Demand!BB122))</f>
        <v/>
      </c>
      <c r="BD122" s="258"/>
      <c r="BE122" s="208"/>
    </row>
    <row r="123" spans="1:59" ht="15" x14ac:dyDescent="0.25">
      <c r="A123" t="str">
        <f t="shared" ca="1" si="2"/>
        <v/>
      </c>
      <c r="B123" s="263" t="str">
        <f t="shared" ca="1" si="3"/>
        <v xml:space="preserve"> </v>
      </c>
      <c r="C123" s="264"/>
      <c r="D123" s="264"/>
      <c r="E123" s="191"/>
      <c r="F123" s="191"/>
      <c r="G123" s="191"/>
      <c r="H123" s="191"/>
      <c r="I123" s="250"/>
      <c r="J123" s="191"/>
      <c r="K123" s="191"/>
      <c r="L123" s="191"/>
      <c r="M123" s="191"/>
      <c r="N123" s="254"/>
      <c r="O123" s="191"/>
      <c r="P123" s="191"/>
      <c r="Q123" s="191"/>
      <c r="R123" s="191"/>
      <c r="S123" s="254"/>
      <c r="T123" s="191"/>
      <c r="U123" s="191"/>
      <c r="V123" s="191"/>
      <c r="W123" s="191"/>
      <c r="X123" s="254"/>
      <c r="Y123" s="191"/>
      <c r="Z123" s="191"/>
      <c r="AA123" s="191"/>
      <c r="AB123" s="191"/>
      <c r="AC123" s="254"/>
      <c r="AD123" s="191"/>
      <c r="AE123" s="191"/>
      <c r="AF123" s="191"/>
      <c r="AG123" s="191"/>
      <c r="AH123" s="254"/>
      <c r="AI123" s="191"/>
      <c r="AJ123" s="191"/>
      <c r="AK123" s="191"/>
      <c r="AL123" s="191"/>
      <c r="AM123" s="254"/>
      <c r="AN123" s="191"/>
      <c r="AO123" s="191"/>
      <c r="AP123" s="191"/>
      <c r="AQ123" s="191"/>
      <c r="AR123" s="254"/>
      <c r="AS123" s="191"/>
      <c r="AT123" s="191"/>
      <c r="AU123" s="191"/>
      <c r="AV123" s="191"/>
      <c r="AW123" s="254"/>
      <c r="AX123" s="191"/>
      <c r="AY123" s="191"/>
      <c r="AZ123" s="191"/>
      <c r="BA123" s="191"/>
      <c r="BB123" s="254"/>
      <c r="BC123" s="258" t="str">
        <f ca="1">IF('Demand background (hide)'!A114=Num_Modalities,"",SUM(Demand!I123, Demand!N123, Demand!S123, Demand!X123, Demand!AC123, Demand!AH123, Demand!AM123, Demand!AR123, Demand!AW123, Demand!BB123))</f>
        <v/>
      </c>
      <c r="BD123" s="258"/>
      <c r="BE123" s="208"/>
    </row>
    <row r="124" spans="1:59" ht="15" x14ac:dyDescent="0.25">
      <c r="A124" t="str">
        <f t="shared" ca="1" si="2"/>
        <v/>
      </c>
      <c r="B124" s="263" t="str">
        <f t="shared" ca="1" si="3"/>
        <v xml:space="preserve"> </v>
      </c>
      <c r="C124" s="264"/>
      <c r="D124" s="264"/>
      <c r="E124" s="191"/>
      <c r="F124" s="191"/>
      <c r="G124" s="191"/>
      <c r="H124" s="191"/>
      <c r="I124" s="250"/>
      <c r="J124" s="191"/>
      <c r="K124" s="191"/>
      <c r="L124" s="191"/>
      <c r="M124" s="191"/>
      <c r="N124" s="254"/>
      <c r="O124" s="191"/>
      <c r="P124" s="191"/>
      <c r="Q124" s="191"/>
      <c r="R124" s="191"/>
      <c r="S124" s="254"/>
      <c r="T124" s="191"/>
      <c r="U124" s="191"/>
      <c r="V124" s="191"/>
      <c r="W124" s="191"/>
      <c r="X124" s="254"/>
      <c r="Y124" s="191"/>
      <c r="Z124" s="191"/>
      <c r="AA124" s="191"/>
      <c r="AB124" s="191"/>
      <c r="AC124" s="254"/>
      <c r="AD124" s="191"/>
      <c r="AE124" s="191"/>
      <c r="AF124" s="191"/>
      <c r="AG124" s="191"/>
      <c r="AH124" s="254"/>
      <c r="AI124" s="191"/>
      <c r="AJ124" s="191"/>
      <c r="AK124" s="191"/>
      <c r="AL124" s="191"/>
      <c r="AM124" s="254"/>
      <c r="AN124" s="191"/>
      <c r="AO124" s="191"/>
      <c r="AP124" s="191"/>
      <c r="AQ124" s="191"/>
      <c r="AR124" s="254"/>
      <c r="AS124" s="191"/>
      <c r="AT124" s="191"/>
      <c r="AU124" s="191"/>
      <c r="AV124" s="191"/>
      <c r="AW124" s="254"/>
      <c r="AX124" s="191"/>
      <c r="AY124" s="191"/>
      <c r="AZ124" s="191"/>
      <c r="BA124" s="191"/>
      <c r="BB124" s="254"/>
      <c r="BC124" s="258" t="str">
        <f ca="1">IF('Demand background (hide)'!A115=Num_Modalities,"",SUM(Demand!I124, Demand!N124, Demand!S124, Demand!X124, Demand!AC124, Demand!AH124, Demand!AM124, Demand!AR124, Demand!AW124, Demand!BB124))</f>
        <v/>
      </c>
      <c r="BD124" s="258"/>
      <c r="BE124" s="208"/>
    </row>
    <row r="125" spans="1:59" ht="15" x14ac:dyDescent="0.25">
      <c r="A125" t="str">
        <f t="shared" ca="1" si="2"/>
        <v/>
      </c>
      <c r="B125" s="263" t="str">
        <f t="shared" ca="1" si="3"/>
        <v xml:space="preserve"> </v>
      </c>
      <c r="C125" s="264"/>
      <c r="D125" s="264"/>
      <c r="E125" s="191"/>
      <c r="F125" s="191"/>
      <c r="G125" s="191"/>
      <c r="H125" s="191"/>
      <c r="I125" s="250"/>
      <c r="J125" s="191"/>
      <c r="K125" s="191"/>
      <c r="L125" s="191"/>
      <c r="M125" s="191"/>
      <c r="N125" s="254"/>
      <c r="O125" s="191"/>
      <c r="P125" s="191"/>
      <c r="Q125" s="191"/>
      <c r="R125" s="191"/>
      <c r="S125" s="254"/>
      <c r="T125" s="191"/>
      <c r="U125" s="191"/>
      <c r="V125" s="191"/>
      <c r="W125" s="191"/>
      <c r="X125" s="254"/>
      <c r="Y125" s="191"/>
      <c r="Z125" s="191"/>
      <c r="AA125" s="191"/>
      <c r="AB125" s="191"/>
      <c r="AC125" s="254"/>
      <c r="AD125" s="191"/>
      <c r="AE125" s="191"/>
      <c r="AF125" s="191"/>
      <c r="AG125" s="191"/>
      <c r="AH125" s="254"/>
      <c r="AI125" s="191"/>
      <c r="AJ125" s="191"/>
      <c r="AK125" s="191"/>
      <c r="AL125" s="191"/>
      <c r="AM125" s="254"/>
      <c r="AN125" s="191"/>
      <c r="AO125" s="191"/>
      <c r="AP125" s="191"/>
      <c r="AQ125" s="191"/>
      <c r="AR125" s="254"/>
      <c r="AS125" s="191"/>
      <c r="AT125" s="191"/>
      <c r="AU125" s="191"/>
      <c r="AV125" s="191"/>
      <c r="AW125" s="254"/>
      <c r="AX125" s="191"/>
      <c r="AY125" s="191"/>
      <c r="AZ125" s="191"/>
      <c r="BA125" s="191"/>
      <c r="BB125" s="254"/>
      <c r="BC125" s="258" t="str">
        <f ca="1">IF('Demand background (hide)'!A116=Num_Modalities,"",SUM(Demand!I125, Demand!N125, Demand!S125, Demand!X125, Demand!AC125, Demand!AH125, Demand!AM125, Demand!AR125, Demand!AW125, Demand!BB125))</f>
        <v/>
      </c>
      <c r="BD125" s="258"/>
      <c r="BE125" s="208"/>
    </row>
    <row r="126" spans="1:59" ht="15" x14ac:dyDescent="0.25">
      <c r="A126" t="str">
        <f t="shared" ca="1" si="2"/>
        <v/>
      </c>
      <c r="B126" s="263" t="str">
        <f t="shared" ca="1" si="3"/>
        <v xml:space="preserve"> </v>
      </c>
      <c r="C126" s="264"/>
      <c r="D126" s="264"/>
      <c r="E126" s="191"/>
      <c r="F126" s="191"/>
      <c r="G126" s="191"/>
      <c r="H126" s="191"/>
      <c r="I126" s="250"/>
      <c r="J126" s="191"/>
      <c r="K126" s="191"/>
      <c r="L126" s="191"/>
      <c r="M126" s="191"/>
      <c r="N126" s="254"/>
      <c r="O126" s="191"/>
      <c r="P126" s="191"/>
      <c r="Q126" s="191"/>
      <c r="R126" s="191"/>
      <c r="S126" s="254"/>
      <c r="T126" s="191"/>
      <c r="U126" s="191"/>
      <c r="V126" s="191"/>
      <c r="W126" s="191"/>
      <c r="X126" s="254"/>
      <c r="Y126" s="191"/>
      <c r="Z126" s="191"/>
      <c r="AA126" s="191"/>
      <c r="AB126" s="191"/>
      <c r="AC126" s="254"/>
      <c r="AD126" s="191"/>
      <c r="AE126" s="191"/>
      <c r="AF126" s="191"/>
      <c r="AG126" s="191"/>
      <c r="AH126" s="254"/>
      <c r="AI126" s="191"/>
      <c r="AJ126" s="191"/>
      <c r="AK126" s="191"/>
      <c r="AL126" s="191"/>
      <c r="AM126" s="254"/>
      <c r="AN126" s="191"/>
      <c r="AO126" s="191"/>
      <c r="AP126" s="191"/>
      <c r="AQ126" s="191"/>
      <c r="AR126" s="254"/>
      <c r="AS126" s="191"/>
      <c r="AT126" s="191"/>
      <c r="AU126" s="191"/>
      <c r="AV126" s="191"/>
      <c r="AW126" s="254"/>
      <c r="AX126" s="191"/>
      <c r="AY126" s="191"/>
      <c r="AZ126" s="191"/>
      <c r="BA126" s="191"/>
      <c r="BB126" s="254"/>
      <c r="BC126" s="258" t="str">
        <f ca="1">IF('Demand background (hide)'!A117=Num_Modalities,"",SUM(Demand!I126, Demand!N126, Demand!S126, Demand!X126, Demand!AC126, Demand!AH126, Demand!AM126, Demand!AR126, Demand!AW126, Demand!BB126))</f>
        <v/>
      </c>
      <c r="BD126" s="258"/>
      <c r="BE126" s="208"/>
    </row>
    <row r="127" spans="1:59" ht="15" x14ac:dyDescent="0.25">
      <c r="A127" t="str">
        <f t="shared" ca="1" si="2"/>
        <v/>
      </c>
      <c r="B127" s="263" t="str">
        <f t="shared" ca="1" si="3"/>
        <v xml:space="preserve"> </v>
      </c>
      <c r="C127" s="264"/>
      <c r="D127" s="264"/>
      <c r="E127" s="191"/>
      <c r="F127" s="191"/>
      <c r="G127" s="191"/>
      <c r="H127" s="191"/>
      <c r="I127" s="250"/>
      <c r="J127" s="191"/>
      <c r="K127" s="191"/>
      <c r="L127" s="191"/>
      <c r="M127" s="191"/>
      <c r="N127" s="254"/>
      <c r="O127" s="191"/>
      <c r="P127" s="191"/>
      <c r="Q127" s="191"/>
      <c r="R127" s="191"/>
      <c r="S127" s="254"/>
      <c r="T127" s="191"/>
      <c r="U127" s="191"/>
      <c r="V127" s="191"/>
      <c r="W127" s="191"/>
      <c r="X127" s="254"/>
      <c r="Y127" s="191"/>
      <c r="Z127" s="191"/>
      <c r="AA127" s="191"/>
      <c r="AB127" s="191"/>
      <c r="AC127" s="254"/>
      <c r="AD127" s="191"/>
      <c r="AE127" s="191"/>
      <c r="AF127" s="191"/>
      <c r="AG127" s="191"/>
      <c r="AH127" s="254"/>
      <c r="AI127" s="191"/>
      <c r="AJ127" s="191"/>
      <c r="AK127" s="191"/>
      <c r="AL127" s="191"/>
      <c r="AM127" s="254"/>
      <c r="AN127" s="191"/>
      <c r="AO127" s="191"/>
      <c r="AP127" s="191"/>
      <c r="AQ127" s="191"/>
      <c r="AR127" s="254"/>
      <c r="AS127" s="191"/>
      <c r="AT127" s="191"/>
      <c r="AU127" s="191"/>
      <c r="AV127" s="191"/>
      <c r="AW127" s="254"/>
      <c r="AX127" s="191"/>
      <c r="AY127" s="191"/>
      <c r="AZ127" s="191"/>
      <c r="BA127" s="191"/>
      <c r="BB127" s="254"/>
      <c r="BC127" s="258" t="str">
        <f ca="1">IF('Demand background (hide)'!A118=Num_Modalities,"",SUM(Demand!I127, Demand!N127, Demand!S127, Demand!X127, Demand!AC127, Demand!AH127, Demand!AM127, Demand!AR127, Demand!AW127, Demand!BB127))</f>
        <v/>
      </c>
      <c r="BD127" s="258"/>
      <c r="BE127" s="208"/>
    </row>
    <row r="128" spans="1:59" ht="15" x14ac:dyDescent="0.25">
      <c r="A128" t="str">
        <f t="shared" ca="1" si="2"/>
        <v/>
      </c>
      <c r="B128" s="263" t="str">
        <f t="shared" ca="1" si="3"/>
        <v xml:space="preserve"> </v>
      </c>
      <c r="C128" s="264"/>
      <c r="D128" s="264"/>
      <c r="E128" s="191"/>
      <c r="F128" s="191"/>
      <c r="G128" s="191"/>
      <c r="H128" s="191"/>
      <c r="I128" s="250"/>
      <c r="J128" s="191"/>
      <c r="K128" s="191"/>
      <c r="L128" s="191"/>
      <c r="M128" s="191"/>
      <c r="N128" s="254"/>
      <c r="O128" s="191"/>
      <c r="P128" s="191"/>
      <c r="Q128" s="191"/>
      <c r="R128" s="191"/>
      <c r="S128" s="254"/>
      <c r="T128" s="191"/>
      <c r="U128" s="191"/>
      <c r="V128" s="191"/>
      <c r="W128" s="191"/>
      <c r="X128" s="254"/>
      <c r="Y128" s="191"/>
      <c r="Z128" s="191"/>
      <c r="AA128" s="191"/>
      <c r="AB128" s="191"/>
      <c r="AC128" s="254"/>
      <c r="AD128" s="191"/>
      <c r="AE128" s="191"/>
      <c r="AF128" s="191"/>
      <c r="AG128" s="191"/>
      <c r="AH128" s="254"/>
      <c r="AI128" s="191"/>
      <c r="AJ128" s="191"/>
      <c r="AK128" s="191"/>
      <c r="AL128" s="191"/>
      <c r="AM128" s="254"/>
      <c r="AN128" s="191"/>
      <c r="AO128" s="191"/>
      <c r="AP128" s="191"/>
      <c r="AQ128" s="191"/>
      <c r="AR128" s="254"/>
      <c r="AS128" s="191"/>
      <c r="AT128" s="191"/>
      <c r="AU128" s="191"/>
      <c r="AV128" s="191"/>
      <c r="AW128" s="254"/>
      <c r="AX128" s="191"/>
      <c r="AY128" s="191"/>
      <c r="AZ128" s="191"/>
      <c r="BA128" s="191"/>
      <c r="BB128" s="254"/>
      <c r="BC128" s="258" t="str">
        <f ca="1">IF('Demand background (hide)'!A119=Num_Modalities,"",SUM(Demand!I128, Demand!N128, Demand!S128, Demand!X128, Demand!AC128, Demand!AH128, Demand!AM128, Demand!AR128, Demand!AW128, Demand!BB128))</f>
        <v/>
      </c>
      <c r="BD128" s="258"/>
      <c r="BE128" s="208"/>
    </row>
    <row r="129" spans="1:57" ht="15" x14ac:dyDescent="0.25">
      <c r="A129" t="str">
        <f t="shared" ca="1" si="2"/>
        <v/>
      </c>
      <c r="B129" s="263" t="str">
        <f t="shared" ca="1" si="3"/>
        <v xml:space="preserve"> </v>
      </c>
      <c r="C129" s="264"/>
      <c r="D129" s="264"/>
      <c r="E129" s="191"/>
      <c r="F129" s="191"/>
      <c r="G129" s="191"/>
      <c r="H129" s="191"/>
      <c r="I129" s="250"/>
      <c r="J129" s="191"/>
      <c r="K129" s="191"/>
      <c r="L129" s="191"/>
      <c r="M129" s="191"/>
      <c r="N129" s="254"/>
      <c r="O129" s="191"/>
      <c r="P129" s="191"/>
      <c r="Q129" s="191"/>
      <c r="R129" s="191"/>
      <c r="S129" s="254"/>
      <c r="T129" s="191"/>
      <c r="U129" s="191"/>
      <c r="V129" s="191"/>
      <c r="W129" s="191"/>
      <c r="X129" s="254"/>
      <c r="Y129" s="191"/>
      <c r="Z129" s="191"/>
      <c r="AA129" s="191"/>
      <c r="AB129" s="191"/>
      <c r="AC129" s="254"/>
      <c r="AD129" s="191"/>
      <c r="AE129" s="191"/>
      <c r="AF129" s="191"/>
      <c r="AG129" s="191"/>
      <c r="AH129" s="254"/>
      <c r="AI129" s="191"/>
      <c r="AJ129" s="191"/>
      <c r="AK129" s="191"/>
      <c r="AL129" s="191"/>
      <c r="AM129" s="254"/>
      <c r="AN129" s="191"/>
      <c r="AO129" s="191"/>
      <c r="AP129" s="191"/>
      <c r="AQ129" s="191"/>
      <c r="AR129" s="254"/>
      <c r="AS129" s="191"/>
      <c r="AT129" s="191"/>
      <c r="AU129" s="191"/>
      <c r="AV129" s="191"/>
      <c r="AW129" s="254"/>
      <c r="AX129" s="191"/>
      <c r="AY129" s="191"/>
      <c r="AZ129" s="191"/>
      <c r="BA129" s="191"/>
      <c r="BB129" s="254"/>
      <c r="BC129" s="258" t="str">
        <f ca="1">IF('Demand background (hide)'!A120=Num_Modalities,"",SUM(Demand!I129, Demand!N129, Demand!S129, Demand!X129, Demand!AC129, Demand!AH129, Demand!AM129, Demand!AR129, Demand!AW129, Demand!BB129))</f>
        <v/>
      </c>
      <c r="BD129" s="258"/>
      <c r="BE129" s="208"/>
    </row>
    <row r="130" spans="1:57" ht="15" x14ac:dyDescent="0.25">
      <c r="A130" t="str">
        <f t="shared" ca="1" si="2"/>
        <v/>
      </c>
      <c r="B130" s="263" t="str">
        <f t="shared" ca="1" si="3"/>
        <v xml:space="preserve"> </v>
      </c>
      <c r="C130" s="264"/>
      <c r="D130" s="264"/>
      <c r="E130" s="191"/>
      <c r="F130" s="191"/>
      <c r="G130" s="191"/>
      <c r="H130" s="191"/>
      <c r="I130" s="250"/>
      <c r="J130" s="191"/>
      <c r="K130" s="191"/>
      <c r="L130" s="191"/>
      <c r="M130" s="191"/>
      <c r="N130" s="254"/>
      <c r="O130" s="191"/>
      <c r="P130" s="191"/>
      <c r="Q130" s="191"/>
      <c r="R130" s="191"/>
      <c r="S130" s="254"/>
      <c r="T130" s="191"/>
      <c r="U130" s="191"/>
      <c r="V130" s="191"/>
      <c r="W130" s="191"/>
      <c r="X130" s="254"/>
      <c r="Y130" s="191"/>
      <c r="Z130" s="191"/>
      <c r="AA130" s="191"/>
      <c r="AB130" s="191"/>
      <c r="AC130" s="254"/>
      <c r="AD130" s="191"/>
      <c r="AE130" s="191"/>
      <c r="AF130" s="191"/>
      <c r="AG130" s="191"/>
      <c r="AH130" s="254"/>
      <c r="AI130" s="191"/>
      <c r="AJ130" s="191"/>
      <c r="AK130" s="191"/>
      <c r="AL130" s="191"/>
      <c r="AM130" s="254"/>
      <c r="AN130" s="191"/>
      <c r="AO130" s="191"/>
      <c r="AP130" s="191"/>
      <c r="AQ130" s="191"/>
      <c r="AR130" s="254"/>
      <c r="AS130" s="191"/>
      <c r="AT130" s="191"/>
      <c r="AU130" s="191"/>
      <c r="AV130" s="191"/>
      <c r="AW130" s="254"/>
      <c r="AX130" s="191"/>
      <c r="AY130" s="191"/>
      <c r="AZ130" s="191"/>
      <c r="BA130" s="191"/>
      <c r="BB130" s="254"/>
      <c r="BC130" s="258" t="str">
        <f ca="1">IF('Demand background (hide)'!A121=Num_Modalities,"",SUM(Demand!I130, Demand!N130, Demand!S130, Demand!X130, Demand!AC130, Demand!AH130, Demand!AM130, Demand!AR130, Demand!AW130, Demand!BB130))</f>
        <v/>
      </c>
      <c r="BD130" s="258"/>
      <c r="BE130" s="208"/>
    </row>
    <row r="131" spans="1:57" ht="15" x14ac:dyDescent="0.25">
      <c r="A131" t="str">
        <f t="shared" ca="1" si="2"/>
        <v/>
      </c>
      <c r="B131" s="263" t="str">
        <f t="shared" ca="1" si="3"/>
        <v xml:space="preserve"> </v>
      </c>
      <c r="C131" s="264"/>
      <c r="D131" s="264"/>
      <c r="E131" s="191"/>
      <c r="F131" s="191"/>
      <c r="G131" s="191"/>
      <c r="H131" s="191"/>
      <c r="I131" s="250"/>
      <c r="J131" s="191"/>
      <c r="K131" s="191"/>
      <c r="L131" s="191"/>
      <c r="M131" s="191"/>
      <c r="N131" s="254"/>
      <c r="O131" s="191"/>
      <c r="P131" s="191"/>
      <c r="Q131" s="191"/>
      <c r="R131" s="191"/>
      <c r="S131" s="254"/>
      <c r="T131" s="191"/>
      <c r="U131" s="191"/>
      <c r="V131" s="191"/>
      <c r="W131" s="191"/>
      <c r="X131" s="254"/>
      <c r="Y131" s="191"/>
      <c r="Z131" s="191"/>
      <c r="AA131" s="191"/>
      <c r="AB131" s="191"/>
      <c r="AC131" s="254"/>
      <c r="AD131" s="191"/>
      <c r="AE131" s="191"/>
      <c r="AF131" s="191"/>
      <c r="AG131" s="191"/>
      <c r="AH131" s="254"/>
      <c r="AI131" s="191"/>
      <c r="AJ131" s="191"/>
      <c r="AK131" s="191"/>
      <c r="AL131" s="191"/>
      <c r="AM131" s="254"/>
      <c r="AN131" s="191"/>
      <c r="AO131" s="191"/>
      <c r="AP131" s="191"/>
      <c r="AQ131" s="191"/>
      <c r="AR131" s="254"/>
      <c r="AS131" s="191"/>
      <c r="AT131" s="191"/>
      <c r="AU131" s="191"/>
      <c r="AV131" s="191"/>
      <c r="AW131" s="254"/>
      <c r="AX131" s="191"/>
      <c r="AY131" s="191"/>
      <c r="AZ131" s="191"/>
      <c r="BA131" s="191"/>
      <c r="BB131" s="254"/>
      <c r="BC131" s="258" t="str">
        <f ca="1">IF('Demand background (hide)'!A122=Num_Modalities,"",SUM(Demand!I131, Demand!N131, Demand!S131, Demand!X131, Demand!AC131, Demand!AH131, Demand!AM131, Demand!AR131, Demand!AW131, Demand!BB131))</f>
        <v/>
      </c>
      <c r="BD131" s="258"/>
      <c r="BE131" s="208"/>
    </row>
    <row r="132" spans="1:57" ht="15" x14ac:dyDescent="0.25">
      <c r="A132" t="str">
        <f t="shared" ca="1" si="2"/>
        <v/>
      </c>
      <c r="B132" s="263" t="str">
        <f t="shared" ca="1" si="3"/>
        <v xml:space="preserve"> </v>
      </c>
      <c r="C132" s="264"/>
      <c r="D132" s="264"/>
      <c r="E132" s="191"/>
      <c r="F132" s="191"/>
      <c r="G132" s="191"/>
      <c r="H132" s="191"/>
      <c r="I132" s="250"/>
      <c r="J132" s="191"/>
      <c r="K132" s="191"/>
      <c r="L132" s="191"/>
      <c r="M132" s="191"/>
      <c r="N132" s="254"/>
      <c r="O132" s="191"/>
      <c r="P132" s="191"/>
      <c r="Q132" s="191"/>
      <c r="R132" s="191"/>
      <c r="S132" s="254"/>
      <c r="T132" s="191"/>
      <c r="U132" s="191"/>
      <c r="V132" s="191"/>
      <c r="W132" s="191"/>
      <c r="X132" s="254"/>
      <c r="Y132" s="191"/>
      <c r="Z132" s="191"/>
      <c r="AA132" s="191"/>
      <c r="AB132" s="191"/>
      <c r="AC132" s="254"/>
      <c r="AD132" s="191"/>
      <c r="AE132" s="191"/>
      <c r="AF132" s="191"/>
      <c r="AG132" s="191"/>
      <c r="AH132" s="254"/>
      <c r="AI132" s="191"/>
      <c r="AJ132" s="191"/>
      <c r="AK132" s="191"/>
      <c r="AL132" s="191"/>
      <c r="AM132" s="254"/>
      <c r="AN132" s="191"/>
      <c r="AO132" s="191"/>
      <c r="AP132" s="191"/>
      <c r="AQ132" s="191"/>
      <c r="AR132" s="254"/>
      <c r="AS132" s="191"/>
      <c r="AT132" s="191"/>
      <c r="AU132" s="191"/>
      <c r="AV132" s="191"/>
      <c r="AW132" s="254"/>
      <c r="AX132" s="191"/>
      <c r="AY132" s="191"/>
      <c r="AZ132" s="191"/>
      <c r="BA132" s="191"/>
      <c r="BB132" s="254"/>
      <c r="BC132" s="258" t="str">
        <f ca="1">IF('Demand background (hide)'!A123=Num_Modalities,"",SUM(Demand!I132, Demand!N132, Demand!S132, Demand!X132, Demand!AC132, Demand!AH132, Demand!AM132, Demand!AR132, Demand!AW132, Demand!BB132))</f>
        <v/>
      </c>
      <c r="BD132" s="258"/>
      <c r="BE132" s="208"/>
    </row>
    <row r="133" spans="1:57" ht="15" x14ac:dyDescent="0.25">
      <c r="A133" t="str">
        <f t="shared" ca="1" si="2"/>
        <v/>
      </c>
      <c r="B133" s="263" t="str">
        <f t="shared" ca="1" si="3"/>
        <v xml:space="preserve"> </v>
      </c>
      <c r="C133" s="264"/>
      <c r="D133" s="264"/>
      <c r="E133" s="191"/>
      <c r="F133" s="191"/>
      <c r="G133" s="191"/>
      <c r="H133" s="191"/>
      <c r="I133" s="250"/>
      <c r="J133" s="191"/>
      <c r="K133" s="191"/>
      <c r="L133" s="191"/>
      <c r="M133" s="191"/>
      <c r="N133" s="254"/>
      <c r="O133" s="191"/>
      <c r="P133" s="191"/>
      <c r="Q133" s="191"/>
      <c r="R133" s="191"/>
      <c r="S133" s="254"/>
      <c r="T133" s="191"/>
      <c r="U133" s="191"/>
      <c r="V133" s="191"/>
      <c r="W133" s="191"/>
      <c r="X133" s="254"/>
      <c r="Y133" s="191"/>
      <c r="Z133" s="191"/>
      <c r="AA133" s="191"/>
      <c r="AB133" s="191"/>
      <c r="AC133" s="254"/>
      <c r="AD133" s="191"/>
      <c r="AE133" s="191"/>
      <c r="AF133" s="191"/>
      <c r="AG133" s="191"/>
      <c r="AH133" s="254"/>
      <c r="AI133" s="191"/>
      <c r="AJ133" s="191"/>
      <c r="AK133" s="191"/>
      <c r="AL133" s="191"/>
      <c r="AM133" s="254"/>
      <c r="AN133" s="191"/>
      <c r="AO133" s="191"/>
      <c r="AP133" s="191"/>
      <c r="AQ133" s="191"/>
      <c r="AR133" s="254"/>
      <c r="AS133" s="191"/>
      <c r="AT133" s="191"/>
      <c r="AU133" s="191"/>
      <c r="AV133" s="191"/>
      <c r="AW133" s="254"/>
      <c r="AX133" s="191"/>
      <c r="AY133" s="191"/>
      <c r="AZ133" s="191"/>
      <c r="BA133" s="191"/>
      <c r="BB133" s="254"/>
      <c r="BC133" s="258" t="str">
        <f ca="1">IF('Demand background (hide)'!A124=Num_Modalities,"",SUM(Demand!I133, Demand!N133, Demand!S133, Demand!X133, Demand!AC133, Demand!AH133, Demand!AM133, Demand!AR133, Demand!AW133, Demand!BB133))</f>
        <v/>
      </c>
      <c r="BD133" s="258"/>
      <c r="BE133" s="208"/>
    </row>
    <row r="134" spans="1:57" ht="15" x14ac:dyDescent="0.25">
      <c r="A134" t="str">
        <f t="shared" ca="1" si="2"/>
        <v/>
      </c>
      <c r="B134" s="263" t="str">
        <f t="shared" ca="1" si="3"/>
        <v xml:space="preserve"> </v>
      </c>
      <c r="C134" s="264"/>
      <c r="D134" s="264"/>
      <c r="E134" s="191"/>
      <c r="F134" s="191"/>
      <c r="G134" s="191"/>
      <c r="H134" s="191"/>
      <c r="I134" s="250"/>
      <c r="J134" s="191"/>
      <c r="K134" s="191"/>
      <c r="L134" s="191"/>
      <c r="M134" s="191"/>
      <c r="N134" s="254"/>
      <c r="O134" s="191"/>
      <c r="P134" s="191"/>
      <c r="Q134" s="191"/>
      <c r="R134" s="191"/>
      <c r="S134" s="254"/>
      <c r="T134" s="191"/>
      <c r="U134" s="191"/>
      <c r="V134" s="191"/>
      <c r="W134" s="191"/>
      <c r="X134" s="254"/>
      <c r="Y134" s="191"/>
      <c r="Z134" s="191"/>
      <c r="AA134" s="191"/>
      <c r="AB134" s="191"/>
      <c r="AC134" s="254"/>
      <c r="AD134" s="191"/>
      <c r="AE134" s="191"/>
      <c r="AF134" s="191"/>
      <c r="AG134" s="191"/>
      <c r="AH134" s="254"/>
      <c r="AI134" s="191"/>
      <c r="AJ134" s="191"/>
      <c r="AK134" s="191"/>
      <c r="AL134" s="191"/>
      <c r="AM134" s="254"/>
      <c r="AN134" s="191"/>
      <c r="AO134" s="191"/>
      <c r="AP134" s="191"/>
      <c r="AQ134" s="191"/>
      <c r="AR134" s="254"/>
      <c r="AS134" s="191"/>
      <c r="AT134" s="191"/>
      <c r="AU134" s="191"/>
      <c r="AV134" s="191"/>
      <c r="AW134" s="254"/>
      <c r="AX134" s="191"/>
      <c r="AY134" s="191"/>
      <c r="AZ134" s="191"/>
      <c r="BA134" s="191"/>
      <c r="BB134" s="254"/>
      <c r="BC134" s="258" t="str">
        <f ca="1">IF('Demand background (hide)'!A125=Num_Modalities,"",SUM(Demand!I134, Demand!N134, Demand!S134, Demand!X134, Demand!AC134, Demand!AH134, Demand!AM134, Demand!AR134, Demand!AW134, Demand!BB134))</f>
        <v/>
      </c>
      <c r="BD134" s="258"/>
      <c r="BE134" s="208"/>
    </row>
    <row r="135" spans="1:57" ht="15" x14ac:dyDescent="0.25">
      <c r="A135" t="str">
        <f t="shared" ca="1" si="2"/>
        <v/>
      </c>
      <c r="B135" s="263" t="str">
        <f t="shared" ca="1" si="3"/>
        <v xml:space="preserve"> </v>
      </c>
      <c r="C135" s="264"/>
      <c r="D135" s="264"/>
      <c r="E135" s="191"/>
      <c r="F135" s="191"/>
      <c r="G135" s="191"/>
      <c r="H135" s="191"/>
      <c r="I135" s="250"/>
      <c r="J135" s="191"/>
      <c r="K135" s="191"/>
      <c r="L135" s="191"/>
      <c r="M135" s="191"/>
      <c r="N135" s="254"/>
      <c r="O135" s="191"/>
      <c r="P135" s="191"/>
      <c r="Q135" s="191"/>
      <c r="R135" s="191"/>
      <c r="S135" s="254"/>
      <c r="T135" s="191"/>
      <c r="U135" s="191"/>
      <c r="V135" s="191"/>
      <c r="W135" s="191"/>
      <c r="X135" s="254"/>
      <c r="Y135" s="191"/>
      <c r="Z135" s="191"/>
      <c r="AA135" s="191"/>
      <c r="AB135" s="191"/>
      <c r="AC135" s="254"/>
      <c r="AD135" s="191"/>
      <c r="AE135" s="191"/>
      <c r="AF135" s="191"/>
      <c r="AG135" s="191"/>
      <c r="AH135" s="254"/>
      <c r="AI135" s="191"/>
      <c r="AJ135" s="191"/>
      <c r="AK135" s="191"/>
      <c r="AL135" s="191"/>
      <c r="AM135" s="254"/>
      <c r="AN135" s="191"/>
      <c r="AO135" s="191"/>
      <c r="AP135" s="191"/>
      <c r="AQ135" s="191"/>
      <c r="AR135" s="254"/>
      <c r="AS135" s="191"/>
      <c r="AT135" s="191"/>
      <c r="AU135" s="191"/>
      <c r="AV135" s="191"/>
      <c r="AW135" s="254"/>
      <c r="AX135" s="191"/>
      <c r="AY135" s="191"/>
      <c r="AZ135" s="191"/>
      <c r="BA135" s="191"/>
      <c r="BB135" s="254"/>
      <c r="BC135" s="258" t="str">
        <f ca="1">IF('Demand background (hide)'!A126=Num_Modalities,"",SUM(Demand!I135, Demand!N135, Demand!S135, Demand!X135, Demand!AC135, Demand!AH135, Demand!AM135, Demand!AR135, Demand!AW135, Demand!BB135))</f>
        <v/>
      </c>
      <c r="BD135" s="258"/>
      <c r="BE135" s="208"/>
    </row>
    <row r="136" spans="1:57" ht="15" x14ac:dyDescent="0.25">
      <c r="A136" t="str">
        <f t="shared" ca="1" si="2"/>
        <v/>
      </c>
      <c r="B136" s="263" t="str">
        <f t="shared" ca="1" si="3"/>
        <v xml:space="preserve"> </v>
      </c>
      <c r="C136" s="264"/>
      <c r="D136" s="264"/>
      <c r="E136" s="191"/>
      <c r="F136" s="191"/>
      <c r="G136" s="191"/>
      <c r="H136" s="191"/>
      <c r="I136" s="250"/>
      <c r="J136" s="191"/>
      <c r="K136" s="191"/>
      <c r="L136" s="191"/>
      <c r="M136" s="191"/>
      <c r="N136" s="254"/>
      <c r="O136" s="191"/>
      <c r="P136" s="191"/>
      <c r="Q136" s="191"/>
      <c r="R136" s="191"/>
      <c r="S136" s="254"/>
      <c r="T136" s="191"/>
      <c r="U136" s="191"/>
      <c r="V136" s="191"/>
      <c r="W136" s="191"/>
      <c r="X136" s="254"/>
      <c r="Y136" s="191"/>
      <c r="Z136" s="191"/>
      <c r="AA136" s="191"/>
      <c r="AB136" s="191"/>
      <c r="AC136" s="254"/>
      <c r="AD136" s="191"/>
      <c r="AE136" s="191"/>
      <c r="AF136" s="191"/>
      <c r="AG136" s="191"/>
      <c r="AH136" s="254"/>
      <c r="AI136" s="191"/>
      <c r="AJ136" s="191"/>
      <c r="AK136" s="191"/>
      <c r="AL136" s="191"/>
      <c r="AM136" s="254"/>
      <c r="AN136" s="191"/>
      <c r="AO136" s="191"/>
      <c r="AP136" s="191"/>
      <c r="AQ136" s="191"/>
      <c r="AR136" s="254"/>
      <c r="AS136" s="191"/>
      <c r="AT136" s="191"/>
      <c r="AU136" s="191"/>
      <c r="AV136" s="191"/>
      <c r="AW136" s="254"/>
      <c r="AX136" s="191"/>
      <c r="AY136" s="191"/>
      <c r="AZ136" s="191"/>
      <c r="BA136" s="191"/>
      <c r="BB136" s="254"/>
      <c r="BC136" s="258" t="str">
        <f ca="1">IF('Demand background (hide)'!A127=Num_Modalities,"",SUM(Demand!I136, Demand!N136, Demand!S136, Demand!X136, Demand!AC136, Demand!AH136, Demand!AM136, Demand!AR136, Demand!AW136, Demand!BB136))</f>
        <v/>
      </c>
      <c r="BD136" s="258"/>
      <c r="BE136" s="208"/>
    </row>
    <row r="137" spans="1:57" ht="15" x14ac:dyDescent="0.25">
      <c r="A137" t="str">
        <f t="shared" ca="1" si="2"/>
        <v/>
      </c>
      <c r="B137" s="263" t="str">
        <f t="shared" ca="1" si="3"/>
        <v xml:space="preserve"> </v>
      </c>
      <c r="C137" s="264"/>
      <c r="D137" s="264"/>
      <c r="E137" s="191"/>
      <c r="F137" s="191"/>
      <c r="G137" s="191"/>
      <c r="H137" s="191"/>
      <c r="I137" s="250"/>
      <c r="J137" s="191"/>
      <c r="K137" s="191"/>
      <c r="L137" s="191"/>
      <c r="M137" s="191"/>
      <c r="N137" s="254"/>
      <c r="O137" s="191"/>
      <c r="P137" s="191"/>
      <c r="Q137" s="191"/>
      <c r="R137" s="191"/>
      <c r="S137" s="254"/>
      <c r="T137" s="191"/>
      <c r="U137" s="191"/>
      <c r="V137" s="191"/>
      <c r="W137" s="191"/>
      <c r="X137" s="254"/>
      <c r="Y137" s="191"/>
      <c r="Z137" s="191"/>
      <c r="AA137" s="191"/>
      <c r="AB137" s="191"/>
      <c r="AC137" s="254"/>
      <c r="AD137" s="191"/>
      <c r="AE137" s="191"/>
      <c r="AF137" s="191"/>
      <c r="AG137" s="191"/>
      <c r="AH137" s="254"/>
      <c r="AI137" s="191"/>
      <c r="AJ137" s="191"/>
      <c r="AK137" s="191"/>
      <c r="AL137" s="191"/>
      <c r="AM137" s="254"/>
      <c r="AN137" s="191"/>
      <c r="AO137" s="191"/>
      <c r="AP137" s="191"/>
      <c r="AQ137" s="191"/>
      <c r="AR137" s="254"/>
      <c r="AS137" s="191"/>
      <c r="AT137" s="191"/>
      <c r="AU137" s="191"/>
      <c r="AV137" s="191"/>
      <c r="AW137" s="254"/>
      <c r="AX137" s="191"/>
      <c r="AY137" s="191"/>
      <c r="AZ137" s="191"/>
      <c r="BA137" s="191"/>
      <c r="BB137" s="254"/>
      <c r="BC137" s="258" t="str">
        <f ca="1">IF('Demand background (hide)'!A128=Num_Modalities,"",SUM(Demand!I137, Demand!N137, Demand!S137, Demand!X137, Demand!AC137, Demand!AH137, Demand!AM137, Demand!AR137, Demand!AW137, Demand!BB137))</f>
        <v/>
      </c>
      <c r="BD137" s="258"/>
      <c r="BE137" s="208"/>
    </row>
    <row r="138" spans="1:57" ht="15" x14ac:dyDescent="0.25">
      <c r="A138" t="str">
        <f t="shared" ca="1" si="2"/>
        <v/>
      </c>
      <c r="B138" s="263" t="str">
        <f t="shared" ca="1" si="3"/>
        <v xml:space="preserve"> </v>
      </c>
      <c r="C138" s="264"/>
      <c r="D138" s="264"/>
      <c r="E138" s="191"/>
      <c r="F138" s="191"/>
      <c r="G138" s="191"/>
      <c r="H138" s="191"/>
      <c r="I138" s="250"/>
      <c r="J138" s="191"/>
      <c r="K138" s="191"/>
      <c r="L138" s="191"/>
      <c r="M138" s="191"/>
      <c r="N138" s="254"/>
      <c r="O138" s="191"/>
      <c r="P138" s="191"/>
      <c r="Q138" s="191"/>
      <c r="R138" s="191"/>
      <c r="S138" s="254"/>
      <c r="T138" s="191"/>
      <c r="U138" s="191"/>
      <c r="V138" s="191"/>
      <c r="W138" s="191"/>
      <c r="X138" s="254"/>
      <c r="Y138" s="191"/>
      <c r="Z138" s="191"/>
      <c r="AA138" s="191"/>
      <c r="AB138" s="191"/>
      <c r="AC138" s="254"/>
      <c r="AD138" s="191"/>
      <c r="AE138" s="191"/>
      <c r="AF138" s="191"/>
      <c r="AG138" s="191"/>
      <c r="AH138" s="254"/>
      <c r="AI138" s="191"/>
      <c r="AJ138" s="191"/>
      <c r="AK138" s="191"/>
      <c r="AL138" s="191"/>
      <c r="AM138" s="254"/>
      <c r="AN138" s="191"/>
      <c r="AO138" s="191"/>
      <c r="AP138" s="191"/>
      <c r="AQ138" s="191"/>
      <c r="AR138" s="254"/>
      <c r="AS138" s="191"/>
      <c r="AT138" s="191"/>
      <c r="AU138" s="191"/>
      <c r="AV138" s="191"/>
      <c r="AW138" s="254"/>
      <c r="AX138" s="191"/>
      <c r="AY138" s="191"/>
      <c r="AZ138" s="191"/>
      <c r="BA138" s="191"/>
      <c r="BB138" s="254"/>
      <c r="BC138" s="258" t="str">
        <f ca="1">IF('Demand background (hide)'!A129=Num_Modalities,"",SUM(Demand!I138, Demand!N138, Demand!S138, Demand!X138, Demand!AC138, Demand!AH138, Demand!AM138, Demand!AR138, Demand!AW138, Demand!BB138))</f>
        <v/>
      </c>
      <c r="BD138" s="258"/>
      <c r="BE138" s="208"/>
    </row>
    <row r="139" spans="1:57" ht="15" x14ac:dyDescent="0.25">
      <c r="A139" t="str">
        <f t="shared" ca="1" si="2"/>
        <v/>
      </c>
      <c r="B139" s="263" t="str">
        <f t="shared" ca="1" si="3"/>
        <v xml:space="preserve"> </v>
      </c>
      <c r="C139" s="264"/>
      <c r="D139" s="264"/>
      <c r="E139" s="191"/>
      <c r="F139" s="191"/>
      <c r="G139" s="191"/>
      <c r="H139" s="191"/>
      <c r="I139" s="250"/>
      <c r="J139" s="191"/>
      <c r="K139" s="191"/>
      <c r="L139" s="191"/>
      <c r="M139" s="191"/>
      <c r="N139" s="254"/>
      <c r="O139" s="191"/>
      <c r="P139" s="191"/>
      <c r="Q139" s="191"/>
      <c r="R139" s="191"/>
      <c r="S139" s="254"/>
      <c r="T139" s="191"/>
      <c r="U139" s="191"/>
      <c r="V139" s="191"/>
      <c r="W139" s="191"/>
      <c r="X139" s="254"/>
      <c r="Y139" s="191"/>
      <c r="Z139" s="191"/>
      <c r="AA139" s="191"/>
      <c r="AB139" s="191"/>
      <c r="AC139" s="254"/>
      <c r="AD139" s="191"/>
      <c r="AE139" s="191"/>
      <c r="AF139" s="191"/>
      <c r="AG139" s="191"/>
      <c r="AH139" s="254"/>
      <c r="AI139" s="191"/>
      <c r="AJ139" s="191"/>
      <c r="AK139" s="191"/>
      <c r="AL139" s="191"/>
      <c r="AM139" s="254"/>
      <c r="AN139" s="191"/>
      <c r="AO139" s="191"/>
      <c r="AP139" s="191"/>
      <c r="AQ139" s="191"/>
      <c r="AR139" s="254"/>
      <c r="AS139" s="191"/>
      <c r="AT139" s="191"/>
      <c r="AU139" s="191"/>
      <c r="AV139" s="191"/>
      <c r="AW139" s="254"/>
      <c r="AX139" s="191"/>
      <c r="AY139" s="191"/>
      <c r="AZ139" s="191"/>
      <c r="BA139" s="191"/>
      <c r="BB139" s="254"/>
      <c r="BC139" s="258" t="str">
        <f ca="1">IF('Demand background (hide)'!A130=Num_Modalities,"",SUM(Demand!I139, Demand!N139, Demand!S139, Demand!X139, Demand!AC139, Demand!AH139, Demand!AM139, Demand!AR139, Demand!AW139, Demand!BB139))</f>
        <v/>
      </c>
      <c r="BD139" s="258"/>
      <c r="BE139" s="208"/>
    </row>
    <row r="140" spans="1:57" ht="15" x14ac:dyDescent="0.25">
      <c r="A140" t="str">
        <f t="shared" ca="1" si="2"/>
        <v/>
      </c>
      <c r="B140" s="263" t="str">
        <f t="shared" ca="1" si="3"/>
        <v xml:space="preserve"> </v>
      </c>
      <c r="C140" s="264"/>
      <c r="D140" s="264"/>
      <c r="E140" s="191"/>
      <c r="F140" s="191"/>
      <c r="G140" s="191"/>
      <c r="H140" s="191"/>
      <c r="I140" s="250"/>
      <c r="J140" s="191"/>
      <c r="K140" s="191"/>
      <c r="L140" s="191"/>
      <c r="M140" s="191"/>
      <c r="N140" s="254"/>
      <c r="O140" s="191"/>
      <c r="P140" s="191"/>
      <c r="Q140" s="191"/>
      <c r="R140" s="191"/>
      <c r="S140" s="254"/>
      <c r="T140" s="191"/>
      <c r="U140" s="191"/>
      <c r="V140" s="191"/>
      <c r="W140" s="191"/>
      <c r="X140" s="254"/>
      <c r="Y140" s="191"/>
      <c r="Z140" s="191"/>
      <c r="AA140" s="191"/>
      <c r="AB140" s="191"/>
      <c r="AC140" s="254"/>
      <c r="AD140" s="191"/>
      <c r="AE140" s="191"/>
      <c r="AF140" s="191"/>
      <c r="AG140" s="191"/>
      <c r="AH140" s="254"/>
      <c r="AI140" s="191"/>
      <c r="AJ140" s="191"/>
      <c r="AK140" s="191"/>
      <c r="AL140" s="191"/>
      <c r="AM140" s="254"/>
      <c r="AN140" s="191"/>
      <c r="AO140" s="191"/>
      <c r="AP140" s="191"/>
      <c r="AQ140" s="191"/>
      <c r="AR140" s="254"/>
      <c r="AS140" s="191"/>
      <c r="AT140" s="191"/>
      <c r="AU140" s="191"/>
      <c r="AV140" s="191"/>
      <c r="AW140" s="254"/>
      <c r="AX140" s="191"/>
      <c r="AY140" s="191"/>
      <c r="AZ140" s="191"/>
      <c r="BA140" s="191"/>
      <c r="BB140" s="254"/>
      <c r="BC140" s="258" t="str">
        <f ca="1">IF('Demand background (hide)'!A131=Num_Modalities,"",SUM(Demand!I140, Demand!N140, Demand!S140, Demand!X140, Demand!AC140, Demand!AH140, Demand!AM140, Demand!AR140, Demand!AW140, Demand!BB140))</f>
        <v/>
      </c>
      <c r="BD140" s="258"/>
      <c r="BE140" s="208"/>
    </row>
    <row r="141" spans="1:57" ht="15" x14ac:dyDescent="0.25">
      <c r="A141" t="str">
        <f t="shared" ref="A141:A204" ca="1" si="4">IF(BC141&lt;&gt;"",ROW(A129),"")</f>
        <v/>
      </c>
      <c r="B141" s="263" t="str">
        <f t="shared" ca="1" si="3"/>
        <v xml:space="preserve"> </v>
      </c>
      <c r="C141" s="264"/>
      <c r="D141" s="264"/>
      <c r="E141" s="191"/>
      <c r="F141" s="191"/>
      <c r="G141" s="191"/>
      <c r="H141" s="191"/>
      <c r="I141" s="250"/>
      <c r="J141" s="191"/>
      <c r="K141" s="191"/>
      <c r="L141" s="191"/>
      <c r="M141" s="191"/>
      <c r="N141" s="254"/>
      <c r="O141" s="191"/>
      <c r="P141" s="191"/>
      <c r="Q141" s="191"/>
      <c r="R141" s="191"/>
      <c r="S141" s="254"/>
      <c r="T141" s="191"/>
      <c r="U141" s="191"/>
      <c r="V141" s="191"/>
      <c r="W141" s="191"/>
      <c r="X141" s="254"/>
      <c r="Y141" s="191"/>
      <c r="Z141" s="191"/>
      <c r="AA141" s="191"/>
      <c r="AB141" s="191"/>
      <c r="AC141" s="254"/>
      <c r="AD141" s="191"/>
      <c r="AE141" s="191"/>
      <c r="AF141" s="191"/>
      <c r="AG141" s="191"/>
      <c r="AH141" s="254"/>
      <c r="AI141" s="191"/>
      <c r="AJ141" s="191"/>
      <c r="AK141" s="191"/>
      <c r="AL141" s="191"/>
      <c r="AM141" s="254"/>
      <c r="AN141" s="191"/>
      <c r="AO141" s="191"/>
      <c r="AP141" s="191"/>
      <c r="AQ141" s="191"/>
      <c r="AR141" s="254"/>
      <c r="AS141" s="191"/>
      <c r="AT141" s="191"/>
      <c r="AU141" s="191"/>
      <c r="AV141" s="191"/>
      <c r="AW141" s="254"/>
      <c r="AX141" s="191"/>
      <c r="AY141" s="191"/>
      <c r="AZ141" s="191"/>
      <c r="BA141" s="191"/>
      <c r="BB141" s="254"/>
      <c r="BC141" s="258" t="str">
        <f ca="1">IF('Demand background (hide)'!A132=Num_Modalities,"",SUM(Demand!I141, Demand!N141, Demand!S141, Demand!X141, Demand!AC141, Demand!AH141, Demand!AM141, Demand!AR141, Demand!AW141, Demand!BB141))</f>
        <v/>
      </c>
      <c r="BD141" s="258"/>
      <c r="BE141" s="208"/>
    </row>
    <row r="142" spans="1:57" ht="15" x14ac:dyDescent="0.25">
      <c r="A142" t="str">
        <f t="shared" ca="1" si="4"/>
        <v/>
      </c>
      <c r="B142" s="263" t="str">
        <f t="shared" ref="B142:B205" ca="1" si="5">IF(A142&lt;=MaxRows,IF($C$6&lt;&gt;"",IF(YEAR(D142)&lt;&gt;YEAR(D141),YEAR(D142)," "),IF(C142&lt;&gt;1,"",OFFSET(B142,-C141,0,1,1)+1))," ")</f>
        <v xml:space="preserve"> </v>
      </c>
      <c r="C142" s="264"/>
      <c r="D142" s="264"/>
      <c r="E142" s="191"/>
      <c r="F142" s="191"/>
      <c r="G142" s="191"/>
      <c r="H142" s="191"/>
      <c r="I142" s="250"/>
      <c r="J142" s="191"/>
      <c r="K142" s="191"/>
      <c r="L142" s="191"/>
      <c r="M142" s="191"/>
      <c r="N142" s="254"/>
      <c r="O142" s="191"/>
      <c r="P142" s="191"/>
      <c r="Q142" s="191"/>
      <c r="R142" s="191"/>
      <c r="S142" s="254"/>
      <c r="T142" s="191"/>
      <c r="U142" s="191"/>
      <c r="V142" s="191"/>
      <c r="W142" s="191"/>
      <c r="X142" s="254"/>
      <c r="Y142" s="191"/>
      <c r="Z142" s="191"/>
      <c r="AA142" s="191"/>
      <c r="AB142" s="191"/>
      <c r="AC142" s="254"/>
      <c r="AD142" s="191"/>
      <c r="AE142" s="191"/>
      <c r="AF142" s="191"/>
      <c r="AG142" s="191"/>
      <c r="AH142" s="254"/>
      <c r="AI142" s="191"/>
      <c r="AJ142" s="191"/>
      <c r="AK142" s="191"/>
      <c r="AL142" s="191"/>
      <c r="AM142" s="254"/>
      <c r="AN142" s="191"/>
      <c r="AO142" s="191"/>
      <c r="AP142" s="191"/>
      <c r="AQ142" s="191"/>
      <c r="AR142" s="254"/>
      <c r="AS142" s="191"/>
      <c r="AT142" s="191"/>
      <c r="AU142" s="191"/>
      <c r="AV142" s="191"/>
      <c r="AW142" s="254"/>
      <c r="AX142" s="191"/>
      <c r="AY142" s="191"/>
      <c r="AZ142" s="191"/>
      <c r="BA142" s="191"/>
      <c r="BB142" s="254"/>
      <c r="BC142" s="258" t="str">
        <f ca="1">IF('Demand background (hide)'!A133=Num_Modalities,"",SUM(Demand!I142, Demand!N142, Demand!S142, Demand!X142, Demand!AC142, Demand!AH142, Demand!AM142, Demand!AR142, Demand!AW142, Demand!BB142))</f>
        <v/>
      </c>
      <c r="BD142" s="258"/>
      <c r="BE142" s="208"/>
    </row>
    <row r="143" spans="1:57" ht="15" x14ac:dyDescent="0.25">
      <c r="A143" t="str">
        <f t="shared" ca="1" si="4"/>
        <v/>
      </c>
      <c r="B143" s="263" t="str">
        <f t="shared" ca="1" si="5"/>
        <v xml:space="preserve"> </v>
      </c>
      <c r="C143" s="264"/>
      <c r="D143" s="264"/>
      <c r="E143" s="191"/>
      <c r="F143" s="191"/>
      <c r="G143" s="191"/>
      <c r="H143" s="191"/>
      <c r="I143" s="250"/>
      <c r="J143" s="191"/>
      <c r="K143" s="191"/>
      <c r="L143" s="191"/>
      <c r="M143" s="191"/>
      <c r="N143" s="254"/>
      <c r="O143" s="191"/>
      <c r="P143" s="191"/>
      <c r="Q143" s="191"/>
      <c r="R143" s="191"/>
      <c r="S143" s="254"/>
      <c r="T143" s="191"/>
      <c r="U143" s="191"/>
      <c r="V143" s="191"/>
      <c r="W143" s="191"/>
      <c r="X143" s="254"/>
      <c r="Y143" s="191"/>
      <c r="Z143" s="191"/>
      <c r="AA143" s="191"/>
      <c r="AB143" s="191"/>
      <c r="AC143" s="254"/>
      <c r="AD143" s="191"/>
      <c r="AE143" s="191"/>
      <c r="AF143" s="191"/>
      <c r="AG143" s="191"/>
      <c r="AH143" s="254"/>
      <c r="AI143" s="191"/>
      <c r="AJ143" s="191"/>
      <c r="AK143" s="191"/>
      <c r="AL143" s="191"/>
      <c r="AM143" s="254"/>
      <c r="AN143" s="191"/>
      <c r="AO143" s="191"/>
      <c r="AP143" s="191"/>
      <c r="AQ143" s="191"/>
      <c r="AR143" s="254"/>
      <c r="AS143" s="191"/>
      <c r="AT143" s="191"/>
      <c r="AU143" s="191"/>
      <c r="AV143" s="191"/>
      <c r="AW143" s="254"/>
      <c r="AX143" s="191"/>
      <c r="AY143" s="191"/>
      <c r="AZ143" s="191"/>
      <c r="BA143" s="191"/>
      <c r="BB143" s="254"/>
      <c r="BC143" s="258" t="str">
        <f ca="1">IF('Demand background (hide)'!A134=Num_Modalities,"",SUM(Demand!I143, Demand!N143, Demand!S143, Demand!X143, Demand!AC143, Demand!AH143, Demand!AM143, Demand!AR143, Demand!AW143, Demand!BB143))</f>
        <v/>
      </c>
      <c r="BD143" s="258"/>
      <c r="BE143" s="208"/>
    </row>
    <row r="144" spans="1:57" ht="15" x14ac:dyDescent="0.25">
      <c r="A144" t="str">
        <f t="shared" ca="1" si="4"/>
        <v/>
      </c>
      <c r="B144" s="263" t="str">
        <f t="shared" ca="1" si="5"/>
        <v xml:space="preserve"> </v>
      </c>
      <c r="C144" s="264"/>
      <c r="D144" s="264"/>
      <c r="E144" s="191"/>
      <c r="F144" s="191"/>
      <c r="G144" s="191"/>
      <c r="H144" s="191"/>
      <c r="I144" s="250"/>
      <c r="J144" s="191"/>
      <c r="K144" s="191"/>
      <c r="L144" s="191"/>
      <c r="M144" s="191"/>
      <c r="N144" s="254"/>
      <c r="O144" s="191"/>
      <c r="P144" s="191"/>
      <c r="Q144" s="191"/>
      <c r="R144" s="191"/>
      <c r="S144" s="254"/>
      <c r="T144" s="191"/>
      <c r="U144" s="191"/>
      <c r="V144" s="191"/>
      <c r="W144" s="191"/>
      <c r="X144" s="254"/>
      <c r="Y144" s="191"/>
      <c r="Z144" s="191"/>
      <c r="AA144" s="191"/>
      <c r="AB144" s="191"/>
      <c r="AC144" s="254"/>
      <c r="AD144" s="191"/>
      <c r="AE144" s="191"/>
      <c r="AF144" s="191"/>
      <c r="AG144" s="191"/>
      <c r="AH144" s="254"/>
      <c r="AI144" s="191"/>
      <c r="AJ144" s="191"/>
      <c r="AK144" s="191"/>
      <c r="AL144" s="191"/>
      <c r="AM144" s="254"/>
      <c r="AN144" s="191"/>
      <c r="AO144" s="191"/>
      <c r="AP144" s="191"/>
      <c r="AQ144" s="191"/>
      <c r="AR144" s="254"/>
      <c r="AS144" s="191"/>
      <c r="AT144" s="191"/>
      <c r="AU144" s="191"/>
      <c r="AV144" s="191"/>
      <c r="AW144" s="254"/>
      <c r="AX144" s="191"/>
      <c r="AY144" s="191"/>
      <c r="AZ144" s="191"/>
      <c r="BA144" s="191"/>
      <c r="BB144" s="254"/>
      <c r="BC144" s="258" t="str">
        <f ca="1">IF('Demand background (hide)'!A135=Num_Modalities,"",SUM(Demand!I144, Demand!N144, Demand!S144, Demand!X144, Demand!AC144, Demand!AH144, Demand!AM144, Demand!AR144, Demand!AW144, Demand!BB144))</f>
        <v/>
      </c>
      <c r="BD144" s="258"/>
      <c r="BE144" s="208"/>
    </row>
    <row r="145" spans="1:57" ht="15" x14ac:dyDescent="0.25">
      <c r="A145" t="str">
        <f t="shared" ca="1" si="4"/>
        <v/>
      </c>
      <c r="B145" s="263" t="str">
        <f t="shared" ca="1" si="5"/>
        <v xml:space="preserve"> </v>
      </c>
      <c r="C145" s="264"/>
      <c r="D145" s="264"/>
      <c r="E145" s="191"/>
      <c r="F145" s="191"/>
      <c r="G145" s="191"/>
      <c r="H145" s="191"/>
      <c r="I145" s="250"/>
      <c r="J145" s="191"/>
      <c r="K145" s="191"/>
      <c r="L145" s="191"/>
      <c r="M145" s="191"/>
      <c r="N145" s="254"/>
      <c r="O145" s="191"/>
      <c r="P145" s="191"/>
      <c r="Q145" s="191"/>
      <c r="R145" s="191"/>
      <c r="S145" s="254"/>
      <c r="T145" s="191"/>
      <c r="U145" s="191"/>
      <c r="V145" s="191"/>
      <c r="W145" s="191"/>
      <c r="X145" s="254"/>
      <c r="Y145" s="191"/>
      <c r="Z145" s="191"/>
      <c r="AA145" s="191"/>
      <c r="AB145" s="191"/>
      <c r="AC145" s="254"/>
      <c r="AD145" s="191"/>
      <c r="AE145" s="191"/>
      <c r="AF145" s="191"/>
      <c r="AG145" s="191"/>
      <c r="AH145" s="254"/>
      <c r="AI145" s="191"/>
      <c r="AJ145" s="191"/>
      <c r="AK145" s="191"/>
      <c r="AL145" s="191"/>
      <c r="AM145" s="254"/>
      <c r="AN145" s="191"/>
      <c r="AO145" s="191"/>
      <c r="AP145" s="191"/>
      <c r="AQ145" s="191"/>
      <c r="AR145" s="254"/>
      <c r="AS145" s="191"/>
      <c r="AT145" s="191"/>
      <c r="AU145" s="191"/>
      <c r="AV145" s="191"/>
      <c r="AW145" s="254"/>
      <c r="AX145" s="191"/>
      <c r="AY145" s="191"/>
      <c r="AZ145" s="191"/>
      <c r="BA145" s="191"/>
      <c r="BB145" s="254"/>
      <c r="BC145" s="258" t="str">
        <f ca="1">IF('Demand background (hide)'!A136=Num_Modalities,"",SUM(Demand!I145, Demand!N145, Demand!S145, Demand!X145, Demand!AC145, Demand!AH145, Demand!AM145, Demand!AR145, Demand!AW145, Demand!BB145))</f>
        <v/>
      </c>
      <c r="BD145" s="258"/>
      <c r="BE145" s="208"/>
    </row>
    <row r="146" spans="1:57" ht="15" x14ac:dyDescent="0.25">
      <c r="A146" t="str">
        <f t="shared" ca="1" si="4"/>
        <v/>
      </c>
      <c r="B146" s="263" t="str">
        <f t="shared" ca="1" si="5"/>
        <v xml:space="preserve"> </v>
      </c>
      <c r="C146" s="264"/>
      <c r="D146" s="264"/>
      <c r="E146" s="191"/>
      <c r="F146" s="191"/>
      <c r="G146" s="191"/>
      <c r="H146" s="191"/>
      <c r="I146" s="250"/>
      <c r="J146" s="191"/>
      <c r="K146" s="191"/>
      <c r="L146" s="191"/>
      <c r="M146" s="191"/>
      <c r="N146" s="254"/>
      <c r="O146" s="191"/>
      <c r="P146" s="191"/>
      <c r="Q146" s="191"/>
      <c r="R146" s="191"/>
      <c r="S146" s="254"/>
      <c r="T146" s="191"/>
      <c r="U146" s="191"/>
      <c r="V146" s="191"/>
      <c r="W146" s="191"/>
      <c r="X146" s="254"/>
      <c r="Y146" s="191"/>
      <c r="Z146" s="191"/>
      <c r="AA146" s="191"/>
      <c r="AB146" s="191"/>
      <c r="AC146" s="254"/>
      <c r="AD146" s="191"/>
      <c r="AE146" s="191"/>
      <c r="AF146" s="191"/>
      <c r="AG146" s="191"/>
      <c r="AH146" s="254"/>
      <c r="AI146" s="191"/>
      <c r="AJ146" s="191"/>
      <c r="AK146" s="191"/>
      <c r="AL146" s="191"/>
      <c r="AM146" s="254"/>
      <c r="AN146" s="191"/>
      <c r="AO146" s="191"/>
      <c r="AP146" s="191"/>
      <c r="AQ146" s="191"/>
      <c r="AR146" s="254"/>
      <c r="AS146" s="191"/>
      <c r="AT146" s="191"/>
      <c r="AU146" s="191"/>
      <c r="AV146" s="191"/>
      <c r="AW146" s="254"/>
      <c r="AX146" s="191"/>
      <c r="AY146" s="191"/>
      <c r="AZ146" s="191"/>
      <c r="BA146" s="191"/>
      <c r="BB146" s="254"/>
      <c r="BC146" s="258" t="str">
        <f ca="1">IF('Demand background (hide)'!A137=Num_Modalities,"",SUM(Demand!I146, Demand!N146, Demand!S146, Demand!X146, Demand!AC146, Demand!AH146, Demand!AM146, Demand!AR146, Demand!AW146, Demand!BB146))</f>
        <v/>
      </c>
      <c r="BD146" s="258"/>
      <c r="BE146" s="208"/>
    </row>
    <row r="147" spans="1:57" ht="15" x14ac:dyDescent="0.25">
      <c r="A147" t="str">
        <f t="shared" ca="1" si="4"/>
        <v/>
      </c>
      <c r="B147" s="263" t="str">
        <f t="shared" ca="1" si="5"/>
        <v xml:space="preserve"> </v>
      </c>
      <c r="C147" s="264"/>
      <c r="D147" s="264"/>
      <c r="E147" s="191"/>
      <c r="F147" s="191"/>
      <c r="G147" s="191"/>
      <c r="H147" s="191"/>
      <c r="I147" s="250"/>
      <c r="J147" s="191"/>
      <c r="K147" s="191"/>
      <c r="L147" s="191"/>
      <c r="M147" s="191"/>
      <c r="N147" s="254"/>
      <c r="O147" s="191"/>
      <c r="P147" s="191"/>
      <c r="Q147" s="191"/>
      <c r="R147" s="191"/>
      <c r="S147" s="254"/>
      <c r="T147" s="191"/>
      <c r="U147" s="191"/>
      <c r="V147" s="191"/>
      <c r="W147" s="191"/>
      <c r="X147" s="254"/>
      <c r="Y147" s="191"/>
      <c r="Z147" s="191"/>
      <c r="AA147" s="191"/>
      <c r="AB147" s="191"/>
      <c r="AC147" s="254"/>
      <c r="AD147" s="191"/>
      <c r="AE147" s="191"/>
      <c r="AF147" s="191"/>
      <c r="AG147" s="191"/>
      <c r="AH147" s="254"/>
      <c r="AI147" s="191"/>
      <c r="AJ147" s="191"/>
      <c r="AK147" s="191"/>
      <c r="AL147" s="191"/>
      <c r="AM147" s="254"/>
      <c r="AN147" s="191"/>
      <c r="AO147" s="191"/>
      <c r="AP147" s="191"/>
      <c r="AQ147" s="191"/>
      <c r="AR147" s="254"/>
      <c r="AS147" s="191"/>
      <c r="AT147" s="191"/>
      <c r="AU147" s="191"/>
      <c r="AV147" s="191"/>
      <c r="AW147" s="254"/>
      <c r="AX147" s="191"/>
      <c r="AY147" s="191"/>
      <c r="AZ147" s="191"/>
      <c r="BA147" s="191"/>
      <c r="BB147" s="254"/>
      <c r="BC147" s="258" t="str">
        <f ca="1">IF('Demand background (hide)'!A138=Num_Modalities,"",SUM(Demand!I147, Demand!N147, Demand!S147, Demand!X147, Demand!AC147, Demand!AH147, Demand!AM147, Demand!AR147, Demand!AW147, Demand!BB147))</f>
        <v/>
      </c>
      <c r="BD147" s="258"/>
      <c r="BE147" s="208"/>
    </row>
    <row r="148" spans="1:57" ht="15" x14ac:dyDescent="0.25">
      <c r="A148" t="str">
        <f t="shared" ca="1" si="4"/>
        <v/>
      </c>
      <c r="B148" s="263" t="str">
        <f t="shared" ca="1" si="5"/>
        <v xml:space="preserve"> </v>
      </c>
      <c r="C148" s="264"/>
      <c r="D148" s="264"/>
      <c r="E148" s="191"/>
      <c r="F148" s="191"/>
      <c r="G148" s="191"/>
      <c r="H148" s="191"/>
      <c r="I148" s="250"/>
      <c r="J148" s="191"/>
      <c r="K148" s="191"/>
      <c r="L148" s="191"/>
      <c r="M148" s="191"/>
      <c r="N148" s="254"/>
      <c r="O148" s="191"/>
      <c r="P148" s="191"/>
      <c r="Q148" s="191"/>
      <c r="R148" s="191"/>
      <c r="S148" s="254"/>
      <c r="T148" s="191"/>
      <c r="U148" s="191"/>
      <c r="V148" s="191"/>
      <c r="W148" s="191"/>
      <c r="X148" s="254"/>
      <c r="Y148" s="191"/>
      <c r="Z148" s="191"/>
      <c r="AA148" s="191"/>
      <c r="AB148" s="191"/>
      <c r="AC148" s="254"/>
      <c r="AD148" s="191"/>
      <c r="AE148" s="191"/>
      <c r="AF148" s="191"/>
      <c r="AG148" s="191"/>
      <c r="AH148" s="254"/>
      <c r="AI148" s="191"/>
      <c r="AJ148" s="191"/>
      <c r="AK148" s="191"/>
      <c r="AL148" s="191"/>
      <c r="AM148" s="254"/>
      <c r="AN148" s="191"/>
      <c r="AO148" s="191"/>
      <c r="AP148" s="191"/>
      <c r="AQ148" s="191"/>
      <c r="AR148" s="254"/>
      <c r="AS148" s="191"/>
      <c r="AT148" s="191"/>
      <c r="AU148" s="191"/>
      <c r="AV148" s="191"/>
      <c r="AW148" s="254"/>
      <c r="AX148" s="191"/>
      <c r="AY148" s="191"/>
      <c r="AZ148" s="191"/>
      <c r="BA148" s="191"/>
      <c r="BB148" s="254"/>
      <c r="BC148" s="258" t="str">
        <f ca="1">IF('Demand background (hide)'!A139=Num_Modalities,"",SUM(Demand!I148, Demand!N148, Demand!S148, Demand!X148, Demand!AC148, Demand!AH148, Demand!AM148, Demand!AR148, Demand!AW148, Demand!BB148))</f>
        <v/>
      </c>
      <c r="BD148" s="258"/>
      <c r="BE148" s="208"/>
    </row>
    <row r="149" spans="1:57" ht="15" x14ac:dyDescent="0.25">
      <c r="A149" t="str">
        <f t="shared" ca="1" si="4"/>
        <v/>
      </c>
      <c r="B149" s="263" t="str">
        <f t="shared" ca="1" si="5"/>
        <v xml:space="preserve"> </v>
      </c>
      <c r="C149" s="264"/>
      <c r="D149" s="264"/>
      <c r="E149" s="191"/>
      <c r="F149" s="191"/>
      <c r="G149" s="191"/>
      <c r="H149" s="191"/>
      <c r="I149" s="250"/>
      <c r="J149" s="191"/>
      <c r="K149" s="191"/>
      <c r="L149" s="191"/>
      <c r="M149" s="191"/>
      <c r="N149" s="254"/>
      <c r="O149" s="191"/>
      <c r="P149" s="191"/>
      <c r="Q149" s="191"/>
      <c r="R149" s="191"/>
      <c r="S149" s="254"/>
      <c r="T149" s="191"/>
      <c r="U149" s="191"/>
      <c r="V149" s="191"/>
      <c r="W149" s="191"/>
      <c r="X149" s="254"/>
      <c r="Y149" s="191"/>
      <c r="Z149" s="191"/>
      <c r="AA149" s="191"/>
      <c r="AB149" s="191"/>
      <c r="AC149" s="254"/>
      <c r="AD149" s="191"/>
      <c r="AE149" s="191"/>
      <c r="AF149" s="191"/>
      <c r="AG149" s="191"/>
      <c r="AH149" s="254"/>
      <c r="AI149" s="191"/>
      <c r="AJ149" s="191"/>
      <c r="AK149" s="191"/>
      <c r="AL149" s="191"/>
      <c r="AM149" s="254"/>
      <c r="AN149" s="191"/>
      <c r="AO149" s="191"/>
      <c r="AP149" s="191"/>
      <c r="AQ149" s="191"/>
      <c r="AR149" s="254"/>
      <c r="AS149" s="191"/>
      <c r="AT149" s="191"/>
      <c r="AU149" s="191"/>
      <c r="AV149" s="191"/>
      <c r="AW149" s="254"/>
      <c r="AX149" s="191"/>
      <c r="AY149" s="191"/>
      <c r="AZ149" s="191"/>
      <c r="BA149" s="191"/>
      <c r="BB149" s="254"/>
      <c r="BC149" s="258" t="str">
        <f ca="1">IF('Demand background (hide)'!A140=Num_Modalities,"",SUM(Demand!I149, Demand!N149, Demand!S149, Demand!X149, Demand!AC149, Demand!AH149, Demand!AM149, Demand!AR149, Demand!AW149, Demand!BB149))</f>
        <v/>
      </c>
      <c r="BD149" s="258"/>
      <c r="BE149" s="208"/>
    </row>
    <row r="150" spans="1:57" ht="15" x14ac:dyDescent="0.25">
      <c r="A150" t="str">
        <f t="shared" ca="1" si="4"/>
        <v/>
      </c>
      <c r="B150" s="263" t="str">
        <f t="shared" ca="1" si="5"/>
        <v xml:space="preserve"> </v>
      </c>
      <c r="C150" s="264"/>
      <c r="D150" s="264"/>
      <c r="E150" s="191"/>
      <c r="F150" s="191"/>
      <c r="G150" s="191"/>
      <c r="H150" s="191"/>
      <c r="I150" s="250"/>
      <c r="J150" s="191"/>
      <c r="K150" s="191"/>
      <c r="L150" s="191"/>
      <c r="M150" s="191"/>
      <c r="N150" s="254"/>
      <c r="O150" s="191"/>
      <c r="P150" s="191"/>
      <c r="Q150" s="191"/>
      <c r="R150" s="191"/>
      <c r="S150" s="254"/>
      <c r="T150" s="191"/>
      <c r="U150" s="191"/>
      <c r="V150" s="191"/>
      <c r="W150" s="191"/>
      <c r="X150" s="254"/>
      <c r="Y150" s="191"/>
      <c r="Z150" s="191"/>
      <c r="AA150" s="191"/>
      <c r="AB150" s="191"/>
      <c r="AC150" s="254"/>
      <c r="AD150" s="191"/>
      <c r="AE150" s="191"/>
      <c r="AF150" s="191"/>
      <c r="AG150" s="191"/>
      <c r="AH150" s="254"/>
      <c r="AI150" s="191"/>
      <c r="AJ150" s="191"/>
      <c r="AK150" s="191"/>
      <c r="AL150" s="191"/>
      <c r="AM150" s="254"/>
      <c r="AN150" s="191"/>
      <c r="AO150" s="191"/>
      <c r="AP150" s="191"/>
      <c r="AQ150" s="191"/>
      <c r="AR150" s="254"/>
      <c r="AS150" s="191"/>
      <c r="AT150" s="191"/>
      <c r="AU150" s="191"/>
      <c r="AV150" s="191"/>
      <c r="AW150" s="254"/>
      <c r="AX150" s="191"/>
      <c r="AY150" s="191"/>
      <c r="AZ150" s="191"/>
      <c r="BA150" s="191"/>
      <c r="BB150" s="254"/>
      <c r="BC150" s="258" t="str">
        <f ca="1">IF('Demand background (hide)'!A141=Num_Modalities,"",SUM(Demand!I150, Demand!N150, Demand!S150, Demand!X150, Demand!AC150, Demand!AH150, Demand!AM150, Demand!AR150, Demand!AW150, Demand!BB150))</f>
        <v/>
      </c>
      <c r="BD150" s="258"/>
      <c r="BE150" s="208"/>
    </row>
    <row r="151" spans="1:57" ht="15" x14ac:dyDescent="0.25">
      <c r="A151" t="str">
        <f t="shared" ca="1" si="4"/>
        <v/>
      </c>
      <c r="B151" s="263" t="str">
        <f t="shared" ca="1" si="5"/>
        <v xml:space="preserve"> </v>
      </c>
      <c r="C151" s="264"/>
      <c r="D151" s="264"/>
      <c r="E151" s="191"/>
      <c r="F151" s="191"/>
      <c r="G151" s="191"/>
      <c r="H151" s="191"/>
      <c r="I151" s="250"/>
      <c r="J151" s="191"/>
      <c r="K151" s="191"/>
      <c r="L151" s="191"/>
      <c r="M151" s="191"/>
      <c r="N151" s="254"/>
      <c r="O151" s="191"/>
      <c r="P151" s="191"/>
      <c r="Q151" s="191"/>
      <c r="R151" s="191"/>
      <c r="S151" s="254"/>
      <c r="T151" s="191"/>
      <c r="U151" s="191"/>
      <c r="V151" s="191"/>
      <c r="W151" s="191"/>
      <c r="X151" s="254"/>
      <c r="Y151" s="191"/>
      <c r="Z151" s="191"/>
      <c r="AA151" s="191"/>
      <c r="AB151" s="191"/>
      <c r="AC151" s="254"/>
      <c r="AD151" s="191"/>
      <c r="AE151" s="191"/>
      <c r="AF151" s="191"/>
      <c r="AG151" s="191"/>
      <c r="AH151" s="254"/>
      <c r="AI151" s="191"/>
      <c r="AJ151" s="191"/>
      <c r="AK151" s="191"/>
      <c r="AL151" s="191"/>
      <c r="AM151" s="254"/>
      <c r="AN151" s="191"/>
      <c r="AO151" s="191"/>
      <c r="AP151" s="191"/>
      <c r="AQ151" s="191"/>
      <c r="AR151" s="254"/>
      <c r="AS151" s="191"/>
      <c r="AT151" s="191"/>
      <c r="AU151" s="191"/>
      <c r="AV151" s="191"/>
      <c r="AW151" s="254"/>
      <c r="AX151" s="191"/>
      <c r="AY151" s="191"/>
      <c r="AZ151" s="191"/>
      <c r="BA151" s="191"/>
      <c r="BB151" s="254"/>
      <c r="BC151" s="258" t="str">
        <f ca="1">IF('Demand background (hide)'!A142=Num_Modalities,"",SUM(Demand!I151, Demand!N151, Demand!S151, Demand!X151, Demand!AC151, Demand!AH151, Demand!AM151, Demand!AR151, Demand!AW151, Demand!BB151))</f>
        <v/>
      </c>
      <c r="BD151" s="258"/>
      <c r="BE151" s="208"/>
    </row>
    <row r="152" spans="1:57" ht="15" x14ac:dyDescent="0.25">
      <c r="A152" t="str">
        <f t="shared" ca="1" si="4"/>
        <v/>
      </c>
      <c r="B152" s="263" t="str">
        <f t="shared" ca="1" si="5"/>
        <v xml:space="preserve"> </v>
      </c>
      <c r="C152" s="264"/>
      <c r="D152" s="264"/>
      <c r="E152" s="191"/>
      <c r="F152" s="191"/>
      <c r="G152" s="191"/>
      <c r="H152" s="191"/>
      <c r="I152" s="250"/>
      <c r="J152" s="191"/>
      <c r="K152" s="191"/>
      <c r="L152" s="191"/>
      <c r="M152" s="191"/>
      <c r="N152" s="254"/>
      <c r="O152" s="191"/>
      <c r="P152" s="191"/>
      <c r="Q152" s="191"/>
      <c r="R152" s="191"/>
      <c r="S152" s="254"/>
      <c r="T152" s="191"/>
      <c r="U152" s="191"/>
      <c r="V152" s="191"/>
      <c r="W152" s="191"/>
      <c r="X152" s="254"/>
      <c r="Y152" s="191"/>
      <c r="Z152" s="191"/>
      <c r="AA152" s="191"/>
      <c r="AB152" s="191"/>
      <c r="AC152" s="254"/>
      <c r="AD152" s="191"/>
      <c r="AE152" s="191"/>
      <c r="AF152" s="191"/>
      <c r="AG152" s="191"/>
      <c r="AH152" s="254"/>
      <c r="AI152" s="191"/>
      <c r="AJ152" s="191"/>
      <c r="AK152" s="191"/>
      <c r="AL152" s="191"/>
      <c r="AM152" s="254"/>
      <c r="AN152" s="191"/>
      <c r="AO152" s="191"/>
      <c r="AP152" s="191"/>
      <c r="AQ152" s="191"/>
      <c r="AR152" s="254"/>
      <c r="AS152" s="191"/>
      <c r="AT152" s="191"/>
      <c r="AU152" s="191"/>
      <c r="AV152" s="191"/>
      <c r="AW152" s="254"/>
      <c r="AX152" s="191"/>
      <c r="AY152" s="191"/>
      <c r="AZ152" s="191"/>
      <c r="BA152" s="191"/>
      <c r="BB152" s="254"/>
      <c r="BC152" s="258" t="str">
        <f ca="1">IF('Demand background (hide)'!A143=Num_Modalities,"",SUM(Demand!I152, Demand!N152, Demand!S152, Demand!X152, Demand!AC152, Demand!AH152, Demand!AM152, Demand!AR152, Demand!AW152, Demand!BB152))</f>
        <v/>
      </c>
      <c r="BD152" s="258"/>
      <c r="BE152" s="208"/>
    </row>
    <row r="153" spans="1:57" ht="15" x14ac:dyDescent="0.25">
      <c r="A153" t="str">
        <f t="shared" ca="1" si="4"/>
        <v/>
      </c>
      <c r="B153" s="263" t="str">
        <f t="shared" ca="1" si="5"/>
        <v xml:space="preserve"> </v>
      </c>
      <c r="C153" s="264"/>
      <c r="D153" s="264"/>
      <c r="E153" s="191"/>
      <c r="F153" s="191"/>
      <c r="G153" s="191"/>
      <c r="H153" s="191"/>
      <c r="I153" s="250"/>
      <c r="J153" s="191"/>
      <c r="K153" s="191"/>
      <c r="L153" s="191"/>
      <c r="M153" s="191"/>
      <c r="N153" s="254"/>
      <c r="O153" s="191"/>
      <c r="P153" s="191"/>
      <c r="Q153" s="191"/>
      <c r="R153" s="191"/>
      <c r="S153" s="254"/>
      <c r="T153" s="191"/>
      <c r="U153" s="191"/>
      <c r="V153" s="191"/>
      <c r="W153" s="191"/>
      <c r="X153" s="254"/>
      <c r="Y153" s="191"/>
      <c r="Z153" s="191"/>
      <c r="AA153" s="191"/>
      <c r="AB153" s="191"/>
      <c r="AC153" s="254"/>
      <c r="AD153" s="191"/>
      <c r="AE153" s="191"/>
      <c r="AF153" s="191"/>
      <c r="AG153" s="191"/>
      <c r="AH153" s="254"/>
      <c r="AI153" s="191"/>
      <c r="AJ153" s="191"/>
      <c r="AK153" s="191"/>
      <c r="AL153" s="191"/>
      <c r="AM153" s="254"/>
      <c r="AN153" s="191"/>
      <c r="AO153" s="191"/>
      <c r="AP153" s="191"/>
      <c r="AQ153" s="191"/>
      <c r="AR153" s="254"/>
      <c r="AS153" s="191"/>
      <c r="AT153" s="191"/>
      <c r="AU153" s="191"/>
      <c r="AV153" s="191"/>
      <c r="AW153" s="254"/>
      <c r="AX153" s="191"/>
      <c r="AY153" s="191"/>
      <c r="AZ153" s="191"/>
      <c r="BA153" s="191"/>
      <c r="BB153" s="254"/>
      <c r="BC153" s="258" t="str">
        <f ca="1">IF('Demand background (hide)'!A144=Num_Modalities,"",SUM(Demand!I153, Demand!N153, Demand!S153, Demand!X153, Demand!AC153, Demand!AH153, Demand!AM153, Demand!AR153, Demand!AW153, Demand!BB153))</f>
        <v/>
      </c>
      <c r="BD153" s="258"/>
      <c r="BE153" s="208"/>
    </row>
    <row r="154" spans="1:57" ht="15" x14ac:dyDescent="0.25">
      <c r="A154" t="str">
        <f t="shared" ca="1" si="4"/>
        <v/>
      </c>
      <c r="B154" s="263" t="str">
        <f t="shared" ca="1" si="5"/>
        <v xml:space="preserve"> </v>
      </c>
      <c r="C154" s="264"/>
      <c r="D154" s="264"/>
      <c r="E154" s="191"/>
      <c r="F154" s="191"/>
      <c r="G154" s="191"/>
      <c r="H154" s="191"/>
      <c r="I154" s="250"/>
      <c r="J154" s="191"/>
      <c r="K154" s="191"/>
      <c r="L154" s="191"/>
      <c r="M154" s="191"/>
      <c r="N154" s="254"/>
      <c r="O154" s="191"/>
      <c r="P154" s="191"/>
      <c r="Q154" s="191"/>
      <c r="R154" s="191"/>
      <c r="S154" s="254"/>
      <c r="T154" s="191"/>
      <c r="U154" s="191"/>
      <c r="V154" s="191"/>
      <c r="W154" s="191"/>
      <c r="X154" s="254"/>
      <c r="Y154" s="191"/>
      <c r="Z154" s="191"/>
      <c r="AA154" s="191"/>
      <c r="AB154" s="191"/>
      <c r="AC154" s="254"/>
      <c r="AD154" s="191"/>
      <c r="AE154" s="191"/>
      <c r="AF154" s="191"/>
      <c r="AG154" s="191"/>
      <c r="AH154" s="254"/>
      <c r="AI154" s="191"/>
      <c r="AJ154" s="191"/>
      <c r="AK154" s="191"/>
      <c r="AL154" s="191"/>
      <c r="AM154" s="254"/>
      <c r="AN154" s="191"/>
      <c r="AO154" s="191"/>
      <c r="AP154" s="191"/>
      <c r="AQ154" s="191"/>
      <c r="AR154" s="254"/>
      <c r="AS154" s="191"/>
      <c r="AT154" s="191"/>
      <c r="AU154" s="191"/>
      <c r="AV154" s="191"/>
      <c r="AW154" s="254"/>
      <c r="AX154" s="191"/>
      <c r="AY154" s="191"/>
      <c r="AZ154" s="191"/>
      <c r="BA154" s="191"/>
      <c r="BB154" s="254"/>
      <c r="BC154" s="258" t="str">
        <f ca="1">IF('Demand background (hide)'!A145=Num_Modalities,"",SUM(Demand!I154, Demand!N154, Demand!S154, Demand!X154, Demand!AC154, Demand!AH154, Demand!AM154, Demand!AR154, Demand!AW154, Demand!BB154))</f>
        <v/>
      </c>
      <c r="BD154" s="258"/>
      <c r="BE154" s="208"/>
    </row>
    <row r="155" spans="1:57" ht="15" x14ac:dyDescent="0.25">
      <c r="A155" t="str">
        <f t="shared" ca="1" si="4"/>
        <v/>
      </c>
      <c r="B155" s="263" t="str">
        <f t="shared" ca="1" si="5"/>
        <v xml:space="preserve"> </v>
      </c>
      <c r="C155" s="264"/>
      <c r="D155" s="264"/>
      <c r="E155" s="191"/>
      <c r="F155" s="191"/>
      <c r="G155" s="191"/>
      <c r="H155" s="191"/>
      <c r="I155" s="250"/>
      <c r="J155" s="191"/>
      <c r="K155" s="191"/>
      <c r="L155" s="191"/>
      <c r="M155" s="191"/>
      <c r="N155" s="254"/>
      <c r="O155" s="191"/>
      <c r="P155" s="191"/>
      <c r="Q155" s="191"/>
      <c r="R155" s="191"/>
      <c r="S155" s="254"/>
      <c r="T155" s="191"/>
      <c r="U155" s="191"/>
      <c r="V155" s="191"/>
      <c r="W155" s="191"/>
      <c r="X155" s="254"/>
      <c r="Y155" s="191"/>
      <c r="Z155" s="191"/>
      <c r="AA155" s="191"/>
      <c r="AB155" s="191"/>
      <c r="AC155" s="254"/>
      <c r="AD155" s="191"/>
      <c r="AE155" s="191"/>
      <c r="AF155" s="191"/>
      <c r="AG155" s="191"/>
      <c r="AH155" s="254"/>
      <c r="AI155" s="191"/>
      <c r="AJ155" s="191"/>
      <c r="AK155" s="191"/>
      <c r="AL155" s="191"/>
      <c r="AM155" s="254"/>
      <c r="AN155" s="191"/>
      <c r="AO155" s="191"/>
      <c r="AP155" s="191"/>
      <c r="AQ155" s="191"/>
      <c r="AR155" s="254"/>
      <c r="AS155" s="191"/>
      <c r="AT155" s="191"/>
      <c r="AU155" s="191"/>
      <c r="AV155" s="191"/>
      <c r="AW155" s="254"/>
      <c r="AX155" s="191"/>
      <c r="AY155" s="191"/>
      <c r="AZ155" s="191"/>
      <c r="BA155" s="191"/>
      <c r="BB155" s="254"/>
      <c r="BC155" s="258" t="str">
        <f ca="1">IF('Demand background (hide)'!A146=Num_Modalities,"",SUM(Demand!I155, Demand!N155, Demand!S155, Demand!X155, Demand!AC155, Demand!AH155, Demand!AM155, Demand!AR155, Demand!AW155, Demand!BB155))</f>
        <v/>
      </c>
      <c r="BD155" s="258"/>
      <c r="BE155" s="208"/>
    </row>
    <row r="156" spans="1:57" ht="15" x14ac:dyDescent="0.25">
      <c r="A156" t="str">
        <f t="shared" ca="1" si="4"/>
        <v/>
      </c>
      <c r="B156" s="263" t="str">
        <f t="shared" ca="1" si="5"/>
        <v xml:space="preserve"> </v>
      </c>
      <c r="C156" s="264"/>
      <c r="D156" s="264"/>
      <c r="E156" s="191"/>
      <c r="F156" s="191"/>
      <c r="G156" s="191"/>
      <c r="H156" s="191"/>
      <c r="I156" s="250"/>
      <c r="J156" s="191"/>
      <c r="K156" s="191"/>
      <c r="L156" s="191"/>
      <c r="M156" s="191"/>
      <c r="N156" s="254"/>
      <c r="O156" s="191"/>
      <c r="P156" s="191"/>
      <c r="Q156" s="191"/>
      <c r="R156" s="191"/>
      <c r="S156" s="254"/>
      <c r="T156" s="191"/>
      <c r="U156" s="191"/>
      <c r="V156" s="191"/>
      <c r="W156" s="191"/>
      <c r="X156" s="254"/>
      <c r="Y156" s="191"/>
      <c r="Z156" s="191"/>
      <c r="AA156" s="191"/>
      <c r="AB156" s="191"/>
      <c r="AC156" s="254"/>
      <c r="AD156" s="191"/>
      <c r="AE156" s="191"/>
      <c r="AF156" s="191"/>
      <c r="AG156" s="191"/>
      <c r="AH156" s="254"/>
      <c r="AI156" s="191"/>
      <c r="AJ156" s="191"/>
      <c r="AK156" s="191"/>
      <c r="AL156" s="191"/>
      <c r="AM156" s="254"/>
      <c r="AN156" s="191"/>
      <c r="AO156" s="191"/>
      <c r="AP156" s="191"/>
      <c r="AQ156" s="191"/>
      <c r="AR156" s="254"/>
      <c r="AS156" s="191"/>
      <c r="AT156" s="191"/>
      <c r="AU156" s="191"/>
      <c r="AV156" s="191"/>
      <c r="AW156" s="254"/>
      <c r="AX156" s="191"/>
      <c r="AY156" s="191"/>
      <c r="AZ156" s="191"/>
      <c r="BA156" s="191"/>
      <c r="BB156" s="254"/>
      <c r="BC156" s="258" t="str">
        <f ca="1">IF('Demand background (hide)'!A147=Num_Modalities,"",SUM(Demand!I156, Demand!N156, Demand!S156, Demand!X156, Demand!AC156, Demand!AH156, Demand!AM156, Demand!AR156, Demand!AW156, Demand!BB156))</f>
        <v/>
      </c>
      <c r="BD156" s="258"/>
      <c r="BE156" s="208"/>
    </row>
    <row r="157" spans="1:57" ht="15" x14ac:dyDescent="0.25">
      <c r="A157" t="str">
        <f t="shared" ca="1" si="4"/>
        <v/>
      </c>
      <c r="B157" s="263" t="str">
        <f t="shared" ca="1" si="5"/>
        <v xml:space="preserve"> </v>
      </c>
      <c r="C157" s="264"/>
      <c r="D157" s="264"/>
      <c r="E157" s="191"/>
      <c r="F157" s="191"/>
      <c r="G157" s="191"/>
      <c r="H157" s="191"/>
      <c r="I157" s="250"/>
      <c r="J157" s="191"/>
      <c r="K157" s="191"/>
      <c r="L157" s="191"/>
      <c r="M157" s="191"/>
      <c r="N157" s="254"/>
      <c r="O157" s="191"/>
      <c r="P157" s="191"/>
      <c r="Q157" s="191"/>
      <c r="R157" s="191"/>
      <c r="S157" s="254"/>
      <c r="T157" s="191"/>
      <c r="U157" s="191"/>
      <c r="V157" s="191"/>
      <c r="W157" s="191"/>
      <c r="X157" s="254"/>
      <c r="Y157" s="191"/>
      <c r="Z157" s="191"/>
      <c r="AA157" s="191"/>
      <c r="AB157" s="191"/>
      <c r="AC157" s="254"/>
      <c r="AD157" s="191"/>
      <c r="AE157" s="191"/>
      <c r="AF157" s="191"/>
      <c r="AG157" s="191"/>
      <c r="AH157" s="254"/>
      <c r="AI157" s="191"/>
      <c r="AJ157" s="191"/>
      <c r="AK157" s="191"/>
      <c r="AL157" s="191"/>
      <c r="AM157" s="254"/>
      <c r="AN157" s="191"/>
      <c r="AO157" s="191"/>
      <c r="AP157" s="191"/>
      <c r="AQ157" s="191"/>
      <c r="AR157" s="254"/>
      <c r="AS157" s="191"/>
      <c r="AT157" s="191"/>
      <c r="AU157" s="191"/>
      <c r="AV157" s="191"/>
      <c r="AW157" s="254"/>
      <c r="AX157" s="191"/>
      <c r="AY157" s="191"/>
      <c r="AZ157" s="191"/>
      <c r="BA157" s="191"/>
      <c r="BB157" s="254"/>
      <c r="BC157" s="258" t="str">
        <f ca="1">IF('Demand background (hide)'!A148=Num_Modalities,"",SUM(Demand!I157, Demand!N157, Demand!S157, Demand!X157, Demand!AC157, Demand!AH157, Demand!AM157, Demand!AR157, Demand!AW157, Demand!BB157))</f>
        <v/>
      </c>
      <c r="BD157" s="258"/>
      <c r="BE157" s="208"/>
    </row>
    <row r="158" spans="1:57" ht="15" x14ac:dyDescent="0.25">
      <c r="A158" t="str">
        <f t="shared" ca="1" si="4"/>
        <v/>
      </c>
      <c r="B158" s="263" t="str">
        <f t="shared" ca="1" si="5"/>
        <v xml:space="preserve"> </v>
      </c>
      <c r="C158" s="264"/>
      <c r="D158" s="264"/>
      <c r="E158" s="191"/>
      <c r="F158" s="191"/>
      <c r="G158" s="191"/>
      <c r="H158" s="191"/>
      <c r="I158" s="250"/>
      <c r="J158" s="191"/>
      <c r="K158" s="191"/>
      <c r="L158" s="191"/>
      <c r="M158" s="191"/>
      <c r="N158" s="254"/>
      <c r="O158" s="191"/>
      <c r="P158" s="191"/>
      <c r="Q158" s="191"/>
      <c r="R158" s="191"/>
      <c r="S158" s="254"/>
      <c r="T158" s="191"/>
      <c r="U158" s="191"/>
      <c r="V158" s="191"/>
      <c r="W158" s="191"/>
      <c r="X158" s="254"/>
      <c r="Y158" s="191"/>
      <c r="Z158" s="191"/>
      <c r="AA158" s="191"/>
      <c r="AB158" s="191"/>
      <c r="AC158" s="254"/>
      <c r="AD158" s="191"/>
      <c r="AE158" s="191"/>
      <c r="AF158" s="191"/>
      <c r="AG158" s="191"/>
      <c r="AH158" s="254"/>
      <c r="AI158" s="191"/>
      <c r="AJ158" s="191"/>
      <c r="AK158" s="191"/>
      <c r="AL158" s="191"/>
      <c r="AM158" s="254"/>
      <c r="AN158" s="191"/>
      <c r="AO158" s="191"/>
      <c r="AP158" s="191"/>
      <c r="AQ158" s="191"/>
      <c r="AR158" s="254"/>
      <c r="AS158" s="191"/>
      <c r="AT158" s="191"/>
      <c r="AU158" s="191"/>
      <c r="AV158" s="191"/>
      <c r="AW158" s="254"/>
      <c r="AX158" s="191"/>
      <c r="AY158" s="191"/>
      <c r="AZ158" s="191"/>
      <c r="BA158" s="191"/>
      <c r="BB158" s="254"/>
      <c r="BC158" s="258" t="str">
        <f ca="1">IF('Demand background (hide)'!A149=Num_Modalities,"",SUM(Demand!I158, Demand!N158, Demand!S158, Demand!X158, Demand!AC158, Demand!AH158, Demand!AM158, Demand!AR158, Demand!AW158, Demand!BB158))</f>
        <v/>
      </c>
      <c r="BD158" s="258"/>
      <c r="BE158" s="208"/>
    </row>
    <row r="159" spans="1:57" ht="15" x14ac:dyDescent="0.25">
      <c r="A159" t="str">
        <f t="shared" ca="1" si="4"/>
        <v/>
      </c>
      <c r="B159" s="263" t="str">
        <f t="shared" ca="1" si="5"/>
        <v xml:space="preserve"> </v>
      </c>
      <c r="C159" s="264"/>
      <c r="D159" s="264"/>
      <c r="E159" s="191"/>
      <c r="F159" s="191"/>
      <c r="G159" s="191"/>
      <c r="H159" s="191"/>
      <c r="I159" s="250"/>
      <c r="J159" s="191"/>
      <c r="K159" s="191"/>
      <c r="L159" s="191"/>
      <c r="M159" s="191"/>
      <c r="N159" s="254"/>
      <c r="O159" s="191"/>
      <c r="P159" s="191"/>
      <c r="Q159" s="191"/>
      <c r="R159" s="191"/>
      <c r="S159" s="254"/>
      <c r="T159" s="191"/>
      <c r="U159" s="191"/>
      <c r="V159" s="191"/>
      <c r="W159" s="191"/>
      <c r="X159" s="254"/>
      <c r="Y159" s="191"/>
      <c r="Z159" s="191"/>
      <c r="AA159" s="191"/>
      <c r="AB159" s="191"/>
      <c r="AC159" s="254"/>
      <c r="AD159" s="191"/>
      <c r="AE159" s="191"/>
      <c r="AF159" s="191"/>
      <c r="AG159" s="191"/>
      <c r="AH159" s="254"/>
      <c r="AI159" s="191"/>
      <c r="AJ159" s="191"/>
      <c r="AK159" s="191"/>
      <c r="AL159" s="191"/>
      <c r="AM159" s="254"/>
      <c r="AN159" s="191"/>
      <c r="AO159" s="191"/>
      <c r="AP159" s="191"/>
      <c r="AQ159" s="191"/>
      <c r="AR159" s="254"/>
      <c r="AS159" s="191"/>
      <c r="AT159" s="191"/>
      <c r="AU159" s="191"/>
      <c r="AV159" s="191"/>
      <c r="AW159" s="254"/>
      <c r="AX159" s="191"/>
      <c r="AY159" s="191"/>
      <c r="AZ159" s="191"/>
      <c r="BA159" s="191"/>
      <c r="BB159" s="254"/>
      <c r="BC159" s="258" t="str">
        <f ca="1">IF('Demand background (hide)'!A150=Num_Modalities,"",SUM(Demand!I159, Demand!N159, Demand!S159, Demand!X159, Demand!AC159, Demand!AH159, Demand!AM159, Demand!AR159, Demand!AW159, Demand!BB159))</f>
        <v/>
      </c>
      <c r="BD159" s="258"/>
      <c r="BE159" s="208"/>
    </row>
    <row r="160" spans="1:57" ht="15" x14ac:dyDescent="0.25">
      <c r="A160" t="str">
        <f t="shared" ca="1" si="4"/>
        <v/>
      </c>
      <c r="B160" s="263" t="str">
        <f t="shared" ca="1" si="5"/>
        <v xml:space="preserve"> </v>
      </c>
      <c r="C160" s="264"/>
      <c r="D160" s="264"/>
      <c r="E160" s="191"/>
      <c r="F160" s="191"/>
      <c r="G160" s="191"/>
      <c r="H160" s="191"/>
      <c r="I160" s="250"/>
      <c r="J160" s="191"/>
      <c r="K160" s="191"/>
      <c r="L160" s="191"/>
      <c r="M160" s="191"/>
      <c r="N160" s="254"/>
      <c r="O160" s="191"/>
      <c r="P160" s="191"/>
      <c r="Q160" s="191"/>
      <c r="R160" s="191"/>
      <c r="S160" s="254"/>
      <c r="T160" s="191"/>
      <c r="U160" s="191"/>
      <c r="V160" s="191"/>
      <c r="W160" s="191"/>
      <c r="X160" s="254"/>
      <c r="Y160" s="191"/>
      <c r="Z160" s="191"/>
      <c r="AA160" s="191"/>
      <c r="AB160" s="191"/>
      <c r="AC160" s="254"/>
      <c r="AD160" s="191"/>
      <c r="AE160" s="191"/>
      <c r="AF160" s="191"/>
      <c r="AG160" s="191"/>
      <c r="AH160" s="254"/>
      <c r="AI160" s="191"/>
      <c r="AJ160" s="191"/>
      <c r="AK160" s="191"/>
      <c r="AL160" s="191"/>
      <c r="AM160" s="254"/>
      <c r="AN160" s="191"/>
      <c r="AO160" s="191"/>
      <c r="AP160" s="191"/>
      <c r="AQ160" s="191"/>
      <c r="AR160" s="254"/>
      <c r="AS160" s="191"/>
      <c r="AT160" s="191"/>
      <c r="AU160" s="191"/>
      <c r="AV160" s="191"/>
      <c r="AW160" s="254"/>
      <c r="AX160" s="191"/>
      <c r="AY160" s="191"/>
      <c r="AZ160" s="191"/>
      <c r="BA160" s="191"/>
      <c r="BB160" s="254"/>
      <c r="BC160" s="258" t="str">
        <f ca="1">IF('Demand background (hide)'!A151=Num_Modalities,"",SUM(Demand!I160, Demand!N160, Demand!S160, Demand!X160, Demand!AC160, Demand!AH160, Demand!AM160, Demand!AR160, Demand!AW160, Demand!BB160))</f>
        <v/>
      </c>
      <c r="BD160" s="258"/>
      <c r="BE160" s="208"/>
    </row>
    <row r="161" spans="1:57" ht="15" x14ac:dyDescent="0.25">
      <c r="A161" t="str">
        <f t="shared" ca="1" si="4"/>
        <v/>
      </c>
      <c r="B161" s="263" t="str">
        <f t="shared" ca="1" si="5"/>
        <v xml:space="preserve"> </v>
      </c>
      <c r="C161" s="264"/>
      <c r="D161" s="264"/>
      <c r="E161" s="191"/>
      <c r="F161" s="191"/>
      <c r="G161" s="191"/>
      <c r="H161" s="191"/>
      <c r="I161" s="250"/>
      <c r="J161" s="191"/>
      <c r="K161" s="191"/>
      <c r="L161" s="191"/>
      <c r="M161" s="191"/>
      <c r="N161" s="254"/>
      <c r="O161" s="191"/>
      <c r="P161" s="191"/>
      <c r="Q161" s="191"/>
      <c r="R161" s="191"/>
      <c r="S161" s="254"/>
      <c r="T161" s="191"/>
      <c r="U161" s="191"/>
      <c r="V161" s="191"/>
      <c r="W161" s="191"/>
      <c r="X161" s="254"/>
      <c r="Y161" s="191"/>
      <c r="Z161" s="191"/>
      <c r="AA161" s="191"/>
      <c r="AB161" s="191"/>
      <c r="AC161" s="254"/>
      <c r="AD161" s="191"/>
      <c r="AE161" s="191"/>
      <c r="AF161" s="191"/>
      <c r="AG161" s="191"/>
      <c r="AH161" s="254"/>
      <c r="AI161" s="191"/>
      <c r="AJ161" s="191"/>
      <c r="AK161" s="191"/>
      <c r="AL161" s="191"/>
      <c r="AM161" s="254"/>
      <c r="AN161" s="191"/>
      <c r="AO161" s="191"/>
      <c r="AP161" s="191"/>
      <c r="AQ161" s="191"/>
      <c r="AR161" s="254"/>
      <c r="AS161" s="191"/>
      <c r="AT161" s="191"/>
      <c r="AU161" s="191"/>
      <c r="AV161" s="191"/>
      <c r="AW161" s="254"/>
      <c r="AX161" s="191"/>
      <c r="AY161" s="191"/>
      <c r="AZ161" s="191"/>
      <c r="BA161" s="191"/>
      <c r="BB161" s="254"/>
      <c r="BC161" s="258" t="str">
        <f ca="1">IF('Demand background (hide)'!A152=Num_Modalities,"",SUM(Demand!I161, Demand!N161, Demand!S161, Demand!X161, Demand!AC161, Demand!AH161, Demand!AM161, Demand!AR161, Demand!AW161, Demand!BB161))</f>
        <v/>
      </c>
      <c r="BD161" s="258"/>
      <c r="BE161" s="208"/>
    </row>
    <row r="162" spans="1:57" ht="15" x14ac:dyDescent="0.25">
      <c r="A162" t="str">
        <f t="shared" ca="1" si="4"/>
        <v/>
      </c>
      <c r="B162" s="263" t="str">
        <f t="shared" ca="1" si="5"/>
        <v xml:space="preserve"> </v>
      </c>
      <c r="C162" s="264"/>
      <c r="D162" s="264"/>
      <c r="E162" s="191"/>
      <c r="F162" s="191"/>
      <c r="G162" s="191"/>
      <c r="H162" s="191"/>
      <c r="I162" s="250"/>
      <c r="J162" s="191"/>
      <c r="K162" s="191"/>
      <c r="L162" s="191"/>
      <c r="M162" s="191"/>
      <c r="N162" s="254"/>
      <c r="O162" s="191"/>
      <c r="P162" s="191"/>
      <c r="Q162" s="191"/>
      <c r="R162" s="191"/>
      <c r="S162" s="254"/>
      <c r="T162" s="191"/>
      <c r="U162" s="191"/>
      <c r="V162" s="191"/>
      <c r="W162" s="191"/>
      <c r="X162" s="254"/>
      <c r="Y162" s="191"/>
      <c r="Z162" s="191"/>
      <c r="AA162" s="191"/>
      <c r="AB162" s="191"/>
      <c r="AC162" s="254"/>
      <c r="AD162" s="191"/>
      <c r="AE162" s="191"/>
      <c r="AF162" s="191"/>
      <c r="AG162" s="191"/>
      <c r="AH162" s="254"/>
      <c r="AI162" s="191"/>
      <c r="AJ162" s="191"/>
      <c r="AK162" s="191"/>
      <c r="AL162" s="191"/>
      <c r="AM162" s="254"/>
      <c r="AN162" s="191"/>
      <c r="AO162" s="191"/>
      <c r="AP162" s="191"/>
      <c r="AQ162" s="191"/>
      <c r="AR162" s="254"/>
      <c r="AS162" s="191"/>
      <c r="AT162" s="191"/>
      <c r="AU162" s="191"/>
      <c r="AV162" s="191"/>
      <c r="AW162" s="254"/>
      <c r="AX162" s="191"/>
      <c r="AY162" s="191"/>
      <c r="AZ162" s="191"/>
      <c r="BA162" s="191"/>
      <c r="BB162" s="254"/>
      <c r="BC162" s="258" t="str">
        <f ca="1">IF('Demand background (hide)'!A153=Num_Modalities,"",SUM(Demand!I162, Demand!N162, Demand!S162, Demand!X162, Demand!AC162, Demand!AH162, Demand!AM162, Demand!AR162, Demand!AW162, Demand!BB162))</f>
        <v/>
      </c>
      <c r="BD162" s="258"/>
      <c r="BE162" s="208"/>
    </row>
    <row r="163" spans="1:57" ht="15" x14ac:dyDescent="0.25">
      <c r="A163" t="str">
        <f t="shared" ca="1" si="4"/>
        <v/>
      </c>
      <c r="B163" s="263" t="str">
        <f t="shared" ca="1" si="5"/>
        <v xml:space="preserve"> </v>
      </c>
      <c r="C163" s="264"/>
      <c r="D163" s="264"/>
      <c r="E163" s="191"/>
      <c r="F163" s="191"/>
      <c r="G163" s="191"/>
      <c r="H163" s="191"/>
      <c r="I163" s="250"/>
      <c r="J163" s="191"/>
      <c r="K163" s="191"/>
      <c r="L163" s="191"/>
      <c r="M163" s="191"/>
      <c r="N163" s="254"/>
      <c r="O163" s="191"/>
      <c r="P163" s="191"/>
      <c r="Q163" s="191"/>
      <c r="R163" s="191"/>
      <c r="S163" s="254"/>
      <c r="T163" s="191"/>
      <c r="U163" s="191"/>
      <c r="V163" s="191"/>
      <c r="W163" s="191"/>
      <c r="X163" s="254"/>
      <c r="Y163" s="191"/>
      <c r="Z163" s="191"/>
      <c r="AA163" s="191"/>
      <c r="AB163" s="191"/>
      <c r="AC163" s="254"/>
      <c r="AD163" s="191"/>
      <c r="AE163" s="191"/>
      <c r="AF163" s="191"/>
      <c r="AG163" s="191"/>
      <c r="AH163" s="254"/>
      <c r="AI163" s="191"/>
      <c r="AJ163" s="191"/>
      <c r="AK163" s="191"/>
      <c r="AL163" s="191"/>
      <c r="AM163" s="254"/>
      <c r="AN163" s="191"/>
      <c r="AO163" s="191"/>
      <c r="AP163" s="191"/>
      <c r="AQ163" s="191"/>
      <c r="AR163" s="254"/>
      <c r="AS163" s="191"/>
      <c r="AT163" s="191"/>
      <c r="AU163" s="191"/>
      <c r="AV163" s="191"/>
      <c r="AW163" s="254"/>
      <c r="AX163" s="191"/>
      <c r="AY163" s="191"/>
      <c r="AZ163" s="191"/>
      <c r="BA163" s="191"/>
      <c r="BB163" s="254"/>
      <c r="BC163" s="258" t="str">
        <f ca="1">IF('Demand background (hide)'!A154=Num_Modalities,"",SUM(Demand!I163, Demand!N163, Demand!S163, Demand!X163, Demand!AC163, Demand!AH163, Demand!AM163, Demand!AR163, Demand!AW163, Demand!BB163))</f>
        <v/>
      </c>
      <c r="BD163" s="258"/>
      <c r="BE163" s="208"/>
    </row>
    <row r="164" spans="1:57" ht="15" x14ac:dyDescent="0.25">
      <c r="A164" t="str">
        <f t="shared" ca="1" si="4"/>
        <v/>
      </c>
      <c r="B164" s="263" t="str">
        <f t="shared" ca="1" si="5"/>
        <v xml:space="preserve"> </v>
      </c>
      <c r="C164" s="264"/>
      <c r="D164" s="264"/>
      <c r="E164" s="191"/>
      <c r="F164" s="191"/>
      <c r="G164" s="191"/>
      <c r="H164" s="191"/>
      <c r="I164" s="250"/>
      <c r="J164" s="191"/>
      <c r="K164" s="191"/>
      <c r="L164" s="191"/>
      <c r="M164" s="191"/>
      <c r="N164" s="254"/>
      <c r="O164" s="191"/>
      <c r="P164" s="191"/>
      <c r="Q164" s="191"/>
      <c r="R164" s="191"/>
      <c r="S164" s="254"/>
      <c r="T164" s="191"/>
      <c r="U164" s="191"/>
      <c r="V164" s="191"/>
      <c r="W164" s="191"/>
      <c r="X164" s="254"/>
      <c r="Y164" s="191"/>
      <c r="Z164" s="191"/>
      <c r="AA164" s="191"/>
      <c r="AB164" s="191"/>
      <c r="AC164" s="254"/>
      <c r="AD164" s="191"/>
      <c r="AE164" s="191"/>
      <c r="AF164" s="191"/>
      <c r="AG164" s="191"/>
      <c r="AH164" s="254"/>
      <c r="AI164" s="191"/>
      <c r="AJ164" s="191"/>
      <c r="AK164" s="191"/>
      <c r="AL164" s="191"/>
      <c r="AM164" s="254"/>
      <c r="AN164" s="191"/>
      <c r="AO164" s="191"/>
      <c r="AP164" s="191"/>
      <c r="AQ164" s="191"/>
      <c r="AR164" s="254"/>
      <c r="AS164" s="191"/>
      <c r="AT164" s="191"/>
      <c r="AU164" s="191"/>
      <c r="AV164" s="191"/>
      <c r="AW164" s="254"/>
      <c r="AX164" s="191"/>
      <c r="AY164" s="191"/>
      <c r="AZ164" s="191"/>
      <c r="BA164" s="191"/>
      <c r="BB164" s="254"/>
      <c r="BC164" s="258" t="str">
        <f ca="1">IF('Demand background (hide)'!A155=Num_Modalities,"",SUM(Demand!I164, Demand!N164, Demand!S164, Demand!X164, Demand!AC164, Demand!AH164, Demand!AM164, Demand!AR164, Demand!AW164, Demand!BB164))</f>
        <v/>
      </c>
      <c r="BD164" s="258"/>
      <c r="BE164" s="208"/>
    </row>
    <row r="165" spans="1:57" ht="15" x14ac:dyDescent="0.25">
      <c r="A165" t="str">
        <f t="shared" ca="1" si="4"/>
        <v/>
      </c>
      <c r="B165" s="263" t="str">
        <f t="shared" ca="1" si="5"/>
        <v xml:space="preserve"> </v>
      </c>
      <c r="C165" s="264"/>
      <c r="D165" s="264"/>
      <c r="E165" s="191"/>
      <c r="F165" s="191"/>
      <c r="G165" s="191"/>
      <c r="H165" s="191"/>
      <c r="I165" s="250"/>
      <c r="J165" s="191"/>
      <c r="K165" s="191"/>
      <c r="L165" s="191"/>
      <c r="M165" s="191"/>
      <c r="N165" s="254"/>
      <c r="O165" s="191"/>
      <c r="P165" s="191"/>
      <c r="Q165" s="191"/>
      <c r="R165" s="191"/>
      <c r="S165" s="254"/>
      <c r="T165" s="191"/>
      <c r="U165" s="191"/>
      <c r="V165" s="191"/>
      <c r="W165" s="191"/>
      <c r="X165" s="254"/>
      <c r="Y165" s="191"/>
      <c r="Z165" s="191"/>
      <c r="AA165" s="191"/>
      <c r="AB165" s="191"/>
      <c r="AC165" s="254"/>
      <c r="AD165" s="191"/>
      <c r="AE165" s="191"/>
      <c r="AF165" s="191"/>
      <c r="AG165" s="191"/>
      <c r="AH165" s="254"/>
      <c r="AI165" s="191"/>
      <c r="AJ165" s="191"/>
      <c r="AK165" s="191"/>
      <c r="AL165" s="191"/>
      <c r="AM165" s="254"/>
      <c r="AN165" s="191"/>
      <c r="AO165" s="191"/>
      <c r="AP165" s="191"/>
      <c r="AQ165" s="191"/>
      <c r="AR165" s="254"/>
      <c r="AS165" s="191"/>
      <c r="AT165" s="191"/>
      <c r="AU165" s="191"/>
      <c r="AV165" s="191"/>
      <c r="AW165" s="254"/>
      <c r="AX165" s="191"/>
      <c r="AY165" s="191"/>
      <c r="AZ165" s="191"/>
      <c r="BA165" s="191"/>
      <c r="BB165" s="254"/>
      <c r="BC165" s="258" t="str">
        <f ca="1">IF('Demand background (hide)'!A156=Num_Modalities,"",SUM(Demand!I165, Demand!N165, Demand!S165, Demand!X165, Demand!AC165, Demand!AH165, Demand!AM165, Demand!AR165, Demand!AW165, Demand!BB165))</f>
        <v/>
      </c>
      <c r="BD165" s="258"/>
      <c r="BE165" s="208"/>
    </row>
    <row r="166" spans="1:57" ht="15" x14ac:dyDescent="0.25">
      <c r="A166" t="str">
        <f t="shared" ca="1" si="4"/>
        <v/>
      </c>
      <c r="B166" s="263" t="str">
        <f t="shared" ca="1" si="5"/>
        <v xml:space="preserve"> </v>
      </c>
      <c r="C166" s="264"/>
      <c r="D166" s="264"/>
      <c r="E166" s="191"/>
      <c r="F166" s="191"/>
      <c r="G166" s="191"/>
      <c r="H166" s="191"/>
      <c r="I166" s="250"/>
      <c r="J166" s="191"/>
      <c r="K166" s="191"/>
      <c r="L166" s="191"/>
      <c r="M166" s="191"/>
      <c r="N166" s="254"/>
      <c r="O166" s="191"/>
      <c r="P166" s="191"/>
      <c r="Q166" s="191"/>
      <c r="R166" s="191"/>
      <c r="S166" s="254"/>
      <c r="T166" s="191"/>
      <c r="U166" s="191"/>
      <c r="V166" s="191"/>
      <c r="W166" s="191"/>
      <c r="X166" s="254"/>
      <c r="Y166" s="191"/>
      <c r="Z166" s="191"/>
      <c r="AA166" s="191"/>
      <c r="AB166" s="191"/>
      <c r="AC166" s="254"/>
      <c r="AD166" s="191"/>
      <c r="AE166" s="191"/>
      <c r="AF166" s="191"/>
      <c r="AG166" s="191"/>
      <c r="AH166" s="254"/>
      <c r="AI166" s="191"/>
      <c r="AJ166" s="191"/>
      <c r="AK166" s="191"/>
      <c r="AL166" s="191"/>
      <c r="AM166" s="254"/>
      <c r="AN166" s="191"/>
      <c r="AO166" s="191"/>
      <c r="AP166" s="191"/>
      <c r="AQ166" s="191"/>
      <c r="AR166" s="254"/>
      <c r="AS166" s="191"/>
      <c r="AT166" s="191"/>
      <c r="AU166" s="191"/>
      <c r="AV166" s="191"/>
      <c r="AW166" s="254"/>
      <c r="AX166" s="191"/>
      <c r="AY166" s="191"/>
      <c r="AZ166" s="191"/>
      <c r="BA166" s="191"/>
      <c r="BB166" s="254"/>
      <c r="BC166" s="258" t="str">
        <f ca="1">IF('Demand background (hide)'!A157=Num_Modalities,"",SUM(Demand!I166, Demand!N166, Demand!S166, Demand!X166, Demand!AC166, Demand!AH166, Demand!AM166, Demand!AR166, Demand!AW166, Demand!BB166))</f>
        <v/>
      </c>
      <c r="BD166" s="258"/>
      <c r="BE166" s="208"/>
    </row>
    <row r="167" spans="1:57" ht="15" x14ac:dyDescent="0.25">
      <c r="A167" t="str">
        <f t="shared" ca="1" si="4"/>
        <v/>
      </c>
      <c r="B167" s="263" t="str">
        <f t="shared" ca="1" si="5"/>
        <v xml:space="preserve"> </v>
      </c>
      <c r="C167" s="264"/>
      <c r="D167" s="264"/>
      <c r="E167" s="191"/>
      <c r="F167" s="191"/>
      <c r="G167" s="191"/>
      <c r="H167" s="191"/>
      <c r="I167" s="250"/>
      <c r="J167" s="191"/>
      <c r="K167" s="191"/>
      <c r="L167" s="191"/>
      <c r="M167" s="191"/>
      <c r="N167" s="254"/>
      <c r="O167" s="191"/>
      <c r="P167" s="191"/>
      <c r="Q167" s="191"/>
      <c r="R167" s="191"/>
      <c r="S167" s="254"/>
      <c r="T167" s="191"/>
      <c r="U167" s="191"/>
      <c r="V167" s="191"/>
      <c r="W167" s="191"/>
      <c r="X167" s="254"/>
      <c r="Y167" s="191"/>
      <c r="Z167" s="191"/>
      <c r="AA167" s="191"/>
      <c r="AB167" s="191"/>
      <c r="AC167" s="254"/>
      <c r="AD167" s="191"/>
      <c r="AE167" s="191"/>
      <c r="AF167" s="191"/>
      <c r="AG167" s="191"/>
      <c r="AH167" s="254"/>
      <c r="AI167" s="191"/>
      <c r="AJ167" s="191"/>
      <c r="AK167" s="191"/>
      <c r="AL167" s="191"/>
      <c r="AM167" s="254"/>
      <c r="AN167" s="191"/>
      <c r="AO167" s="191"/>
      <c r="AP167" s="191"/>
      <c r="AQ167" s="191"/>
      <c r="AR167" s="254"/>
      <c r="AS167" s="191"/>
      <c r="AT167" s="191"/>
      <c r="AU167" s="191"/>
      <c r="AV167" s="191"/>
      <c r="AW167" s="254"/>
      <c r="AX167" s="191"/>
      <c r="AY167" s="191"/>
      <c r="AZ167" s="191"/>
      <c r="BA167" s="191"/>
      <c r="BB167" s="254"/>
      <c r="BC167" s="258" t="str">
        <f ca="1">IF('Demand background (hide)'!A158=Num_Modalities,"",SUM(Demand!I167, Demand!N167, Demand!S167, Demand!X167, Demand!AC167, Demand!AH167, Demand!AM167, Demand!AR167, Demand!AW167, Demand!BB167))</f>
        <v/>
      </c>
      <c r="BD167" s="258"/>
      <c r="BE167" s="208"/>
    </row>
    <row r="168" spans="1:57" ht="15" x14ac:dyDescent="0.25">
      <c r="A168" t="str">
        <f t="shared" ca="1" si="4"/>
        <v/>
      </c>
      <c r="B168" s="263" t="str">
        <f t="shared" ca="1" si="5"/>
        <v xml:space="preserve"> </v>
      </c>
      <c r="C168" s="264"/>
      <c r="D168" s="264"/>
      <c r="E168" s="191"/>
      <c r="F168" s="191"/>
      <c r="G168" s="191"/>
      <c r="H168" s="191"/>
      <c r="I168" s="250"/>
      <c r="J168" s="191"/>
      <c r="K168" s="191"/>
      <c r="L168" s="191"/>
      <c r="M168" s="191"/>
      <c r="N168" s="254"/>
      <c r="O168" s="191"/>
      <c r="P168" s="191"/>
      <c r="Q168" s="191"/>
      <c r="R168" s="191"/>
      <c r="S168" s="254"/>
      <c r="T168" s="191"/>
      <c r="U168" s="191"/>
      <c r="V168" s="191"/>
      <c r="W168" s="191"/>
      <c r="X168" s="254"/>
      <c r="Y168" s="191"/>
      <c r="Z168" s="191"/>
      <c r="AA168" s="191"/>
      <c r="AB168" s="191"/>
      <c r="AC168" s="254"/>
      <c r="AD168" s="191"/>
      <c r="AE168" s="191"/>
      <c r="AF168" s="191"/>
      <c r="AG168" s="191"/>
      <c r="AH168" s="254"/>
      <c r="AI168" s="191"/>
      <c r="AJ168" s="191"/>
      <c r="AK168" s="191"/>
      <c r="AL168" s="191"/>
      <c r="AM168" s="254"/>
      <c r="AN168" s="191"/>
      <c r="AO168" s="191"/>
      <c r="AP168" s="191"/>
      <c r="AQ168" s="191"/>
      <c r="AR168" s="254"/>
      <c r="AS168" s="191"/>
      <c r="AT168" s="191"/>
      <c r="AU168" s="191"/>
      <c r="AV168" s="191"/>
      <c r="AW168" s="254"/>
      <c r="AX168" s="191"/>
      <c r="AY168" s="191"/>
      <c r="AZ168" s="191"/>
      <c r="BA168" s="191"/>
      <c r="BB168" s="254"/>
      <c r="BC168" s="258" t="str">
        <f ca="1">IF('Demand background (hide)'!A159=Num_Modalities,"",SUM(Demand!I168, Demand!N168, Demand!S168, Demand!X168, Demand!AC168, Demand!AH168, Demand!AM168, Demand!AR168, Demand!AW168, Demand!BB168))</f>
        <v/>
      </c>
      <c r="BD168" s="258"/>
      <c r="BE168" s="208"/>
    </row>
    <row r="169" spans="1:57" ht="15" x14ac:dyDescent="0.25">
      <c r="A169" t="str">
        <f t="shared" ca="1" si="4"/>
        <v/>
      </c>
      <c r="B169" s="263" t="str">
        <f t="shared" ca="1" si="5"/>
        <v xml:space="preserve"> </v>
      </c>
      <c r="C169" s="264"/>
      <c r="D169" s="264"/>
      <c r="E169" s="191"/>
      <c r="F169" s="191"/>
      <c r="G169" s="191"/>
      <c r="H169" s="191"/>
      <c r="I169" s="250"/>
      <c r="J169" s="191"/>
      <c r="K169" s="191"/>
      <c r="L169" s="191"/>
      <c r="M169" s="191"/>
      <c r="N169" s="254"/>
      <c r="O169" s="191"/>
      <c r="P169" s="191"/>
      <c r="Q169" s="191"/>
      <c r="R169" s="191"/>
      <c r="S169" s="254"/>
      <c r="T169" s="191"/>
      <c r="U169" s="191"/>
      <c r="V169" s="191"/>
      <c r="W169" s="191"/>
      <c r="X169" s="254"/>
      <c r="Y169" s="191"/>
      <c r="Z169" s="191"/>
      <c r="AA169" s="191"/>
      <c r="AB169" s="191"/>
      <c r="AC169" s="254"/>
      <c r="AD169" s="191"/>
      <c r="AE169" s="191"/>
      <c r="AF169" s="191"/>
      <c r="AG169" s="191"/>
      <c r="AH169" s="254"/>
      <c r="AI169" s="191"/>
      <c r="AJ169" s="191"/>
      <c r="AK169" s="191"/>
      <c r="AL169" s="191"/>
      <c r="AM169" s="254"/>
      <c r="AN169" s="191"/>
      <c r="AO169" s="191"/>
      <c r="AP169" s="191"/>
      <c r="AQ169" s="191"/>
      <c r="AR169" s="254"/>
      <c r="AS169" s="191"/>
      <c r="AT169" s="191"/>
      <c r="AU169" s="191"/>
      <c r="AV169" s="191"/>
      <c r="AW169" s="254"/>
      <c r="AX169" s="191"/>
      <c r="AY169" s="191"/>
      <c r="AZ169" s="191"/>
      <c r="BA169" s="191"/>
      <c r="BB169" s="254"/>
      <c r="BC169" s="258" t="str">
        <f ca="1">IF('Demand background (hide)'!A160=Num_Modalities,"",SUM(Demand!I169, Demand!N169, Demand!S169, Demand!X169, Demand!AC169, Demand!AH169, Demand!AM169, Demand!AR169, Demand!AW169, Demand!BB169))</f>
        <v/>
      </c>
      <c r="BD169" s="258"/>
      <c r="BE169" s="208"/>
    </row>
    <row r="170" spans="1:57" ht="15" x14ac:dyDescent="0.25">
      <c r="A170" t="str">
        <f t="shared" ca="1" si="4"/>
        <v/>
      </c>
      <c r="B170" s="263" t="str">
        <f t="shared" ca="1" si="5"/>
        <v xml:space="preserve"> </v>
      </c>
      <c r="C170" s="264"/>
      <c r="D170" s="264"/>
      <c r="E170" s="191"/>
      <c r="F170" s="191"/>
      <c r="G170" s="191"/>
      <c r="H170" s="191"/>
      <c r="I170" s="250"/>
      <c r="J170" s="191"/>
      <c r="K170" s="191"/>
      <c r="L170" s="191"/>
      <c r="M170" s="191"/>
      <c r="N170" s="254"/>
      <c r="O170" s="191"/>
      <c r="P170" s="191"/>
      <c r="Q170" s="191"/>
      <c r="R170" s="191"/>
      <c r="S170" s="254"/>
      <c r="T170" s="191"/>
      <c r="U170" s="191"/>
      <c r="V170" s="191"/>
      <c r="W170" s="191"/>
      <c r="X170" s="254"/>
      <c r="Y170" s="191"/>
      <c r="Z170" s="191"/>
      <c r="AA170" s="191"/>
      <c r="AB170" s="191"/>
      <c r="AC170" s="254"/>
      <c r="AD170" s="191"/>
      <c r="AE170" s="191"/>
      <c r="AF170" s="191"/>
      <c r="AG170" s="191"/>
      <c r="AH170" s="254"/>
      <c r="AI170" s="191"/>
      <c r="AJ170" s="191"/>
      <c r="AK170" s="191"/>
      <c r="AL170" s="191"/>
      <c r="AM170" s="254"/>
      <c r="AN170" s="191"/>
      <c r="AO170" s="191"/>
      <c r="AP170" s="191"/>
      <c r="AQ170" s="191"/>
      <c r="AR170" s="254"/>
      <c r="AS170" s="191"/>
      <c r="AT170" s="191"/>
      <c r="AU170" s="191"/>
      <c r="AV170" s="191"/>
      <c r="AW170" s="254"/>
      <c r="AX170" s="191"/>
      <c r="AY170" s="191"/>
      <c r="AZ170" s="191"/>
      <c r="BA170" s="191"/>
      <c r="BB170" s="254"/>
      <c r="BC170" s="258" t="str">
        <f ca="1">IF('Demand background (hide)'!A161=Num_Modalities,"",SUM(Demand!I170, Demand!N170, Demand!S170, Demand!X170, Demand!AC170, Demand!AH170, Demand!AM170, Demand!AR170, Demand!AW170, Demand!BB170))</f>
        <v/>
      </c>
      <c r="BD170" s="258"/>
      <c r="BE170" s="208"/>
    </row>
    <row r="171" spans="1:57" ht="15" x14ac:dyDescent="0.25">
      <c r="A171" t="str">
        <f t="shared" ca="1" si="4"/>
        <v/>
      </c>
      <c r="B171" s="263" t="str">
        <f t="shared" ca="1" si="5"/>
        <v xml:space="preserve"> </v>
      </c>
      <c r="C171" s="264"/>
      <c r="D171" s="264"/>
      <c r="E171" s="191"/>
      <c r="F171" s="191"/>
      <c r="G171" s="191"/>
      <c r="H171" s="191"/>
      <c r="I171" s="250"/>
      <c r="J171" s="191"/>
      <c r="K171" s="191"/>
      <c r="L171" s="191"/>
      <c r="M171" s="191"/>
      <c r="N171" s="254"/>
      <c r="O171" s="191"/>
      <c r="P171" s="191"/>
      <c r="Q171" s="191"/>
      <c r="R171" s="191"/>
      <c r="S171" s="254"/>
      <c r="T171" s="191"/>
      <c r="U171" s="191"/>
      <c r="V171" s="191"/>
      <c r="W171" s="191"/>
      <c r="X171" s="254"/>
      <c r="Y171" s="191"/>
      <c r="Z171" s="191"/>
      <c r="AA171" s="191"/>
      <c r="AB171" s="191"/>
      <c r="AC171" s="254"/>
      <c r="AD171" s="191"/>
      <c r="AE171" s="191"/>
      <c r="AF171" s="191"/>
      <c r="AG171" s="191"/>
      <c r="AH171" s="254"/>
      <c r="AI171" s="191"/>
      <c r="AJ171" s="191"/>
      <c r="AK171" s="191"/>
      <c r="AL171" s="191"/>
      <c r="AM171" s="254"/>
      <c r="AN171" s="191"/>
      <c r="AO171" s="191"/>
      <c r="AP171" s="191"/>
      <c r="AQ171" s="191"/>
      <c r="AR171" s="254"/>
      <c r="AS171" s="191"/>
      <c r="AT171" s="191"/>
      <c r="AU171" s="191"/>
      <c r="AV171" s="191"/>
      <c r="AW171" s="254"/>
      <c r="AX171" s="191"/>
      <c r="AY171" s="191"/>
      <c r="AZ171" s="191"/>
      <c r="BA171" s="191"/>
      <c r="BB171" s="254"/>
      <c r="BC171" s="258" t="str">
        <f ca="1">IF('Demand background (hide)'!A162=Num_Modalities,"",SUM(Demand!I171, Demand!N171, Demand!S171, Demand!X171, Demand!AC171, Demand!AH171, Demand!AM171, Demand!AR171, Demand!AW171, Demand!BB171))</f>
        <v/>
      </c>
      <c r="BD171" s="258"/>
      <c r="BE171" s="208"/>
    </row>
    <row r="172" spans="1:57" ht="15" x14ac:dyDescent="0.25">
      <c r="A172" t="str">
        <f t="shared" ca="1" si="4"/>
        <v/>
      </c>
      <c r="B172" s="263" t="str">
        <f t="shared" ca="1" si="5"/>
        <v xml:space="preserve"> </v>
      </c>
      <c r="C172" s="264"/>
      <c r="D172" s="264"/>
      <c r="E172" s="191"/>
      <c r="F172" s="191"/>
      <c r="G172" s="191"/>
      <c r="H172" s="191"/>
      <c r="I172" s="250"/>
      <c r="J172" s="191"/>
      <c r="K172" s="191"/>
      <c r="L172" s="191"/>
      <c r="M172" s="191"/>
      <c r="N172" s="254"/>
      <c r="O172" s="191"/>
      <c r="P172" s="191"/>
      <c r="Q172" s="191"/>
      <c r="R172" s="191"/>
      <c r="S172" s="254"/>
      <c r="T172" s="191"/>
      <c r="U172" s="191"/>
      <c r="V172" s="191"/>
      <c r="W172" s="191"/>
      <c r="X172" s="254"/>
      <c r="Y172" s="191"/>
      <c r="Z172" s="191"/>
      <c r="AA172" s="191"/>
      <c r="AB172" s="191"/>
      <c r="AC172" s="254"/>
      <c r="AD172" s="191"/>
      <c r="AE172" s="191"/>
      <c r="AF172" s="191"/>
      <c r="AG172" s="191"/>
      <c r="AH172" s="254"/>
      <c r="AI172" s="191"/>
      <c r="AJ172" s="191"/>
      <c r="AK172" s="191"/>
      <c r="AL172" s="191"/>
      <c r="AM172" s="254"/>
      <c r="AN172" s="191"/>
      <c r="AO172" s="191"/>
      <c r="AP172" s="191"/>
      <c r="AQ172" s="191"/>
      <c r="AR172" s="254"/>
      <c r="AS172" s="191"/>
      <c r="AT172" s="191"/>
      <c r="AU172" s="191"/>
      <c r="AV172" s="191"/>
      <c r="AW172" s="254"/>
      <c r="AX172" s="191"/>
      <c r="AY172" s="191"/>
      <c r="AZ172" s="191"/>
      <c r="BA172" s="191"/>
      <c r="BB172" s="254"/>
      <c r="BC172" s="258" t="str">
        <f ca="1">IF('Demand background (hide)'!A163=Num_Modalities,"",SUM(Demand!I172, Demand!N172, Demand!S172, Demand!X172, Demand!AC172, Demand!AH172, Demand!AM172, Demand!AR172, Demand!AW172, Demand!BB172))</f>
        <v/>
      </c>
      <c r="BD172" s="258"/>
      <c r="BE172" s="208"/>
    </row>
    <row r="173" spans="1:57" ht="15" x14ac:dyDescent="0.25">
      <c r="A173" t="str">
        <f t="shared" ca="1" si="4"/>
        <v/>
      </c>
      <c r="B173" s="263" t="str">
        <f t="shared" ca="1" si="5"/>
        <v xml:space="preserve"> </v>
      </c>
      <c r="C173" s="264"/>
      <c r="D173" s="264"/>
      <c r="E173" s="191"/>
      <c r="F173" s="191"/>
      <c r="G173" s="191"/>
      <c r="H173" s="191"/>
      <c r="I173" s="250"/>
      <c r="J173" s="191"/>
      <c r="K173" s="191"/>
      <c r="L173" s="191"/>
      <c r="M173" s="191"/>
      <c r="N173" s="254"/>
      <c r="O173" s="191"/>
      <c r="P173" s="191"/>
      <c r="Q173" s="191"/>
      <c r="R173" s="191"/>
      <c r="S173" s="254"/>
      <c r="T173" s="191"/>
      <c r="U173" s="191"/>
      <c r="V173" s="191"/>
      <c r="W173" s="191"/>
      <c r="X173" s="254"/>
      <c r="Y173" s="191"/>
      <c r="Z173" s="191"/>
      <c r="AA173" s="191"/>
      <c r="AB173" s="191"/>
      <c r="AC173" s="254"/>
      <c r="AD173" s="191"/>
      <c r="AE173" s="191"/>
      <c r="AF173" s="191"/>
      <c r="AG173" s="191"/>
      <c r="AH173" s="254"/>
      <c r="AI173" s="191"/>
      <c r="AJ173" s="191"/>
      <c r="AK173" s="191"/>
      <c r="AL173" s="191"/>
      <c r="AM173" s="254"/>
      <c r="AN173" s="191"/>
      <c r="AO173" s="191"/>
      <c r="AP173" s="191"/>
      <c r="AQ173" s="191"/>
      <c r="AR173" s="254"/>
      <c r="AS173" s="191"/>
      <c r="AT173" s="191"/>
      <c r="AU173" s="191"/>
      <c r="AV173" s="191"/>
      <c r="AW173" s="254"/>
      <c r="AX173" s="191"/>
      <c r="AY173" s="191"/>
      <c r="AZ173" s="191"/>
      <c r="BA173" s="191"/>
      <c r="BB173" s="254"/>
      <c r="BC173" s="258" t="str">
        <f ca="1">IF('Demand background (hide)'!A164=Num_Modalities,"",SUM(Demand!I173, Demand!N173, Demand!S173, Demand!X173, Demand!AC173, Demand!AH173, Demand!AM173, Demand!AR173, Demand!AW173, Demand!BB173))</f>
        <v/>
      </c>
      <c r="BD173" s="258"/>
      <c r="BE173" s="208"/>
    </row>
    <row r="174" spans="1:57" ht="15" x14ac:dyDescent="0.25">
      <c r="A174" t="str">
        <f t="shared" ca="1" si="4"/>
        <v/>
      </c>
      <c r="B174" s="263" t="str">
        <f t="shared" ca="1" si="5"/>
        <v xml:space="preserve"> </v>
      </c>
      <c r="C174" s="264"/>
      <c r="D174" s="264"/>
      <c r="E174" s="191"/>
      <c r="F174" s="191"/>
      <c r="G174" s="191"/>
      <c r="H174" s="191"/>
      <c r="I174" s="250"/>
      <c r="J174" s="191"/>
      <c r="K174" s="191"/>
      <c r="L174" s="191"/>
      <c r="M174" s="191"/>
      <c r="N174" s="254"/>
      <c r="O174" s="191"/>
      <c r="P174" s="191"/>
      <c r="Q174" s="191"/>
      <c r="R174" s="191"/>
      <c r="S174" s="254"/>
      <c r="T174" s="191"/>
      <c r="U174" s="191"/>
      <c r="V174" s="191"/>
      <c r="W174" s="191"/>
      <c r="X174" s="254"/>
      <c r="Y174" s="191"/>
      <c r="Z174" s="191"/>
      <c r="AA174" s="191"/>
      <c r="AB174" s="191"/>
      <c r="AC174" s="254"/>
      <c r="AD174" s="191"/>
      <c r="AE174" s="191"/>
      <c r="AF174" s="191"/>
      <c r="AG174" s="191"/>
      <c r="AH174" s="254"/>
      <c r="AI174" s="191"/>
      <c r="AJ174" s="191"/>
      <c r="AK174" s="191"/>
      <c r="AL174" s="191"/>
      <c r="AM174" s="254"/>
      <c r="AN174" s="191"/>
      <c r="AO174" s="191"/>
      <c r="AP174" s="191"/>
      <c r="AQ174" s="191"/>
      <c r="AR174" s="254"/>
      <c r="AS174" s="191"/>
      <c r="AT174" s="191"/>
      <c r="AU174" s="191"/>
      <c r="AV174" s="191"/>
      <c r="AW174" s="254"/>
      <c r="AX174" s="191"/>
      <c r="AY174" s="191"/>
      <c r="AZ174" s="191"/>
      <c r="BA174" s="191"/>
      <c r="BB174" s="254"/>
      <c r="BC174" s="258" t="str">
        <f ca="1">IF('Demand background (hide)'!A165=Num_Modalities,"",SUM(Demand!I174, Demand!N174, Demand!S174, Demand!X174, Demand!AC174, Demand!AH174, Demand!AM174, Demand!AR174, Demand!AW174, Demand!BB174))</f>
        <v/>
      </c>
      <c r="BD174" s="258"/>
      <c r="BE174" s="208"/>
    </row>
    <row r="175" spans="1:57" ht="15" x14ac:dyDescent="0.25">
      <c r="A175" t="str">
        <f t="shared" ca="1" si="4"/>
        <v/>
      </c>
      <c r="B175" s="263" t="str">
        <f t="shared" ca="1" si="5"/>
        <v xml:space="preserve"> </v>
      </c>
      <c r="C175" s="264"/>
      <c r="D175" s="264"/>
      <c r="E175" s="191"/>
      <c r="F175" s="191"/>
      <c r="G175" s="191"/>
      <c r="H175" s="191"/>
      <c r="I175" s="250"/>
      <c r="J175" s="191"/>
      <c r="K175" s="191"/>
      <c r="L175" s="191"/>
      <c r="M175" s="191"/>
      <c r="N175" s="254"/>
      <c r="O175" s="191"/>
      <c r="P175" s="191"/>
      <c r="Q175" s="191"/>
      <c r="R175" s="191"/>
      <c r="S175" s="254"/>
      <c r="T175" s="191"/>
      <c r="U175" s="191"/>
      <c r="V175" s="191"/>
      <c r="W175" s="191"/>
      <c r="X175" s="254"/>
      <c r="Y175" s="191"/>
      <c r="Z175" s="191"/>
      <c r="AA175" s="191"/>
      <c r="AB175" s="191"/>
      <c r="AC175" s="254"/>
      <c r="AD175" s="191"/>
      <c r="AE175" s="191"/>
      <c r="AF175" s="191"/>
      <c r="AG175" s="191"/>
      <c r="AH175" s="254"/>
      <c r="AI175" s="191"/>
      <c r="AJ175" s="191"/>
      <c r="AK175" s="191"/>
      <c r="AL175" s="191"/>
      <c r="AM175" s="254"/>
      <c r="AN175" s="191"/>
      <c r="AO175" s="191"/>
      <c r="AP175" s="191"/>
      <c r="AQ175" s="191"/>
      <c r="AR175" s="254"/>
      <c r="AS175" s="191"/>
      <c r="AT175" s="191"/>
      <c r="AU175" s="191"/>
      <c r="AV175" s="191"/>
      <c r="AW175" s="254"/>
      <c r="AX175" s="191"/>
      <c r="AY175" s="191"/>
      <c r="AZ175" s="191"/>
      <c r="BA175" s="191"/>
      <c r="BB175" s="254"/>
      <c r="BC175" s="258" t="str">
        <f ca="1">IF('Demand background (hide)'!A166=Num_Modalities,"",SUM(Demand!I175, Demand!N175, Demand!S175, Demand!X175, Demand!AC175, Demand!AH175, Demand!AM175, Demand!AR175, Demand!AW175, Demand!BB175))</f>
        <v/>
      </c>
      <c r="BD175" s="258"/>
      <c r="BE175" s="208"/>
    </row>
    <row r="176" spans="1:57" ht="15" x14ac:dyDescent="0.25">
      <c r="A176" t="str">
        <f t="shared" ca="1" si="4"/>
        <v/>
      </c>
      <c r="B176" s="263" t="str">
        <f t="shared" ca="1" si="5"/>
        <v xml:space="preserve"> </v>
      </c>
      <c r="C176" s="264"/>
      <c r="D176" s="264"/>
      <c r="E176" s="191"/>
      <c r="F176" s="191"/>
      <c r="G176" s="191"/>
      <c r="H176" s="191"/>
      <c r="I176" s="250"/>
      <c r="J176" s="191"/>
      <c r="K176" s="191"/>
      <c r="L176" s="191"/>
      <c r="M176" s="191"/>
      <c r="N176" s="254"/>
      <c r="O176" s="191"/>
      <c r="P176" s="191"/>
      <c r="Q176" s="191"/>
      <c r="R176" s="191"/>
      <c r="S176" s="254"/>
      <c r="T176" s="191"/>
      <c r="U176" s="191"/>
      <c r="V176" s="191"/>
      <c r="W176" s="191"/>
      <c r="X176" s="254"/>
      <c r="Y176" s="191"/>
      <c r="Z176" s="191"/>
      <c r="AA176" s="191"/>
      <c r="AB176" s="191"/>
      <c r="AC176" s="254"/>
      <c r="AD176" s="191"/>
      <c r="AE176" s="191"/>
      <c r="AF176" s="191"/>
      <c r="AG176" s="191"/>
      <c r="AH176" s="254"/>
      <c r="AI176" s="191"/>
      <c r="AJ176" s="191"/>
      <c r="AK176" s="191"/>
      <c r="AL176" s="191"/>
      <c r="AM176" s="254"/>
      <c r="AN176" s="191"/>
      <c r="AO176" s="191"/>
      <c r="AP176" s="191"/>
      <c r="AQ176" s="191"/>
      <c r="AR176" s="254"/>
      <c r="AS176" s="191"/>
      <c r="AT176" s="191"/>
      <c r="AU176" s="191"/>
      <c r="AV176" s="191"/>
      <c r="AW176" s="254"/>
      <c r="AX176" s="191"/>
      <c r="AY176" s="191"/>
      <c r="AZ176" s="191"/>
      <c r="BA176" s="191"/>
      <c r="BB176" s="254"/>
      <c r="BC176" s="258" t="str">
        <f ca="1">IF('Demand background (hide)'!A167=Num_Modalities,"",SUM(Demand!I176, Demand!N176, Demand!S176, Demand!X176, Demand!AC176, Demand!AH176, Demand!AM176, Demand!AR176, Demand!AW176, Demand!BB176))</f>
        <v/>
      </c>
      <c r="BD176" s="258"/>
      <c r="BE176" s="208"/>
    </row>
    <row r="177" spans="1:57" ht="15" x14ac:dyDescent="0.25">
      <c r="A177" t="str">
        <f t="shared" ca="1" si="4"/>
        <v/>
      </c>
      <c r="B177" s="263" t="str">
        <f t="shared" ca="1" si="5"/>
        <v xml:space="preserve"> </v>
      </c>
      <c r="C177" s="264"/>
      <c r="D177" s="264"/>
      <c r="E177" s="191"/>
      <c r="F177" s="191"/>
      <c r="G177" s="191"/>
      <c r="H177" s="191"/>
      <c r="I177" s="250"/>
      <c r="J177" s="191"/>
      <c r="K177" s="191"/>
      <c r="L177" s="191"/>
      <c r="M177" s="191"/>
      <c r="N177" s="254"/>
      <c r="O177" s="191"/>
      <c r="P177" s="191"/>
      <c r="Q177" s="191"/>
      <c r="R177" s="191"/>
      <c r="S177" s="254"/>
      <c r="T177" s="191"/>
      <c r="U177" s="191"/>
      <c r="V177" s="191"/>
      <c r="W177" s="191"/>
      <c r="X177" s="254"/>
      <c r="Y177" s="191"/>
      <c r="Z177" s="191"/>
      <c r="AA177" s="191"/>
      <c r="AB177" s="191"/>
      <c r="AC177" s="254"/>
      <c r="AD177" s="191"/>
      <c r="AE177" s="191"/>
      <c r="AF177" s="191"/>
      <c r="AG177" s="191"/>
      <c r="AH177" s="254"/>
      <c r="AI177" s="191"/>
      <c r="AJ177" s="191"/>
      <c r="AK177" s="191"/>
      <c r="AL177" s="191"/>
      <c r="AM177" s="254"/>
      <c r="AN177" s="191"/>
      <c r="AO177" s="191"/>
      <c r="AP177" s="191"/>
      <c r="AQ177" s="191"/>
      <c r="AR177" s="254"/>
      <c r="AS177" s="191"/>
      <c r="AT177" s="191"/>
      <c r="AU177" s="191"/>
      <c r="AV177" s="191"/>
      <c r="AW177" s="254"/>
      <c r="AX177" s="191"/>
      <c r="AY177" s="191"/>
      <c r="AZ177" s="191"/>
      <c r="BA177" s="191"/>
      <c r="BB177" s="254"/>
      <c r="BC177" s="258" t="str">
        <f ca="1">IF('Demand background (hide)'!A168=Num_Modalities,"",SUM(Demand!I177, Demand!N177, Demand!S177, Demand!X177, Demand!AC177, Demand!AH177, Demand!AM177, Demand!AR177, Demand!AW177, Demand!BB177))</f>
        <v/>
      </c>
      <c r="BD177" s="258"/>
      <c r="BE177" s="208"/>
    </row>
    <row r="178" spans="1:57" ht="15" x14ac:dyDescent="0.25">
      <c r="A178" t="str">
        <f t="shared" ca="1" si="4"/>
        <v/>
      </c>
      <c r="B178" s="263" t="str">
        <f t="shared" ca="1" si="5"/>
        <v xml:space="preserve"> </v>
      </c>
      <c r="C178" s="264"/>
      <c r="D178" s="264"/>
      <c r="E178" s="191"/>
      <c r="F178" s="191"/>
      <c r="G178" s="191"/>
      <c r="H178" s="191"/>
      <c r="I178" s="250"/>
      <c r="J178" s="191"/>
      <c r="K178" s="191"/>
      <c r="L178" s="191"/>
      <c r="M178" s="191"/>
      <c r="N178" s="254"/>
      <c r="O178" s="191"/>
      <c r="P178" s="191"/>
      <c r="Q178" s="191"/>
      <c r="R178" s="191"/>
      <c r="S178" s="254"/>
      <c r="T178" s="191"/>
      <c r="U178" s="191"/>
      <c r="V178" s="191"/>
      <c r="W178" s="191"/>
      <c r="X178" s="254"/>
      <c r="Y178" s="191"/>
      <c r="Z178" s="191"/>
      <c r="AA178" s="191"/>
      <c r="AB178" s="191"/>
      <c r="AC178" s="254"/>
      <c r="AD178" s="191"/>
      <c r="AE178" s="191"/>
      <c r="AF178" s="191"/>
      <c r="AG178" s="191"/>
      <c r="AH178" s="254"/>
      <c r="AI178" s="191"/>
      <c r="AJ178" s="191"/>
      <c r="AK178" s="191"/>
      <c r="AL178" s="191"/>
      <c r="AM178" s="254"/>
      <c r="AN178" s="191"/>
      <c r="AO178" s="191"/>
      <c r="AP178" s="191"/>
      <c r="AQ178" s="191"/>
      <c r="AR178" s="254"/>
      <c r="AS178" s="191"/>
      <c r="AT178" s="191"/>
      <c r="AU178" s="191"/>
      <c r="AV178" s="191"/>
      <c r="AW178" s="254"/>
      <c r="AX178" s="191"/>
      <c r="AY178" s="191"/>
      <c r="AZ178" s="191"/>
      <c r="BA178" s="191"/>
      <c r="BB178" s="254"/>
      <c r="BC178" s="258" t="str">
        <f ca="1">IF('Demand background (hide)'!A169=Num_Modalities,"",SUM(Demand!I178, Demand!N178, Demand!S178, Demand!X178, Demand!AC178, Demand!AH178, Demand!AM178, Demand!AR178, Demand!AW178, Demand!BB178))</f>
        <v/>
      </c>
      <c r="BD178" s="258"/>
      <c r="BE178" s="208"/>
    </row>
    <row r="179" spans="1:57" ht="15" x14ac:dyDescent="0.25">
      <c r="A179" t="str">
        <f t="shared" ca="1" si="4"/>
        <v/>
      </c>
      <c r="B179" s="263" t="str">
        <f t="shared" ca="1" si="5"/>
        <v xml:space="preserve"> </v>
      </c>
      <c r="C179" s="264"/>
      <c r="D179" s="264"/>
      <c r="E179" s="191"/>
      <c r="F179" s="191"/>
      <c r="G179" s="191"/>
      <c r="H179" s="191"/>
      <c r="I179" s="250"/>
      <c r="J179" s="191"/>
      <c r="K179" s="191"/>
      <c r="L179" s="191"/>
      <c r="M179" s="191"/>
      <c r="N179" s="254"/>
      <c r="O179" s="191"/>
      <c r="P179" s="191"/>
      <c r="Q179" s="191"/>
      <c r="R179" s="191"/>
      <c r="S179" s="254"/>
      <c r="T179" s="191"/>
      <c r="U179" s="191"/>
      <c r="V179" s="191"/>
      <c r="W179" s="191"/>
      <c r="X179" s="254"/>
      <c r="Y179" s="191"/>
      <c r="Z179" s="191"/>
      <c r="AA179" s="191"/>
      <c r="AB179" s="191"/>
      <c r="AC179" s="254"/>
      <c r="AD179" s="191"/>
      <c r="AE179" s="191"/>
      <c r="AF179" s="191"/>
      <c r="AG179" s="191"/>
      <c r="AH179" s="254"/>
      <c r="AI179" s="191"/>
      <c r="AJ179" s="191"/>
      <c r="AK179" s="191"/>
      <c r="AL179" s="191"/>
      <c r="AM179" s="254"/>
      <c r="AN179" s="191"/>
      <c r="AO179" s="191"/>
      <c r="AP179" s="191"/>
      <c r="AQ179" s="191"/>
      <c r="AR179" s="254"/>
      <c r="AS179" s="191"/>
      <c r="AT179" s="191"/>
      <c r="AU179" s="191"/>
      <c r="AV179" s="191"/>
      <c r="AW179" s="254"/>
      <c r="AX179" s="191"/>
      <c r="AY179" s="191"/>
      <c r="AZ179" s="191"/>
      <c r="BA179" s="191"/>
      <c r="BB179" s="254"/>
      <c r="BC179" s="258" t="str">
        <f ca="1">IF('Demand background (hide)'!A170=Num_Modalities,"",SUM(Demand!I179, Demand!N179, Demand!S179, Demand!X179, Demand!AC179, Demand!AH179, Demand!AM179, Demand!AR179, Demand!AW179, Demand!BB179))</f>
        <v/>
      </c>
      <c r="BD179" s="258"/>
      <c r="BE179" s="208"/>
    </row>
    <row r="180" spans="1:57" ht="15" x14ac:dyDescent="0.25">
      <c r="A180" t="str">
        <f t="shared" ca="1" si="4"/>
        <v/>
      </c>
      <c r="B180" s="263" t="str">
        <f t="shared" ca="1" si="5"/>
        <v xml:space="preserve"> </v>
      </c>
      <c r="C180" s="264"/>
      <c r="D180" s="264"/>
      <c r="E180" s="191"/>
      <c r="F180" s="191"/>
      <c r="G180" s="191"/>
      <c r="H180" s="191"/>
      <c r="I180" s="250"/>
      <c r="J180" s="191"/>
      <c r="K180" s="191"/>
      <c r="L180" s="191"/>
      <c r="M180" s="191"/>
      <c r="N180" s="254"/>
      <c r="O180" s="191"/>
      <c r="P180" s="191"/>
      <c r="Q180" s="191"/>
      <c r="R180" s="191"/>
      <c r="S180" s="254"/>
      <c r="T180" s="191"/>
      <c r="U180" s="191"/>
      <c r="V180" s="191"/>
      <c r="W180" s="191"/>
      <c r="X180" s="254"/>
      <c r="Y180" s="191"/>
      <c r="Z180" s="191"/>
      <c r="AA180" s="191"/>
      <c r="AB180" s="191"/>
      <c r="AC180" s="254"/>
      <c r="AD180" s="191"/>
      <c r="AE180" s="191"/>
      <c r="AF180" s="191"/>
      <c r="AG180" s="191"/>
      <c r="AH180" s="254"/>
      <c r="AI180" s="191"/>
      <c r="AJ180" s="191"/>
      <c r="AK180" s="191"/>
      <c r="AL180" s="191"/>
      <c r="AM180" s="254"/>
      <c r="AN180" s="191"/>
      <c r="AO180" s="191"/>
      <c r="AP180" s="191"/>
      <c r="AQ180" s="191"/>
      <c r="AR180" s="254"/>
      <c r="AS180" s="191"/>
      <c r="AT180" s="191"/>
      <c r="AU180" s="191"/>
      <c r="AV180" s="191"/>
      <c r="AW180" s="254"/>
      <c r="AX180" s="191"/>
      <c r="AY180" s="191"/>
      <c r="AZ180" s="191"/>
      <c r="BA180" s="191"/>
      <c r="BB180" s="254"/>
      <c r="BC180" s="258" t="str">
        <f ca="1">IF('Demand background (hide)'!A171=Num_Modalities,"",SUM(Demand!I180, Demand!N180, Demand!S180, Demand!X180, Demand!AC180, Demand!AH180, Demand!AM180, Demand!AR180, Demand!AW180, Demand!BB180))</f>
        <v/>
      </c>
      <c r="BD180" s="258"/>
      <c r="BE180" s="208"/>
    </row>
    <row r="181" spans="1:57" ht="15" x14ac:dyDescent="0.25">
      <c r="A181" t="str">
        <f t="shared" ca="1" si="4"/>
        <v/>
      </c>
      <c r="B181" s="263" t="str">
        <f t="shared" ca="1" si="5"/>
        <v xml:space="preserve"> </v>
      </c>
      <c r="C181" s="264"/>
      <c r="D181" s="264"/>
      <c r="E181" s="191"/>
      <c r="F181" s="191"/>
      <c r="G181" s="191"/>
      <c r="H181" s="191"/>
      <c r="I181" s="250"/>
      <c r="J181" s="191"/>
      <c r="K181" s="191"/>
      <c r="L181" s="191"/>
      <c r="M181" s="191"/>
      <c r="N181" s="254"/>
      <c r="O181" s="191"/>
      <c r="P181" s="191"/>
      <c r="Q181" s="191"/>
      <c r="R181" s="191"/>
      <c r="S181" s="254"/>
      <c r="T181" s="191"/>
      <c r="U181" s="191"/>
      <c r="V181" s="191"/>
      <c r="W181" s="191"/>
      <c r="X181" s="254"/>
      <c r="Y181" s="191"/>
      <c r="Z181" s="191"/>
      <c r="AA181" s="191"/>
      <c r="AB181" s="191"/>
      <c r="AC181" s="254"/>
      <c r="AD181" s="191"/>
      <c r="AE181" s="191"/>
      <c r="AF181" s="191"/>
      <c r="AG181" s="191"/>
      <c r="AH181" s="254"/>
      <c r="AI181" s="191"/>
      <c r="AJ181" s="191"/>
      <c r="AK181" s="191"/>
      <c r="AL181" s="191"/>
      <c r="AM181" s="254"/>
      <c r="AN181" s="191"/>
      <c r="AO181" s="191"/>
      <c r="AP181" s="191"/>
      <c r="AQ181" s="191"/>
      <c r="AR181" s="254"/>
      <c r="AS181" s="191"/>
      <c r="AT181" s="191"/>
      <c r="AU181" s="191"/>
      <c r="AV181" s="191"/>
      <c r="AW181" s="254"/>
      <c r="AX181" s="191"/>
      <c r="AY181" s="191"/>
      <c r="AZ181" s="191"/>
      <c r="BA181" s="191"/>
      <c r="BB181" s="254"/>
      <c r="BC181" s="258" t="str">
        <f ca="1">IF('Demand background (hide)'!A172=Num_Modalities,"",SUM(Demand!I181, Demand!N181, Demand!S181, Demand!X181, Demand!AC181, Demand!AH181, Demand!AM181, Demand!AR181, Demand!AW181, Demand!BB181))</f>
        <v/>
      </c>
      <c r="BD181" s="258"/>
      <c r="BE181" s="208"/>
    </row>
    <row r="182" spans="1:57" ht="15" x14ac:dyDescent="0.25">
      <c r="A182" t="str">
        <f t="shared" ca="1" si="4"/>
        <v/>
      </c>
      <c r="B182" s="263" t="str">
        <f t="shared" ca="1" si="5"/>
        <v xml:space="preserve"> </v>
      </c>
      <c r="C182" s="264"/>
      <c r="D182" s="264"/>
      <c r="E182" s="191"/>
      <c r="F182" s="191"/>
      <c r="G182" s="191"/>
      <c r="H182" s="191"/>
      <c r="I182" s="250"/>
      <c r="J182" s="191"/>
      <c r="K182" s="191"/>
      <c r="L182" s="191"/>
      <c r="M182" s="191"/>
      <c r="N182" s="254"/>
      <c r="O182" s="191"/>
      <c r="P182" s="191"/>
      <c r="Q182" s="191"/>
      <c r="R182" s="191"/>
      <c r="S182" s="254"/>
      <c r="T182" s="191"/>
      <c r="U182" s="191"/>
      <c r="V182" s="191"/>
      <c r="W182" s="191"/>
      <c r="X182" s="254"/>
      <c r="Y182" s="191"/>
      <c r="Z182" s="191"/>
      <c r="AA182" s="191"/>
      <c r="AB182" s="191"/>
      <c r="AC182" s="254"/>
      <c r="AD182" s="191"/>
      <c r="AE182" s="191"/>
      <c r="AF182" s="191"/>
      <c r="AG182" s="191"/>
      <c r="AH182" s="254"/>
      <c r="AI182" s="191"/>
      <c r="AJ182" s="191"/>
      <c r="AK182" s="191"/>
      <c r="AL182" s="191"/>
      <c r="AM182" s="254"/>
      <c r="AN182" s="191"/>
      <c r="AO182" s="191"/>
      <c r="AP182" s="191"/>
      <c r="AQ182" s="191"/>
      <c r="AR182" s="254"/>
      <c r="AS182" s="191"/>
      <c r="AT182" s="191"/>
      <c r="AU182" s="191"/>
      <c r="AV182" s="191"/>
      <c r="AW182" s="254"/>
      <c r="AX182" s="191"/>
      <c r="AY182" s="191"/>
      <c r="AZ182" s="191"/>
      <c r="BA182" s="191"/>
      <c r="BB182" s="254"/>
      <c r="BC182" s="258" t="str">
        <f ca="1">IF('Demand background (hide)'!A173=Num_Modalities,"",SUM(Demand!I182, Demand!N182, Demand!S182, Demand!X182, Demand!AC182, Demand!AH182, Demand!AM182, Demand!AR182, Demand!AW182, Demand!BB182))</f>
        <v/>
      </c>
      <c r="BD182" s="258"/>
      <c r="BE182" s="208"/>
    </row>
    <row r="183" spans="1:57" ht="15" x14ac:dyDescent="0.25">
      <c r="A183" t="str">
        <f t="shared" ca="1" si="4"/>
        <v/>
      </c>
      <c r="B183" s="263" t="str">
        <f t="shared" ca="1" si="5"/>
        <v xml:space="preserve"> </v>
      </c>
      <c r="C183" s="264"/>
      <c r="D183" s="264"/>
      <c r="E183" s="191"/>
      <c r="F183" s="191"/>
      <c r="G183" s="191"/>
      <c r="H183" s="191"/>
      <c r="I183" s="250"/>
      <c r="J183" s="191"/>
      <c r="K183" s="191"/>
      <c r="L183" s="191"/>
      <c r="M183" s="191"/>
      <c r="N183" s="254"/>
      <c r="O183" s="191"/>
      <c r="P183" s="191"/>
      <c r="Q183" s="191"/>
      <c r="R183" s="191"/>
      <c r="S183" s="254"/>
      <c r="T183" s="191"/>
      <c r="U183" s="191"/>
      <c r="V183" s="191"/>
      <c r="W183" s="191"/>
      <c r="X183" s="254"/>
      <c r="Y183" s="191"/>
      <c r="Z183" s="191"/>
      <c r="AA183" s="191"/>
      <c r="AB183" s="191"/>
      <c r="AC183" s="254"/>
      <c r="AD183" s="191"/>
      <c r="AE183" s="191"/>
      <c r="AF183" s="191"/>
      <c r="AG183" s="191"/>
      <c r="AH183" s="254"/>
      <c r="AI183" s="191"/>
      <c r="AJ183" s="191"/>
      <c r="AK183" s="191"/>
      <c r="AL183" s="191"/>
      <c r="AM183" s="254"/>
      <c r="AN183" s="191"/>
      <c r="AO183" s="191"/>
      <c r="AP183" s="191"/>
      <c r="AQ183" s="191"/>
      <c r="AR183" s="254"/>
      <c r="AS183" s="191"/>
      <c r="AT183" s="191"/>
      <c r="AU183" s="191"/>
      <c r="AV183" s="191"/>
      <c r="AW183" s="254"/>
      <c r="AX183" s="191"/>
      <c r="AY183" s="191"/>
      <c r="AZ183" s="191"/>
      <c r="BA183" s="191"/>
      <c r="BB183" s="254"/>
      <c r="BC183" s="258" t="str">
        <f ca="1">IF('Demand background (hide)'!A174=Num_Modalities,"",SUM(Demand!I183, Demand!N183, Demand!S183, Demand!X183, Demand!AC183, Demand!AH183, Demand!AM183, Demand!AR183, Demand!AW183, Demand!BB183))</f>
        <v/>
      </c>
      <c r="BD183" s="258"/>
      <c r="BE183" s="208"/>
    </row>
    <row r="184" spans="1:57" ht="15" x14ac:dyDescent="0.25">
      <c r="A184" t="str">
        <f t="shared" ca="1" si="4"/>
        <v/>
      </c>
      <c r="B184" s="263" t="str">
        <f t="shared" ca="1" si="5"/>
        <v xml:space="preserve"> </v>
      </c>
      <c r="C184" s="264"/>
      <c r="D184" s="264"/>
      <c r="E184" s="191"/>
      <c r="F184" s="191"/>
      <c r="G184" s="191"/>
      <c r="H184" s="191"/>
      <c r="I184" s="250"/>
      <c r="J184" s="191"/>
      <c r="K184" s="191"/>
      <c r="L184" s="191"/>
      <c r="M184" s="191"/>
      <c r="N184" s="254"/>
      <c r="O184" s="191"/>
      <c r="P184" s="191"/>
      <c r="Q184" s="191"/>
      <c r="R184" s="191"/>
      <c r="S184" s="254"/>
      <c r="T184" s="191"/>
      <c r="U184" s="191"/>
      <c r="V184" s="191"/>
      <c r="W184" s="191"/>
      <c r="X184" s="254"/>
      <c r="Y184" s="191"/>
      <c r="Z184" s="191"/>
      <c r="AA184" s="191"/>
      <c r="AB184" s="191"/>
      <c r="AC184" s="254"/>
      <c r="AD184" s="191"/>
      <c r="AE184" s="191"/>
      <c r="AF184" s="191"/>
      <c r="AG184" s="191"/>
      <c r="AH184" s="254"/>
      <c r="AI184" s="191"/>
      <c r="AJ184" s="191"/>
      <c r="AK184" s="191"/>
      <c r="AL184" s="191"/>
      <c r="AM184" s="254"/>
      <c r="AN184" s="191"/>
      <c r="AO184" s="191"/>
      <c r="AP184" s="191"/>
      <c r="AQ184" s="191"/>
      <c r="AR184" s="254"/>
      <c r="AS184" s="191"/>
      <c r="AT184" s="191"/>
      <c r="AU184" s="191"/>
      <c r="AV184" s="191"/>
      <c r="AW184" s="254"/>
      <c r="AX184" s="191"/>
      <c r="AY184" s="191"/>
      <c r="AZ184" s="191"/>
      <c r="BA184" s="191"/>
      <c r="BB184" s="254"/>
      <c r="BC184" s="258" t="str">
        <f ca="1">IF('Demand background (hide)'!A175=Num_Modalities,"",SUM(Demand!I184, Demand!N184, Demand!S184, Demand!X184, Demand!AC184, Demand!AH184, Demand!AM184, Demand!AR184, Demand!AW184, Demand!BB184))</f>
        <v/>
      </c>
      <c r="BD184" s="258"/>
      <c r="BE184" s="208"/>
    </row>
    <row r="185" spans="1:57" ht="15" x14ac:dyDescent="0.25">
      <c r="A185" t="str">
        <f t="shared" ca="1" si="4"/>
        <v/>
      </c>
      <c r="B185" s="263" t="str">
        <f t="shared" ca="1" si="5"/>
        <v xml:space="preserve"> </v>
      </c>
      <c r="C185" s="264"/>
      <c r="D185" s="264"/>
      <c r="E185" s="191"/>
      <c r="F185" s="191"/>
      <c r="G185" s="191"/>
      <c r="H185" s="191"/>
      <c r="I185" s="250"/>
      <c r="J185" s="191"/>
      <c r="K185" s="191"/>
      <c r="L185" s="191"/>
      <c r="M185" s="191"/>
      <c r="N185" s="254"/>
      <c r="O185" s="191"/>
      <c r="P185" s="191"/>
      <c r="Q185" s="191"/>
      <c r="R185" s="191"/>
      <c r="S185" s="254"/>
      <c r="T185" s="191"/>
      <c r="U185" s="191"/>
      <c r="V185" s="191"/>
      <c r="W185" s="191"/>
      <c r="X185" s="254"/>
      <c r="Y185" s="191"/>
      <c r="Z185" s="191"/>
      <c r="AA185" s="191"/>
      <c r="AB185" s="191"/>
      <c r="AC185" s="254"/>
      <c r="AD185" s="191"/>
      <c r="AE185" s="191"/>
      <c r="AF185" s="191"/>
      <c r="AG185" s="191"/>
      <c r="AH185" s="254"/>
      <c r="AI185" s="191"/>
      <c r="AJ185" s="191"/>
      <c r="AK185" s="191"/>
      <c r="AL185" s="191"/>
      <c r="AM185" s="254"/>
      <c r="AN185" s="191"/>
      <c r="AO185" s="191"/>
      <c r="AP185" s="191"/>
      <c r="AQ185" s="191"/>
      <c r="AR185" s="254"/>
      <c r="AS185" s="191"/>
      <c r="AT185" s="191"/>
      <c r="AU185" s="191"/>
      <c r="AV185" s="191"/>
      <c r="AW185" s="254"/>
      <c r="AX185" s="191"/>
      <c r="AY185" s="191"/>
      <c r="AZ185" s="191"/>
      <c r="BA185" s="191"/>
      <c r="BB185" s="254"/>
      <c r="BC185" s="258" t="str">
        <f ca="1">IF('Demand background (hide)'!A176=Num_Modalities,"",SUM(Demand!I185, Demand!N185, Demand!S185, Demand!X185, Demand!AC185, Demand!AH185, Demand!AM185, Demand!AR185, Demand!AW185, Demand!BB185))</f>
        <v/>
      </c>
      <c r="BD185" s="258"/>
      <c r="BE185" s="208"/>
    </row>
    <row r="186" spans="1:57" ht="15" x14ac:dyDescent="0.25">
      <c r="A186" t="str">
        <f t="shared" ca="1" si="4"/>
        <v/>
      </c>
      <c r="B186" s="263" t="str">
        <f t="shared" ca="1" si="5"/>
        <v xml:space="preserve"> </v>
      </c>
      <c r="C186" s="264"/>
      <c r="D186" s="264"/>
      <c r="E186" s="191"/>
      <c r="F186" s="191"/>
      <c r="G186" s="191"/>
      <c r="H186" s="191"/>
      <c r="I186" s="250"/>
      <c r="J186" s="191"/>
      <c r="K186" s="191"/>
      <c r="L186" s="191"/>
      <c r="M186" s="191"/>
      <c r="N186" s="254"/>
      <c r="O186" s="191"/>
      <c r="P186" s="191"/>
      <c r="Q186" s="191"/>
      <c r="R186" s="191"/>
      <c r="S186" s="254"/>
      <c r="T186" s="191"/>
      <c r="U186" s="191"/>
      <c r="V186" s="191"/>
      <c r="W186" s="191"/>
      <c r="X186" s="254"/>
      <c r="Y186" s="191"/>
      <c r="Z186" s="191"/>
      <c r="AA186" s="191"/>
      <c r="AB186" s="191"/>
      <c r="AC186" s="254"/>
      <c r="AD186" s="191"/>
      <c r="AE186" s="191"/>
      <c r="AF186" s="191"/>
      <c r="AG186" s="191"/>
      <c r="AH186" s="254"/>
      <c r="AI186" s="191"/>
      <c r="AJ186" s="191"/>
      <c r="AK186" s="191"/>
      <c r="AL186" s="191"/>
      <c r="AM186" s="254"/>
      <c r="AN186" s="191"/>
      <c r="AO186" s="191"/>
      <c r="AP186" s="191"/>
      <c r="AQ186" s="191"/>
      <c r="AR186" s="254"/>
      <c r="AS186" s="191"/>
      <c r="AT186" s="191"/>
      <c r="AU186" s="191"/>
      <c r="AV186" s="191"/>
      <c r="AW186" s="254"/>
      <c r="AX186" s="191"/>
      <c r="AY186" s="191"/>
      <c r="AZ186" s="191"/>
      <c r="BA186" s="191"/>
      <c r="BB186" s="254"/>
      <c r="BC186" s="258" t="str">
        <f ca="1">IF('Demand background (hide)'!A177=Num_Modalities,"",SUM(Demand!I186, Demand!N186, Demand!S186, Demand!X186, Demand!AC186, Demand!AH186, Demand!AM186, Demand!AR186, Demand!AW186, Demand!BB186))</f>
        <v/>
      </c>
      <c r="BD186" s="258"/>
      <c r="BE186" s="208"/>
    </row>
    <row r="187" spans="1:57" ht="15" x14ac:dyDescent="0.25">
      <c r="A187" t="str">
        <f t="shared" ca="1" si="4"/>
        <v/>
      </c>
      <c r="B187" s="263" t="str">
        <f t="shared" ca="1" si="5"/>
        <v xml:space="preserve"> </v>
      </c>
      <c r="C187" s="264"/>
      <c r="D187" s="264"/>
      <c r="E187" s="191"/>
      <c r="F187" s="191"/>
      <c r="G187" s="191"/>
      <c r="H187" s="191"/>
      <c r="I187" s="250"/>
      <c r="J187" s="191"/>
      <c r="K187" s="191"/>
      <c r="L187" s="191"/>
      <c r="M187" s="191"/>
      <c r="N187" s="254"/>
      <c r="O187" s="191"/>
      <c r="P187" s="191"/>
      <c r="Q187" s="191"/>
      <c r="R187" s="191"/>
      <c r="S187" s="254"/>
      <c r="T187" s="191"/>
      <c r="U187" s="191"/>
      <c r="V187" s="191"/>
      <c r="W187" s="191"/>
      <c r="X187" s="254"/>
      <c r="Y187" s="191"/>
      <c r="Z187" s="191"/>
      <c r="AA187" s="191"/>
      <c r="AB187" s="191"/>
      <c r="AC187" s="254"/>
      <c r="AD187" s="191"/>
      <c r="AE187" s="191"/>
      <c r="AF187" s="191"/>
      <c r="AG187" s="191"/>
      <c r="AH187" s="254"/>
      <c r="AI187" s="191"/>
      <c r="AJ187" s="191"/>
      <c r="AK187" s="191"/>
      <c r="AL187" s="191"/>
      <c r="AM187" s="254"/>
      <c r="AN187" s="191"/>
      <c r="AO187" s="191"/>
      <c r="AP187" s="191"/>
      <c r="AQ187" s="191"/>
      <c r="AR187" s="254"/>
      <c r="AS187" s="191"/>
      <c r="AT187" s="191"/>
      <c r="AU187" s="191"/>
      <c r="AV187" s="191"/>
      <c r="AW187" s="254"/>
      <c r="AX187" s="191"/>
      <c r="AY187" s="191"/>
      <c r="AZ187" s="191"/>
      <c r="BA187" s="191"/>
      <c r="BB187" s="254"/>
      <c r="BC187" s="258" t="str">
        <f ca="1">IF('Demand background (hide)'!A178=Num_Modalities,"",SUM(Demand!I187, Demand!N187, Demand!S187, Demand!X187, Demand!AC187, Demand!AH187, Demand!AM187, Demand!AR187, Demand!AW187, Demand!BB187))</f>
        <v/>
      </c>
      <c r="BD187" s="258"/>
      <c r="BE187" s="208"/>
    </row>
    <row r="188" spans="1:57" ht="15" x14ac:dyDescent="0.25">
      <c r="A188" t="str">
        <f t="shared" ca="1" si="4"/>
        <v/>
      </c>
      <c r="B188" s="263" t="str">
        <f t="shared" ca="1" si="5"/>
        <v xml:space="preserve"> </v>
      </c>
      <c r="C188" s="264"/>
      <c r="D188" s="264"/>
      <c r="E188" s="191"/>
      <c r="F188" s="191"/>
      <c r="G188" s="191"/>
      <c r="H188" s="191"/>
      <c r="I188" s="250"/>
      <c r="J188" s="191"/>
      <c r="K188" s="191"/>
      <c r="L188" s="191"/>
      <c r="M188" s="191"/>
      <c r="N188" s="254"/>
      <c r="O188" s="191"/>
      <c r="P188" s="191"/>
      <c r="Q188" s="191"/>
      <c r="R188" s="191"/>
      <c r="S188" s="254"/>
      <c r="T188" s="191"/>
      <c r="U188" s="191"/>
      <c r="V188" s="191"/>
      <c r="W188" s="191"/>
      <c r="X188" s="254"/>
      <c r="Y188" s="191"/>
      <c r="Z188" s="191"/>
      <c r="AA188" s="191"/>
      <c r="AB188" s="191"/>
      <c r="AC188" s="254"/>
      <c r="AD188" s="191"/>
      <c r="AE188" s="191"/>
      <c r="AF188" s="191"/>
      <c r="AG188" s="191"/>
      <c r="AH188" s="254"/>
      <c r="AI188" s="191"/>
      <c r="AJ188" s="191"/>
      <c r="AK188" s="191"/>
      <c r="AL188" s="191"/>
      <c r="AM188" s="254"/>
      <c r="AN188" s="191"/>
      <c r="AO188" s="191"/>
      <c r="AP188" s="191"/>
      <c r="AQ188" s="191"/>
      <c r="AR188" s="254"/>
      <c r="AS188" s="191"/>
      <c r="AT188" s="191"/>
      <c r="AU188" s="191"/>
      <c r="AV188" s="191"/>
      <c r="AW188" s="254"/>
      <c r="AX188" s="191"/>
      <c r="AY188" s="191"/>
      <c r="AZ188" s="191"/>
      <c r="BA188" s="191"/>
      <c r="BB188" s="254"/>
      <c r="BC188" s="258" t="str">
        <f ca="1">IF('Demand background (hide)'!A179=Num_Modalities,"",SUM(Demand!I188, Demand!N188, Demand!S188, Demand!X188, Demand!AC188, Demand!AH188, Demand!AM188, Demand!AR188, Demand!AW188, Demand!BB188))</f>
        <v/>
      </c>
      <c r="BD188" s="258"/>
      <c r="BE188" s="208"/>
    </row>
    <row r="189" spans="1:57" ht="15" x14ac:dyDescent="0.25">
      <c r="A189" t="str">
        <f t="shared" ca="1" si="4"/>
        <v/>
      </c>
      <c r="B189" s="263" t="str">
        <f t="shared" ca="1" si="5"/>
        <v xml:space="preserve"> </v>
      </c>
      <c r="C189" s="264"/>
      <c r="D189" s="264"/>
      <c r="E189" s="191"/>
      <c r="F189" s="191"/>
      <c r="G189" s="191"/>
      <c r="H189" s="191"/>
      <c r="I189" s="250"/>
      <c r="J189" s="191"/>
      <c r="K189" s="191"/>
      <c r="L189" s="191"/>
      <c r="M189" s="191"/>
      <c r="N189" s="254"/>
      <c r="O189" s="191"/>
      <c r="P189" s="191"/>
      <c r="Q189" s="191"/>
      <c r="R189" s="191"/>
      <c r="S189" s="254"/>
      <c r="T189" s="191"/>
      <c r="U189" s="191"/>
      <c r="V189" s="191"/>
      <c r="W189" s="191"/>
      <c r="X189" s="254"/>
      <c r="Y189" s="191"/>
      <c r="Z189" s="191"/>
      <c r="AA189" s="191"/>
      <c r="AB189" s="191"/>
      <c r="AC189" s="254"/>
      <c r="AD189" s="191"/>
      <c r="AE189" s="191"/>
      <c r="AF189" s="191"/>
      <c r="AG189" s="191"/>
      <c r="AH189" s="254"/>
      <c r="AI189" s="191"/>
      <c r="AJ189" s="191"/>
      <c r="AK189" s="191"/>
      <c r="AL189" s="191"/>
      <c r="AM189" s="254"/>
      <c r="AN189" s="191"/>
      <c r="AO189" s="191"/>
      <c r="AP189" s="191"/>
      <c r="AQ189" s="191"/>
      <c r="AR189" s="254"/>
      <c r="AS189" s="191"/>
      <c r="AT189" s="191"/>
      <c r="AU189" s="191"/>
      <c r="AV189" s="191"/>
      <c r="AW189" s="254"/>
      <c r="AX189" s="191"/>
      <c r="AY189" s="191"/>
      <c r="AZ189" s="191"/>
      <c r="BA189" s="191"/>
      <c r="BB189" s="254"/>
      <c r="BC189" s="258" t="str">
        <f ca="1">IF('Demand background (hide)'!A180=Num_Modalities,"",SUM(Demand!I189, Demand!N189, Demand!S189, Demand!X189, Demand!AC189, Demand!AH189, Demand!AM189, Demand!AR189, Demand!AW189, Demand!BB189))</f>
        <v/>
      </c>
      <c r="BD189" s="258"/>
      <c r="BE189" s="208"/>
    </row>
    <row r="190" spans="1:57" ht="15" x14ac:dyDescent="0.25">
      <c r="A190" t="str">
        <f t="shared" ca="1" si="4"/>
        <v/>
      </c>
      <c r="B190" s="263" t="str">
        <f t="shared" ca="1" si="5"/>
        <v xml:space="preserve"> </v>
      </c>
      <c r="C190" s="264"/>
      <c r="D190" s="264"/>
      <c r="E190" s="191"/>
      <c r="F190" s="191"/>
      <c r="G190" s="191"/>
      <c r="H190" s="191"/>
      <c r="I190" s="250"/>
      <c r="J190" s="191"/>
      <c r="K190" s="191"/>
      <c r="L190" s="191"/>
      <c r="M190" s="191"/>
      <c r="N190" s="254"/>
      <c r="O190" s="191"/>
      <c r="P190" s="191"/>
      <c r="Q190" s="191"/>
      <c r="R190" s="191"/>
      <c r="S190" s="254"/>
      <c r="T190" s="191"/>
      <c r="U190" s="191"/>
      <c r="V190" s="191"/>
      <c r="W190" s="191"/>
      <c r="X190" s="254"/>
      <c r="Y190" s="191"/>
      <c r="Z190" s="191"/>
      <c r="AA190" s="191"/>
      <c r="AB190" s="191"/>
      <c r="AC190" s="254"/>
      <c r="AD190" s="191"/>
      <c r="AE190" s="191"/>
      <c r="AF190" s="191"/>
      <c r="AG190" s="191"/>
      <c r="AH190" s="254"/>
      <c r="AI190" s="191"/>
      <c r="AJ190" s="191"/>
      <c r="AK190" s="191"/>
      <c r="AL190" s="191"/>
      <c r="AM190" s="254"/>
      <c r="AN190" s="191"/>
      <c r="AO190" s="191"/>
      <c r="AP190" s="191"/>
      <c r="AQ190" s="191"/>
      <c r="AR190" s="254"/>
      <c r="AS190" s="191"/>
      <c r="AT190" s="191"/>
      <c r="AU190" s="191"/>
      <c r="AV190" s="191"/>
      <c r="AW190" s="254"/>
      <c r="AX190" s="191"/>
      <c r="AY190" s="191"/>
      <c r="AZ190" s="191"/>
      <c r="BA190" s="191"/>
      <c r="BB190" s="254"/>
      <c r="BC190" s="258" t="str">
        <f ca="1">IF('Demand background (hide)'!A181=Num_Modalities,"",SUM(Demand!I190, Demand!N190, Demand!S190, Demand!X190, Demand!AC190, Demand!AH190, Demand!AM190, Demand!AR190, Demand!AW190, Demand!BB190))</f>
        <v/>
      </c>
      <c r="BD190" s="258"/>
      <c r="BE190" s="208"/>
    </row>
    <row r="191" spans="1:57" ht="15" x14ac:dyDescent="0.25">
      <c r="A191" t="str">
        <f t="shared" ca="1" si="4"/>
        <v/>
      </c>
      <c r="B191" s="263" t="str">
        <f t="shared" ca="1" si="5"/>
        <v xml:space="preserve"> </v>
      </c>
      <c r="C191" s="264"/>
      <c r="D191" s="264"/>
      <c r="E191" s="191"/>
      <c r="F191" s="191"/>
      <c r="G191" s="191"/>
      <c r="H191" s="191"/>
      <c r="I191" s="250"/>
      <c r="J191" s="191"/>
      <c r="K191" s="191"/>
      <c r="L191" s="191"/>
      <c r="M191" s="191"/>
      <c r="N191" s="254"/>
      <c r="O191" s="191"/>
      <c r="P191" s="191"/>
      <c r="Q191" s="191"/>
      <c r="R191" s="191"/>
      <c r="S191" s="254"/>
      <c r="T191" s="191"/>
      <c r="U191" s="191"/>
      <c r="V191" s="191"/>
      <c r="W191" s="191"/>
      <c r="X191" s="254"/>
      <c r="Y191" s="191"/>
      <c r="Z191" s="191"/>
      <c r="AA191" s="191"/>
      <c r="AB191" s="191"/>
      <c r="AC191" s="254"/>
      <c r="AD191" s="191"/>
      <c r="AE191" s="191"/>
      <c r="AF191" s="191"/>
      <c r="AG191" s="191"/>
      <c r="AH191" s="254"/>
      <c r="AI191" s="191"/>
      <c r="AJ191" s="191"/>
      <c r="AK191" s="191"/>
      <c r="AL191" s="191"/>
      <c r="AM191" s="254"/>
      <c r="AN191" s="191"/>
      <c r="AO191" s="191"/>
      <c r="AP191" s="191"/>
      <c r="AQ191" s="191"/>
      <c r="AR191" s="254"/>
      <c r="AS191" s="191"/>
      <c r="AT191" s="191"/>
      <c r="AU191" s="191"/>
      <c r="AV191" s="191"/>
      <c r="AW191" s="254"/>
      <c r="AX191" s="191"/>
      <c r="AY191" s="191"/>
      <c r="AZ191" s="191"/>
      <c r="BA191" s="191"/>
      <c r="BB191" s="254"/>
      <c r="BC191" s="258" t="str">
        <f ca="1">IF('Demand background (hide)'!A182=Num_Modalities,"",SUM(Demand!I191, Demand!N191, Demand!S191, Demand!X191, Demand!AC191, Demand!AH191, Demand!AM191, Demand!AR191, Demand!AW191, Demand!BB191))</f>
        <v/>
      </c>
      <c r="BD191" s="258"/>
      <c r="BE191" s="208"/>
    </row>
    <row r="192" spans="1:57" ht="15" x14ac:dyDescent="0.25">
      <c r="A192" t="str">
        <f t="shared" ca="1" si="4"/>
        <v/>
      </c>
      <c r="B192" s="263" t="str">
        <f t="shared" ca="1" si="5"/>
        <v xml:space="preserve"> </v>
      </c>
      <c r="C192" s="264"/>
      <c r="D192" s="264"/>
      <c r="E192" s="191"/>
      <c r="F192" s="191"/>
      <c r="G192" s="191"/>
      <c r="H192" s="191"/>
      <c r="I192" s="250"/>
      <c r="J192" s="191"/>
      <c r="K192" s="191"/>
      <c r="L192" s="191"/>
      <c r="M192" s="191"/>
      <c r="N192" s="254"/>
      <c r="O192" s="191"/>
      <c r="P192" s="191"/>
      <c r="Q192" s="191"/>
      <c r="R192" s="191"/>
      <c r="S192" s="254"/>
      <c r="T192" s="191"/>
      <c r="U192" s="191"/>
      <c r="V192" s="191"/>
      <c r="W192" s="191"/>
      <c r="X192" s="254"/>
      <c r="Y192" s="191"/>
      <c r="Z192" s="191"/>
      <c r="AA192" s="191"/>
      <c r="AB192" s="191"/>
      <c r="AC192" s="254"/>
      <c r="AD192" s="191"/>
      <c r="AE192" s="191"/>
      <c r="AF192" s="191"/>
      <c r="AG192" s="191"/>
      <c r="AH192" s="254"/>
      <c r="AI192" s="191"/>
      <c r="AJ192" s="191"/>
      <c r="AK192" s="191"/>
      <c r="AL192" s="191"/>
      <c r="AM192" s="254"/>
      <c r="AN192" s="191"/>
      <c r="AO192" s="191"/>
      <c r="AP192" s="191"/>
      <c r="AQ192" s="191"/>
      <c r="AR192" s="254"/>
      <c r="AS192" s="191"/>
      <c r="AT192" s="191"/>
      <c r="AU192" s="191"/>
      <c r="AV192" s="191"/>
      <c r="AW192" s="254"/>
      <c r="AX192" s="191"/>
      <c r="AY192" s="191"/>
      <c r="AZ192" s="191"/>
      <c r="BA192" s="191"/>
      <c r="BB192" s="254"/>
      <c r="BC192" s="258" t="str">
        <f ca="1">IF('Demand background (hide)'!A183=Num_Modalities,"",SUM(Demand!I192, Demand!N192, Demand!S192, Demand!X192, Demand!AC192, Demand!AH192, Demand!AM192, Demand!AR192, Demand!AW192, Demand!BB192))</f>
        <v/>
      </c>
      <c r="BD192" s="258"/>
      <c r="BE192" s="208"/>
    </row>
    <row r="193" spans="1:57" ht="15" x14ac:dyDescent="0.25">
      <c r="A193" t="str">
        <f t="shared" ca="1" si="4"/>
        <v/>
      </c>
      <c r="B193" s="263" t="str">
        <f t="shared" ca="1" si="5"/>
        <v xml:space="preserve"> </v>
      </c>
      <c r="C193" s="264"/>
      <c r="D193" s="264"/>
      <c r="E193" s="191"/>
      <c r="F193" s="191"/>
      <c r="G193" s="191"/>
      <c r="H193" s="191"/>
      <c r="I193" s="250"/>
      <c r="J193" s="191"/>
      <c r="K193" s="191"/>
      <c r="L193" s="191"/>
      <c r="M193" s="191"/>
      <c r="N193" s="254"/>
      <c r="O193" s="191"/>
      <c r="P193" s="191"/>
      <c r="Q193" s="191"/>
      <c r="R193" s="191"/>
      <c r="S193" s="254"/>
      <c r="T193" s="191"/>
      <c r="U193" s="191"/>
      <c r="V193" s="191"/>
      <c r="W193" s="191"/>
      <c r="X193" s="254"/>
      <c r="Y193" s="191"/>
      <c r="Z193" s="191"/>
      <c r="AA193" s="191"/>
      <c r="AB193" s="191"/>
      <c r="AC193" s="254"/>
      <c r="AD193" s="191"/>
      <c r="AE193" s="191"/>
      <c r="AF193" s="191"/>
      <c r="AG193" s="191"/>
      <c r="AH193" s="254"/>
      <c r="AI193" s="191"/>
      <c r="AJ193" s="191"/>
      <c r="AK193" s="191"/>
      <c r="AL193" s="191"/>
      <c r="AM193" s="254"/>
      <c r="AN193" s="191"/>
      <c r="AO193" s="191"/>
      <c r="AP193" s="191"/>
      <c r="AQ193" s="191"/>
      <c r="AR193" s="254"/>
      <c r="AS193" s="191"/>
      <c r="AT193" s="191"/>
      <c r="AU193" s="191"/>
      <c r="AV193" s="191"/>
      <c r="AW193" s="254"/>
      <c r="AX193" s="191"/>
      <c r="AY193" s="191"/>
      <c r="AZ193" s="191"/>
      <c r="BA193" s="191"/>
      <c r="BB193" s="254"/>
      <c r="BC193" s="258" t="str">
        <f ca="1">IF('Demand background (hide)'!A184=Num_Modalities,"",SUM(Demand!I193, Demand!N193, Demand!S193, Demand!X193, Demand!AC193, Demand!AH193, Demand!AM193, Demand!AR193, Demand!AW193, Demand!BB193))</f>
        <v/>
      </c>
      <c r="BD193" s="258"/>
      <c r="BE193" s="208"/>
    </row>
    <row r="194" spans="1:57" ht="15" x14ac:dyDescent="0.25">
      <c r="A194" t="str">
        <f t="shared" ca="1" si="4"/>
        <v/>
      </c>
      <c r="B194" s="263" t="str">
        <f t="shared" ca="1" si="5"/>
        <v xml:space="preserve"> </v>
      </c>
      <c r="C194" s="264"/>
      <c r="D194" s="264"/>
      <c r="E194" s="191"/>
      <c r="F194" s="191"/>
      <c r="G194" s="191"/>
      <c r="H194" s="191"/>
      <c r="I194" s="250"/>
      <c r="J194" s="191"/>
      <c r="K194" s="191"/>
      <c r="L194" s="191"/>
      <c r="M194" s="191"/>
      <c r="N194" s="254"/>
      <c r="O194" s="191"/>
      <c r="P194" s="191"/>
      <c r="Q194" s="191"/>
      <c r="R194" s="191"/>
      <c r="S194" s="254"/>
      <c r="T194" s="191"/>
      <c r="U194" s="191"/>
      <c r="V194" s="191"/>
      <c r="W194" s="191"/>
      <c r="X194" s="254"/>
      <c r="Y194" s="191"/>
      <c r="Z194" s="191"/>
      <c r="AA194" s="191"/>
      <c r="AB194" s="191"/>
      <c r="AC194" s="254"/>
      <c r="AD194" s="191"/>
      <c r="AE194" s="191"/>
      <c r="AF194" s="191"/>
      <c r="AG194" s="191"/>
      <c r="AH194" s="254"/>
      <c r="AI194" s="191"/>
      <c r="AJ194" s="191"/>
      <c r="AK194" s="191"/>
      <c r="AL194" s="191"/>
      <c r="AM194" s="254"/>
      <c r="AN194" s="191"/>
      <c r="AO194" s="191"/>
      <c r="AP194" s="191"/>
      <c r="AQ194" s="191"/>
      <c r="AR194" s="254"/>
      <c r="AS194" s="191"/>
      <c r="AT194" s="191"/>
      <c r="AU194" s="191"/>
      <c r="AV194" s="191"/>
      <c r="AW194" s="254"/>
      <c r="AX194" s="191"/>
      <c r="AY194" s="191"/>
      <c r="AZ194" s="191"/>
      <c r="BA194" s="191"/>
      <c r="BB194" s="254"/>
      <c r="BC194" s="258" t="str">
        <f ca="1">IF('Demand background (hide)'!A185=Num_Modalities,"",SUM(Demand!I194, Demand!N194, Demand!S194, Demand!X194, Demand!AC194, Demand!AH194, Demand!AM194, Demand!AR194, Demand!AW194, Demand!BB194))</f>
        <v/>
      </c>
      <c r="BD194" s="258"/>
      <c r="BE194" s="208"/>
    </row>
    <row r="195" spans="1:57" ht="15" x14ac:dyDescent="0.25">
      <c r="A195" t="str">
        <f t="shared" ca="1" si="4"/>
        <v/>
      </c>
      <c r="B195" s="263" t="str">
        <f t="shared" ca="1" si="5"/>
        <v xml:space="preserve"> </v>
      </c>
      <c r="C195" s="264"/>
      <c r="D195" s="264"/>
      <c r="E195" s="191"/>
      <c r="F195" s="191"/>
      <c r="G195" s="191"/>
      <c r="H195" s="191"/>
      <c r="I195" s="250"/>
      <c r="J195" s="191"/>
      <c r="K195" s="191"/>
      <c r="L195" s="191"/>
      <c r="M195" s="191"/>
      <c r="N195" s="254"/>
      <c r="O195" s="191"/>
      <c r="P195" s="191"/>
      <c r="Q195" s="191"/>
      <c r="R195" s="191"/>
      <c r="S195" s="254"/>
      <c r="T195" s="191"/>
      <c r="U195" s="191"/>
      <c r="V195" s="191"/>
      <c r="W195" s="191"/>
      <c r="X195" s="254"/>
      <c r="Y195" s="191"/>
      <c r="Z195" s="191"/>
      <c r="AA195" s="191"/>
      <c r="AB195" s="191"/>
      <c r="AC195" s="254"/>
      <c r="AD195" s="191"/>
      <c r="AE195" s="191"/>
      <c r="AF195" s="191"/>
      <c r="AG195" s="191"/>
      <c r="AH195" s="254"/>
      <c r="AI195" s="191"/>
      <c r="AJ195" s="191"/>
      <c r="AK195" s="191"/>
      <c r="AL195" s="191"/>
      <c r="AM195" s="254"/>
      <c r="AN195" s="191"/>
      <c r="AO195" s="191"/>
      <c r="AP195" s="191"/>
      <c r="AQ195" s="191"/>
      <c r="AR195" s="254"/>
      <c r="AS195" s="191"/>
      <c r="AT195" s="191"/>
      <c r="AU195" s="191"/>
      <c r="AV195" s="191"/>
      <c r="AW195" s="254"/>
      <c r="AX195" s="191"/>
      <c r="AY195" s="191"/>
      <c r="AZ195" s="191"/>
      <c r="BA195" s="191"/>
      <c r="BB195" s="254"/>
      <c r="BC195" s="258" t="str">
        <f ca="1">IF('Demand background (hide)'!A186=Num_Modalities,"",SUM(Demand!I195, Demand!N195, Demand!S195, Demand!X195, Demand!AC195, Demand!AH195, Demand!AM195, Demand!AR195, Demand!AW195, Demand!BB195))</f>
        <v/>
      </c>
      <c r="BD195" s="258"/>
      <c r="BE195" s="208"/>
    </row>
    <row r="196" spans="1:57" ht="15" x14ac:dyDescent="0.25">
      <c r="A196" t="str">
        <f t="shared" ca="1" si="4"/>
        <v/>
      </c>
      <c r="B196" s="263" t="str">
        <f t="shared" ca="1" si="5"/>
        <v xml:space="preserve"> </v>
      </c>
      <c r="C196" s="264"/>
      <c r="D196" s="264"/>
      <c r="E196" s="191"/>
      <c r="F196" s="191"/>
      <c r="G196" s="191"/>
      <c r="H196" s="191"/>
      <c r="I196" s="250"/>
      <c r="J196" s="191"/>
      <c r="K196" s="191"/>
      <c r="L196" s="191"/>
      <c r="M196" s="191"/>
      <c r="N196" s="254"/>
      <c r="O196" s="191"/>
      <c r="P196" s="191"/>
      <c r="Q196" s="191"/>
      <c r="R196" s="191"/>
      <c r="S196" s="254"/>
      <c r="T196" s="191"/>
      <c r="U196" s="191"/>
      <c r="V196" s="191"/>
      <c r="W196" s="191"/>
      <c r="X196" s="254"/>
      <c r="Y196" s="191"/>
      <c r="Z196" s="191"/>
      <c r="AA196" s="191"/>
      <c r="AB196" s="191"/>
      <c r="AC196" s="254"/>
      <c r="AD196" s="191"/>
      <c r="AE196" s="191"/>
      <c r="AF196" s="191"/>
      <c r="AG196" s="191"/>
      <c r="AH196" s="254"/>
      <c r="AI196" s="191"/>
      <c r="AJ196" s="191"/>
      <c r="AK196" s="191"/>
      <c r="AL196" s="191"/>
      <c r="AM196" s="254"/>
      <c r="AN196" s="191"/>
      <c r="AO196" s="191"/>
      <c r="AP196" s="191"/>
      <c r="AQ196" s="191"/>
      <c r="AR196" s="254"/>
      <c r="AS196" s="191"/>
      <c r="AT196" s="191"/>
      <c r="AU196" s="191"/>
      <c r="AV196" s="191"/>
      <c r="AW196" s="254"/>
      <c r="AX196" s="191"/>
      <c r="AY196" s="191"/>
      <c r="AZ196" s="191"/>
      <c r="BA196" s="191"/>
      <c r="BB196" s="254"/>
      <c r="BC196" s="258" t="str">
        <f ca="1">IF('Demand background (hide)'!A187=Num_Modalities,"",SUM(Demand!I196, Demand!N196, Demand!S196, Demand!X196, Demand!AC196, Demand!AH196, Demand!AM196, Demand!AR196, Demand!AW196, Demand!BB196))</f>
        <v/>
      </c>
      <c r="BD196" s="258"/>
      <c r="BE196" s="208"/>
    </row>
    <row r="197" spans="1:57" ht="15" x14ac:dyDescent="0.25">
      <c r="A197" t="str">
        <f t="shared" ca="1" si="4"/>
        <v/>
      </c>
      <c r="B197" s="263" t="str">
        <f t="shared" ca="1" si="5"/>
        <v xml:space="preserve"> </v>
      </c>
      <c r="C197" s="264"/>
      <c r="D197" s="264"/>
      <c r="E197" s="191"/>
      <c r="F197" s="191"/>
      <c r="G197" s="191"/>
      <c r="H197" s="191"/>
      <c r="I197" s="250"/>
      <c r="J197" s="191"/>
      <c r="K197" s="191"/>
      <c r="L197" s="191"/>
      <c r="M197" s="191"/>
      <c r="N197" s="254"/>
      <c r="O197" s="191"/>
      <c r="P197" s="191"/>
      <c r="Q197" s="191"/>
      <c r="R197" s="191"/>
      <c r="S197" s="254"/>
      <c r="T197" s="191"/>
      <c r="U197" s="191"/>
      <c r="V197" s="191"/>
      <c r="W197" s="191"/>
      <c r="X197" s="254"/>
      <c r="Y197" s="191"/>
      <c r="Z197" s="191"/>
      <c r="AA197" s="191"/>
      <c r="AB197" s="191"/>
      <c r="AC197" s="254"/>
      <c r="AD197" s="191"/>
      <c r="AE197" s="191"/>
      <c r="AF197" s="191"/>
      <c r="AG197" s="191"/>
      <c r="AH197" s="254"/>
      <c r="AI197" s="191"/>
      <c r="AJ197" s="191"/>
      <c r="AK197" s="191"/>
      <c r="AL197" s="191"/>
      <c r="AM197" s="254"/>
      <c r="AN197" s="191"/>
      <c r="AO197" s="191"/>
      <c r="AP197" s="191"/>
      <c r="AQ197" s="191"/>
      <c r="AR197" s="254"/>
      <c r="AS197" s="191"/>
      <c r="AT197" s="191"/>
      <c r="AU197" s="191"/>
      <c r="AV197" s="191"/>
      <c r="AW197" s="254"/>
      <c r="AX197" s="191"/>
      <c r="AY197" s="191"/>
      <c r="AZ197" s="191"/>
      <c r="BA197" s="191"/>
      <c r="BB197" s="254"/>
      <c r="BC197" s="258" t="str">
        <f ca="1">IF('Demand background (hide)'!A188=Num_Modalities,"",SUM(Demand!I197, Demand!N197, Demand!S197, Demand!X197, Demand!AC197, Demand!AH197, Demand!AM197, Demand!AR197, Demand!AW197, Demand!BB197))</f>
        <v/>
      </c>
      <c r="BD197" s="258"/>
      <c r="BE197" s="208"/>
    </row>
    <row r="198" spans="1:57" ht="15" x14ac:dyDescent="0.25">
      <c r="A198" t="str">
        <f t="shared" ca="1" si="4"/>
        <v/>
      </c>
      <c r="B198" s="263" t="str">
        <f t="shared" ca="1" si="5"/>
        <v xml:space="preserve"> </v>
      </c>
      <c r="C198" s="264"/>
      <c r="D198" s="264"/>
      <c r="E198" s="191"/>
      <c r="F198" s="191"/>
      <c r="G198" s="191"/>
      <c r="H198" s="191"/>
      <c r="I198" s="250"/>
      <c r="J198" s="191"/>
      <c r="K198" s="191"/>
      <c r="L198" s="191"/>
      <c r="M198" s="191"/>
      <c r="N198" s="254"/>
      <c r="O198" s="191"/>
      <c r="P198" s="191"/>
      <c r="Q198" s="191"/>
      <c r="R198" s="191"/>
      <c r="S198" s="254"/>
      <c r="T198" s="191"/>
      <c r="U198" s="191"/>
      <c r="V198" s="191"/>
      <c r="W198" s="191"/>
      <c r="X198" s="254"/>
      <c r="Y198" s="191"/>
      <c r="Z198" s="191"/>
      <c r="AA198" s="191"/>
      <c r="AB198" s="191"/>
      <c r="AC198" s="254"/>
      <c r="AD198" s="191"/>
      <c r="AE198" s="191"/>
      <c r="AF198" s="191"/>
      <c r="AG198" s="191"/>
      <c r="AH198" s="254"/>
      <c r="AI198" s="191"/>
      <c r="AJ198" s="191"/>
      <c r="AK198" s="191"/>
      <c r="AL198" s="191"/>
      <c r="AM198" s="254"/>
      <c r="AN198" s="191"/>
      <c r="AO198" s="191"/>
      <c r="AP198" s="191"/>
      <c r="AQ198" s="191"/>
      <c r="AR198" s="254"/>
      <c r="AS198" s="191"/>
      <c r="AT198" s="191"/>
      <c r="AU198" s="191"/>
      <c r="AV198" s="191"/>
      <c r="AW198" s="254"/>
      <c r="AX198" s="191"/>
      <c r="AY198" s="191"/>
      <c r="AZ198" s="191"/>
      <c r="BA198" s="191"/>
      <c r="BB198" s="254"/>
      <c r="BC198" s="258" t="str">
        <f ca="1">IF('Demand background (hide)'!A189=Num_Modalities,"",SUM(Demand!I198, Demand!N198, Demand!S198, Demand!X198, Demand!AC198, Demand!AH198, Demand!AM198, Demand!AR198, Demand!AW198, Demand!BB198))</f>
        <v/>
      </c>
      <c r="BD198" s="258"/>
      <c r="BE198" s="208"/>
    </row>
    <row r="199" spans="1:57" ht="15" x14ac:dyDescent="0.25">
      <c r="A199" t="str">
        <f t="shared" ca="1" si="4"/>
        <v/>
      </c>
      <c r="B199" s="263" t="str">
        <f t="shared" ca="1" si="5"/>
        <v xml:space="preserve"> </v>
      </c>
      <c r="C199" s="264"/>
      <c r="D199" s="264"/>
      <c r="E199" s="191"/>
      <c r="F199" s="191"/>
      <c r="G199" s="191"/>
      <c r="H199" s="191"/>
      <c r="I199" s="250"/>
      <c r="J199" s="191"/>
      <c r="K199" s="191"/>
      <c r="L199" s="191"/>
      <c r="M199" s="191"/>
      <c r="N199" s="254"/>
      <c r="O199" s="191"/>
      <c r="P199" s="191"/>
      <c r="Q199" s="191"/>
      <c r="R199" s="191"/>
      <c r="S199" s="254"/>
      <c r="T199" s="191"/>
      <c r="U199" s="191"/>
      <c r="V199" s="191"/>
      <c r="W199" s="191"/>
      <c r="X199" s="254"/>
      <c r="Y199" s="191"/>
      <c r="Z199" s="191"/>
      <c r="AA199" s="191"/>
      <c r="AB199" s="191"/>
      <c r="AC199" s="254"/>
      <c r="AD199" s="191"/>
      <c r="AE199" s="191"/>
      <c r="AF199" s="191"/>
      <c r="AG199" s="191"/>
      <c r="AH199" s="254"/>
      <c r="AI199" s="191"/>
      <c r="AJ199" s="191"/>
      <c r="AK199" s="191"/>
      <c r="AL199" s="191"/>
      <c r="AM199" s="254"/>
      <c r="AN199" s="191"/>
      <c r="AO199" s="191"/>
      <c r="AP199" s="191"/>
      <c r="AQ199" s="191"/>
      <c r="AR199" s="254"/>
      <c r="AS199" s="191"/>
      <c r="AT199" s="191"/>
      <c r="AU199" s="191"/>
      <c r="AV199" s="191"/>
      <c r="AW199" s="254"/>
      <c r="AX199" s="191"/>
      <c r="AY199" s="191"/>
      <c r="AZ199" s="191"/>
      <c r="BA199" s="191"/>
      <c r="BB199" s="254"/>
      <c r="BC199" s="258" t="str">
        <f ca="1">IF('Demand background (hide)'!A190=Num_Modalities,"",SUM(Demand!I199, Demand!N199, Demand!S199, Demand!X199, Demand!AC199, Demand!AH199, Demand!AM199, Demand!AR199, Demand!AW199, Demand!BB199))</f>
        <v/>
      </c>
      <c r="BD199" s="258"/>
      <c r="BE199" s="208"/>
    </row>
    <row r="200" spans="1:57" ht="15" x14ac:dyDescent="0.25">
      <c r="A200" t="str">
        <f t="shared" ca="1" si="4"/>
        <v/>
      </c>
      <c r="B200" s="263" t="str">
        <f t="shared" ca="1" si="5"/>
        <v xml:space="preserve"> </v>
      </c>
      <c r="C200" s="264"/>
      <c r="D200" s="264"/>
      <c r="E200" s="191"/>
      <c r="F200" s="191"/>
      <c r="G200" s="191"/>
      <c r="H200" s="191"/>
      <c r="I200" s="250"/>
      <c r="J200" s="191"/>
      <c r="K200" s="191"/>
      <c r="L200" s="191"/>
      <c r="M200" s="191"/>
      <c r="N200" s="254"/>
      <c r="O200" s="191"/>
      <c r="P200" s="191"/>
      <c r="Q200" s="191"/>
      <c r="R200" s="191"/>
      <c r="S200" s="254"/>
      <c r="T200" s="191"/>
      <c r="U200" s="191"/>
      <c r="V200" s="191"/>
      <c r="W200" s="191"/>
      <c r="X200" s="254"/>
      <c r="Y200" s="191"/>
      <c r="Z200" s="191"/>
      <c r="AA200" s="191"/>
      <c r="AB200" s="191"/>
      <c r="AC200" s="254"/>
      <c r="AD200" s="191"/>
      <c r="AE200" s="191"/>
      <c r="AF200" s="191"/>
      <c r="AG200" s="191"/>
      <c r="AH200" s="254"/>
      <c r="AI200" s="191"/>
      <c r="AJ200" s="191"/>
      <c r="AK200" s="191"/>
      <c r="AL200" s="191"/>
      <c r="AM200" s="254"/>
      <c r="AN200" s="191"/>
      <c r="AO200" s="191"/>
      <c r="AP200" s="191"/>
      <c r="AQ200" s="191"/>
      <c r="AR200" s="254"/>
      <c r="AS200" s="191"/>
      <c r="AT200" s="191"/>
      <c r="AU200" s="191"/>
      <c r="AV200" s="191"/>
      <c r="AW200" s="254"/>
      <c r="AX200" s="191"/>
      <c r="AY200" s="191"/>
      <c r="AZ200" s="191"/>
      <c r="BA200" s="191"/>
      <c r="BB200" s="254"/>
      <c r="BC200" s="258" t="str">
        <f ca="1">IF('Demand background (hide)'!A191=Num_Modalities,"",SUM(Demand!I200, Demand!N200, Demand!S200, Demand!X200, Demand!AC200, Demand!AH200, Demand!AM200, Demand!AR200, Demand!AW200, Demand!BB200))</f>
        <v/>
      </c>
      <c r="BD200" s="258"/>
      <c r="BE200" s="208"/>
    </row>
    <row r="201" spans="1:57" ht="15" x14ac:dyDescent="0.25">
      <c r="A201" t="str">
        <f t="shared" ca="1" si="4"/>
        <v/>
      </c>
      <c r="B201" s="263" t="str">
        <f t="shared" ca="1" si="5"/>
        <v xml:space="preserve"> </v>
      </c>
      <c r="C201" s="264"/>
      <c r="D201" s="264"/>
      <c r="E201" s="191"/>
      <c r="F201" s="191"/>
      <c r="G201" s="191"/>
      <c r="H201" s="191"/>
      <c r="I201" s="250"/>
      <c r="J201" s="191"/>
      <c r="K201" s="191"/>
      <c r="L201" s="191"/>
      <c r="M201" s="191"/>
      <c r="N201" s="254"/>
      <c r="O201" s="191"/>
      <c r="P201" s="191"/>
      <c r="Q201" s="191"/>
      <c r="R201" s="191"/>
      <c r="S201" s="254"/>
      <c r="T201" s="191"/>
      <c r="U201" s="191"/>
      <c r="V201" s="191"/>
      <c r="W201" s="191"/>
      <c r="X201" s="254"/>
      <c r="Y201" s="191"/>
      <c r="Z201" s="191"/>
      <c r="AA201" s="191"/>
      <c r="AB201" s="191"/>
      <c r="AC201" s="254"/>
      <c r="AD201" s="191"/>
      <c r="AE201" s="191"/>
      <c r="AF201" s="191"/>
      <c r="AG201" s="191"/>
      <c r="AH201" s="254"/>
      <c r="AI201" s="191"/>
      <c r="AJ201" s="191"/>
      <c r="AK201" s="191"/>
      <c r="AL201" s="191"/>
      <c r="AM201" s="254"/>
      <c r="AN201" s="191"/>
      <c r="AO201" s="191"/>
      <c r="AP201" s="191"/>
      <c r="AQ201" s="191"/>
      <c r="AR201" s="254"/>
      <c r="AS201" s="191"/>
      <c r="AT201" s="191"/>
      <c r="AU201" s="191"/>
      <c r="AV201" s="191"/>
      <c r="AW201" s="254"/>
      <c r="AX201" s="191"/>
      <c r="AY201" s="191"/>
      <c r="AZ201" s="191"/>
      <c r="BA201" s="191"/>
      <c r="BB201" s="254"/>
      <c r="BC201" s="258" t="str">
        <f ca="1">IF('Demand background (hide)'!A192=Num_Modalities,"",SUM(Demand!I201, Demand!N201, Demand!S201, Demand!X201, Demand!AC201, Demand!AH201, Demand!AM201, Demand!AR201, Demand!AW201, Demand!BB201))</f>
        <v/>
      </c>
      <c r="BD201" s="258"/>
      <c r="BE201" s="208"/>
    </row>
    <row r="202" spans="1:57" ht="15" x14ac:dyDescent="0.25">
      <c r="A202" t="str">
        <f t="shared" ca="1" si="4"/>
        <v/>
      </c>
      <c r="B202" s="263" t="str">
        <f t="shared" ca="1" si="5"/>
        <v xml:space="preserve"> </v>
      </c>
      <c r="C202" s="264"/>
      <c r="D202" s="264"/>
      <c r="E202" s="191"/>
      <c r="F202" s="191"/>
      <c r="G202" s="191"/>
      <c r="H202" s="191"/>
      <c r="I202" s="250"/>
      <c r="J202" s="191"/>
      <c r="K202" s="191"/>
      <c r="L202" s="191"/>
      <c r="M202" s="191"/>
      <c r="N202" s="254"/>
      <c r="O202" s="191"/>
      <c r="P202" s="191"/>
      <c r="Q202" s="191"/>
      <c r="R202" s="191"/>
      <c r="S202" s="254"/>
      <c r="T202" s="191"/>
      <c r="U202" s="191"/>
      <c r="V202" s="191"/>
      <c r="W202" s="191"/>
      <c r="X202" s="254"/>
      <c r="Y202" s="191"/>
      <c r="Z202" s="191"/>
      <c r="AA202" s="191"/>
      <c r="AB202" s="191"/>
      <c r="AC202" s="254"/>
      <c r="AD202" s="191"/>
      <c r="AE202" s="191"/>
      <c r="AF202" s="191"/>
      <c r="AG202" s="191"/>
      <c r="AH202" s="254"/>
      <c r="AI202" s="191"/>
      <c r="AJ202" s="191"/>
      <c r="AK202" s="191"/>
      <c r="AL202" s="191"/>
      <c r="AM202" s="254"/>
      <c r="AN202" s="191"/>
      <c r="AO202" s="191"/>
      <c r="AP202" s="191"/>
      <c r="AQ202" s="191"/>
      <c r="AR202" s="254"/>
      <c r="AS202" s="191"/>
      <c r="AT202" s="191"/>
      <c r="AU202" s="191"/>
      <c r="AV202" s="191"/>
      <c r="AW202" s="254"/>
      <c r="AX202" s="191"/>
      <c r="AY202" s="191"/>
      <c r="AZ202" s="191"/>
      <c r="BA202" s="191"/>
      <c r="BB202" s="254"/>
      <c r="BC202" s="258" t="str">
        <f ca="1">IF('Demand background (hide)'!A193=Num_Modalities,"",SUM(Demand!I202, Demand!N202, Demand!S202, Demand!X202, Demand!AC202, Demand!AH202, Demand!AM202, Demand!AR202, Demand!AW202, Demand!BB202))</f>
        <v/>
      </c>
      <c r="BD202" s="258"/>
      <c r="BE202" s="208"/>
    </row>
    <row r="203" spans="1:57" ht="15" x14ac:dyDescent="0.25">
      <c r="A203" t="str">
        <f t="shared" ca="1" si="4"/>
        <v/>
      </c>
      <c r="B203" s="263" t="str">
        <f t="shared" ca="1" si="5"/>
        <v xml:space="preserve"> </v>
      </c>
      <c r="C203" s="264"/>
      <c r="D203" s="264"/>
      <c r="E203" s="191"/>
      <c r="F203" s="191"/>
      <c r="G203" s="191"/>
      <c r="H203" s="191"/>
      <c r="I203" s="250"/>
      <c r="J203" s="191"/>
      <c r="K203" s="191"/>
      <c r="L203" s="191"/>
      <c r="M203" s="191"/>
      <c r="N203" s="254"/>
      <c r="O203" s="191"/>
      <c r="P203" s="191"/>
      <c r="Q203" s="191"/>
      <c r="R203" s="191"/>
      <c r="S203" s="254"/>
      <c r="T203" s="191"/>
      <c r="U203" s="191"/>
      <c r="V203" s="191"/>
      <c r="W203" s="191"/>
      <c r="X203" s="254"/>
      <c r="Y203" s="191"/>
      <c r="Z203" s="191"/>
      <c r="AA203" s="191"/>
      <c r="AB203" s="191"/>
      <c r="AC203" s="254"/>
      <c r="AD203" s="191"/>
      <c r="AE203" s="191"/>
      <c r="AF203" s="191"/>
      <c r="AG203" s="191"/>
      <c r="AH203" s="254"/>
      <c r="AI203" s="191"/>
      <c r="AJ203" s="191"/>
      <c r="AK203" s="191"/>
      <c r="AL203" s="191"/>
      <c r="AM203" s="254"/>
      <c r="AN203" s="191"/>
      <c r="AO203" s="191"/>
      <c r="AP203" s="191"/>
      <c r="AQ203" s="191"/>
      <c r="AR203" s="254"/>
      <c r="AS203" s="191"/>
      <c r="AT203" s="191"/>
      <c r="AU203" s="191"/>
      <c r="AV203" s="191"/>
      <c r="AW203" s="254"/>
      <c r="AX203" s="191"/>
      <c r="AY203" s="191"/>
      <c r="AZ203" s="191"/>
      <c r="BA203" s="191"/>
      <c r="BB203" s="254"/>
      <c r="BC203" s="258" t="str">
        <f ca="1">IF('Demand background (hide)'!A194=Num_Modalities,"",SUM(Demand!I203, Demand!N203, Demand!S203, Demand!X203, Demand!AC203, Demand!AH203, Demand!AM203, Demand!AR203, Demand!AW203, Demand!BB203))</f>
        <v/>
      </c>
      <c r="BD203" s="258"/>
      <c r="BE203" s="208"/>
    </row>
    <row r="204" spans="1:57" ht="15" x14ac:dyDescent="0.25">
      <c r="A204" t="str">
        <f t="shared" ca="1" si="4"/>
        <v/>
      </c>
      <c r="B204" s="263" t="str">
        <f t="shared" ca="1" si="5"/>
        <v xml:space="preserve"> </v>
      </c>
      <c r="C204" s="264"/>
      <c r="D204" s="264"/>
      <c r="E204" s="191"/>
      <c r="F204" s="191"/>
      <c r="G204" s="191"/>
      <c r="H204" s="191"/>
      <c r="I204" s="250"/>
      <c r="J204" s="191"/>
      <c r="K204" s="191"/>
      <c r="L204" s="191"/>
      <c r="M204" s="191"/>
      <c r="N204" s="254"/>
      <c r="O204" s="191"/>
      <c r="P204" s="191"/>
      <c r="Q204" s="191"/>
      <c r="R204" s="191"/>
      <c r="S204" s="254"/>
      <c r="T204" s="191"/>
      <c r="U204" s="191"/>
      <c r="V204" s="191"/>
      <c r="W204" s="191"/>
      <c r="X204" s="254"/>
      <c r="Y204" s="191"/>
      <c r="Z204" s="191"/>
      <c r="AA204" s="191"/>
      <c r="AB204" s="191"/>
      <c r="AC204" s="254"/>
      <c r="AD204" s="191"/>
      <c r="AE204" s="191"/>
      <c r="AF204" s="191"/>
      <c r="AG204" s="191"/>
      <c r="AH204" s="254"/>
      <c r="AI204" s="191"/>
      <c r="AJ204" s="191"/>
      <c r="AK204" s="191"/>
      <c r="AL204" s="191"/>
      <c r="AM204" s="254"/>
      <c r="AN204" s="191"/>
      <c r="AO204" s="191"/>
      <c r="AP204" s="191"/>
      <c r="AQ204" s="191"/>
      <c r="AR204" s="254"/>
      <c r="AS204" s="191"/>
      <c r="AT204" s="191"/>
      <c r="AU204" s="191"/>
      <c r="AV204" s="191"/>
      <c r="AW204" s="254"/>
      <c r="AX204" s="191"/>
      <c r="AY204" s="191"/>
      <c r="AZ204" s="191"/>
      <c r="BA204" s="191"/>
      <c r="BB204" s="254"/>
      <c r="BC204" s="258" t="str">
        <f ca="1">IF('Demand background (hide)'!A195=Num_Modalities,"",SUM(Demand!I204, Demand!N204, Demand!S204, Demand!X204, Demand!AC204, Demand!AH204, Demand!AM204, Demand!AR204, Demand!AW204, Demand!BB204))</f>
        <v/>
      </c>
      <c r="BD204" s="258"/>
      <c r="BE204" s="208"/>
    </row>
    <row r="205" spans="1:57" ht="15" x14ac:dyDescent="0.25">
      <c r="A205" t="str">
        <f t="shared" ref="A205:A268" ca="1" si="6">IF(BC205&lt;&gt;"",ROW(A193),"")</f>
        <v/>
      </c>
      <c r="B205" s="263" t="str">
        <f t="shared" ca="1" si="5"/>
        <v xml:space="preserve"> </v>
      </c>
      <c r="C205" s="264"/>
      <c r="D205" s="264"/>
      <c r="E205" s="191"/>
      <c r="F205" s="191"/>
      <c r="G205" s="191"/>
      <c r="H205" s="191"/>
      <c r="I205" s="250"/>
      <c r="J205" s="191"/>
      <c r="K205" s="191"/>
      <c r="L205" s="191"/>
      <c r="M205" s="191"/>
      <c r="N205" s="254"/>
      <c r="O205" s="191"/>
      <c r="P205" s="191"/>
      <c r="Q205" s="191"/>
      <c r="R205" s="191"/>
      <c r="S205" s="254"/>
      <c r="T205" s="191"/>
      <c r="U205" s="191"/>
      <c r="V205" s="191"/>
      <c r="W205" s="191"/>
      <c r="X205" s="254"/>
      <c r="Y205" s="191"/>
      <c r="Z205" s="191"/>
      <c r="AA205" s="191"/>
      <c r="AB205" s="191"/>
      <c r="AC205" s="254"/>
      <c r="AD205" s="191"/>
      <c r="AE205" s="191"/>
      <c r="AF205" s="191"/>
      <c r="AG205" s="191"/>
      <c r="AH205" s="254"/>
      <c r="AI205" s="191"/>
      <c r="AJ205" s="191"/>
      <c r="AK205" s="191"/>
      <c r="AL205" s="191"/>
      <c r="AM205" s="254"/>
      <c r="AN205" s="191"/>
      <c r="AO205" s="191"/>
      <c r="AP205" s="191"/>
      <c r="AQ205" s="191"/>
      <c r="AR205" s="254"/>
      <c r="AS205" s="191"/>
      <c r="AT205" s="191"/>
      <c r="AU205" s="191"/>
      <c r="AV205" s="191"/>
      <c r="AW205" s="254"/>
      <c r="AX205" s="191"/>
      <c r="AY205" s="191"/>
      <c r="AZ205" s="191"/>
      <c r="BA205" s="191"/>
      <c r="BB205" s="254"/>
      <c r="BC205" s="258" t="str">
        <f ca="1">IF('Demand background (hide)'!A196=Num_Modalities,"",SUM(Demand!I205, Demand!N205, Demand!S205, Demand!X205, Demand!AC205, Demand!AH205, Demand!AM205, Demand!AR205, Demand!AW205, Demand!BB205))</f>
        <v/>
      </c>
      <c r="BD205" s="258"/>
      <c r="BE205" s="208"/>
    </row>
    <row r="206" spans="1:57" ht="15" x14ac:dyDescent="0.25">
      <c r="A206" t="str">
        <f t="shared" ca="1" si="6"/>
        <v/>
      </c>
      <c r="B206" s="263" t="str">
        <f t="shared" ref="B206:B269" ca="1" si="7">IF(A206&lt;=MaxRows,IF($C$6&lt;&gt;"",IF(YEAR(D206)&lt;&gt;YEAR(D205),YEAR(D206)," "),IF(C206&lt;&gt;1,"",OFFSET(B206,-C205,0,1,1)+1))," ")</f>
        <v xml:space="preserve"> </v>
      </c>
      <c r="C206" s="264"/>
      <c r="D206" s="264"/>
      <c r="E206" s="191"/>
      <c r="F206" s="191"/>
      <c r="G206" s="191"/>
      <c r="H206" s="191"/>
      <c r="I206" s="250"/>
      <c r="J206" s="191"/>
      <c r="K206" s="191"/>
      <c r="L206" s="191"/>
      <c r="M206" s="191"/>
      <c r="N206" s="254"/>
      <c r="O206" s="191"/>
      <c r="P206" s="191"/>
      <c r="Q206" s="191"/>
      <c r="R206" s="191"/>
      <c r="S206" s="254"/>
      <c r="T206" s="191"/>
      <c r="U206" s="191"/>
      <c r="V206" s="191"/>
      <c r="W206" s="191"/>
      <c r="X206" s="254"/>
      <c r="Y206" s="191"/>
      <c r="Z206" s="191"/>
      <c r="AA206" s="191"/>
      <c r="AB206" s="191"/>
      <c r="AC206" s="254"/>
      <c r="AD206" s="191"/>
      <c r="AE206" s="191"/>
      <c r="AF206" s="191"/>
      <c r="AG206" s="191"/>
      <c r="AH206" s="254"/>
      <c r="AI206" s="191"/>
      <c r="AJ206" s="191"/>
      <c r="AK206" s="191"/>
      <c r="AL206" s="191"/>
      <c r="AM206" s="254"/>
      <c r="AN206" s="191"/>
      <c r="AO206" s="191"/>
      <c r="AP206" s="191"/>
      <c r="AQ206" s="191"/>
      <c r="AR206" s="254"/>
      <c r="AS206" s="191"/>
      <c r="AT206" s="191"/>
      <c r="AU206" s="191"/>
      <c r="AV206" s="191"/>
      <c r="AW206" s="254"/>
      <c r="AX206" s="191"/>
      <c r="AY206" s="191"/>
      <c r="AZ206" s="191"/>
      <c r="BA206" s="191"/>
      <c r="BB206" s="254"/>
      <c r="BC206" s="258" t="str">
        <f ca="1">IF('Demand background (hide)'!A197=Num_Modalities,"",SUM(Demand!I206, Demand!N206, Demand!S206, Demand!X206, Demand!AC206, Demand!AH206, Demand!AM206, Demand!AR206, Demand!AW206, Demand!BB206))</f>
        <v/>
      </c>
      <c r="BD206" s="258"/>
      <c r="BE206" s="208"/>
    </row>
    <row r="207" spans="1:57" ht="15" x14ac:dyDescent="0.25">
      <c r="A207" t="str">
        <f t="shared" ca="1" si="6"/>
        <v/>
      </c>
      <c r="B207" s="263" t="str">
        <f t="shared" ca="1" si="7"/>
        <v xml:space="preserve"> </v>
      </c>
      <c r="C207" s="264"/>
      <c r="D207" s="264"/>
      <c r="E207" s="191"/>
      <c r="F207" s="191"/>
      <c r="G207" s="191"/>
      <c r="H207" s="191"/>
      <c r="I207" s="250"/>
      <c r="J207" s="191"/>
      <c r="K207" s="191"/>
      <c r="L207" s="191"/>
      <c r="M207" s="191"/>
      <c r="N207" s="254"/>
      <c r="O207" s="191"/>
      <c r="P207" s="191"/>
      <c r="Q207" s="191"/>
      <c r="R207" s="191"/>
      <c r="S207" s="254"/>
      <c r="T207" s="191"/>
      <c r="U207" s="191"/>
      <c r="V207" s="191"/>
      <c r="W207" s="191"/>
      <c r="X207" s="254"/>
      <c r="Y207" s="191"/>
      <c r="Z207" s="191"/>
      <c r="AA207" s="191"/>
      <c r="AB207" s="191"/>
      <c r="AC207" s="254"/>
      <c r="AD207" s="191"/>
      <c r="AE207" s="191"/>
      <c r="AF207" s="191"/>
      <c r="AG207" s="191"/>
      <c r="AH207" s="254"/>
      <c r="AI207" s="191"/>
      <c r="AJ207" s="191"/>
      <c r="AK207" s="191"/>
      <c r="AL207" s="191"/>
      <c r="AM207" s="254"/>
      <c r="AN207" s="191"/>
      <c r="AO207" s="191"/>
      <c r="AP207" s="191"/>
      <c r="AQ207" s="191"/>
      <c r="AR207" s="254"/>
      <c r="AS207" s="191"/>
      <c r="AT207" s="191"/>
      <c r="AU207" s="191"/>
      <c r="AV207" s="191"/>
      <c r="AW207" s="254"/>
      <c r="AX207" s="191"/>
      <c r="AY207" s="191"/>
      <c r="AZ207" s="191"/>
      <c r="BA207" s="191"/>
      <c r="BB207" s="254"/>
      <c r="BC207" s="258" t="str">
        <f ca="1">IF('Demand background (hide)'!A198=Num_Modalities,"",SUM(Demand!I207, Demand!N207, Demand!S207, Demand!X207, Demand!AC207, Demand!AH207, Demand!AM207, Demand!AR207, Demand!AW207, Demand!BB207))</f>
        <v/>
      </c>
      <c r="BD207" s="258"/>
      <c r="BE207" s="208"/>
    </row>
    <row r="208" spans="1:57" ht="15" x14ac:dyDescent="0.25">
      <c r="A208" t="str">
        <f t="shared" ca="1" si="6"/>
        <v/>
      </c>
      <c r="B208" s="263" t="str">
        <f t="shared" ca="1" si="7"/>
        <v xml:space="preserve"> </v>
      </c>
      <c r="C208" s="264"/>
      <c r="D208" s="264"/>
      <c r="E208" s="191"/>
      <c r="F208" s="191"/>
      <c r="G208" s="191"/>
      <c r="H208" s="191"/>
      <c r="I208" s="250"/>
      <c r="J208" s="191"/>
      <c r="K208" s="191"/>
      <c r="L208" s="191"/>
      <c r="M208" s="191"/>
      <c r="N208" s="254"/>
      <c r="O208" s="191"/>
      <c r="P208" s="191"/>
      <c r="Q208" s="191"/>
      <c r="R208" s="191"/>
      <c r="S208" s="254"/>
      <c r="T208" s="191"/>
      <c r="U208" s="191"/>
      <c r="V208" s="191"/>
      <c r="W208" s="191"/>
      <c r="X208" s="254"/>
      <c r="Y208" s="191"/>
      <c r="Z208" s="191"/>
      <c r="AA208" s="191"/>
      <c r="AB208" s="191"/>
      <c r="AC208" s="254"/>
      <c r="AD208" s="191"/>
      <c r="AE208" s="191"/>
      <c r="AF208" s="191"/>
      <c r="AG208" s="191"/>
      <c r="AH208" s="254"/>
      <c r="AI208" s="191"/>
      <c r="AJ208" s="191"/>
      <c r="AK208" s="191"/>
      <c r="AL208" s="191"/>
      <c r="AM208" s="254"/>
      <c r="AN208" s="191"/>
      <c r="AO208" s="191"/>
      <c r="AP208" s="191"/>
      <c r="AQ208" s="191"/>
      <c r="AR208" s="254"/>
      <c r="AS208" s="191"/>
      <c r="AT208" s="191"/>
      <c r="AU208" s="191"/>
      <c r="AV208" s="191"/>
      <c r="AW208" s="254"/>
      <c r="AX208" s="191"/>
      <c r="AY208" s="191"/>
      <c r="AZ208" s="191"/>
      <c r="BA208" s="191"/>
      <c r="BB208" s="254"/>
      <c r="BC208" s="258" t="str">
        <f ca="1">IF('Demand background (hide)'!A199=Num_Modalities,"",SUM(Demand!I208, Demand!N208, Demand!S208, Demand!X208, Demand!AC208, Demand!AH208, Demand!AM208, Demand!AR208, Demand!AW208, Demand!BB208))</f>
        <v/>
      </c>
      <c r="BD208" s="258"/>
      <c r="BE208" s="208"/>
    </row>
    <row r="209" spans="1:57" ht="15" x14ac:dyDescent="0.25">
      <c r="A209" t="str">
        <f t="shared" ca="1" si="6"/>
        <v/>
      </c>
      <c r="B209" s="263" t="str">
        <f t="shared" ca="1" si="7"/>
        <v xml:space="preserve"> </v>
      </c>
      <c r="C209" s="264"/>
      <c r="D209" s="264"/>
      <c r="E209" s="191"/>
      <c r="F209" s="191"/>
      <c r="G209" s="191"/>
      <c r="H209" s="191"/>
      <c r="I209" s="250"/>
      <c r="J209" s="191"/>
      <c r="K209" s="191"/>
      <c r="L209" s="191"/>
      <c r="M209" s="191"/>
      <c r="N209" s="254"/>
      <c r="O209" s="191"/>
      <c r="P209" s="191"/>
      <c r="Q209" s="191"/>
      <c r="R209" s="191"/>
      <c r="S209" s="254"/>
      <c r="T209" s="191"/>
      <c r="U209" s="191"/>
      <c r="V209" s="191"/>
      <c r="W209" s="191"/>
      <c r="X209" s="254"/>
      <c r="Y209" s="191"/>
      <c r="Z209" s="191"/>
      <c r="AA209" s="191"/>
      <c r="AB209" s="191"/>
      <c r="AC209" s="254"/>
      <c r="AD209" s="191"/>
      <c r="AE209" s="191"/>
      <c r="AF209" s="191"/>
      <c r="AG209" s="191"/>
      <c r="AH209" s="254"/>
      <c r="AI209" s="191"/>
      <c r="AJ209" s="191"/>
      <c r="AK209" s="191"/>
      <c r="AL209" s="191"/>
      <c r="AM209" s="254"/>
      <c r="AN209" s="191"/>
      <c r="AO209" s="191"/>
      <c r="AP209" s="191"/>
      <c r="AQ209" s="191"/>
      <c r="AR209" s="254"/>
      <c r="AS209" s="191"/>
      <c r="AT209" s="191"/>
      <c r="AU209" s="191"/>
      <c r="AV209" s="191"/>
      <c r="AW209" s="254"/>
      <c r="AX209" s="191"/>
      <c r="AY209" s="191"/>
      <c r="AZ209" s="191"/>
      <c r="BA209" s="191"/>
      <c r="BB209" s="254"/>
      <c r="BC209" s="258" t="str">
        <f ca="1">IF('Demand background (hide)'!A200=Num_Modalities,"",SUM(Demand!I209, Demand!N209, Demand!S209, Demand!X209, Demand!AC209, Demand!AH209, Demand!AM209, Demand!AR209, Demand!AW209, Demand!BB209))</f>
        <v/>
      </c>
      <c r="BD209" s="258"/>
      <c r="BE209" s="208"/>
    </row>
    <row r="210" spans="1:57" ht="15" x14ac:dyDescent="0.25">
      <c r="A210" t="str">
        <f t="shared" ca="1" si="6"/>
        <v/>
      </c>
      <c r="B210" s="263" t="str">
        <f t="shared" ca="1" si="7"/>
        <v xml:space="preserve"> </v>
      </c>
      <c r="C210" s="264"/>
      <c r="D210" s="264"/>
      <c r="E210" s="191"/>
      <c r="F210" s="191"/>
      <c r="G210" s="191"/>
      <c r="H210" s="191"/>
      <c r="I210" s="250"/>
      <c r="J210" s="191"/>
      <c r="K210" s="191"/>
      <c r="L210" s="191"/>
      <c r="M210" s="191"/>
      <c r="N210" s="254"/>
      <c r="O210" s="191"/>
      <c r="P210" s="191"/>
      <c r="Q210" s="191"/>
      <c r="R210" s="191"/>
      <c r="S210" s="254"/>
      <c r="T210" s="191"/>
      <c r="U210" s="191"/>
      <c r="V210" s="191"/>
      <c r="W210" s="191"/>
      <c r="X210" s="254"/>
      <c r="Y210" s="191"/>
      <c r="Z210" s="191"/>
      <c r="AA210" s="191"/>
      <c r="AB210" s="191"/>
      <c r="AC210" s="254"/>
      <c r="AD210" s="191"/>
      <c r="AE210" s="191"/>
      <c r="AF210" s="191"/>
      <c r="AG210" s="191"/>
      <c r="AH210" s="254"/>
      <c r="AI210" s="191"/>
      <c r="AJ210" s="191"/>
      <c r="AK210" s="191"/>
      <c r="AL210" s="191"/>
      <c r="AM210" s="254"/>
      <c r="AN210" s="191"/>
      <c r="AO210" s="191"/>
      <c r="AP210" s="191"/>
      <c r="AQ210" s="191"/>
      <c r="AR210" s="254"/>
      <c r="AS210" s="191"/>
      <c r="AT210" s="191"/>
      <c r="AU210" s="191"/>
      <c r="AV210" s="191"/>
      <c r="AW210" s="254"/>
      <c r="AX210" s="191"/>
      <c r="AY210" s="191"/>
      <c r="AZ210" s="191"/>
      <c r="BA210" s="191"/>
      <c r="BB210" s="254"/>
      <c r="BC210" s="258" t="str">
        <f ca="1">IF('Demand background (hide)'!A201=Num_Modalities,"",SUM(Demand!I210, Demand!N210, Demand!S210, Demand!X210, Demand!AC210, Demand!AH210, Demand!AM210, Demand!AR210, Demand!AW210, Demand!BB210))</f>
        <v/>
      </c>
      <c r="BD210" s="258"/>
      <c r="BE210" s="208"/>
    </row>
    <row r="211" spans="1:57" ht="15" x14ac:dyDescent="0.25">
      <c r="A211" t="str">
        <f t="shared" ca="1" si="6"/>
        <v/>
      </c>
      <c r="B211" s="263" t="str">
        <f t="shared" ca="1" si="7"/>
        <v xml:space="preserve"> </v>
      </c>
      <c r="C211" s="264"/>
      <c r="D211" s="264"/>
      <c r="E211" s="191"/>
      <c r="F211" s="191"/>
      <c r="G211" s="191"/>
      <c r="H211" s="191"/>
      <c r="I211" s="250"/>
      <c r="J211" s="191"/>
      <c r="K211" s="191"/>
      <c r="L211" s="191"/>
      <c r="M211" s="191"/>
      <c r="N211" s="254"/>
      <c r="O211" s="191"/>
      <c r="P211" s="191"/>
      <c r="Q211" s="191"/>
      <c r="R211" s="191"/>
      <c r="S211" s="254"/>
      <c r="T211" s="191"/>
      <c r="U211" s="191"/>
      <c r="V211" s="191"/>
      <c r="W211" s="191"/>
      <c r="X211" s="254"/>
      <c r="Y211" s="191"/>
      <c r="Z211" s="191"/>
      <c r="AA211" s="191"/>
      <c r="AB211" s="191"/>
      <c r="AC211" s="254"/>
      <c r="AD211" s="191"/>
      <c r="AE211" s="191"/>
      <c r="AF211" s="191"/>
      <c r="AG211" s="191"/>
      <c r="AH211" s="254"/>
      <c r="AI211" s="191"/>
      <c r="AJ211" s="191"/>
      <c r="AK211" s="191"/>
      <c r="AL211" s="191"/>
      <c r="AM211" s="254"/>
      <c r="AN211" s="191"/>
      <c r="AO211" s="191"/>
      <c r="AP211" s="191"/>
      <c r="AQ211" s="191"/>
      <c r="AR211" s="254"/>
      <c r="AS211" s="191"/>
      <c r="AT211" s="191"/>
      <c r="AU211" s="191"/>
      <c r="AV211" s="191"/>
      <c r="AW211" s="254"/>
      <c r="AX211" s="191"/>
      <c r="AY211" s="191"/>
      <c r="AZ211" s="191"/>
      <c r="BA211" s="191"/>
      <c r="BB211" s="254"/>
      <c r="BC211" s="258" t="str">
        <f ca="1">IF('Demand background (hide)'!A202=Num_Modalities,"",SUM(Demand!I211, Demand!N211, Demand!S211, Demand!X211, Demand!AC211, Demand!AH211, Demand!AM211, Demand!AR211, Demand!AW211, Demand!BB211))</f>
        <v/>
      </c>
      <c r="BD211" s="258"/>
      <c r="BE211" s="208"/>
    </row>
    <row r="212" spans="1:57" ht="15" x14ac:dyDescent="0.25">
      <c r="A212" t="str">
        <f t="shared" ca="1" si="6"/>
        <v/>
      </c>
      <c r="B212" s="263" t="str">
        <f t="shared" ca="1" si="7"/>
        <v xml:space="preserve"> </v>
      </c>
      <c r="C212" s="264"/>
      <c r="D212" s="264"/>
      <c r="E212" s="191"/>
      <c r="F212" s="191"/>
      <c r="G212" s="191"/>
      <c r="H212" s="191"/>
      <c r="I212" s="250"/>
      <c r="J212" s="191"/>
      <c r="K212" s="191"/>
      <c r="L212" s="191"/>
      <c r="M212" s="191"/>
      <c r="N212" s="254"/>
      <c r="O212" s="191"/>
      <c r="P212" s="191"/>
      <c r="Q212" s="191"/>
      <c r="R212" s="191"/>
      <c r="S212" s="254"/>
      <c r="T212" s="191"/>
      <c r="U212" s="191"/>
      <c r="V212" s="191"/>
      <c r="W212" s="191"/>
      <c r="X212" s="254"/>
      <c r="Y212" s="191"/>
      <c r="Z212" s="191"/>
      <c r="AA212" s="191"/>
      <c r="AB212" s="191"/>
      <c r="AC212" s="254"/>
      <c r="AD212" s="191"/>
      <c r="AE212" s="191"/>
      <c r="AF212" s="191"/>
      <c r="AG212" s="191"/>
      <c r="AH212" s="254"/>
      <c r="AI212" s="191"/>
      <c r="AJ212" s="191"/>
      <c r="AK212" s="191"/>
      <c r="AL212" s="191"/>
      <c r="AM212" s="254"/>
      <c r="AN212" s="191"/>
      <c r="AO212" s="191"/>
      <c r="AP212" s="191"/>
      <c r="AQ212" s="191"/>
      <c r="AR212" s="254"/>
      <c r="AS212" s="191"/>
      <c r="AT212" s="191"/>
      <c r="AU212" s="191"/>
      <c r="AV212" s="191"/>
      <c r="AW212" s="254"/>
      <c r="AX212" s="191"/>
      <c r="AY212" s="191"/>
      <c r="AZ212" s="191"/>
      <c r="BA212" s="191"/>
      <c r="BB212" s="254"/>
      <c r="BC212" s="258" t="str">
        <f ca="1">IF('Demand background (hide)'!A203=Num_Modalities,"",SUM(Demand!I212, Demand!N212, Demand!S212, Demand!X212, Demand!AC212, Demand!AH212, Demand!AM212, Demand!AR212, Demand!AW212, Demand!BB212))</f>
        <v/>
      </c>
      <c r="BD212" s="258"/>
      <c r="BE212" s="208"/>
    </row>
    <row r="213" spans="1:57" ht="15" x14ac:dyDescent="0.25">
      <c r="A213" t="str">
        <f t="shared" ca="1" si="6"/>
        <v/>
      </c>
      <c r="B213" s="263" t="str">
        <f t="shared" ca="1" si="7"/>
        <v xml:space="preserve"> </v>
      </c>
      <c r="C213" s="264"/>
      <c r="D213" s="264"/>
      <c r="E213" s="191"/>
      <c r="F213" s="191"/>
      <c r="G213" s="191"/>
      <c r="H213" s="191"/>
      <c r="I213" s="250"/>
      <c r="J213" s="191"/>
      <c r="K213" s="191"/>
      <c r="L213" s="191"/>
      <c r="M213" s="191"/>
      <c r="N213" s="254"/>
      <c r="O213" s="191"/>
      <c r="P213" s="191"/>
      <c r="Q213" s="191"/>
      <c r="R213" s="191"/>
      <c r="S213" s="254"/>
      <c r="T213" s="191"/>
      <c r="U213" s="191"/>
      <c r="V213" s="191"/>
      <c r="W213" s="191"/>
      <c r="X213" s="254"/>
      <c r="Y213" s="191"/>
      <c r="Z213" s="191"/>
      <c r="AA213" s="191"/>
      <c r="AB213" s="191"/>
      <c r="AC213" s="254"/>
      <c r="AD213" s="191"/>
      <c r="AE213" s="191"/>
      <c r="AF213" s="191"/>
      <c r="AG213" s="191"/>
      <c r="AH213" s="254"/>
      <c r="AI213" s="191"/>
      <c r="AJ213" s="191"/>
      <c r="AK213" s="191"/>
      <c r="AL213" s="191"/>
      <c r="AM213" s="254"/>
      <c r="AN213" s="191"/>
      <c r="AO213" s="191"/>
      <c r="AP213" s="191"/>
      <c r="AQ213" s="191"/>
      <c r="AR213" s="254"/>
      <c r="AS213" s="191"/>
      <c r="AT213" s="191"/>
      <c r="AU213" s="191"/>
      <c r="AV213" s="191"/>
      <c r="AW213" s="254"/>
      <c r="AX213" s="191"/>
      <c r="AY213" s="191"/>
      <c r="AZ213" s="191"/>
      <c r="BA213" s="191"/>
      <c r="BB213" s="254"/>
      <c r="BC213" s="258" t="str">
        <f ca="1">IF('Demand background (hide)'!A204=Num_Modalities,"",SUM(Demand!I213, Demand!N213, Demand!S213, Demand!X213, Demand!AC213, Demand!AH213, Demand!AM213, Demand!AR213, Demand!AW213, Demand!BB213))</f>
        <v/>
      </c>
      <c r="BD213" s="258"/>
      <c r="BE213" s="208"/>
    </row>
    <row r="214" spans="1:57" ht="15" x14ac:dyDescent="0.25">
      <c r="A214" t="str">
        <f t="shared" ca="1" si="6"/>
        <v/>
      </c>
      <c r="B214" s="263" t="str">
        <f t="shared" ca="1" si="7"/>
        <v xml:space="preserve"> </v>
      </c>
      <c r="C214" s="264"/>
      <c r="D214" s="264"/>
      <c r="E214" s="191"/>
      <c r="F214" s="191"/>
      <c r="G214" s="191"/>
      <c r="H214" s="191"/>
      <c r="I214" s="250"/>
      <c r="J214" s="191"/>
      <c r="K214" s="191"/>
      <c r="L214" s="191"/>
      <c r="M214" s="191"/>
      <c r="N214" s="254"/>
      <c r="O214" s="191"/>
      <c r="P214" s="191"/>
      <c r="Q214" s="191"/>
      <c r="R214" s="191"/>
      <c r="S214" s="254"/>
      <c r="T214" s="191"/>
      <c r="U214" s="191"/>
      <c r="V214" s="191"/>
      <c r="W214" s="191"/>
      <c r="X214" s="254"/>
      <c r="Y214" s="191"/>
      <c r="Z214" s="191"/>
      <c r="AA214" s="191"/>
      <c r="AB214" s="191"/>
      <c r="AC214" s="254"/>
      <c r="AD214" s="191"/>
      <c r="AE214" s="191"/>
      <c r="AF214" s="191"/>
      <c r="AG214" s="191"/>
      <c r="AH214" s="254"/>
      <c r="AI214" s="191"/>
      <c r="AJ214" s="191"/>
      <c r="AK214" s="191"/>
      <c r="AL214" s="191"/>
      <c r="AM214" s="254"/>
      <c r="AN214" s="191"/>
      <c r="AO214" s="191"/>
      <c r="AP214" s="191"/>
      <c r="AQ214" s="191"/>
      <c r="AR214" s="254"/>
      <c r="AS214" s="191"/>
      <c r="AT214" s="191"/>
      <c r="AU214" s="191"/>
      <c r="AV214" s="191"/>
      <c r="AW214" s="254"/>
      <c r="AX214" s="191"/>
      <c r="AY214" s="191"/>
      <c r="AZ214" s="191"/>
      <c r="BA214" s="191"/>
      <c r="BB214" s="254"/>
      <c r="BC214" s="258" t="str">
        <f ca="1">IF('Demand background (hide)'!A205=Num_Modalities,"",SUM(Demand!I214, Demand!N214, Demand!S214, Demand!X214, Demand!AC214, Demand!AH214, Demand!AM214, Demand!AR214, Demand!AW214, Demand!BB214))</f>
        <v/>
      </c>
      <c r="BD214" s="258"/>
      <c r="BE214" s="208"/>
    </row>
    <row r="215" spans="1:57" ht="15" x14ac:dyDescent="0.25">
      <c r="A215" t="str">
        <f t="shared" ca="1" si="6"/>
        <v/>
      </c>
      <c r="B215" s="263" t="str">
        <f t="shared" ca="1" si="7"/>
        <v xml:space="preserve"> </v>
      </c>
      <c r="C215" s="264"/>
      <c r="D215" s="264"/>
      <c r="E215" s="191"/>
      <c r="F215" s="191"/>
      <c r="G215" s="191"/>
      <c r="H215" s="191"/>
      <c r="I215" s="250"/>
      <c r="J215" s="191"/>
      <c r="K215" s="191"/>
      <c r="L215" s="191"/>
      <c r="M215" s="191"/>
      <c r="N215" s="254"/>
      <c r="O215" s="191"/>
      <c r="P215" s="191"/>
      <c r="Q215" s="191"/>
      <c r="R215" s="191"/>
      <c r="S215" s="254"/>
      <c r="T215" s="191"/>
      <c r="U215" s="191"/>
      <c r="V215" s="191"/>
      <c r="W215" s="191"/>
      <c r="X215" s="254"/>
      <c r="Y215" s="191"/>
      <c r="Z215" s="191"/>
      <c r="AA215" s="191"/>
      <c r="AB215" s="191"/>
      <c r="AC215" s="254"/>
      <c r="AD215" s="191"/>
      <c r="AE215" s="191"/>
      <c r="AF215" s="191"/>
      <c r="AG215" s="191"/>
      <c r="AH215" s="254"/>
      <c r="AI215" s="191"/>
      <c r="AJ215" s="191"/>
      <c r="AK215" s="191"/>
      <c r="AL215" s="191"/>
      <c r="AM215" s="254"/>
      <c r="AN215" s="191"/>
      <c r="AO215" s="191"/>
      <c r="AP215" s="191"/>
      <c r="AQ215" s="191"/>
      <c r="AR215" s="254"/>
      <c r="AS215" s="191"/>
      <c r="AT215" s="191"/>
      <c r="AU215" s="191"/>
      <c r="AV215" s="191"/>
      <c r="AW215" s="254"/>
      <c r="AX215" s="191"/>
      <c r="AY215" s="191"/>
      <c r="AZ215" s="191"/>
      <c r="BA215" s="191"/>
      <c r="BB215" s="254"/>
      <c r="BC215" s="258" t="str">
        <f ca="1">IF('Demand background (hide)'!A206=Num_Modalities,"",SUM(Demand!I215, Demand!N215, Demand!S215, Demand!X215, Demand!AC215, Demand!AH215, Demand!AM215, Demand!AR215, Demand!AW215, Demand!BB215))</f>
        <v/>
      </c>
      <c r="BD215" s="258"/>
      <c r="BE215" s="208"/>
    </row>
    <row r="216" spans="1:57" ht="15" x14ac:dyDescent="0.25">
      <c r="A216" t="str">
        <f t="shared" ca="1" si="6"/>
        <v/>
      </c>
      <c r="B216" s="263" t="str">
        <f t="shared" ca="1" si="7"/>
        <v xml:space="preserve"> </v>
      </c>
      <c r="C216" s="264"/>
      <c r="D216" s="264"/>
      <c r="E216" s="191"/>
      <c r="F216" s="191"/>
      <c r="G216" s="191"/>
      <c r="H216" s="191"/>
      <c r="I216" s="250"/>
      <c r="J216" s="191"/>
      <c r="K216" s="191"/>
      <c r="L216" s="191"/>
      <c r="M216" s="191"/>
      <c r="N216" s="254"/>
      <c r="O216" s="191"/>
      <c r="P216" s="191"/>
      <c r="Q216" s="191"/>
      <c r="R216" s="191"/>
      <c r="S216" s="254"/>
      <c r="T216" s="191"/>
      <c r="U216" s="191"/>
      <c r="V216" s="191"/>
      <c r="W216" s="191"/>
      <c r="X216" s="254"/>
      <c r="Y216" s="191"/>
      <c r="Z216" s="191"/>
      <c r="AA216" s="191"/>
      <c r="AB216" s="191"/>
      <c r="AC216" s="254"/>
      <c r="AD216" s="191"/>
      <c r="AE216" s="191"/>
      <c r="AF216" s="191"/>
      <c r="AG216" s="191"/>
      <c r="AH216" s="254"/>
      <c r="AI216" s="191"/>
      <c r="AJ216" s="191"/>
      <c r="AK216" s="191"/>
      <c r="AL216" s="191"/>
      <c r="AM216" s="254"/>
      <c r="AN216" s="191"/>
      <c r="AO216" s="191"/>
      <c r="AP216" s="191"/>
      <c r="AQ216" s="191"/>
      <c r="AR216" s="254"/>
      <c r="AS216" s="191"/>
      <c r="AT216" s="191"/>
      <c r="AU216" s="191"/>
      <c r="AV216" s="191"/>
      <c r="AW216" s="254"/>
      <c r="AX216" s="191"/>
      <c r="AY216" s="191"/>
      <c r="AZ216" s="191"/>
      <c r="BA216" s="191"/>
      <c r="BB216" s="254"/>
      <c r="BC216" s="258" t="str">
        <f ca="1">IF('Demand background (hide)'!A207=Num_Modalities,"",SUM(Demand!I216, Demand!N216, Demand!S216, Demand!X216, Demand!AC216, Demand!AH216, Demand!AM216, Demand!AR216, Demand!AW216, Demand!BB216))</f>
        <v/>
      </c>
      <c r="BD216" s="258"/>
      <c r="BE216" s="208"/>
    </row>
    <row r="217" spans="1:57" ht="15" x14ac:dyDescent="0.25">
      <c r="A217" t="str">
        <f t="shared" ca="1" si="6"/>
        <v/>
      </c>
      <c r="B217" s="263" t="str">
        <f t="shared" ca="1" si="7"/>
        <v xml:space="preserve"> </v>
      </c>
      <c r="C217" s="264"/>
      <c r="D217" s="264"/>
      <c r="E217" s="191"/>
      <c r="F217" s="191"/>
      <c r="G217" s="191"/>
      <c r="H217" s="191"/>
      <c r="I217" s="250"/>
      <c r="J217" s="191"/>
      <c r="K217" s="191"/>
      <c r="L217" s="191"/>
      <c r="M217" s="191"/>
      <c r="N217" s="254"/>
      <c r="O217" s="191"/>
      <c r="P217" s="191"/>
      <c r="Q217" s="191"/>
      <c r="R217" s="191"/>
      <c r="S217" s="254"/>
      <c r="T217" s="191"/>
      <c r="U217" s="191"/>
      <c r="V217" s="191"/>
      <c r="W217" s="191"/>
      <c r="X217" s="254"/>
      <c r="Y217" s="191"/>
      <c r="Z217" s="191"/>
      <c r="AA217" s="191"/>
      <c r="AB217" s="191"/>
      <c r="AC217" s="254"/>
      <c r="AD217" s="191"/>
      <c r="AE217" s="191"/>
      <c r="AF217" s="191"/>
      <c r="AG217" s="191"/>
      <c r="AH217" s="254"/>
      <c r="AI217" s="191"/>
      <c r="AJ217" s="191"/>
      <c r="AK217" s="191"/>
      <c r="AL217" s="191"/>
      <c r="AM217" s="254"/>
      <c r="AN217" s="191"/>
      <c r="AO217" s="191"/>
      <c r="AP217" s="191"/>
      <c r="AQ217" s="191"/>
      <c r="AR217" s="254"/>
      <c r="AS217" s="191"/>
      <c r="AT217" s="191"/>
      <c r="AU217" s="191"/>
      <c r="AV217" s="191"/>
      <c r="AW217" s="254"/>
      <c r="AX217" s="191"/>
      <c r="AY217" s="191"/>
      <c r="AZ217" s="191"/>
      <c r="BA217" s="191"/>
      <c r="BB217" s="254"/>
      <c r="BC217" s="258" t="str">
        <f ca="1">IF('Demand background (hide)'!A208=Num_Modalities,"",SUM(Demand!I217, Demand!N217, Demand!S217, Demand!X217, Demand!AC217, Demand!AH217, Demand!AM217, Demand!AR217, Demand!AW217, Demand!BB217))</f>
        <v/>
      </c>
      <c r="BD217" s="258"/>
      <c r="BE217" s="208"/>
    </row>
    <row r="218" spans="1:57" ht="15" x14ac:dyDescent="0.25">
      <c r="A218" t="str">
        <f t="shared" ca="1" si="6"/>
        <v/>
      </c>
      <c r="B218" s="263" t="str">
        <f t="shared" ca="1" si="7"/>
        <v xml:space="preserve"> </v>
      </c>
      <c r="C218" s="264"/>
      <c r="D218" s="264"/>
      <c r="E218" s="191"/>
      <c r="F218" s="191"/>
      <c r="G218" s="191"/>
      <c r="H218" s="191"/>
      <c r="I218" s="250"/>
      <c r="J218" s="191"/>
      <c r="K218" s="191"/>
      <c r="L218" s="191"/>
      <c r="M218" s="191"/>
      <c r="N218" s="254"/>
      <c r="O218" s="191"/>
      <c r="P218" s="191"/>
      <c r="Q218" s="191"/>
      <c r="R218" s="191"/>
      <c r="S218" s="254"/>
      <c r="T218" s="191"/>
      <c r="U218" s="191"/>
      <c r="V218" s="191"/>
      <c r="W218" s="191"/>
      <c r="X218" s="254"/>
      <c r="Y218" s="191"/>
      <c r="Z218" s="191"/>
      <c r="AA218" s="191"/>
      <c r="AB218" s="191"/>
      <c r="AC218" s="254"/>
      <c r="AD218" s="191"/>
      <c r="AE218" s="191"/>
      <c r="AF218" s="191"/>
      <c r="AG218" s="191"/>
      <c r="AH218" s="254"/>
      <c r="AI218" s="191"/>
      <c r="AJ218" s="191"/>
      <c r="AK218" s="191"/>
      <c r="AL218" s="191"/>
      <c r="AM218" s="254"/>
      <c r="AN218" s="191"/>
      <c r="AO218" s="191"/>
      <c r="AP218" s="191"/>
      <c r="AQ218" s="191"/>
      <c r="AR218" s="254"/>
      <c r="AS218" s="191"/>
      <c r="AT218" s="191"/>
      <c r="AU218" s="191"/>
      <c r="AV218" s="191"/>
      <c r="AW218" s="254"/>
      <c r="AX218" s="191"/>
      <c r="AY218" s="191"/>
      <c r="AZ218" s="191"/>
      <c r="BA218" s="191"/>
      <c r="BB218" s="254"/>
      <c r="BC218" s="258" t="str">
        <f ca="1">IF('Demand background (hide)'!A209=Num_Modalities,"",SUM(Demand!I218, Demand!N218, Demand!S218, Demand!X218, Demand!AC218, Demand!AH218, Demand!AM218, Demand!AR218, Demand!AW218, Demand!BB218))</f>
        <v/>
      </c>
      <c r="BD218" s="258"/>
      <c r="BE218" s="208"/>
    </row>
    <row r="219" spans="1:57" ht="15" x14ac:dyDescent="0.25">
      <c r="A219" t="str">
        <f t="shared" ca="1" si="6"/>
        <v/>
      </c>
      <c r="B219" s="263" t="str">
        <f t="shared" ca="1" si="7"/>
        <v xml:space="preserve"> </v>
      </c>
      <c r="C219" s="264"/>
      <c r="D219" s="264"/>
      <c r="E219" s="191"/>
      <c r="F219" s="191"/>
      <c r="G219" s="191"/>
      <c r="H219" s="191"/>
      <c r="I219" s="250"/>
      <c r="J219" s="191"/>
      <c r="K219" s="191"/>
      <c r="L219" s="191"/>
      <c r="M219" s="191"/>
      <c r="N219" s="254"/>
      <c r="O219" s="191"/>
      <c r="P219" s="191"/>
      <c r="Q219" s="191"/>
      <c r="R219" s="191"/>
      <c r="S219" s="254"/>
      <c r="T219" s="191"/>
      <c r="U219" s="191"/>
      <c r="V219" s="191"/>
      <c r="W219" s="191"/>
      <c r="X219" s="254"/>
      <c r="Y219" s="191"/>
      <c r="Z219" s="191"/>
      <c r="AA219" s="191"/>
      <c r="AB219" s="191"/>
      <c r="AC219" s="254"/>
      <c r="AD219" s="191"/>
      <c r="AE219" s="191"/>
      <c r="AF219" s="191"/>
      <c r="AG219" s="191"/>
      <c r="AH219" s="254"/>
      <c r="AI219" s="191"/>
      <c r="AJ219" s="191"/>
      <c r="AK219" s="191"/>
      <c r="AL219" s="191"/>
      <c r="AM219" s="254"/>
      <c r="AN219" s="191"/>
      <c r="AO219" s="191"/>
      <c r="AP219" s="191"/>
      <c r="AQ219" s="191"/>
      <c r="AR219" s="254"/>
      <c r="AS219" s="191"/>
      <c r="AT219" s="191"/>
      <c r="AU219" s="191"/>
      <c r="AV219" s="191"/>
      <c r="AW219" s="254"/>
      <c r="AX219" s="191"/>
      <c r="AY219" s="191"/>
      <c r="AZ219" s="191"/>
      <c r="BA219" s="191"/>
      <c r="BB219" s="254"/>
      <c r="BC219" s="258" t="str">
        <f ca="1">IF('Demand background (hide)'!A210=Num_Modalities,"",SUM(Demand!I219, Demand!N219, Demand!S219, Demand!X219, Demand!AC219, Demand!AH219, Demand!AM219, Demand!AR219, Demand!AW219, Demand!BB219))</f>
        <v/>
      </c>
      <c r="BD219" s="258"/>
      <c r="BE219" s="208"/>
    </row>
    <row r="220" spans="1:57" ht="15" x14ac:dyDescent="0.25">
      <c r="A220" t="str">
        <f t="shared" ca="1" si="6"/>
        <v/>
      </c>
      <c r="B220" s="263" t="str">
        <f t="shared" ca="1" si="7"/>
        <v xml:space="preserve"> </v>
      </c>
      <c r="C220" s="264"/>
      <c r="D220" s="264"/>
      <c r="E220" s="191"/>
      <c r="F220" s="191"/>
      <c r="G220" s="191"/>
      <c r="H220" s="191"/>
      <c r="I220" s="250"/>
      <c r="J220" s="191"/>
      <c r="K220" s="191"/>
      <c r="L220" s="191"/>
      <c r="M220" s="191"/>
      <c r="N220" s="254"/>
      <c r="O220" s="191"/>
      <c r="P220" s="191"/>
      <c r="Q220" s="191"/>
      <c r="R220" s="191"/>
      <c r="S220" s="254"/>
      <c r="T220" s="191"/>
      <c r="U220" s="191"/>
      <c r="V220" s="191"/>
      <c r="W220" s="191"/>
      <c r="X220" s="254"/>
      <c r="Y220" s="191"/>
      <c r="Z220" s="191"/>
      <c r="AA220" s="191"/>
      <c r="AB220" s="191"/>
      <c r="AC220" s="254"/>
      <c r="AD220" s="191"/>
      <c r="AE220" s="191"/>
      <c r="AF220" s="191"/>
      <c r="AG220" s="191"/>
      <c r="AH220" s="254"/>
      <c r="AI220" s="191"/>
      <c r="AJ220" s="191"/>
      <c r="AK220" s="191"/>
      <c r="AL220" s="191"/>
      <c r="AM220" s="254"/>
      <c r="AN220" s="191"/>
      <c r="AO220" s="191"/>
      <c r="AP220" s="191"/>
      <c r="AQ220" s="191"/>
      <c r="AR220" s="254"/>
      <c r="AS220" s="191"/>
      <c r="AT220" s="191"/>
      <c r="AU220" s="191"/>
      <c r="AV220" s="191"/>
      <c r="AW220" s="254"/>
      <c r="AX220" s="191"/>
      <c r="AY220" s="191"/>
      <c r="AZ220" s="191"/>
      <c r="BA220" s="191"/>
      <c r="BB220" s="254"/>
      <c r="BC220" s="258" t="str">
        <f ca="1">IF('Demand background (hide)'!A211=Num_Modalities,"",SUM(Demand!I220, Demand!N220, Demand!S220, Demand!X220, Demand!AC220, Demand!AH220, Demand!AM220, Demand!AR220, Demand!AW220, Demand!BB220))</f>
        <v/>
      </c>
      <c r="BD220" s="258"/>
      <c r="BE220" s="208"/>
    </row>
    <row r="221" spans="1:57" ht="15" x14ac:dyDescent="0.25">
      <c r="A221" t="str">
        <f t="shared" ca="1" si="6"/>
        <v/>
      </c>
      <c r="B221" s="263" t="str">
        <f t="shared" ca="1" si="7"/>
        <v xml:space="preserve"> </v>
      </c>
      <c r="C221" s="264"/>
      <c r="D221" s="264"/>
      <c r="E221" s="191"/>
      <c r="F221" s="191"/>
      <c r="G221" s="191"/>
      <c r="H221" s="191"/>
      <c r="I221" s="250"/>
      <c r="J221" s="191"/>
      <c r="K221" s="191"/>
      <c r="L221" s="191"/>
      <c r="M221" s="191"/>
      <c r="N221" s="254"/>
      <c r="O221" s="191"/>
      <c r="P221" s="191"/>
      <c r="Q221" s="191"/>
      <c r="R221" s="191"/>
      <c r="S221" s="254"/>
      <c r="T221" s="191"/>
      <c r="U221" s="191"/>
      <c r="V221" s="191"/>
      <c r="W221" s="191"/>
      <c r="X221" s="254"/>
      <c r="Y221" s="191"/>
      <c r="Z221" s="191"/>
      <c r="AA221" s="191"/>
      <c r="AB221" s="191"/>
      <c r="AC221" s="254"/>
      <c r="AD221" s="191"/>
      <c r="AE221" s="191"/>
      <c r="AF221" s="191"/>
      <c r="AG221" s="191"/>
      <c r="AH221" s="254"/>
      <c r="AI221" s="191"/>
      <c r="AJ221" s="191"/>
      <c r="AK221" s="191"/>
      <c r="AL221" s="191"/>
      <c r="AM221" s="254"/>
      <c r="AN221" s="191"/>
      <c r="AO221" s="191"/>
      <c r="AP221" s="191"/>
      <c r="AQ221" s="191"/>
      <c r="AR221" s="254"/>
      <c r="AS221" s="191"/>
      <c r="AT221" s="191"/>
      <c r="AU221" s="191"/>
      <c r="AV221" s="191"/>
      <c r="AW221" s="254"/>
      <c r="AX221" s="191"/>
      <c r="AY221" s="191"/>
      <c r="AZ221" s="191"/>
      <c r="BA221" s="191"/>
      <c r="BB221" s="254"/>
      <c r="BC221" s="258" t="str">
        <f ca="1">IF('Demand background (hide)'!A212=Num_Modalities,"",SUM(Demand!I221, Demand!N221, Demand!S221, Demand!X221, Demand!AC221, Demand!AH221, Demand!AM221, Demand!AR221, Demand!AW221, Demand!BB221))</f>
        <v/>
      </c>
      <c r="BD221" s="258"/>
      <c r="BE221" s="208"/>
    </row>
    <row r="222" spans="1:57" ht="15" x14ac:dyDescent="0.25">
      <c r="A222" t="str">
        <f t="shared" ca="1" si="6"/>
        <v/>
      </c>
      <c r="B222" s="263" t="str">
        <f t="shared" ca="1" si="7"/>
        <v xml:space="preserve"> </v>
      </c>
      <c r="C222" s="264"/>
      <c r="D222" s="264"/>
      <c r="E222" s="191"/>
      <c r="F222" s="191"/>
      <c r="G222" s="191"/>
      <c r="H222" s="191"/>
      <c r="I222" s="250"/>
      <c r="J222" s="191"/>
      <c r="K222" s="191"/>
      <c r="L222" s="191"/>
      <c r="M222" s="191"/>
      <c r="N222" s="254"/>
      <c r="O222" s="191"/>
      <c r="P222" s="191"/>
      <c r="Q222" s="191"/>
      <c r="R222" s="191"/>
      <c r="S222" s="254"/>
      <c r="T222" s="191"/>
      <c r="U222" s="191"/>
      <c r="V222" s="191"/>
      <c r="W222" s="191"/>
      <c r="X222" s="254"/>
      <c r="Y222" s="191"/>
      <c r="Z222" s="191"/>
      <c r="AA222" s="191"/>
      <c r="AB222" s="191"/>
      <c r="AC222" s="254"/>
      <c r="AD222" s="191"/>
      <c r="AE222" s="191"/>
      <c r="AF222" s="191"/>
      <c r="AG222" s="191"/>
      <c r="AH222" s="254"/>
      <c r="AI222" s="191"/>
      <c r="AJ222" s="191"/>
      <c r="AK222" s="191"/>
      <c r="AL222" s="191"/>
      <c r="AM222" s="254"/>
      <c r="AN222" s="191"/>
      <c r="AO222" s="191"/>
      <c r="AP222" s="191"/>
      <c r="AQ222" s="191"/>
      <c r="AR222" s="254"/>
      <c r="AS222" s="191"/>
      <c r="AT222" s="191"/>
      <c r="AU222" s="191"/>
      <c r="AV222" s="191"/>
      <c r="AW222" s="254"/>
      <c r="AX222" s="191"/>
      <c r="AY222" s="191"/>
      <c r="AZ222" s="191"/>
      <c r="BA222" s="191"/>
      <c r="BB222" s="254"/>
      <c r="BC222" s="258" t="str">
        <f ca="1">IF('Demand background (hide)'!A213=Num_Modalities,"",SUM(Demand!I222, Demand!N222, Demand!S222, Demand!X222, Demand!AC222, Demand!AH222, Demand!AM222, Demand!AR222, Demand!AW222, Demand!BB222))</f>
        <v/>
      </c>
      <c r="BD222" s="258"/>
      <c r="BE222" s="208"/>
    </row>
    <row r="223" spans="1:57" ht="15" x14ac:dyDescent="0.25">
      <c r="A223" t="str">
        <f t="shared" ca="1" si="6"/>
        <v/>
      </c>
      <c r="B223" s="263" t="str">
        <f t="shared" ca="1" si="7"/>
        <v xml:space="preserve"> </v>
      </c>
      <c r="C223" s="264"/>
      <c r="D223" s="264"/>
      <c r="E223" s="191"/>
      <c r="F223" s="191"/>
      <c r="G223" s="191"/>
      <c r="H223" s="191"/>
      <c r="I223" s="250"/>
      <c r="J223" s="191"/>
      <c r="K223" s="191"/>
      <c r="L223" s="191"/>
      <c r="M223" s="191"/>
      <c r="N223" s="254"/>
      <c r="O223" s="191"/>
      <c r="P223" s="191"/>
      <c r="Q223" s="191"/>
      <c r="R223" s="191"/>
      <c r="S223" s="254"/>
      <c r="T223" s="191"/>
      <c r="U223" s="191"/>
      <c r="V223" s="191"/>
      <c r="W223" s="191"/>
      <c r="X223" s="254"/>
      <c r="Y223" s="191"/>
      <c r="Z223" s="191"/>
      <c r="AA223" s="191"/>
      <c r="AB223" s="191"/>
      <c r="AC223" s="254"/>
      <c r="AD223" s="191"/>
      <c r="AE223" s="191"/>
      <c r="AF223" s="191"/>
      <c r="AG223" s="191"/>
      <c r="AH223" s="254"/>
      <c r="AI223" s="191"/>
      <c r="AJ223" s="191"/>
      <c r="AK223" s="191"/>
      <c r="AL223" s="191"/>
      <c r="AM223" s="254"/>
      <c r="AN223" s="191"/>
      <c r="AO223" s="191"/>
      <c r="AP223" s="191"/>
      <c r="AQ223" s="191"/>
      <c r="AR223" s="254"/>
      <c r="AS223" s="191"/>
      <c r="AT223" s="191"/>
      <c r="AU223" s="191"/>
      <c r="AV223" s="191"/>
      <c r="AW223" s="254"/>
      <c r="AX223" s="191"/>
      <c r="AY223" s="191"/>
      <c r="AZ223" s="191"/>
      <c r="BA223" s="191"/>
      <c r="BB223" s="254"/>
      <c r="BC223" s="258" t="str">
        <f ca="1">IF('Demand background (hide)'!A214=Num_Modalities,"",SUM(Demand!I223, Demand!N223, Demand!S223, Demand!X223, Demand!AC223, Demand!AH223, Demand!AM223, Demand!AR223, Demand!AW223, Demand!BB223))</f>
        <v/>
      </c>
      <c r="BD223" s="258"/>
      <c r="BE223" s="208"/>
    </row>
    <row r="224" spans="1:57" ht="15" x14ac:dyDescent="0.25">
      <c r="A224" t="str">
        <f t="shared" ca="1" si="6"/>
        <v/>
      </c>
      <c r="B224" s="263" t="str">
        <f t="shared" ca="1" si="7"/>
        <v xml:space="preserve"> </v>
      </c>
      <c r="C224" s="264"/>
      <c r="D224" s="264"/>
      <c r="E224" s="191"/>
      <c r="F224" s="191"/>
      <c r="G224" s="191"/>
      <c r="H224" s="191"/>
      <c r="I224" s="250"/>
      <c r="J224" s="191"/>
      <c r="K224" s="191"/>
      <c r="L224" s="191"/>
      <c r="M224" s="191"/>
      <c r="N224" s="254"/>
      <c r="O224" s="191"/>
      <c r="P224" s="191"/>
      <c r="Q224" s="191"/>
      <c r="R224" s="191"/>
      <c r="S224" s="254"/>
      <c r="T224" s="191"/>
      <c r="U224" s="191"/>
      <c r="V224" s="191"/>
      <c r="W224" s="191"/>
      <c r="X224" s="254"/>
      <c r="Y224" s="191"/>
      <c r="Z224" s="191"/>
      <c r="AA224" s="191"/>
      <c r="AB224" s="191"/>
      <c r="AC224" s="254"/>
      <c r="AD224" s="191"/>
      <c r="AE224" s="191"/>
      <c r="AF224" s="191"/>
      <c r="AG224" s="191"/>
      <c r="AH224" s="254"/>
      <c r="AI224" s="191"/>
      <c r="AJ224" s="191"/>
      <c r="AK224" s="191"/>
      <c r="AL224" s="191"/>
      <c r="AM224" s="254"/>
      <c r="AN224" s="191"/>
      <c r="AO224" s="191"/>
      <c r="AP224" s="191"/>
      <c r="AQ224" s="191"/>
      <c r="AR224" s="254"/>
      <c r="AS224" s="191"/>
      <c r="AT224" s="191"/>
      <c r="AU224" s="191"/>
      <c r="AV224" s="191"/>
      <c r="AW224" s="254"/>
      <c r="AX224" s="191"/>
      <c r="AY224" s="191"/>
      <c r="AZ224" s="191"/>
      <c r="BA224" s="191"/>
      <c r="BB224" s="254"/>
      <c r="BC224" s="258" t="str">
        <f ca="1">IF('Demand background (hide)'!A215=Num_Modalities,"",SUM(Demand!I224, Demand!N224, Demand!S224, Demand!X224, Demand!AC224, Demand!AH224, Demand!AM224, Demand!AR224, Demand!AW224, Demand!BB224))</f>
        <v/>
      </c>
      <c r="BD224" s="258"/>
      <c r="BE224" s="208"/>
    </row>
    <row r="225" spans="1:57" ht="15" x14ac:dyDescent="0.25">
      <c r="A225" t="str">
        <f t="shared" ca="1" si="6"/>
        <v/>
      </c>
      <c r="B225" s="263" t="str">
        <f t="shared" ca="1" si="7"/>
        <v xml:space="preserve"> </v>
      </c>
      <c r="C225" s="264"/>
      <c r="D225" s="264"/>
      <c r="E225" s="191"/>
      <c r="F225" s="191"/>
      <c r="G225" s="191"/>
      <c r="H225" s="191"/>
      <c r="I225" s="250"/>
      <c r="J225" s="191"/>
      <c r="K225" s="191"/>
      <c r="L225" s="191"/>
      <c r="M225" s="191"/>
      <c r="N225" s="254"/>
      <c r="O225" s="191"/>
      <c r="P225" s="191"/>
      <c r="Q225" s="191"/>
      <c r="R225" s="191"/>
      <c r="S225" s="254"/>
      <c r="T225" s="191"/>
      <c r="U225" s="191"/>
      <c r="V225" s="191"/>
      <c r="W225" s="191"/>
      <c r="X225" s="254"/>
      <c r="Y225" s="191"/>
      <c r="Z225" s="191"/>
      <c r="AA225" s="191"/>
      <c r="AB225" s="191"/>
      <c r="AC225" s="254"/>
      <c r="AD225" s="191"/>
      <c r="AE225" s="191"/>
      <c r="AF225" s="191"/>
      <c r="AG225" s="191"/>
      <c r="AH225" s="254"/>
      <c r="AI225" s="191"/>
      <c r="AJ225" s="191"/>
      <c r="AK225" s="191"/>
      <c r="AL225" s="191"/>
      <c r="AM225" s="254"/>
      <c r="AN225" s="191"/>
      <c r="AO225" s="191"/>
      <c r="AP225" s="191"/>
      <c r="AQ225" s="191"/>
      <c r="AR225" s="254"/>
      <c r="AS225" s="191"/>
      <c r="AT225" s="191"/>
      <c r="AU225" s="191"/>
      <c r="AV225" s="191"/>
      <c r="AW225" s="254"/>
      <c r="AX225" s="191"/>
      <c r="AY225" s="191"/>
      <c r="AZ225" s="191"/>
      <c r="BA225" s="191"/>
      <c r="BB225" s="254"/>
      <c r="BC225" s="258" t="str">
        <f ca="1">IF('Demand background (hide)'!A216=Num_Modalities,"",SUM(Demand!I225, Demand!N225, Demand!S225, Demand!X225, Demand!AC225, Demand!AH225, Demand!AM225, Demand!AR225, Demand!AW225, Demand!BB225))</f>
        <v/>
      </c>
      <c r="BD225" s="258"/>
      <c r="BE225" s="208"/>
    </row>
    <row r="226" spans="1:57" ht="15" x14ac:dyDescent="0.25">
      <c r="A226" t="str">
        <f t="shared" ca="1" si="6"/>
        <v/>
      </c>
      <c r="B226" s="263" t="str">
        <f t="shared" ca="1" si="7"/>
        <v xml:space="preserve"> </v>
      </c>
      <c r="C226" s="264"/>
      <c r="D226" s="264"/>
      <c r="E226" s="191"/>
      <c r="F226" s="191"/>
      <c r="G226" s="191"/>
      <c r="H226" s="191"/>
      <c r="I226" s="250"/>
      <c r="J226" s="191"/>
      <c r="K226" s="191"/>
      <c r="L226" s="191"/>
      <c r="M226" s="191"/>
      <c r="N226" s="254"/>
      <c r="O226" s="191"/>
      <c r="P226" s="191"/>
      <c r="Q226" s="191"/>
      <c r="R226" s="191"/>
      <c r="S226" s="254"/>
      <c r="T226" s="191"/>
      <c r="U226" s="191"/>
      <c r="V226" s="191"/>
      <c r="W226" s="191"/>
      <c r="X226" s="254"/>
      <c r="Y226" s="191"/>
      <c r="Z226" s="191"/>
      <c r="AA226" s="191"/>
      <c r="AB226" s="191"/>
      <c r="AC226" s="254"/>
      <c r="AD226" s="191"/>
      <c r="AE226" s="191"/>
      <c r="AF226" s="191"/>
      <c r="AG226" s="191"/>
      <c r="AH226" s="254"/>
      <c r="AI226" s="191"/>
      <c r="AJ226" s="191"/>
      <c r="AK226" s="191"/>
      <c r="AL226" s="191"/>
      <c r="AM226" s="254"/>
      <c r="AN226" s="191"/>
      <c r="AO226" s="191"/>
      <c r="AP226" s="191"/>
      <c r="AQ226" s="191"/>
      <c r="AR226" s="254"/>
      <c r="AS226" s="191"/>
      <c r="AT226" s="191"/>
      <c r="AU226" s="191"/>
      <c r="AV226" s="191"/>
      <c r="AW226" s="254"/>
      <c r="AX226" s="191"/>
      <c r="AY226" s="191"/>
      <c r="AZ226" s="191"/>
      <c r="BA226" s="191"/>
      <c r="BB226" s="254"/>
      <c r="BC226" s="258" t="str">
        <f ca="1">IF('Demand background (hide)'!A217=Num_Modalities,"",SUM(Demand!I226, Demand!N226, Demand!S226, Demand!X226, Demand!AC226, Demand!AH226, Demand!AM226, Demand!AR226, Demand!AW226, Demand!BB226))</f>
        <v/>
      </c>
      <c r="BD226" s="258"/>
      <c r="BE226" s="208"/>
    </row>
    <row r="227" spans="1:57" ht="15" x14ac:dyDescent="0.25">
      <c r="A227" t="str">
        <f t="shared" ca="1" si="6"/>
        <v/>
      </c>
      <c r="B227" s="263" t="str">
        <f t="shared" ca="1" si="7"/>
        <v xml:space="preserve"> </v>
      </c>
      <c r="C227" s="264"/>
      <c r="D227" s="264"/>
      <c r="E227" s="191"/>
      <c r="F227" s="191"/>
      <c r="G227" s="191"/>
      <c r="H227" s="191"/>
      <c r="I227" s="250"/>
      <c r="J227" s="191"/>
      <c r="K227" s="191"/>
      <c r="L227" s="191"/>
      <c r="M227" s="191"/>
      <c r="N227" s="254"/>
      <c r="O227" s="191"/>
      <c r="P227" s="191"/>
      <c r="Q227" s="191"/>
      <c r="R227" s="191"/>
      <c r="S227" s="254"/>
      <c r="T227" s="191"/>
      <c r="U227" s="191"/>
      <c r="V227" s="191"/>
      <c r="W227" s="191"/>
      <c r="X227" s="254"/>
      <c r="Y227" s="191"/>
      <c r="Z227" s="191"/>
      <c r="AA227" s="191"/>
      <c r="AB227" s="191"/>
      <c r="AC227" s="254"/>
      <c r="AD227" s="191"/>
      <c r="AE227" s="191"/>
      <c r="AF227" s="191"/>
      <c r="AG227" s="191"/>
      <c r="AH227" s="254"/>
      <c r="AI227" s="191"/>
      <c r="AJ227" s="191"/>
      <c r="AK227" s="191"/>
      <c r="AL227" s="191"/>
      <c r="AM227" s="254"/>
      <c r="AN227" s="191"/>
      <c r="AO227" s="191"/>
      <c r="AP227" s="191"/>
      <c r="AQ227" s="191"/>
      <c r="AR227" s="254"/>
      <c r="AS227" s="191"/>
      <c r="AT227" s="191"/>
      <c r="AU227" s="191"/>
      <c r="AV227" s="191"/>
      <c r="AW227" s="254"/>
      <c r="AX227" s="191"/>
      <c r="AY227" s="191"/>
      <c r="AZ227" s="191"/>
      <c r="BA227" s="191"/>
      <c r="BB227" s="254"/>
      <c r="BC227" s="258" t="str">
        <f ca="1">IF('Demand background (hide)'!A218=Num_Modalities,"",SUM(Demand!I227, Demand!N227, Demand!S227, Demand!X227, Demand!AC227, Demand!AH227, Demand!AM227, Demand!AR227, Demand!AW227, Demand!BB227))</f>
        <v/>
      </c>
      <c r="BD227" s="258"/>
      <c r="BE227" s="208"/>
    </row>
    <row r="228" spans="1:57" ht="15" x14ac:dyDescent="0.25">
      <c r="A228" t="str">
        <f t="shared" ca="1" si="6"/>
        <v/>
      </c>
      <c r="B228" s="263" t="str">
        <f t="shared" ca="1" si="7"/>
        <v xml:space="preserve"> </v>
      </c>
      <c r="C228" s="264"/>
      <c r="D228" s="264"/>
      <c r="E228" s="191"/>
      <c r="F228" s="191"/>
      <c r="G228" s="191"/>
      <c r="H228" s="191"/>
      <c r="I228" s="250"/>
      <c r="J228" s="191"/>
      <c r="K228" s="191"/>
      <c r="L228" s="191"/>
      <c r="M228" s="191"/>
      <c r="N228" s="254"/>
      <c r="O228" s="191"/>
      <c r="P228" s="191"/>
      <c r="Q228" s="191"/>
      <c r="R228" s="191"/>
      <c r="S228" s="254"/>
      <c r="T228" s="191"/>
      <c r="U228" s="191"/>
      <c r="V228" s="191"/>
      <c r="W228" s="191"/>
      <c r="X228" s="254"/>
      <c r="Y228" s="191"/>
      <c r="Z228" s="191"/>
      <c r="AA228" s="191"/>
      <c r="AB228" s="191"/>
      <c r="AC228" s="254"/>
      <c r="AD228" s="191"/>
      <c r="AE228" s="191"/>
      <c r="AF228" s="191"/>
      <c r="AG228" s="191"/>
      <c r="AH228" s="254"/>
      <c r="AI228" s="191"/>
      <c r="AJ228" s="191"/>
      <c r="AK228" s="191"/>
      <c r="AL228" s="191"/>
      <c r="AM228" s="254"/>
      <c r="AN228" s="191"/>
      <c r="AO228" s="191"/>
      <c r="AP228" s="191"/>
      <c r="AQ228" s="191"/>
      <c r="AR228" s="254"/>
      <c r="AS228" s="191"/>
      <c r="AT228" s="191"/>
      <c r="AU228" s="191"/>
      <c r="AV228" s="191"/>
      <c r="AW228" s="254"/>
      <c r="AX228" s="191"/>
      <c r="AY228" s="191"/>
      <c r="AZ228" s="191"/>
      <c r="BA228" s="191"/>
      <c r="BB228" s="254"/>
      <c r="BC228" s="258" t="str">
        <f ca="1">IF('Demand background (hide)'!A219=Num_Modalities,"",SUM(Demand!I228, Demand!N228, Demand!S228, Demand!X228, Demand!AC228, Demand!AH228, Demand!AM228, Demand!AR228, Demand!AW228, Demand!BB228))</f>
        <v/>
      </c>
      <c r="BD228" s="258"/>
      <c r="BE228" s="208"/>
    </row>
    <row r="229" spans="1:57" ht="15" x14ac:dyDescent="0.25">
      <c r="A229" t="str">
        <f t="shared" ca="1" si="6"/>
        <v/>
      </c>
      <c r="B229" s="263" t="str">
        <f t="shared" ca="1" si="7"/>
        <v xml:space="preserve"> </v>
      </c>
      <c r="C229" s="264"/>
      <c r="D229" s="264"/>
      <c r="E229" s="191"/>
      <c r="F229" s="191"/>
      <c r="G229" s="191"/>
      <c r="H229" s="191"/>
      <c r="I229" s="250"/>
      <c r="J229" s="191"/>
      <c r="K229" s="191"/>
      <c r="L229" s="191"/>
      <c r="M229" s="191"/>
      <c r="N229" s="254"/>
      <c r="O229" s="191"/>
      <c r="P229" s="191"/>
      <c r="Q229" s="191"/>
      <c r="R229" s="191"/>
      <c r="S229" s="254"/>
      <c r="T229" s="191"/>
      <c r="U229" s="191"/>
      <c r="V229" s="191"/>
      <c r="W229" s="191"/>
      <c r="X229" s="254"/>
      <c r="Y229" s="191"/>
      <c r="Z229" s="191"/>
      <c r="AA229" s="191"/>
      <c r="AB229" s="191"/>
      <c r="AC229" s="254"/>
      <c r="AD229" s="191"/>
      <c r="AE229" s="191"/>
      <c r="AF229" s="191"/>
      <c r="AG229" s="191"/>
      <c r="AH229" s="254"/>
      <c r="AI229" s="191"/>
      <c r="AJ229" s="191"/>
      <c r="AK229" s="191"/>
      <c r="AL229" s="191"/>
      <c r="AM229" s="254"/>
      <c r="AN229" s="191"/>
      <c r="AO229" s="191"/>
      <c r="AP229" s="191"/>
      <c r="AQ229" s="191"/>
      <c r="AR229" s="254"/>
      <c r="AS229" s="191"/>
      <c r="AT229" s="191"/>
      <c r="AU229" s="191"/>
      <c r="AV229" s="191"/>
      <c r="AW229" s="254"/>
      <c r="AX229" s="191"/>
      <c r="AY229" s="191"/>
      <c r="AZ229" s="191"/>
      <c r="BA229" s="191"/>
      <c r="BB229" s="254"/>
      <c r="BC229" s="258" t="str">
        <f ca="1">IF('Demand background (hide)'!A220=Num_Modalities,"",SUM(Demand!I229, Demand!N229, Demand!S229, Demand!X229, Demand!AC229, Demand!AH229, Demand!AM229, Demand!AR229, Demand!AW229, Demand!BB229))</f>
        <v/>
      </c>
      <c r="BD229" s="258"/>
      <c r="BE229" s="208"/>
    </row>
    <row r="230" spans="1:57" ht="15" x14ac:dyDescent="0.25">
      <c r="A230" t="str">
        <f t="shared" ca="1" si="6"/>
        <v/>
      </c>
      <c r="B230" s="263" t="str">
        <f t="shared" ca="1" si="7"/>
        <v xml:space="preserve"> </v>
      </c>
      <c r="C230" s="264"/>
      <c r="D230" s="264"/>
      <c r="E230" s="191"/>
      <c r="F230" s="191"/>
      <c r="G230" s="191"/>
      <c r="H230" s="191"/>
      <c r="I230" s="250"/>
      <c r="J230" s="191"/>
      <c r="K230" s="191"/>
      <c r="L230" s="191"/>
      <c r="M230" s="191"/>
      <c r="N230" s="254"/>
      <c r="O230" s="191"/>
      <c r="P230" s="191"/>
      <c r="Q230" s="191"/>
      <c r="R230" s="191"/>
      <c r="S230" s="254"/>
      <c r="T230" s="191"/>
      <c r="U230" s="191"/>
      <c r="V230" s="191"/>
      <c r="W230" s="191"/>
      <c r="X230" s="254"/>
      <c r="Y230" s="191"/>
      <c r="Z230" s="191"/>
      <c r="AA230" s="191"/>
      <c r="AB230" s="191"/>
      <c r="AC230" s="254"/>
      <c r="AD230" s="191"/>
      <c r="AE230" s="191"/>
      <c r="AF230" s="191"/>
      <c r="AG230" s="191"/>
      <c r="AH230" s="254"/>
      <c r="AI230" s="191"/>
      <c r="AJ230" s="191"/>
      <c r="AK230" s="191"/>
      <c r="AL230" s="191"/>
      <c r="AM230" s="254"/>
      <c r="AN230" s="191"/>
      <c r="AO230" s="191"/>
      <c r="AP230" s="191"/>
      <c r="AQ230" s="191"/>
      <c r="AR230" s="254"/>
      <c r="AS230" s="191"/>
      <c r="AT230" s="191"/>
      <c r="AU230" s="191"/>
      <c r="AV230" s="191"/>
      <c r="AW230" s="254"/>
      <c r="AX230" s="191"/>
      <c r="AY230" s="191"/>
      <c r="AZ230" s="191"/>
      <c r="BA230" s="191"/>
      <c r="BB230" s="254"/>
      <c r="BC230" s="258" t="str">
        <f ca="1">IF('Demand background (hide)'!A221=Num_Modalities,"",SUM(Demand!I230, Demand!N230, Demand!S230, Demand!X230, Demand!AC230, Demand!AH230, Demand!AM230, Demand!AR230, Demand!AW230, Demand!BB230))</f>
        <v/>
      </c>
      <c r="BD230" s="258"/>
      <c r="BE230" s="208"/>
    </row>
    <row r="231" spans="1:57" ht="15" x14ac:dyDescent="0.25">
      <c r="A231" t="str">
        <f t="shared" ca="1" si="6"/>
        <v/>
      </c>
      <c r="B231" s="263" t="str">
        <f t="shared" ca="1" si="7"/>
        <v xml:space="preserve"> </v>
      </c>
      <c r="C231" s="264"/>
      <c r="D231" s="264"/>
      <c r="E231" s="191"/>
      <c r="F231" s="191"/>
      <c r="G231" s="191"/>
      <c r="H231" s="191"/>
      <c r="I231" s="250"/>
      <c r="J231" s="191"/>
      <c r="K231" s="191"/>
      <c r="L231" s="191"/>
      <c r="M231" s="191"/>
      <c r="N231" s="254"/>
      <c r="O231" s="191"/>
      <c r="P231" s="191"/>
      <c r="Q231" s="191"/>
      <c r="R231" s="191"/>
      <c r="S231" s="254"/>
      <c r="T231" s="191"/>
      <c r="U231" s="191"/>
      <c r="V231" s="191"/>
      <c r="W231" s="191"/>
      <c r="X231" s="254"/>
      <c r="Y231" s="191"/>
      <c r="Z231" s="191"/>
      <c r="AA231" s="191"/>
      <c r="AB231" s="191"/>
      <c r="AC231" s="254"/>
      <c r="AD231" s="191"/>
      <c r="AE231" s="191"/>
      <c r="AF231" s="191"/>
      <c r="AG231" s="191"/>
      <c r="AH231" s="254"/>
      <c r="AI231" s="191"/>
      <c r="AJ231" s="191"/>
      <c r="AK231" s="191"/>
      <c r="AL231" s="191"/>
      <c r="AM231" s="254"/>
      <c r="AN231" s="191"/>
      <c r="AO231" s="191"/>
      <c r="AP231" s="191"/>
      <c r="AQ231" s="191"/>
      <c r="AR231" s="254"/>
      <c r="AS231" s="191"/>
      <c r="AT231" s="191"/>
      <c r="AU231" s="191"/>
      <c r="AV231" s="191"/>
      <c r="AW231" s="254"/>
      <c r="AX231" s="191"/>
      <c r="AY231" s="191"/>
      <c r="AZ231" s="191"/>
      <c r="BA231" s="191"/>
      <c r="BB231" s="254"/>
      <c r="BC231" s="258" t="str">
        <f ca="1">IF('Demand background (hide)'!A222=Num_Modalities,"",SUM(Demand!I231, Demand!N231, Demand!S231, Demand!X231, Demand!AC231, Demand!AH231, Demand!AM231, Demand!AR231, Demand!AW231, Demand!BB231))</f>
        <v/>
      </c>
      <c r="BD231" s="258"/>
      <c r="BE231" s="208"/>
    </row>
    <row r="232" spans="1:57" ht="15" x14ac:dyDescent="0.25">
      <c r="A232" t="str">
        <f t="shared" ca="1" si="6"/>
        <v/>
      </c>
      <c r="B232" s="263" t="str">
        <f t="shared" ca="1" si="7"/>
        <v xml:space="preserve"> </v>
      </c>
      <c r="C232" s="264"/>
      <c r="D232" s="264"/>
      <c r="E232" s="191"/>
      <c r="F232" s="191"/>
      <c r="G232" s="191"/>
      <c r="H232" s="191"/>
      <c r="I232" s="250"/>
      <c r="J232" s="191"/>
      <c r="K232" s="191"/>
      <c r="L232" s="191"/>
      <c r="M232" s="191"/>
      <c r="N232" s="254"/>
      <c r="O232" s="191"/>
      <c r="P232" s="191"/>
      <c r="Q232" s="191"/>
      <c r="R232" s="191"/>
      <c r="S232" s="254"/>
      <c r="T232" s="191"/>
      <c r="U232" s="191"/>
      <c r="V232" s="191"/>
      <c r="W232" s="191"/>
      <c r="X232" s="254"/>
      <c r="Y232" s="191"/>
      <c r="Z232" s="191"/>
      <c r="AA232" s="191"/>
      <c r="AB232" s="191"/>
      <c r="AC232" s="254"/>
      <c r="AD232" s="191"/>
      <c r="AE232" s="191"/>
      <c r="AF232" s="191"/>
      <c r="AG232" s="191"/>
      <c r="AH232" s="254"/>
      <c r="AI232" s="191"/>
      <c r="AJ232" s="191"/>
      <c r="AK232" s="191"/>
      <c r="AL232" s="191"/>
      <c r="AM232" s="254"/>
      <c r="AN232" s="191"/>
      <c r="AO232" s="191"/>
      <c r="AP232" s="191"/>
      <c r="AQ232" s="191"/>
      <c r="AR232" s="254"/>
      <c r="AS232" s="191"/>
      <c r="AT232" s="191"/>
      <c r="AU232" s="191"/>
      <c r="AV232" s="191"/>
      <c r="AW232" s="254"/>
      <c r="AX232" s="191"/>
      <c r="AY232" s="191"/>
      <c r="AZ232" s="191"/>
      <c r="BA232" s="191"/>
      <c r="BB232" s="254"/>
      <c r="BC232" s="258" t="str">
        <f ca="1">IF('Demand background (hide)'!A223=Num_Modalities,"",SUM(Demand!I232, Demand!N232, Demand!S232, Demand!X232, Demand!AC232, Demand!AH232, Demand!AM232, Demand!AR232, Demand!AW232, Demand!BB232))</f>
        <v/>
      </c>
      <c r="BD232" s="258"/>
      <c r="BE232" s="208"/>
    </row>
    <row r="233" spans="1:57" ht="15" x14ac:dyDescent="0.25">
      <c r="A233" t="str">
        <f t="shared" ca="1" si="6"/>
        <v/>
      </c>
      <c r="B233" s="263" t="str">
        <f t="shared" ca="1" si="7"/>
        <v xml:space="preserve"> </v>
      </c>
      <c r="C233" s="264"/>
      <c r="D233" s="264"/>
      <c r="E233" s="191"/>
      <c r="F233" s="191"/>
      <c r="G233" s="191"/>
      <c r="H233" s="191"/>
      <c r="I233" s="250"/>
      <c r="J233" s="191"/>
      <c r="K233" s="191"/>
      <c r="L233" s="191"/>
      <c r="M233" s="191"/>
      <c r="N233" s="254"/>
      <c r="O233" s="191"/>
      <c r="P233" s="191"/>
      <c r="Q233" s="191"/>
      <c r="R233" s="191"/>
      <c r="S233" s="254"/>
      <c r="T233" s="191"/>
      <c r="U233" s="191"/>
      <c r="V233" s="191"/>
      <c r="W233" s="191"/>
      <c r="X233" s="254"/>
      <c r="Y233" s="191"/>
      <c r="Z233" s="191"/>
      <c r="AA233" s="191"/>
      <c r="AB233" s="191"/>
      <c r="AC233" s="254"/>
      <c r="AD233" s="191"/>
      <c r="AE233" s="191"/>
      <c r="AF233" s="191"/>
      <c r="AG233" s="191"/>
      <c r="AH233" s="254"/>
      <c r="AI233" s="191"/>
      <c r="AJ233" s="191"/>
      <c r="AK233" s="191"/>
      <c r="AL233" s="191"/>
      <c r="AM233" s="254"/>
      <c r="AN233" s="191"/>
      <c r="AO233" s="191"/>
      <c r="AP233" s="191"/>
      <c r="AQ233" s="191"/>
      <c r="AR233" s="254"/>
      <c r="AS233" s="191"/>
      <c r="AT233" s="191"/>
      <c r="AU233" s="191"/>
      <c r="AV233" s="191"/>
      <c r="AW233" s="254"/>
      <c r="AX233" s="191"/>
      <c r="AY233" s="191"/>
      <c r="AZ233" s="191"/>
      <c r="BA233" s="191"/>
      <c r="BB233" s="254"/>
      <c r="BC233" s="258" t="str">
        <f ca="1">IF('Demand background (hide)'!A224=Num_Modalities,"",SUM(Demand!I233, Demand!N233, Demand!S233, Demand!X233, Demand!AC233, Demand!AH233, Demand!AM233, Demand!AR233, Demand!AW233, Demand!BB233))</f>
        <v/>
      </c>
      <c r="BD233" s="258"/>
      <c r="BE233" s="208"/>
    </row>
    <row r="234" spans="1:57" ht="15" x14ac:dyDescent="0.25">
      <c r="A234" t="str">
        <f t="shared" ca="1" si="6"/>
        <v/>
      </c>
      <c r="B234" s="263" t="str">
        <f t="shared" ca="1" si="7"/>
        <v xml:space="preserve"> </v>
      </c>
      <c r="C234" s="264"/>
      <c r="D234" s="264"/>
      <c r="E234" s="191"/>
      <c r="F234" s="191"/>
      <c r="G234" s="191"/>
      <c r="H234" s="191"/>
      <c r="I234" s="250"/>
      <c r="J234" s="191"/>
      <c r="K234" s="191"/>
      <c r="L234" s="191"/>
      <c r="M234" s="191"/>
      <c r="N234" s="254"/>
      <c r="O234" s="191"/>
      <c r="P234" s="191"/>
      <c r="Q234" s="191"/>
      <c r="R234" s="191"/>
      <c r="S234" s="254"/>
      <c r="T234" s="191"/>
      <c r="U234" s="191"/>
      <c r="V234" s="191"/>
      <c r="W234" s="191"/>
      <c r="X234" s="254"/>
      <c r="Y234" s="191"/>
      <c r="Z234" s="191"/>
      <c r="AA234" s="191"/>
      <c r="AB234" s="191"/>
      <c r="AC234" s="254"/>
      <c r="AD234" s="191"/>
      <c r="AE234" s="191"/>
      <c r="AF234" s="191"/>
      <c r="AG234" s="191"/>
      <c r="AH234" s="254"/>
      <c r="AI234" s="191"/>
      <c r="AJ234" s="191"/>
      <c r="AK234" s="191"/>
      <c r="AL234" s="191"/>
      <c r="AM234" s="254"/>
      <c r="AN234" s="191"/>
      <c r="AO234" s="191"/>
      <c r="AP234" s="191"/>
      <c r="AQ234" s="191"/>
      <c r="AR234" s="254"/>
      <c r="AS234" s="191"/>
      <c r="AT234" s="191"/>
      <c r="AU234" s="191"/>
      <c r="AV234" s="191"/>
      <c r="AW234" s="254"/>
      <c r="AX234" s="191"/>
      <c r="AY234" s="191"/>
      <c r="AZ234" s="191"/>
      <c r="BA234" s="191"/>
      <c r="BB234" s="254"/>
      <c r="BC234" s="258" t="str">
        <f ca="1">IF('Demand background (hide)'!A225=Num_Modalities,"",SUM(Demand!I234, Demand!N234, Demand!S234, Demand!X234, Demand!AC234, Demand!AH234, Demand!AM234, Demand!AR234, Demand!AW234, Demand!BB234))</f>
        <v/>
      </c>
      <c r="BD234" s="258"/>
      <c r="BE234" s="208"/>
    </row>
    <row r="235" spans="1:57" ht="15" x14ac:dyDescent="0.25">
      <c r="A235" t="str">
        <f t="shared" ca="1" si="6"/>
        <v/>
      </c>
      <c r="B235" s="263" t="str">
        <f t="shared" ca="1" si="7"/>
        <v xml:space="preserve"> </v>
      </c>
      <c r="C235" s="264"/>
      <c r="D235" s="264"/>
      <c r="E235" s="191"/>
      <c r="F235" s="191"/>
      <c r="G235" s="191"/>
      <c r="H235" s="191"/>
      <c r="I235" s="250"/>
      <c r="J235" s="191"/>
      <c r="K235" s="191"/>
      <c r="L235" s="191"/>
      <c r="M235" s="191"/>
      <c r="N235" s="254"/>
      <c r="O235" s="191"/>
      <c r="P235" s="191"/>
      <c r="Q235" s="191"/>
      <c r="R235" s="191"/>
      <c r="S235" s="254"/>
      <c r="T235" s="191"/>
      <c r="U235" s="191"/>
      <c r="V235" s="191"/>
      <c r="W235" s="191"/>
      <c r="X235" s="254"/>
      <c r="Y235" s="191"/>
      <c r="Z235" s="191"/>
      <c r="AA235" s="191"/>
      <c r="AB235" s="191"/>
      <c r="AC235" s="254"/>
      <c r="AD235" s="191"/>
      <c r="AE235" s="191"/>
      <c r="AF235" s="191"/>
      <c r="AG235" s="191"/>
      <c r="AH235" s="254"/>
      <c r="AI235" s="191"/>
      <c r="AJ235" s="191"/>
      <c r="AK235" s="191"/>
      <c r="AL235" s="191"/>
      <c r="AM235" s="254"/>
      <c r="AN235" s="191"/>
      <c r="AO235" s="191"/>
      <c r="AP235" s="191"/>
      <c r="AQ235" s="191"/>
      <c r="AR235" s="254"/>
      <c r="AS235" s="191"/>
      <c r="AT235" s="191"/>
      <c r="AU235" s="191"/>
      <c r="AV235" s="191"/>
      <c r="AW235" s="254"/>
      <c r="AX235" s="191"/>
      <c r="AY235" s="191"/>
      <c r="AZ235" s="191"/>
      <c r="BA235" s="191"/>
      <c r="BB235" s="254"/>
      <c r="BC235" s="258" t="str">
        <f ca="1">IF('Demand background (hide)'!A226=Num_Modalities,"",SUM(Demand!I235, Demand!N235, Demand!S235, Demand!X235, Demand!AC235, Demand!AH235, Demand!AM235, Demand!AR235, Demand!AW235, Demand!BB235))</f>
        <v/>
      </c>
      <c r="BD235" s="258"/>
      <c r="BE235" s="208"/>
    </row>
    <row r="236" spans="1:57" ht="15" x14ac:dyDescent="0.25">
      <c r="A236" t="str">
        <f t="shared" ca="1" si="6"/>
        <v/>
      </c>
      <c r="B236" s="263" t="str">
        <f t="shared" ca="1" si="7"/>
        <v xml:space="preserve"> </v>
      </c>
      <c r="C236" s="264"/>
      <c r="D236" s="264"/>
      <c r="E236" s="191"/>
      <c r="F236" s="191"/>
      <c r="G236" s="191"/>
      <c r="H236" s="191"/>
      <c r="I236" s="250"/>
      <c r="J236" s="191"/>
      <c r="K236" s="191"/>
      <c r="L236" s="191"/>
      <c r="M236" s="191"/>
      <c r="N236" s="254"/>
      <c r="O236" s="191"/>
      <c r="P236" s="191"/>
      <c r="Q236" s="191"/>
      <c r="R236" s="191"/>
      <c r="S236" s="254"/>
      <c r="T236" s="191"/>
      <c r="U236" s="191"/>
      <c r="V236" s="191"/>
      <c r="W236" s="191"/>
      <c r="X236" s="254"/>
      <c r="Y236" s="191"/>
      <c r="Z236" s="191"/>
      <c r="AA236" s="191"/>
      <c r="AB236" s="191"/>
      <c r="AC236" s="254"/>
      <c r="AD236" s="191"/>
      <c r="AE236" s="191"/>
      <c r="AF236" s="191"/>
      <c r="AG236" s="191"/>
      <c r="AH236" s="254"/>
      <c r="AI236" s="191"/>
      <c r="AJ236" s="191"/>
      <c r="AK236" s="191"/>
      <c r="AL236" s="191"/>
      <c r="AM236" s="254"/>
      <c r="AN236" s="191"/>
      <c r="AO236" s="191"/>
      <c r="AP236" s="191"/>
      <c r="AQ236" s="191"/>
      <c r="AR236" s="254"/>
      <c r="AS236" s="191"/>
      <c r="AT236" s="191"/>
      <c r="AU236" s="191"/>
      <c r="AV236" s="191"/>
      <c r="AW236" s="254"/>
      <c r="AX236" s="191"/>
      <c r="AY236" s="191"/>
      <c r="AZ236" s="191"/>
      <c r="BA236" s="191"/>
      <c r="BB236" s="254"/>
      <c r="BC236" s="258" t="str">
        <f ca="1">IF('Demand background (hide)'!A227=Num_Modalities,"",SUM(Demand!I236, Demand!N236, Demand!S236, Demand!X236, Demand!AC236, Demand!AH236, Demand!AM236, Demand!AR236, Demand!AW236, Demand!BB236))</f>
        <v/>
      </c>
      <c r="BD236" s="258"/>
      <c r="BE236" s="208"/>
    </row>
    <row r="237" spans="1:57" ht="15" x14ac:dyDescent="0.25">
      <c r="A237" t="str">
        <f t="shared" ca="1" si="6"/>
        <v/>
      </c>
      <c r="B237" s="263" t="str">
        <f t="shared" ca="1" si="7"/>
        <v xml:space="preserve"> </v>
      </c>
      <c r="C237" s="264"/>
      <c r="D237" s="264"/>
      <c r="E237" s="191"/>
      <c r="F237" s="191"/>
      <c r="G237" s="191"/>
      <c r="H237" s="191"/>
      <c r="I237" s="250"/>
      <c r="J237" s="191"/>
      <c r="K237" s="191"/>
      <c r="L237" s="191"/>
      <c r="M237" s="191"/>
      <c r="N237" s="254"/>
      <c r="O237" s="191"/>
      <c r="P237" s="191"/>
      <c r="Q237" s="191"/>
      <c r="R237" s="191"/>
      <c r="S237" s="254"/>
      <c r="T237" s="191"/>
      <c r="U237" s="191"/>
      <c r="V237" s="191"/>
      <c r="W237" s="191"/>
      <c r="X237" s="254"/>
      <c r="Y237" s="191"/>
      <c r="Z237" s="191"/>
      <c r="AA237" s="191"/>
      <c r="AB237" s="191"/>
      <c r="AC237" s="254"/>
      <c r="AD237" s="191"/>
      <c r="AE237" s="191"/>
      <c r="AF237" s="191"/>
      <c r="AG237" s="191"/>
      <c r="AH237" s="254"/>
      <c r="AI237" s="191"/>
      <c r="AJ237" s="191"/>
      <c r="AK237" s="191"/>
      <c r="AL237" s="191"/>
      <c r="AM237" s="254"/>
      <c r="AN237" s="191"/>
      <c r="AO237" s="191"/>
      <c r="AP237" s="191"/>
      <c r="AQ237" s="191"/>
      <c r="AR237" s="254"/>
      <c r="AS237" s="191"/>
      <c r="AT237" s="191"/>
      <c r="AU237" s="191"/>
      <c r="AV237" s="191"/>
      <c r="AW237" s="254"/>
      <c r="AX237" s="191"/>
      <c r="AY237" s="191"/>
      <c r="AZ237" s="191"/>
      <c r="BA237" s="191"/>
      <c r="BB237" s="254"/>
      <c r="BC237" s="258" t="str">
        <f ca="1">IF('Demand background (hide)'!A228=Num_Modalities,"",SUM(Demand!I237, Demand!N237, Demand!S237, Demand!X237, Demand!AC237, Demand!AH237, Demand!AM237, Demand!AR237, Demand!AW237, Demand!BB237))</f>
        <v/>
      </c>
      <c r="BD237" s="258"/>
      <c r="BE237" s="208"/>
    </row>
    <row r="238" spans="1:57" ht="15" x14ac:dyDescent="0.25">
      <c r="A238" t="str">
        <f t="shared" ca="1" si="6"/>
        <v/>
      </c>
      <c r="B238" s="263" t="str">
        <f t="shared" ca="1" si="7"/>
        <v xml:space="preserve"> </v>
      </c>
      <c r="C238" s="264"/>
      <c r="D238" s="264"/>
      <c r="E238" s="191"/>
      <c r="F238" s="191"/>
      <c r="G238" s="191"/>
      <c r="H238" s="191"/>
      <c r="I238" s="250"/>
      <c r="J238" s="191"/>
      <c r="K238" s="191"/>
      <c r="L238" s="191"/>
      <c r="M238" s="191"/>
      <c r="N238" s="254"/>
      <c r="O238" s="191"/>
      <c r="P238" s="191"/>
      <c r="Q238" s="191"/>
      <c r="R238" s="191"/>
      <c r="S238" s="254"/>
      <c r="T238" s="191"/>
      <c r="U238" s="191"/>
      <c r="V238" s="191"/>
      <c r="W238" s="191"/>
      <c r="X238" s="254"/>
      <c r="Y238" s="191"/>
      <c r="Z238" s="191"/>
      <c r="AA238" s="191"/>
      <c r="AB238" s="191"/>
      <c r="AC238" s="254"/>
      <c r="AD238" s="191"/>
      <c r="AE238" s="191"/>
      <c r="AF238" s="191"/>
      <c r="AG238" s="191"/>
      <c r="AH238" s="254"/>
      <c r="AI238" s="191"/>
      <c r="AJ238" s="191"/>
      <c r="AK238" s="191"/>
      <c r="AL238" s="191"/>
      <c r="AM238" s="254"/>
      <c r="AN238" s="191"/>
      <c r="AO238" s="191"/>
      <c r="AP238" s="191"/>
      <c r="AQ238" s="191"/>
      <c r="AR238" s="254"/>
      <c r="AS238" s="191"/>
      <c r="AT238" s="191"/>
      <c r="AU238" s="191"/>
      <c r="AV238" s="191"/>
      <c r="AW238" s="254"/>
      <c r="AX238" s="191"/>
      <c r="AY238" s="191"/>
      <c r="AZ238" s="191"/>
      <c r="BA238" s="191"/>
      <c r="BB238" s="254"/>
      <c r="BC238" s="258" t="str">
        <f ca="1">IF('Demand background (hide)'!A229=Num_Modalities,"",SUM(Demand!I238, Demand!N238, Demand!S238, Demand!X238, Demand!AC238, Demand!AH238, Demand!AM238, Demand!AR238, Demand!AW238, Demand!BB238))</f>
        <v/>
      </c>
      <c r="BD238" s="258"/>
      <c r="BE238" s="208"/>
    </row>
    <row r="239" spans="1:57" ht="15" x14ac:dyDescent="0.25">
      <c r="A239" t="str">
        <f t="shared" ca="1" si="6"/>
        <v/>
      </c>
      <c r="B239" s="263" t="str">
        <f t="shared" ca="1" si="7"/>
        <v xml:space="preserve"> </v>
      </c>
      <c r="C239" s="264"/>
      <c r="D239" s="264"/>
      <c r="E239" s="191"/>
      <c r="F239" s="191"/>
      <c r="G239" s="191"/>
      <c r="H239" s="191"/>
      <c r="I239" s="250"/>
      <c r="J239" s="191"/>
      <c r="K239" s="191"/>
      <c r="L239" s="191"/>
      <c r="M239" s="191"/>
      <c r="N239" s="254"/>
      <c r="O239" s="191"/>
      <c r="P239" s="191"/>
      <c r="Q239" s="191"/>
      <c r="R239" s="191"/>
      <c r="S239" s="254"/>
      <c r="T239" s="191"/>
      <c r="U239" s="191"/>
      <c r="V239" s="191"/>
      <c r="W239" s="191"/>
      <c r="X239" s="254"/>
      <c r="Y239" s="191"/>
      <c r="Z239" s="191"/>
      <c r="AA239" s="191"/>
      <c r="AB239" s="191"/>
      <c r="AC239" s="254"/>
      <c r="AD239" s="191"/>
      <c r="AE239" s="191"/>
      <c r="AF239" s="191"/>
      <c r="AG239" s="191"/>
      <c r="AH239" s="254"/>
      <c r="AI239" s="191"/>
      <c r="AJ239" s="191"/>
      <c r="AK239" s="191"/>
      <c r="AL239" s="191"/>
      <c r="AM239" s="254"/>
      <c r="AN239" s="191"/>
      <c r="AO239" s="191"/>
      <c r="AP239" s="191"/>
      <c r="AQ239" s="191"/>
      <c r="AR239" s="254"/>
      <c r="AS239" s="191"/>
      <c r="AT239" s="191"/>
      <c r="AU239" s="191"/>
      <c r="AV239" s="191"/>
      <c r="AW239" s="254"/>
      <c r="AX239" s="191"/>
      <c r="AY239" s="191"/>
      <c r="AZ239" s="191"/>
      <c r="BA239" s="191"/>
      <c r="BB239" s="254"/>
      <c r="BC239" s="258" t="str">
        <f ca="1">IF('Demand background (hide)'!A230=Num_Modalities,"",SUM(Demand!I239, Demand!N239, Demand!S239, Demand!X239, Demand!AC239, Demand!AH239, Demand!AM239, Demand!AR239, Demand!AW239, Demand!BB239))</f>
        <v/>
      </c>
      <c r="BD239" s="258"/>
      <c r="BE239" s="208"/>
    </row>
    <row r="240" spans="1:57" ht="15" x14ac:dyDescent="0.25">
      <c r="A240" t="str">
        <f t="shared" ca="1" si="6"/>
        <v/>
      </c>
      <c r="B240" s="263" t="str">
        <f t="shared" ca="1" si="7"/>
        <v xml:space="preserve"> </v>
      </c>
      <c r="C240" s="264"/>
      <c r="D240" s="264"/>
      <c r="E240" s="191"/>
      <c r="F240" s="191"/>
      <c r="G240" s="191"/>
      <c r="H240" s="191"/>
      <c r="I240" s="250"/>
      <c r="J240" s="191"/>
      <c r="K240" s="191"/>
      <c r="L240" s="191"/>
      <c r="M240" s="191"/>
      <c r="N240" s="254"/>
      <c r="O240" s="191"/>
      <c r="P240" s="191"/>
      <c r="Q240" s="191"/>
      <c r="R240" s="191"/>
      <c r="S240" s="254"/>
      <c r="T240" s="191"/>
      <c r="U240" s="191"/>
      <c r="V240" s="191"/>
      <c r="W240" s="191"/>
      <c r="X240" s="254"/>
      <c r="Y240" s="191"/>
      <c r="Z240" s="191"/>
      <c r="AA240" s="191"/>
      <c r="AB240" s="191"/>
      <c r="AC240" s="254"/>
      <c r="AD240" s="191"/>
      <c r="AE240" s="191"/>
      <c r="AF240" s="191"/>
      <c r="AG240" s="191"/>
      <c r="AH240" s="254"/>
      <c r="AI240" s="191"/>
      <c r="AJ240" s="191"/>
      <c r="AK240" s="191"/>
      <c r="AL240" s="191"/>
      <c r="AM240" s="254"/>
      <c r="AN240" s="191"/>
      <c r="AO240" s="191"/>
      <c r="AP240" s="191"/>
      <c r="AQ240" s="191"/>
      <c r="AR240" s="254"/>
      <c r="AS240" s="191"/>
      <c r="AT240" s="191"/>
      <c r="AU240" s="191"/>
      <c r="AV240" s="191"/>
      <c r="AW240" s="254"/>
      <c r="AX240" s="191"/>
      <c r="AY240" s="191"/>
      <c r="AZ240" s="191"/>
      <c r="BA240" s="191"/>
      <c r="BB240" s="254"/>
      <c r="BC240" s="258" t="str">
        <f ca="1">IF('Demand background (hide)'!A231=Num_Modalities,"",SUM(Demand!I240, Demand!N240, Demand!S240, Demand!X240, Demand!AC240, Demand!AH240, Demand!AM240, Demand!AR240, Demand!AW240, Demand!BB240))</f>
        <v/>
      </c>
      <c r="BD240" s="258"/>
      <c r="BE240" s="208"/>
    </row>
    <row r="241" spans="1:57" ht="15" x14ac:dyDescent="0.25">
      <c r="A241" t="str">
        <f t="shared" ca="1" si="6"/>
        <v/>
      </c>
      <c r="B241" s="263" t="str">
        <f t="shared" ca="1" si="7"/>
        <v xml:space="preserve"> </v>
      </c>
      <c r="C241" s="264"/>
      <c r="D241" s="264"/>
      <c r="E241" s="191"/>
      <c r="F241" s="191"/>
      <c r="G241" s="191"/>
      <c r="H241" s="191"/>
      <c r="I241" s="250"/>
      <c r="J241" s="191"/>
      <c r="K241" s="191"/>
      <c r="L241" s="191"/>
      <c r="M241" s="191"/>
      <c r="N241" s="254"/>
      <c r="O241" s="191"/>
      <c r="P241" s="191"/>
      <c r="Q241" s="191"/>
      <c r="R241" s="191"/>
      <c r="S241" s="254"/>
      <c r="T241" s="191"/>
      <c r="U241" s="191"/>
      <c r="V241" s="191"/>
      <c r="W241" s="191"/>
      <c r="X241" s="254"/>
      <c r="Y241" s="191"/>
      <c r="Z241" s="191"/>
      <c r="AA241" s="191"/>
      <c r="AB241" s="191"/>
      <c r="AC241" s="254"/>
      <c r="AD241" s="191"/>
      <c r="AE241" s="191"/>
      <c r="AF241" s="191"/>
      <c r="AG241" s="191"/>
      <c r="AH241" s="254"/>
      <c r="AI241" s="191"/>
      <c r="AJ241" s="191"/>
      <c r="AK241" s="191"/>
      <c r="AL241" s="191"/>
      <c r="AM241" s="254"/>
      <c r="AN241" s="191"/>
      <c r="AO241" s="191"/>
      <c r="AP241" s="191"/>
      <c r="AQ241" s="191"/>
      <c r="AR241" s="254"/>
      <c r="AS241" s="191"/>
      <c r="AT241" s="191"/>
      <c r="AU241" s="191"/>
      <c r="AV241" s="191"/>
      <c r="AW241" s="254"/>
      <c r="AX241" s="191"/>
      <c r="AY241" s="191"/>
      <c r="AZ241" s="191"/>
      <c r="BA241" s="191"/>
      <c r="BB241" s="254"/>
      <c r="BC241" s="258" t="str">
        <f ca="1">IF('Demand background (hide)'!A232=Num_Modalities,"",SUM(Demand!I241, Demand!N241, Demand!S241, Demand!X241, Demand!AC241, Demand!AH241, Demand!AM241, Demand!AR241, Demand!AW241, Demand!BB241))</f>
        <v/>
      </c>
      <c r="BD241" s="258"/>
      <c r="BE241" s="208"/>
    </row>
    <row r="242" spans="1:57" ht="15" x14ac:dyDescent="0.25">
      <c r="A242" t="str">
        <f t="shared" ca="1" si="6"/>
        <v/>
      </c>
      <c r="B242" s="263" t="str">
        <f t="shared" ca="1" si="7"/>
        <v xml:space="preserve"> </v>
      </c>
      <c r="C242" s="264"/>
      <c r="D242" s="264"/>
      <c r="E242" s="191"/>
      <c r="F242" s="191"/>
      <c r="G242" s="191"/>
      <c r="H242" s="191"/>
      <c r="I242" s="250"/>
      <c r="J242" s="191"/>
      <c r="K242" s="191"/>
      <c r="L242" s="191"/>
      <c r="M242" s="191"/>
      <c r="N242" s="254"/>
      <c r="O242" s="191"/>
      <c r="P242" s="191"/>
      <c r="Q242" s="191"/>
      <c r="R242" s="191"/>
      <c r="S242" s="254"/>
      <c r="T242" s="191"/>
      <c r="U242" s="191"/>
      <c r="V242" s="191"/>
      <c r="W242" s="191"/>
      <c r="X242" s="254"/>
      <c r="Y242" s="191"/>
      <c r="Z242" s="191"/>
      <c r="AA242" s="191"/>
      <c r="AB242" s="191"/>
      <c r="AC242" s="254"/>
      <c r="AD242" s="191"/>
      <c r="AE242" s="191"/>
      <c r="AF242" s="191"/>
      <c r="AG242" s="191"/>
      <c r="AH242" s="254"/>
      <c r="AI242" s="191"/>
      <c r="AJ242" s="191"/>
      <c r="AK242" s="191"/>
      <c r="AL242" s="191"/>
      <c r="AM242" s="254"/>
      <c r="AN242" s="191"/>
      <c r="AO242" s="191"/>
      <c r="AP242" s="191"/>
      <c r="AQ242" s="191"/>
      <c r="AR242" s="254"/>
      <c r="AS242" s="191"/>
      <c r="AT242" s="191"/>
      <c r="AU242" s="191"/>
      <c r="AV242" s="191"/>
      <c r="AW242" s="254"/>
      <c r="AX242" s="191"/>
      <c r="AY242" s="191"/>
      <c r="AZ242" s="191"/>
      <c r="BA242" s="191"/>
      <c r="BB242" s="254"/>
      <c r="BC242" s="258" t="str">
        <f ca="1">IF('Demand background (hide)'!A233=Num_Modalities,"",SUM(Demand!I242, Demand!N242, Demand!S242, Demand!X242, Demand!AC242, Demand!AH242, Demand!AM242, Demand!AR242, Demand!AW242, Demand!BB242))</f>
        <v/>
      </c>
      <c r="BD242" s="258"/>
      <c r="BE242" s="208"/>
    </row>
    <row r="243" spans="1:57" ht="15" x14ac:dyDescent="0.25">
      <c r="A243" t="str">
        <f t="shared" ca="1" si="6"/>
        <v/>
      </c>
      <c r="B243" s="263" t="str">
        <f t="shared" ca="1" si="7"/>
        <v xml:space="preserve"> </v>
      </c>
      <c r="C243" s="264"/>
      <c r="D243" s="264"/>
      <c r="E243" s="191"/>
      <c r="F243" s="191"/>
      <c r="G243" s="191"/>
      <c r="H243" s="191"/>
      <c r="I243" s="250"/>
      <c r="J243" s="191"/>
      <c r="K243" s="191"/>
      <c r="L243" s="191"/>
      <c r="M243" s="191"/>
      <c r="N243" s="254"/>
      <c r="O243" s="191"/>
      <c r="P243" s="191"/>
      <c r="Q243" s="191"/>
      <c r="R243" s="191"/>
      <c r="S243" s="254"/>
      <c r="T243" s="191"/>
      <c r="U243" s="191"/>
      <c r="V243" s="191"/>
      <c r="W243" s="191"/>
      <c r="X243" s="254"/>
      <c r="Y243" s="191"/>
      <c r="Z243" s="191"/>
      <c r="AA243" s="191"/>
      <c r="AB243" s="191"/>
      <c r="AC243" s="254"/>
      <c r="AD243" s="191"/>
      <c r="AE243" s="191"/>
      <c r="AF243" s="191"/>
      <c r="AG243" s="191"/>
      <c r="AH243" s="254"/>
      <c r="AI243" s="191"/>
      <c r="AJ243" s="191"/>
      <c r="AK243" s="191"/>
      <c r="AL243" s="191"/>
      <c r="AM243" s="254"/>
      <c r="AN243" s="191"/>
      <c r="AO243" s="191"/>
      <c r="AP243" s="191"/>
      <c r="AQ243" s="191"/>
      <c r="AR243" s="254"/>
      <c r="AS243" s="191"/>
      <c r="AT243" s="191"/>
      <c r="AU243" s="191"/>
      <c r="AV243" s="191"/>
      <c r="AW243" s="254"/>
      <c r="AX243" s="191"/>
      <c r="AY243" s="191"/>
      <c r="AZ243" s="191"/>
      <c r="BA243" s="191"/>
      <c r="BB243" s="254"/>
      <c r="BC243" s="258" t="str">
        <f ca="1">IF('Demand background (hide)'!A234=Num_Modalities,"",SUM(Demand!I243, Demand!N243, Demand!S243, Demand!X243, Demand!AC243, Demand!AH243, Demand!AM243, Demand!AR243, Demand!AW243, Demand!BB243))</f>
        <v/>
      </c>
      <c r="BD243" s="258"/>
      <c r="BE243" s="208"/>
    </row>
    <row r="244" spans="1:57" ht="15" x14ac:dyDescent="0.25">
      <c r="A244" t="str">
        <f t="shared" ca="1" si="6"/>
        <v/>
      </c>
      <c r="B244" s="263" t="str">
        <f t="shared" ca="1" si="7"/>
        <v xml:space="preserve"> </v>
      </c>
      <c r="C244" s="264"/>
      <c r="D244" s="264"/>
      <c r="E244" s="191"/>
      <c r="F244" s="191"/>
      <c r="G244" s="191"/>
      <c r="H244" s="191"/>
      <c r="I244" s="250"/>
      <c r="J244" s="191"/>
      <c r="K244" s="191"/>
      <c r="L244" s="191"/>
      <c r="M244" s="191"/>
      <c r="N244" s="254"/>
      <c r="O244" s="191"/>
      <c r="P244" s="191"/>
      <c r="Q244" s="191"/>
      <c r="R244" s="191"/>
      <c r="S244" s="254"/>
      <c r="T244" s="191"/>
      <c r="U244" s="191"/>
      <c r="V244" s="191"/>
      <c r="W244" s="191"/>
      <c r="X244" s="254"/>
      <c r="Y244" s="191"/>
      <c r="Z244" s="191"/>
      <c r="AA244" s="191"/>
      <c r="AB244" s="191"/>
      <c r="AC244" s="254"/>
      <c r="AD244" s="191"/>
      <c r="AE244" s="191"/>
      <c r="AF244" s="191"/>
      <c r="AG244" s="191"/>
      <c r="AH244" s="254"/>
      <c r="AI244" s="191"/>
      <c r="AJ244" s="191"/>
      <c r="AK244" s="191"/>
      <c r="AL244" s="191"/>
      <c r="AM244" s="254"/>
      <c r="AN244" s="191"/>
      <c r="AO244" s="191"/>
      <c r="AP244" s="191"/>
      <c r="AQ244" s="191"/>
      <c r="AR244" s="254"/>
      <c r="AS244" s="191"/>
      <c r="AT244" s="191"/>
      <c r="AU244" s="191"/>
      <c r="AV244" s="191"/>
      <c r="AW244" s="254"/>
      <c r="AX244" s="191"/>
      <c r="AY244" s="191"/>
      <c r="AZ244" s="191"/>
      <c r="BA244" s="191"/>
      <c r="BB244" s="254"/>
      <c r="BC244" s="258" t="str">
        <f ca="1">IF('Demand background (hide)'!A235=Num_Modalities,"",SUM(Demand!I244, Demand!N244, Demand!S244, Demand!X244, Demand!AC244, Demand!AH244, Demand!AM244, Demand!AR244, Demand!AW244, Demand!BB244))</f>
        <v/>
      </c>
      <c r="BD244" s="258"/>
      <c r="BE244" s="208"/>
    </row>
    <row r="245" spans="1:57" ht="15" x14ac:dyDescent="0.25">
      <c r="A245" t="str">
        <f t="shared" ca="1" si="6"/>
        <v/>
      </c>
      <c r="B245" s="263" t="str">
        <f t="shared" ca="1" si="7"/>
        <v xml:space="preserve"> </v>
      </c>
      <c r="C245" s="264"/>
      <c r="D245" s="264"/>
      <c r="E245" s="191"/>
      <c r="F245" s="191"/>
      <c r="G245" s="191"/>
      <c r="H245" s="191"/>
      <c r="I245" s="250"/>
      <c r="J245" s="191"/>
      <c r="K245" s="191"/>
      <c r="L245" s="191"/>
      <c r="M245" s="191"/>
      <c r="N245" s="254"/>
      <c r="O245" s="191"/>
      <c r="P245" s="191"/>
      <c r="Q245" s="191"/>
      <c r="R245" s="191"/>
      <c r="S245" s="254"/>
      <c r="T245" s="191"/>
      <c r="U245" s="191"/>
      <c r="V245" s="191"/>
      <c r="W245" s="191"/>
      <c r="X245" s="254"/>
      <c r="Y245" s="191"/>
      <c r="Z245" s="191"/>
      <c r="AA245" s="191"/>
      <c r="AB245" s="191"/>
      <c r="AC245" s="254"/>
      <c r="AD245" s="191"/>
      <c r="AE245" s="191"/>
      <c r="AF245" s="191"/>
      <c r="AG245" s="191"/>
      <c r="AH245" s="254"/>
      <c r="AI245" s="191"/>
      <c r="AJ245" s="191"/>
      <c r="AK245" s="191"/>
      <c r="AL245" s="191"/>
      <c r="AM245" s="254"/>
      <c r="AN245" s="191"/>
      <c r="AO245" s="191"/>
      <c r="AP245" s="191"/>
      <c r="AQ245" s="191"/>
      <c r="AR245" s="254"/>
      <c r="AS245" s="191"/>
      <c r="AT245" s="191"/>
      <c r="AU245" s="191"/>
      <c r="AV245" s="191"/>
      <c r="AW245" s="254"/>
      <c r="AX245" s="191"/>
      <c r="AY245" s="191"/>
      <c r="AZ245" s="191"/>
      <c r="BA245" s="191"/>
      <c r="BB245" s="254"/>
      <c r="BC245" s="258" t="str">
        <f ca="1">IF('Demand background (hide)'!A236=Num_Modalities,"",SUM(Demand!I245, Demand!N245, Demand!S245, Demand!X245, Demand!AC245, Demand!AH245, Demand!AM245, Demand!AR245, Demand!AW245, Demand!BB245))</f>
        <v/>
      </c>
      <c r="BD245" s="258"/>
      <c r="BE245" s="208"/>
    </row>
    <row r="246" spans="1:57" ht="15" x14ac:dyDescent="0.25">
      <c r="A246" t="str">
        <f t="shared" ca="1" si="6"/>
        <v/>
      </c>
      <c r="B246" s="263" t="str">
        <f t="shared" ca="1" si="7"/>
        <v xml:space="preserve"> </v>
      </c>
      <c r="C246" s="264"/>
      <c r="D246" s="264"/>
      <c r="E246" s="191"/>
      <c r="F246" s="191"/>
      <c r="G246" s="191"/>
      <c r="H246" s="191"/>
      <c r="I246" s="250"/>
      <c r="J246" s="191"/>
      <c r="K246" s="191"/>
      <c r="L246" s="191"/>
      <c r="M246" s="191"/>
      <c r="N246" s="254"/>
      <c r="O246" s="191"/>
      <c r="P246" s="191"/>
      <c r="Q246" s="191"/>
      <c r="R246" s="191"/>
      <c r="S246" s="254"/>
      <c r="T246" s="191"/>
      <c r="U246" s="191"/>
      <c r="V246" s="191"/>
      <c r="W246" s="191"/>
      <c r="X246" s="254"/>
      <c r="Y246" s="191"/>
      <c r="Z246" s="191"/>
      <c r="AA246" s="191"/>
      <c r="AB246" s="191"/>
      <c r="AC246" s="254"/>
      <c r="AD246" s="191"/>
      <c r="AE246" s="191"/>
      <c r="AF246" s="191"/>
      <c r="AG246" s="191"/>
      <c r="AH246" s="254"/>
      <c r="AI246" s="191"/>
      <c r="AJ246" s="191"/>
      <c r="AK246" s="191"/>
      <c r="AL246" s="191"/>
      <c r="AM246" s="254"/>
      <c r="AN246" s="191"/>
      <c r="AO246" s="191"/>
      <c r="AP246" s="191"/>
      <c r="AQ246" s="191"/>
      <c r="AR246" s="254"/>
      <c r="AS246" s="191"/>
      <c r="AT246" s="191"/>
      <c r="AU246" s="191"/>
      <c r="AV246" s="191"/>
      <c r="AW246" s="254"/>
      <c r="AX246" s="191"/>
      <c r="AY246" s="191"/>
      <c r="AZ246" s="191"/>
      <c r="BA246" s="191"/>
      <c r="BB246" s="254"/>
      <c r="BC246" s="258" t="str">
        <f ca="1">IF('Demand background (hide)'!A237=Num_Modalities,"",SUM(Demand!I246, Demand!N246, Demand!S246, Demand!X246, Demand!AC246, Demand!AH246, Demand!AM246, Demand!AR246, Demand!AW246, Demand!BB246))</f>
        <v/>
      </c>
      <c r="BD246" s="258"/>
      <c r="BE246" s="208"/>
    </row>
    <row r="247" spans="1:57" ht="15" x14ac:dyDescent="0.25">
      <c r="A247" t="str">
        <f t="shared" ca="1" si="6"/>
        <v/>
      </c>
      <c r="B247" s="263" t="str">
        <f t="shared" ca="1" si="7"/>
        <v xml:space="preserve"> </v>
      </c>
      <c r="C247" s="264"/>
      <c r="D247" s="264"/>
      <c r="E247" s="191"/>
      <c r="F247" s="191"/>
      <c r="G247" s="191"/>
      <c r="H247" s="191"/>
      <c r="I247" s="250"/>
      <c r="J247" s="191"/>
      <c r="K247" s="191"/>
      <c r="L247" s="191"/>
      <c r="M247" s="191"/>
      <c r="N247" s="254"/>
      <c r="O247" s="191"/>
      <c r="P247" s="191"/>
      <c r="Q247" s="191"/>
      <c r="R247" s="191"/>
      <c r="S247" s="254"/>
      <c r="T247" s="191"/>
      <c r="U247" s="191"/>
      <c r="V247" s="191"/>
      <c r="W247" s="191"/>
      <c r="X247" s="254"/>
      <c r="Y247" s="191"/>
      <c r="Z247" s="191"/>
      <c r="AA247" s="191"/>
      <c r="AB247" s="191"/>
      <c r="AC247" s="254"/>
      <c r="AD247" s="191"/>
      <c r="AE247" s="191"/>
      <c r="AF247" s="191"/>
      <c r="AG247" s="191"/>
      <c r="AH247" s="254"/>
      <c r="AI247" s="191"/>
      <c r="AJ247" s="191"/>
      <c r="AK247" s="191"/>
      <c r="AL247" s="191"/>
      <c r="AM247" s="254"/>
      <c r="AN247" s="191"/>
      <c r="AO247" s="191"/>
      <c r="AP247" s="191"/>
      <c r="AQ247" s="191"/>
      <c r="AR247" s="254"/>
      <c r="AS247" s="191"/>
      <c r="AT247" s="191"/>
      <c r="AU247" s="191"/>
      <c r="AV247" s="191"/>
      <c r="AW247" s="254"/>
      <c r="AX247" s="191"/>
      <c r="AY247" s="191"/>
      <c r="AZ247" s="191"/>
      <c r="BA247" s="191"/>
      <c r="BB247" s="254"/>
      <c r="BC247" s="258" t="str">
        <f ca="1">IF('Demand background (hide)'!A238=Num_Modalities,"",SUM(Demand!I247, Demand!N247, Demand!S247, Demand!X247, Demand!AC247, Demand!AH247, Demand!AM247, Demand!AR247, Demand!AW247, Demand!BB247))</f>
        <v/>
      </c>
      <c r="BD247" s="258"/>
      <c r="BE247" s="208"/>
    </row>
    <row r="248" spans="1:57" ht="15" x14ac:dyDescent="0.25">
      <c r="A248" t="str">
        <f t="shared" ca="1" si="6"/>
        <v/>
      </c>
      <c r="B248" s="263" t="str">
        <f t="shared" ca="1" si="7"/>
        <v xml:space="preserve"> </v>
      </c>
      <c r="C248" s="264"/>
      <c r="D248" s="264"/>
      <c r="E248" s="191"/>
      <c r="F248" s="191"/>
      <c r="G248" s="191"/>
      <c r="H248" s="191"/>
      <c r="I248" s="250"/>
      <c r="J248" s="191"/>
      <c r="K248" s="191"/>
      <c r="L248" s="191"/>
      <c r="M248" s="191"/>
      <c r="N248" s="254"/>
      <c r="O248" s="191"/>
      <c r="P248" s="191"/>
      <c r="Q248" s="191"/>
      <c r="R248" s="191"/>
      <c r="S248" s="254"/>
      <c r="T248" s="191"/>
      <c r="U248" s="191"/>
      <c r="V248" s="191"/>
      <c r="W248" s="191"/>
      <c r="X248" s="254"/>
      <c r="Y248" s="191"/>
      <c r="Z248" s="191"/>
      <c r="AA248" s="191"/>
      <c r="AB248" s="191"/>
      <c r="AC248" s="254"/>
      <c r="AD248" s="191"/>
      <c r="AE248" s="191"/>
      <c r="AF248" s="191"/>
      <c r="AG248" s="191"/>
      <c r="AH248" s="254"/>
      <c r="AI248" s="191"/>
      <c r="AJ248" s="191"/>
      <c r="AK248" s="191"/>
      <c r="AL248" s="191"/>
      <c r="AM248" s="254"/>
      <c r="AN248" s="191"/>
      <c r="AO248" s="191"/>
      <c r="AP248" s="191"/>
      <c r="AQ248" s="191"/>
      <c r="AR248" s="254"/>
      <c r="AS248" s="191"/>
      <c r="AT248" s="191"/>
      <c r="AU248" s="191"/>
      <c r="AV248" s="191"/>
      <c r="AW248" s="254"/>
      <c r="AX248" s="191"/>
      <c r="AY248" s="191"/>
      <c r="AZ248" s="191"/>
      <c r="BA248" s="191"/>
      <c r="BB248" s="254"/>
      <c r="BC248" s="258" t="str">
        <f ca="1">IF('Demand background (hide)'!A239=Num_Modalities,"",SUM(Demand!I248, Demand!N248, Demand!S248, Demand!X248, Demand!AC248, Demand!AH248, Demand!AM248, Demand!AR248, Demand!AW248, Demand!BB248))</f>
        <v/>
      </c>
      <c r="BD248" s="258"/>
      <c r="BE248" s="208"/>
    </row>
    <row r="249" spans="1:57" ht="15" x14ac:dyDescent="0.25">
      <c r="A249" t="str">
        <f t="shared" ca="1" si="6"/>
        <v/>
      </c>
      <c r="B249" s="263" t="str">
        <f t="shared" ca="1" si="7"/>
        <v xml:space="preserve"> </v>
      </c>
      <c r="C249" s="264"/>
      <c r="D249" s="264"/>
      <c r="E249" s="191"/>
      <c r="F249" s="191"/>
      <c r="G249" s="191"/>
      <c r="H249" s="191"/>
      <c r="I249" s="250"/>
      <c r="J249" s="191"/>
      <c r="K249" s="191"/>
      <c r="L249" s="191"/>
      <c r="M249" s="191"/>
      <c r="N249" s="254"/>
      <c r="O249" s="191"/>
      <c r="P249" s="191"/>
      <c r="Q249" s="191"/>
      <c r="R249" s="191"/>
      <c r="S249" s="254"/>
      <c r="T249" s="191"/>
      <c r="U249" s="191"/>
      <c r="V249" s="191"/>
      <c r="W249" s="191"/>
      <c r="X249" s="254"/>
      <c r="Y249" s="191"/>
      <c r="Z249" s="191"/>
      <c r="AA249" s="191"/>
      <c r="AB249" s="191"/>
      <c r="AC249" s="254"/>
      <c r="AD249" s="191"/>
      <c r="AE249" s="191"/>
      <c r="AF249" s="191"/>
      <c r="AG249" s="191"/>
      <c r="AH249" s="254"/>
      <c r="AI249" s="191"/>
      <c r="AJ249" s="191"/>
      <c r="AK249" s="191"/>
      <c r="AL249" s="191"/>
      <c r="AM249" s="254"/>
      <c r="AN249" s="191"/>
      <c r="AO249" s="191"/>
      <c r="AP249" s="191"/>
      <c r="AQ249" s="191"/>
      <c r="AR249" s="254"/>
      <c r="AS249" s="191"/>
      <c r="AT249" s="191"/>
      <c r="AU249" s="191"/>
      <c r="AV249" s="191"/>
      <c r="AW249" s="254"/>
      <c r="AX249" s="191"/>
      <c r="AY249" s="191"/>
      <c r="AZ249" s="191"/>
      <c r="BA249" s="191"/>
      <c r="BB249" s="254"/>
      <c r="BC249" s="258" t="str">
        <f ca="1">IF('Demand background (hide)'!A240=Num_Modalities,"",SUM(Demand!I249, Demand!N249, Demand!S249, Demand!X249, Demand!AC249, Demand!AH249, Demand!AM249, Demand!AR249, Demand!AW249, Demand!BB249))</f>
        <v/>
      </c>
      <c r="BD249" s="258"/>
      <c r="BE249" s="208"/>
    </row>
    <row r="250" spans="1:57" ht="15" x14ac:dyDescent="0.25">
      <c r="A250" t="str">
        <f t="shared" ca="1" si="6"/>
        <v/>
      </c>
      <c r="B250" s="263" t="str">
        <f t="shared" ca="1" si="7"/>
        <v xml:space="preserve"> </v>
      </c>
      <c r="C250" s="264"/>
      <c r="D250" s="264"/>
      <c r="E250" s="191"/>
      <c r="F250" s="191"/>
      <c r="G250" s="191"/>
      <c r="H250" s="191"/>
      <c r="I250" s="250"/>
      <c r="J250" s="191"/>
      <c r="K250" s="191"/>
      <c r="L250" s="191"/>
      <c r="M250" s="191"/>
      <c r="N250" s="254"/>
      <c r="O250" s="191"/>
      <c r="P250" s="191"/>
      <c r="Q250" s="191"/>
      <c r="R250" s="191"/>
      <c r="S250" s="254"/>
      <c r="T250" s="191"/>
      <c r="U250" s="191"/>
      <c r="V250" s="191"/>
      <c r="W250" s="191"/>
      <c r="X250" s="254"/>
      <c r="Y250" s="191"/>
      <c r="Z250" s="191"/>
      <c r="AA250" s="191"/>
      <c r="AB250" s="191"/>
      <c r="AC250" s="254"/>
      <c r="AD250" s="191"/>
      <c r="AE250" s="191"/>
      <c r="AF250" s="191"/>
      <c r="AG250" s="191"/>
      <c r="AH250" s="254"/>
      <c r="AI250" s="191"/>
      <c r="AJ250" s="191"/>
      <c r="AK250" s="191"/>
      <c r="AL250" s="191"/>
      <c r="AM250" s="254"/>
      <c r="AN250" s="191"/>
      <c r="AO250" s="191"/>
      <c r="AP250" s="191"/>
      <c r="AQ250" s="191"/>
      <c r="AR250" s="254"/>
      <c r="AS250" s="191"/>
      <c r="AT250" s="191"/>
      <c r="AU250" s="191"/>
      <c r="AV250" s="191"/>
      <c r="AW250" s="254"/>
      <c r="AX250" s="191"/>
      <c r="AY250" s="191"/>
      <c r="AZ250" s="191"/>
      <c r="BA250" s="191"/>
      <c r="BB250" s="254"/>
      <c r="BC250" s="258" t="str">
        <f ca="1">IF('Demand background (hide)'!A241=Num_Modalities,"",SUM(Demand!I250, Demand!N250, Demand!S250, Demand!X250, Demand!AC250, Demand!AH250, Demand!AM250, Demand!AR250, Demand!AW250, Demand!BB250))</f>
        <v/>
      </c>
      <c r="BD250" s="258"/>
      <c r="BE250" s="208"/>
    </row>
    <row r="251" spans="1:57" ht="15" x14ac:dyDescent="0.25">
      <c r="A251" t="str">
        <f t="shared" ca="1" si="6"/>
        <v/>
      </c>
      <c r="B251" s="263" t="str">
        <f t="shared" ca="1" si="7"/>
        <v xml:space="preserve"> </v>
      </c>
      <c r="C251" s="264"/>
      <c r="D251" s="264"/>
      <c r="E251" s="191"/>
      <c r="F251" s="191"/>
      <c r="G251" s="191"/>
      <c r="H251" s="191"/>
      <c r="I251" s="250"/>
      <c r="J251" s="191"/>
      <c r="K251" s="191"/>
      <c r="L251" s="191"/>
      <c r="M251" s="191"/>
      <c r="N251" s="254"/>
      <c r="O251" s="191"/>
      <c r="P251" s="191"/>
      <c r="Q251" s="191"/>
      <c r="R251" s="191"/>
      <c r="S251" s="254"/>
      <c r="T251" s="191"/>
      <c r="U251" s="191"/>
      <c r="V251" s="191"/>
      <c r="W251" s="191"/>
      <c r="X251" s="254"/>
      <c r="Y251" s="191"/>
      <c r="Z251" s="191"/>
      <c r="AA251" s="191"/>
      <c r="AB251" s="191"/>
      <c r="AC251" s="254"/>
      <c r="AD251" s="191"/>
      <c r="AE251" s="191"/>
      <c r="AF251" s="191"/>
      <c r="AG251" s="191"/>
      <c r="AH251" s="254"/>
      <c r="AI251" s="191"/>
      <c r="AJ251" s="191"/>
      <c r="AK251" s="191"/>
      <c r="AL251" s="191"/>
      <c r="AM251" s="254"/>
      <c r="AN251" s="191"/>
      <c r="AO251" s="191"/>
      <c r="AP251" s="191"/>
      <c r="AQ251" s="191"/>
      <c r="AR251" s="254"/>
      <c r="AS251" s="191"/>
      <c r="AT251" s="191"/>
      <c r="AU251" s="191"/>
      <c r="AV251" s="191"/>
      <c r="AW251" s="254"/>
      <c r="AX251" s="191"/>
      <c r="AY251" s="191"/>
      <c r="AZ251" s="191"/>
      <c r="BA251" s="191"/>
      <c r="BB251" s="254"/>
      <c r="BC251" s="258" t="str">
        <f ca="1">IF('Demand background (hide)'!A242=Num_Modalities,"",SUM(Demand!I251, Demand!N251, Demand!S251, Demand!X251, Demand!AC251, Demand!AH251, Demand!AM251, Demand!AR251, Demand!AW251, Demand!BB251))</f>
        <v/>
      </c>
      <c r="BD251" s="258"/>
      <c r="BE251" s="208"/>
    </row>
    <row r="252" spans="1:57" ht="15" x14ac:dyDescent="0.25">
      <c r="A252" t="str">
        <f t="shared" ca="1" si="6"/>
        <v/>
      </c>
      <c r="B252" s="263" t="str">
        <f t="shared" ca="1" si="7"/>
        <v xml:space="preserve"> </v>
      </c>
      <c r="C252" s="264"/>
      <c r="D252" s="264"/>
      <c r="E252" s="191"/>
      <c r="F252" s="191"/>
      <c r="G252" s="191"/>
      <c r="H252" s="191"/>
      <c r="I252" s="250"/>
      <c r="J252" s="191"/>
      <c r="K252" s="191"/>
      <c r="L252" s="191"/>
      <c r="M252" s="191"/>
      <c r="N252" s="254"/>
      <c r="O252" s="191"/>
      <c r="P252" s="191"/>
      <c r="Q252" s="191"/>
      <c r="R252" s="191"/>
      <c r="S252" s="254"/>
      <c r="T252" s="191"/>
      <c r="U252" s="191"/>
      <c r="V252" s="191"/>
      <c r="W252" s="191"/>
      <c r="X252" s="254"/>
      <c r="Y252" s="191"/>
      <c r="Z252" s="191"/>
      <c r="AA252" s="191"/>
      <c r="AB252" s="191"/>
      <c r="AC252" s="254"/>
      <c r="AD252" s="191"/>
      <c r="AE252" s="191"/>
      <c r="AF252" s="191"/>
      <c r="AG252" s="191"/>
      <c r="AH252" s="254"/>
      <c r="AI252" s="191"/>
      <c r="AJ252" s="191"/>
      <c r="AK252" s="191"/>
      <c r="AL252" s="191"/>
      <c r="AM252" s="254"/>
      <c r="AN252" s="191"/>
      <c r="AO252" s="191"/>
      <c r="AP252" s="191"/>
      <c r="AQ252" s="191"/>
      <c r="AR252" s="254"/>
      <c r="AS252" s="191"/>
      <c r="AT252" s="191"/>
      <c r="AU252" s="191"/>
      <c r="AV252" s="191"/>
      <c r="AW252" s="254"/>
      <c r="AX252" s="191"/>
      <c r="AY252" s="191"/>
      <c r="AZ252" s="191"/>
      <c r="BA252" s="191"/>
      <c r="BB252" s="254"/>
      <c r="BC252" s="258" t="str">
        <f ca="1">IF('Demand background (hide)'!A243=Num_Modalities,"",SUM(Demand!I252, Demand!N252, Demand!S252, Demand!X252, Demand!AC252, Demand!AH252, Demand!AM252, Demand!AR252, Demand!AW252, Demand!BB252))</f>
        <v/>
      </c>
      <c r="BD252" s="258"/>
      <c r="BE252" s="208"/>
    </row>
    <row r="253" spans="1:57" ht="15" x14ac:dyDescent="0.25">
      <c r="A253" t="str">
        <f t="shared" ca="1" si="6"/>
        <v/>
      </c>
      <c r="B253" s="263" t="str">
        <f t="shared" ca="1" si="7"/>
        <v xml:space="preserve"> </v>
      </c>
      <c r="C253" s="264"/>
      <c r="D253" s="264"/>
      <c r="E253" s="191"/>
      <c r="F253" s="191"/>
      <c r="G253" s="191"/>
      <c r="H253" s="191"/>
      <c r="I253" s="250"/>
      <c r="J253" s="191"/>
      <c r="K253" s="191"/>
      <c r="L253" s="191"/>
      <c r="M253" s="191"/>
      <c r="N253" s="254"/>
      <c r="O253" s="191"/>
      <c r="P253" s="191"/>
      <c r="Q253" s="191"/>
      <c r="R253" s="191"/>
      <c r="S253" s="254"/>
      <c r="T253" s="191"/>
      <c r="U253" s="191"/>
      <c r="V253" s="191"/>
      <c r="W253" s="191"/>
      <c r="X253" s="254"/>
      <c r="Y253" s="191"/>
      <c r="Z253" s="191"/>
      <c r="AA253" s="191"/>
      <c r="AB253" s="191"/>
      <c r="AC253" s="254"/>
      <c r="AD253" s="191"/>
      <c r="AE253" s="191"/>
      <c r="AF253" s="191"/>
      <c r="AG253" s="191"/>
      <c r="AH253" s="254"/>
      <c r="AI253" s="191"/>
      <c r="AJ253" s="191"/>
      <c r="AK253" s="191"/>
      <c r="AL253" s="191"/>
      <c r="AM253" s="254"/>
      <c r="AN253" s="191"/>
      <c r="AO253" s="191"/>
      <c r="AP253" s="191"/>
      <c r="AQ253" s="191"/>
      <c r="AR253" s="254"/>
      <c r="AS253" s="191"/>
      <c r="AT253" s="191"/>
      <c r="AU253" s="191"/>
      <c r="AV253" s="191"/>
      <c r="AW253" s="254"/>
      <c r="AX253" s="191"/>
      <c r="AY253" s="191"/>
      <c r="AZ253" s="191"/>
      <c r="BA253" s="191"/>
      <c r="BB253" s="254"/>
      <c r="BC253" s="258" t="str">
        <f ca="1">IF('Demand background (hide)'!A244=Num_Modalities,"",SUM(Demand!I253, Demand!N253, Demand!S253, Demand!X253, Demand!AC253, Demand!AH253, Demand!AM253, Demand!AR253, Demand!AW253, Demand!BB253))</f>
        <v/>
      </c>
      <c r="BD253" s="258"/>
      <c r="BE253" s="208"/>
    </row>
    <row r="254" spans="1:57" ht="15" x14ac:dyDescent="0.25">
      <c r="A254" t="str">
        <f t="shared" ca="1" si="6"/>
        <v/>
      </c>
      <c r="B254" s="263" t="str">
        <f t="shared" ca="1" si="7"/>
        <v xml:space="preserve"> </v>
      </c>
      <c r="C254" s="264"/>
      <c r="D254" s="264"/>
      <c r="E254" s="191"/>
      <c r="F254" s="191"/>
      <c r="G254" s="191"/>
      <c r="H254" s="191"/>
      <c r="I254" s="250"/>
      <c r="J254" s="191"/>
      <c r="K254" s="191"/>
      <c r="L254" s="191"/>
      <c r="M254" s="191"/>
      <c r="N254" s="254"/>
      <c r="O254" s="191"/>
      <c r="P254" s="191"/>
      <c r="Q254" s="191"/>
      <c r="R254" s="191"/>
      <c r="S254" s="254"/>
      <c r="T254" s="191"/>
      <c r="U254" s="191"/>
      <c r="V254" s="191"/>
      <c r="W254" s="191"/>
      <c r="X254" s="254"/>
      <c r="Y254" s="191"/>
      <c r="Z254" s="191"/>
      <c r="AA254" s="191"/>
      <c r="AB254" s="191"/>
      <c r="AC254" s="254"/>
      <c r="AD254" s="191"/>
      <c r="AE254" s="191"/>
      <c r="AF254" s="191"/>
      <c r="AG254" s="191"/>
      <c r="AH254" s="254"/>
      <c r="AI254" s="191"/>
      <c r="AJ254" s="191"/>
      <c r="AK254" s="191"/>
      <c r="AL254" s="191"/>
      <c r="AM254" s="254"/>
      <c r="AN254" s="191"/>
      <c r="AO254" s="191"/>
      <c r="AP254" s="191"/>
      <c r="AQ254" s="191"/>
      <c r="AR254" s="254"/>
      <c r="AS254" s="191"/>
      <c r="AT254" s="191"/>
      <c r="AU254" s="191"/>
      <c r="AV254" s="191"/>
      <c r="AW254" s="254"/>
      <c r="AX254" s="191"/>
      <c r="AY254" s="191"/>
      <c r="AZ254" s="191"/>
      <c r="BA254" s="191"/>
      <c r="BB254" s="254"/>
      <c r="BC254" s="258" t="str">
        <f ca="1">IF('Demand background (hide)'!A245=Num_Modalities,"",SUM(Demand!I254, Demand!N254, Demand!S254, Demand!X254, Demand!AC254, Demand!AH254, Demand!AM254, Demand!AR254, Demand!AW254, Demand!BB254))</f>
        <v/>
      </c>
      <c r="BD254" s="258"/>
      <c r="BE254" s="208"/>
    </row>
    <row r="255" spans="1:57" ht="15" x14ac:dyDescent="0.25">
      <c r="A255" t="str">
        <f t="shared" ca="1" si="6"/>
        <v/>
      </c>
      <c r="B255" s="263" t="str">
        <f t="shared" ca="1" si="7"/>
        <v xml:space="preserve"> </v>
      </c>
      <c r="C255" s="264"/>
      <c r="D255" s="264"/>
      <c r="E255" s="191"/>
      <c r="F255" s="191"/>
      <c r="G255" s="191"/>
      <c r="H255" s="191"/>
      <c r="I255" s="250"/>
      <c r="J255" s="191"/>
      <c r="K255" s="191"/>
      <c r="L255" s="191"/>
      <c r="M255" s="191"/>
      <c r="N255" s="254"/>
      <c r="O255" s="191"/>
      <c r="P255" s="191"/>
      <c r="Q255" s="191"/>
      <c r="R255" s="191"/>
      <c r="S255" s="254"/>
      <c r="T255" s="191"/>
      <c r="U255" s="191"/>
      <c r="V255" s="191"/>
      <c r="W255" s="191"/>
      <c r="X255" s="254"/>
      <c r="Y255" s="191"/>
      <c r="Z255" s="191"/>
      <c r="AA255" s="191"/>
      <c r="AB255" s="191"/>
      <c r="AC255" s="254"/>
      <c r="AD255" s="191"/>
      <c r="AE255" s="191"/>
      <c r="AF255" s="191"/>
      <c r="AG255" s="191"/>
      <c r="AH255" s="254"/>
      <c r="AI255" s="191"/>
      <c r="AJ255" s="191"/>
      <c r="AK255" s="191"/>
      <c r="AL255" s="191"/>
      <c r="AM255" s="254"/>
      <c r="AN255" s="191"/>
      <c r="AO255" s="191"/>
      <c r="AP255" s="191"/>
      <c r="AQ255" s="191"/>
      <c r="AR255" s="254"/>
      <c r="AS255" s="191"/>
      <c r="AT255" s="191"/>
      <c r="AU255" s="191"/>
      <c r="AV255" s="191"/>
      <c r="AW255" s="254"/>
      <c r="AX255" s="191"/>
      <c r="AY255" s="191"/>
      <c r="AZ255" s="191"/>
      <c r="BA255" s="191"/>
      <c r="BB255" s="254"/>
      <c r="BC255" s="258" t="str">
        <f ca="1">IF('Demand background (hide)'!A246=Num_Modalities,"",SUM(Demand!I255, Demand!N255, Demand!S255, Demand!X255, Demand!AC255, Demand!AH255, Demand!AM255, Demand!AR255, Demand!AW255, Demand!BB255))</f>
        <v/>
      </c>
      <c r="BD255" s="258"/>
      <c r="BE255" s="208"/>
    </row>
    <row r="256" spans="1:57" ht="15" x14ac:dyDescent="0.25">
      <c r="A256" t="str">
        <f t="shared" ca="1" si="6"/>
        <v/>
      </c>
      <c r="B256" s="263" t="str">
        <f t="shared" ca="1" si="7"/>
        <v xml:space="preserve"> </v>
      </c>
      <c r="C256" s="264"/>
      <c r="D256" s="264"/>
      <c r="E256" s="191"/>
      <c r="F256" s="191"/>
      <c r="G256" s="191"/>
      <c r="H256" s="191"/>
      <c r="I256" s="250"/>
      <c r="J256" s="191"/>
      <c r="K256" s="191"/>
      <c r="L256" s="191"/>
      <c r="M256" s="191"/>
      <c r="N256" s="254"/>
      <c r="O256" s="191"/>
      <c r="P256" s="191"/>
      <c r="Q256" s="191"/>
      <c r="R256" s="191"/>
      <c r="S256" s="254"/>
      <c r="T256" s="191"/>
      <c r="U256" s="191"/>
      <c r="V256" s="191"/>
      <c r="W256" s="191"/>
      <c r="X256" s="254"/>
      <c r="Y256" s="191"/>
      <c r="Z256" s="191"/>
      <c r="AA256" s="191"/>
      <c r="AB256" s="191"/>
      <c r="AC256" s="254"/>
      <c r="AD256" s="191"/>
      <c r="AE256" s="191"/>
      <c r="AF256" s="191"/>
      <c r="AG256" s="191"/>
      <c r="AH256" s="254"/>
      <c r="AI256" s="191"/>
      <c r="AJ256" s="191"/>
      <c r="AK256" s="191"/>
      <c r="AL256" s="191"/>
      <c r="AM256" s="254"/>
      <c r="AN256" s="191"/>
      <c r="AO256" s="191"/>
      <c r="AP256" s="191"/>
      <c r="AQ256" s="191"/>
      <c r="AR256" s="254"/>
      <c r="AS256" s="191"/>
      <c r="AT256" s="191"/>
      <c r="AU256" s="191"/>
      <c r="AV256" s="191"/>
      <c r="AW256" s="254"/>
      <c r="AX256" s="191"/>
      <c r="AY256" s="191"/>
      <c r="AZ256" s="191"/>
      <c r="BA256" s="191"/>
      <c r="BB256" s="254"/>
      <c r="BC256" s="258" t="str">
        <f ca="1">IF('Demand background (hide)'!A247=Num_Modalities,"",SUM(Demand!I256, Demand!N256, Demand!S256, Demand!X256, Demand!AC256, Demand!AH256, Demand!AM256, Demand!AR256, Demand!AW256, Demand!BB256))</f>
        <v/>
      </c>
      <c r="BD256" s="258"/>
      <c r="BE256" s="208"/>
    </row>
    <row r="257" spans="1:57" ht="15" x14ac:dyDescent="0.25">
      <c r="A257" t="str">
        <f t="shared" ca="1" si="6"/>
        <v/>
      </c>
      <c r="B257" s="263" t="str">
        <f t="shared" ca="1" si="7"/>
        <v xml:space="preserve"> </v>
      </c>
      <c r="C257" s="264"/>
      <c r="D257" s="264"/>
      <c r="E257" s="191"/>
      <c r="F257" s="191"/>
      <c r="G257" s="191"/>
      <c r="H257" s="191"/>
      <c r="I257" s="250"/>
      <c r="J257" s="191"/>
      <c r="K257" s="191"/>
      <c r="L257" s="191"/>
      <c r="M257" s="191"/>
      <c r="N257" s="254"/>
      <c r="O257" s="191"/>
      <c r="P257" s="191"/>
      <c r="Q257" s="191"/>
      <c r="R257" s="191"/>
      <c r="S257" s="254"/>
      <c r="T257" s="191"/>
      <c r="U257" s="191"/>
      <c r="V257" s="191"/>
      <c r="W257" s="191"/>
      <c r="X257" s="254"/>
      <c r="Y257" s="191"/>
      <c r="Z257" s="191"/>
      <c r="AA257" s="191"/>
      <c r="AB257" s="191"/>
      <c r="AC257" s="254"/>
      <c r="AD257" s="191"/>
      <c r="AE257" s="191"/>
      <c r="AF257" s="191"/>
      <c r="AG257" s="191"/>
      <c r="AH257" s="254"/>
      <c r="AI257" s="191"/>
      <c r="AJ257" s="191"/>
      <c r="AK257" s="191"/>
      <c r="AL257" s="191"/>
      <c r="AM257" s="254"/>
      <c r="AN257" s="191"/>
      <c r="AO257" s="191"/>
      <c r="AP257" s="191"/>
      <c r="AQ257" s="191"/>
      <c r="AR257" s="254"/>
      <c r="AS257" s="191"/>
      <c r="AT257" s="191"/>
      <c r="AU257" s="191"/>
      <c r="AV257" s="191"/>
      <c r="AW257" s="254"/>
      <c r="AX257" s="191"/>
      <c r="AY257" s="191"/>
      <c r="AZ257" s="191"/>
      <c r="BA257" s="191"/>
      <c r="BB257" s="254"/>
      <c r="BC257" s="258" t="str">
        <f ca="1">IF('Demand background (hide)'!A248=Num_Modalities,"",SUM(Demand!I257, Demand!N257, Demand!S257, Demand!X257, Demand!AC257, Demand!AH257, Demand!AM257, Demand!AR257, Demand!AW257, Demand!BB257))</f>
        <v/>
      </c>
      <c r="BD257" s="258"/>
      <c r="BE257" s="208"/>
    </row>
    <row r="258" spans="1:57" ht="15" x14ac:dyDescent="0.25">
      <c r="A258" t="str">
        <f t="shared" ca="1" si="6"/>
        <v/>
      </c>
      <c r="B258" s="263" t="str">
        <f t="shared" ca="1" si="7"/>
        <v xml:space="preserve"> </v>
      </c>
      <c r="C258" s="264"/>
      <c r="D258" s="264"/>
      <c r="E258" s="191"/>
      <c r="F258" s="191"/>
      <c r="G258" s="191"/>
      <c r="H258" s="191"/>
      <c r="I258" s="250"/>
      <c r="J258" s="191"/>
      <c r="K258" s="191"/>
      <c r="L258" s="191"/>
      <c r="M258" s="191"/>
      <c r="N258" s="254"/>
      <c r="O258" s="191"/>
      <c r="P258" s="191"/>
      <c r="Q258" s="191"/>
      <c r="R258" s="191"/>
      <c r="S258" s="254"/>
      <c r="T258" s="191"/>
      <c r="U258" s="191"/>
      <c r="V258" s="191"/>
      <c r="W258" s="191"/>
      <c r="X258" s="254"/>
      <c r="Y258" s="191"/>
      <c r="Z258" s="191"/>
      <c r="AA258" s="191"/>
      <c r="AB258" s="191"/>
      <c r="AC258" s="254"/>
      <c r="AD258" s="191"/>
      <c r="AE258" s="191"/>
      <c r="AF258" s="191"/>
      <c r="AG258" s="191"/>
      <c r="AH258" s="254"/>
      <c r="AI258" s="191"/>
      <c r="AJ258" s="191"/>
      <c r="AK258" s="191"/>
      <c r="AL258" s="191"/>
      <c r="AM258" s="254"/>
      <c r="AN258" s="191"/>
      <c r="AO258" s="191"/>
      <c r="AP258" s="191"/>
      <c r="AQ258" s="191"/>
      <c r="AR258" s="254"/>
      <c r="AS258" s="191"/>
      <c r="AT258" s="191"/>
      <c r="AU258" s="191"/>
      <c r="AV258" s="191"/>
      <c r="AW258" s="254"/>
      <c r="AX258" s="191"/>
      <c r="AY258" s="191"/>
      <c r="AZ258" s="191"/>
      <c r="BA258" s="191"/>
      <c r="BB258" s="254"/>
      <c r="BC258" s="258" t="str">
        <f ca="1">IF('Demand background (hide)'!A249=Num_Modalities,"",SUM(Demand!I258, Demand!N258, Demand!S258, Demand!X258, Demand!AC258, Demand!AH258, Demand!AM258, Demand!AR258, Demand!AW258, Demand!BB258))</f>
        <v/>
      </c>
      <c r="BD258" s="258"/>
      <c r="BE258" s="208"/>
    </row>
    <row r="259" spans="1:57" ht="15" x14ac:dyDescent="0.25">
      <c r="A259" t="str">
        <f t="shared" ca="1" si="6"/>
        <v/>
      </c>
      <c r="B259" s="263" t="str">
        <f t="shared" ca="1" si="7"/>
        <v xml:space="preserve"> </v>
      </c>
      <c r="C259" s="264"/>
      <c r="D259" s="264"/>
      <c r="E259" s="191"/>
      <c r="F259" s="191"/>
      <c r="G259" s="191"/>
      <c r="H259" s="191"/>
      <c r="I259" s="250"/>
      <c r="J259" s="191"/>
      <c r="K259" s="191"/>
      <c r="L259" s="191"/>
      <c r="M259" s="191"/>
      <c r="N259" s="254"/>
      <c r="O259" s="191"/>
      <c r="P259" s="191"/>
      <c r="Q259" s="191"/>
      <c r="R259" s="191"/>
      <c r="S259" s="254"/>
      <c r="T259" s="191"/>
      <c r="U259" s="191"/>
      <c r="V259" s="191"/>
      <c r="W259" s="191"/>
      <c r="X259" s="254"/>
      <c r="Y259" s="191"/>
      <c r="Z259" s="191"/>
      <c r="AA259" s="191"/>
      <c r="AB259" s="191"/>
      <c r="AC259" s="254"/>
      <c r="AD259" s="191"/>
      <c r="AE259" s="191"/>
      <c r="AF259" s="191"/>
      <c r="AG259" s="191"/>
      <c r="AH259" s="254"/>
      <c r="AI259" s="191"/>
      <c r="AJ259" s="191"/>
      <c r="AK259" s="191"/>
      <c r="AL259" s="191"/>
      <c r="AM259" s="254"/>
      <c r="AN259" s="191"/>
      <c r="AO259" s="191"/>
      <c r="AP259" s="191"/>
      <c r="AQ259" s="191"/>
      <c r="AR259" s="254"/>
      <c r="AS259" s="191"/>
      <c r="AT259" s="191"/>
      <c r="AU259" s="191"/>
      <c r="AV259" s="191"/>
      <c r="AW259" s="254"/>
      <c r="AX259" s="191"/>
      <c r="AY259" s="191"/>
      <c r="AZ259" s="191"/>
      <c r="BA259" s="191"/>
      <c r="BB259" s="254"/>
      <c r="BC259" s="258" t="str">
        <f ca="1">IF('Demand background (hide)'!A250=Num_Modalities,"",SUM(Demand!I259, Demand!N259, Demand!S259, Demand!X259, Demand!AC259, Demand!AH259, Demand!AM259, Demand!AR259, Demand!AW259, Demand!BB259))</f>
        <v/>
      </c>
      <c r="BD259" s="258"/>
      <c r="BE259" s="208"/>
    </row>
    <row r="260" spans="1:57" ht="15" x14ac:dyDescent="0.25">
      <c r="A260" t="str">
        <f t="shared" ca="1" si="6"/>
        <v/>
      </c>
      <c r="B260" s="263" t="str">
        <f t="shared" ca="1" si="7"/>
        <v xml:space="preserve"> </v>
      </c>
      <c r="C260" s="264"/>
      <c r="D260" s="264"/>
      <c r="E260" s="191"/>
      <c r="F260" s="191"/>
      <c r="G260" s="191"/>
      <c r="H260" s="191"/>
      <c r="I260" s="250"/>
      <c r="J260" s="191"/>
      <c r="K260" s="191"/>
      <c r="L260" s="191"/>
      <c r="M260" s="191"/>
      <c r="N260" s="254"/>
      <c r="O260" s="191"/>
      <c r="P260" s="191"/>
      <c r="Q260" s="191"/>
      <c r="R260" s="191"/>
      <c r="S260" s="254"/>
      <c r="T260" s="191"/>
      <c r="U260" s="191"/>
      <c r="V260" s="191"/>
      <c r="W260" s="191"/>
      <c r="X260" s="254"/>
      <c r="Y260" s="191"/>
      <c r="Z260" s="191"/>
      <c r="AA260" s="191"/>
      <c r="AB260" s="191"/>
      <c r="AC260" s="254"/>
      <c r="AD260" s="191"/>
      <c r="AE260" s="191"/>
      <c r="AF260" s="191"/>
      <c r="AG260" s="191"/>
      <c r="AH260" s="254"/>
      <c r="AI260" s="191"/>
      <c r="AJ260" s="191"/>
      <c r="AK260" s="191"/>
      <c r="AL260" s="191"/>
      <c r="AM260" s="254"/>
      <c r="AN260" s="191"/>
      <c r="AO260" s="191"/>
      <c r="AP260" s="191"/>
      <c r="AQ260" s="191"/>
      <c r="AR260" s="254"/>
      <c r="AS260" s="191"/>
      <c r="AT260" s="191"/>
      <c r="AU260" s="191"/>
      <c r="AV260" s="191"/>
      <c r="AW260" s="254"/>
      <c r="AX260" s="191"/>
      <c r="AY260" s="191"/>
      <c r="AZ260" s="191"/>
      <c r="BA260" s="191"/>
      <c r="BB260" s="254"/>
      <c r="BC260" s="258" t="str">
        <f ca="1">IF('Demand background (hide)'!A251=Num_Modalities,"",SUM(Demand!I260, Demand!N260, Demand!S260, Demand!X260, Demand!AC260, Demand!AH260, Demand!AM260, Demand!AR260, Demand!AW260, Demand!BB260))</f>
        <v/>
      </c>
      <c r="BD260" s="258"/>
      <c r="BE260" s="208"/>
    </row>
    <row r="261" spans="1:57" ht="15" x14ac:dyDescent="0.25">
      <c r="A261" t="str">
        <f t="shared" ca="1" si="6"/>
        <v/>
      </c>
      <c r="B261" s="263" t="str">
        <f t="shared" ca="1" si="7"/>
        <v xml:space="preserve"> </v>
      </c>
      <c r="C261" s="264"/>
      <c r="D261" s="264"/>
      <c r="E261" s="191"/>
      <c r="F261" s="191"/>
      <c r="G261" s="191"/>
      <c r="H261" s="191"/>
      <c r="I261" s="250"/>
      <c r="J261" s="191"/>
      <c r="K261" s="191"/>
      <c r="L261" s="191"/>
      <c r="M261" s="191"/>
      <c r="N261" s="254"/>
      <c r="O261" s="191"/>
      <c r="P261" s="191"/>
      <c r="Q261" s="191"/>
      <c r="R261" s="191"/>
      <c r="S261" s="254"/>
      <c r="T261" s="191"/>
      <c r="U261" s="191"/>
      <c r="V261" s="191"/>
      <c r="W261" s="191"/>
      <c r="X261" s="254"/>
      <c r="Y261" s="191"/>
      <c r="Z261" s="191"/>
      <c r="AA261" s="191"/>
      <c r="AB261" s="191"/>
      <c r="AC261" s="254"/>
      <c r="AD261" s="191"/>
      <c r="AE261" s="191"/>
      <c r="AF261" s="191"/>
      <c r="AG261" s="191"/>
      <c r="AH261" s="254"/>
      <c r="AI261" s="191"/>
      <c r="AJ261" s="191"/>
      <c r="AK261" s="191"/>
      <c r="AL261" s="191"/>
      <c r="AM261" s="254"/>
      <c r="AN261" s="191"/>
      <c r="AO261" s="191"/>
      <c r="AP261" s="191"/>
      <c r="AQ261" s="191"/>
      <c r="AR261" s="254"/>
      <c r="AS261" s="191"/>
      <c r="AT261" s="191"/>
      <c r="AU261" s="191"/>
      <c r="AV261" s="191"/>
      <c r="AW261" s="254"/>
      <c r="AX261" s="191"/>
      <c r="AY261" s="191"/>
      <c r="AZ261" s="191"/>
      <c r="BA261" s="191"/>
      <c r="BB261" s="254"/>
      <c r="BC261" s="258" t="str">
        <f ca="1">IF('Demand background (hide)'!A252=Num_Modalities,"",SUM(Demand!I261, Demand!N261, Demand!S261, Demand!X261, Demand!AC261, Demand!AH261, Demand!AM261, Demand!AR261, Demand!AW261, Demand!BB261))</f>
        <v/>
      </c>
      <c r="BD261" s="258"/>
      <c r="BE261" s="208"/>
    </row>
    <row r="262" spans="1:57" ht="15" x14ac:dyDescent="0.25">
      <c r="A262" t="str">
        <f t="shared" ca="1" si="6"/>
        <v/>
      </c>
      <c r="B262" s="263" t="str">
        <f t="shared" ca="1" si="7"/>
        <v xml:space="preserve"> </v>
      </c>
      <c r="C262" s="264"/>
      <c r="D262" s="264"/>
      <c r="E262" s="191"/>
      <c r="F262" s="191"/>
      <c r="G262" s="191"/>
      <c r="H262" s="191"/>
      <c r="I262" s="250"/>
      <c r="J262" s="191"/>
      <c r="K262" s="191"/>
      <c r="L262" s="191"/>
      <c r="M262" s="191"/>
      <c r="N262" s="254"/>
      <c r="O262" s="191"/>
      <c r="P262" s="191"/>
      <c r="Q262" s="191"/>
      <c r="R262" s="191"/>
      <c r="S262" s="254"/>
      <c r="T262" s="191"/>
      <c r="U262" s="191"/>
      <c r="V262" s="191"/>
      <c r="W262" s="191"/>
      <c r="X262" s="254"/>
      <c r="Y262" s="191"/>
      <c r="Z262" s="191"/>
      <c r="AA262" s="191"/>
      <c r="AB262" s="191"/>
      <c r="AC262" s="254"/>
      <c r="AD262" s="191"/>
      <c r="AE262" s="191"/>
      <c r="AF262" s="191"/>
      <c r="AG262" s="191"/>
      <c r="AH262" s="254"/>
      <c r="AI262" s="191"/>
      <c r="AJ262" s="191"/>
      <c r="AK262" s="191"/>
      <c r="AL262" s="191"/>
      <c r="AM262" s="254"/>
      <c r="AN262" s="191"/>
      <c r="AO262" s="191"/>
      <c r="AP262" s="191"/>
      <c r="AQ262" s="191"/>
      <c r="AR262" s="254"/>
      <c r="AS262" s="191"/>
      <c r="AT262" s="191"/>
      <c r="AU262" s="191"/>
      <c r="AV262" s="191"/>
      <c r="AW262" s="254"/>
      <c r="AX262" s="191"/>
      <c r="AY262" s="191"/>
      <c r="AZ262" s="191"/>
      <c r="BA262" s="191"/>
      <c r="BB262" s="254"/>
      <c r="BC262" s="258" t="str">
        <f ca="1">IF('Demand background (hide)'!A253=Num_Modalities,"",SUM(Demand!I262, Demand!N262, Demand!S262, Demand!X262, Demand!AC262, Demand!AH262, Demand!AM262, Demand!AR262, Demand!AW262, Demand!BB262))</f>
        <v/>
      </c>
      <c r="BD262" s="258"/>
      <c r="BE262" s="208"/>
    </row>
    <row r="263" spans="1:57" ht="15" x14ac:dyDescent="0.25">
      <c r="A263" t="str">
        <f t="shared" ca="1" si="6"/>
        <v/>
      </c>
      <c r="B263" s="263" t="str">
        <f t="shared" ca="1" si="7"/>
        <v xml:space="preserve"> </v>
      </c>
      <c r="C263" s="264"/>
      <c r="D263" s="264"/>
      <c r="E263" s="191"/>
      <c r="F263" s="191"/>
      <c r="G263" s="191"/>
      <c r="H263" s="191"/>
      <c r="I263" s="250"/>
      <c r="J263" s="191"/>
      <c r="K263" s="191"/>
      <c r="L263" s="191"/>
      <c r="M263" s="191"/>
      <c r="N263" s="254"/>
      <c r="O263" s="191"/>
      <c r="P263" s="191"/>
      <c r="Q263" s="191"/>
      <c r="R263" s="191"/>
      <c r="S263" s="254"/>
      <c r="T263" s="191"/>
      <c r="U263" s="191"/>
      <c r="V263" s="191"/>
      <c r="W263" s="191"/>
      <c r="X263" s="254"/>
      <c r="Y263" s="191"/>
      <c r="Z263" s="191"/>
      <c r="AA263" s="191"/>
      <c r="AB263" s="191"/>
      <c r="AC263" s="254"/>
      <c r="AD263" s="191"/>
      <c r="AE263" s="191"/>
      <c r="AF263" s="191"/>
      <c r="AG263" s="191"/>
      <c r="AH263" s="254"/>
      <c r="AI263" s="191"/>
      <c r="AJ263" s="191"/>
      <c r="AK263" s="191"/>
      <c r="AL263" s="191"/>
      <c r="AM263" s="254"/>
      <c r="AN263" s="191"/>
      <c r="AO263" s="191"/>
      <c r="AP263" s="191"/>
      <c r="AQ263" s="191"/>
      <c r="AR263" s="254"/>
      <c r="AS263" s="191"/>
      <c r="AT263" s="191"/>
      <c r="AU263" s="191"/>
      <c r="AV263" s="191"/>
      <c r="AW263" s="254"/>
      <c r="AX263" s="191"/>
      <c r="AY263" s="191"/>
      <c r="AZ263" s="191"/>
      <c r="BA263" s="191"/>
      <c r="BB263" s="254"/>
      <c r="BC263" s="258" t="str">
        <f ca="1">IF('Demand background (hide)'!A254=Num_Modalities,"",SUM(Demand!I263, Demand!N263, Demand!S263, Demand!X263, Demand!AC263, Demand!AH263, Demand!AM263, Demand!AR263, Demand!AW263, Demand!BB263))</f>
        <v/>
      </c>
      <c r="BD263" s="258"/>
      <c r="BE263" s="208"/>
    </row>
    <row r="264" spans="1:57" ht="15" x14ac:dyDescent="0.25">
      <c r="A264" t="str">
        <f t="shared" ca="1" si="6"/>
        <v/>
      </c>
      <c r="B264" s="263" t="str">
        <f t="shared" ca="1" si="7"/>
        <v xml:space="preserve"> </v>
      </c>
      <c r="C264" s="264"/>
      <c r="D264" s="264"/>
      <c r="E264" s="191"/>
      <c r="F264" s="191"/>
      <c r="G264" s="191"/>
      <c r="H264" s="191"/>
      <c r="I264" s="250"/>
      <c r="J264" s="191"/>
      <c r="K264" s="191"/>
      <c r="L264" s="191"/>
      <c r="M264" s="191"/>
      <c r="N264" s="254"/>
      <c r="O264" s="191"/>
      <c r="P264" s="191"/>
      <c r="Q264" s="191"/>
      <c r="R264" s="191"/>
      <c r="S264" s="254"/>
      <c r="T264" s="191"/>
      <c r="U264" s="191"/>
      <c r="V264" s="191"/>
      <c r="W264" s="191"/>
      <c r="X264" s="254"/>
      <c r="Y264" s="191"/>
      <c r="Z264" s="191"/>
      <c r="AA264" s="191"/>
      <c r="AB264" s="191"/>
      <c r="AC264" s="254"/>
      <c r="AD264" s="191"/>
      <c r="AE264" s="191"/>
      <c r="AF264" s="191"/>
      <c r="AG264" s="191"/>
      <c r="AH264" s="254"/>
      <c r="AI264" s="191"/>
      <c r="AJ264" s="191"/>
      <c r="AK264" s="191"/>
      <c r="AL264" s="191"/>
      <c r="AM264" s="254"/>
      <c r="AN264" s="191"/>
      <c r="AO264" s="191"/>
      <c r="AP264" s="191"/>
      <c r="AQ264" s="191"/>
      <c r="AR264" s="254"/>
      <c r="AS264" s="191"/>
      <c r="AT264" s="191"/>
      <c r="AU264" s="191"/>
      <c r="AV264" s="191"/>
      <c r="AW264" s="254"/>
      <c r="AX264" s="191"/>
      <c r="AY264" s="191"/>
      <c r="AZ264" s="191"/>
      <c r="BA264" s="191"/>
      <c r="BB264" s="254"/>
      <c r="BC264" s="258" t="str">
        <f ca="1">IF('Demand background (hide)'!A255=Num_Modalities,"",SUM(Demand!I264, Demand!N264, Demand!S264, Demand!X264, Demand!AC264, Demand!AH264, Demand!AM264, Demand!AR264, Demand!AW264, Demand!BB264))</f>
        <v/>
      </c>
      <c r="BD264" s="258"/>
      <c r="BE264" s="208"/>
    </row>
    <row r="265" spans="1:57" ht="15" x14ac:dyDescent="0.25">
      <c r="A265" t="str">
        <f t="shared" ca="1" si="6"/>
        <v/>
      </c>
      <c r="B265" s="263" t="str">
        <f t="shared" ca="1" si="7"/>
        <v xml:space="preserve"> </v>
      </c>
      <c r="C265" s="264"/>
      <c r="D265" s="264"/>
      <c r="E265" s="191"/>
      <c r="F265" s="191"/>
      <c r="G265" s="191"/>
      <c r="H265" s="191"/>
      <c r="I265" s="250"/>
      <c r="J265" s="191"/>
      <c r="K265" s="191"/>
      <c r="L265" s="191"/>
      <c r="M265" s="191"/>
      <c r="N265" s="254"/>
      <c r="O265" s="191"/>
      <c r="P265" s="191"/>
      <c r="Q265" s="191"/>
      <c r="R265" s="191"/>
      <c r="S265" s="254"/>
      <c r="T265" s="191"/>
      <c r="U265" s="191"/>
      <c r="V265" s="191"/>
      <c r="W265" s="191"/>
      <c r="X265" s="254"/>
      <c r="Y265" s="191"/>
      <c r="Z265" s="191"/>
      <c r="AA265" s="191"/>
      <c r="AB265" s="191"/>
      <c r="AC265" s="254"/>
      <c r="AD265" s="191"/>
      <c r="AE265" s="191"/>
      <c r="AF265" s="191"/>
      <c r="AG265" s="191"/>
      <c r="AH265" s="254"/>
      <c r="AI265" s="191"/>
      <c r="AJ265" s="191"/>
      <c r="AK265" s="191"/>
      <c r="AL265" s="191"/>
      <c r="AM265" s="254"/>
      <c r="AN265" s="191"/>
      <c r="AO265" s="191"/>
      <c r="AP265" s="191"/>
      <c r="AQ265" s="191"/>
      <c r="AR265" s="254"/>
      <c r="AS265" s="191"/>
      <c r="AT265" s="191"/>
      <c r="AU265" s="191"/>
      <c r="AV265" s="191"/>
      <c r="AW265" s="254"/>
      <c r="AX265" s="191"/>
      <c r="AY265" s="191"/>
      <c r="AZ265" s="191"/>
      <c r="BA265" s="191"/>
      <c r="BB265" s="254"/>
      <c r="BC265" s="258" t="str">
        <f ca="1">IF('Demand background (hide)'!A256=Num_Modalities,"",SUM(Demand!I265, Demand!N265, Demand!S265, Demand!X265, Demand!AC265, Demand!AH265, Demand!AM265, Demand!AR265, Demand!AW265, Demand!BB265))</f>
        <v/>
      </c>
      <c r="BD265" s="258"/>
      <c r="BE265" s="208"/>
    </row>
    <row r="266" spans="1:57" ht="15" x14ac:dyDescent="0.25">
      <c r="A266" t="str">
        <f t="shared" ca="1" si="6"/>
        <v/>
      </c>
      <c r="B266" s="263" t="str">
        <f t="shared" ca="1" si="7"/>
        <v xml:space="preserve"> </v>
      </c>
      <c r="C266" s="264"/>
      <c r="D266" s="264"/>
      <c r="E266" s="191"/>
      <c r="F266" s="191"/>
      <c r="G266" s="191"/>
      <c r="H266" s="191"/>
      <c r="I266" s="250"/>
      <c r="J266" s="191"/>
      <c r="K266" s="191"/>
      <c r="L266" s="191"/>
      <c r="M266" s="191"/>
      <c r="N266" s="254"/>
      <c r="O266" s="191"/>
      <c r="P266" s="191"/>
      <c r="Q266" s="191"/>
      <c r="R266" s="191"/>
      <c r="S266" s="254"/>
      <c r="T266" s="191"/>
      <c r="U266" s="191"/>
      <c r="V266" s="191"/>
      <c r="W266" s="191"/>
      <c r="X266" s="254"/>
      <c r="Y266" s="191"/>
      <c r="Z266" s="191"/>
      <c r="AA266" s="191"/>
      <c r="AB266" s="191"/>
      <c r="AC266" s="254"/>
      <c r="AD266" s="191"/>
      <c r="AE266" s="191"/>
      <c r="AF266" s="191"/>
      <c r="AG266" s="191"/>
      <c r="AH266" s="254"/>
      <c r="AI266" s="191"/>
      <c r="AJ266" s="191"/>
      <c r="AK266" s="191"/>
      <c r="AL266" s="191"/>
      <c r="AM266" s="254"/>
      <c r="AN266" s="191"/>
      <c r="AO266" s="191"/>
      <c r="AP266" s="191"/>
      <c r="AQ266" s="191"/>
      <c r="AR266" s="254"/>
      <c r="AS266" s="191"/>
      <c r="AT266" s="191"/>
      <c r="AU266" s="191"/>
      <c r="AV266" s="191"/>
      <c r="AW266" s="254"/>
      <c r="AX266" s="191"/>
      <c r="AY266" s="191"/>
      <c r="AZ266" s="191"/>
      <c r="BA266" s="191"/>
      <c r="BB266" s="254"/>
      <c r="BC266" s="258" t="str">
        <f ca="1">IF('Demand background (hide)'!A257=Num_Modalities,"",SUM(Demand!I266, Demand!N266, Demand!S266, Demand!X266, Demand!AC266, Demand!AH266, Demand!AM266, Demand!AR266, Demand!AW266, Demand!BB266))</f>
        <v/>
      </c>
      <c r="BD266" s="258"/>
      <c r="BE266" s="208"/>
    </row>
    <row r="267" spans="1:57" ht="15" x14ac:dyDescent="0.25">
      <c r="A267" t="str">
        <f t="shared" ca="1" si="6"/>
        <v/>
      </c>
      <c r="B267" s="263" t="str">
        <f t="shared" ca="1" si="7"/>
        <v xml:space="preserve"> </v>
      </c>
      <c r="C267" s="264"/>
      <c r="D267" s="264"/>
      <c r="E267" s="191"/>
      <c r="F267" s="191"/>
      <c r="G267" s="191"/>
      <c r="H267" s="191"/>
      <c r="I267" s="250"/>
      <c r="J267" s="191"/>
      <c r="K267" s="191"/>
      <c r="L267" s="191"/>
      <c r="M267" s="191"/>
      <c r="N267" s="254"/>
      <c r="O267" s="191"/>
      <c r="P267" s="191"/>
      <c r="Q267" s="191"/>
      <c r="R267" s="191"/>
      <c r="S267" s="254"/>
      <c r="T267" s="191"/>
      <c r="U267" s="191"/>
      <c r="V267" s="191"/>
      <c r="W267" s="191"/>
      <c r="X267" s="254"/>
      <c r="Y267" s="191"/>
      <c r="Z267" s="191"/>
      <c r="AA267" s="191"/>
      <c r="AB267" s="191"/>
      <c r="AC267" s="254"/>
      <c r="AD267" s="191"/>
      <c r="AE267" s="191"/>
      <c r="AF267" s="191"/>
      <c r="AG267" s="191"/>
      <c r="AH267" s="254"/>
      <c r="AI267" s="191"/>
      <c r="AJ267" s="191"/>
      <c r="AK267" s="191"/>
      <c r="AL267" s="191"/>
      <c r="AM267" s="254"/>
      <c r="AN267" s="191"/>
      <c r="AO267" s="191"/>
      <c r="AP267" s="191"/>
      <c r="AQ267" s="191"/>
      <c r="AR267" s="254"/>
      <c r="AS267" s="191"/>
      <c r="AT267" s="191"/>
      <c r="AU267" s="191"/>
      <c r="AV267" s="191"/>
      <c r="AW267" s="254"/>
      <c r="AX267" s="191"/>
      <c r="AY267" s="191"/>
      <c r="AZ267" s="191"/>
      <c r="BA267" s="191"/>
      <c r="BB267" s="254"/>
      <c r="BC267" s="258" t="str">
        <f ca="1">IF('Demand background (hide)'!A258=Num_Modalities,"",SUM(Demand!I267, Demand!N267, Demand!S267, Demand!X267, Demand!AC267, Demand!AH267, Demand!AM267, Demand!AR267, Demand!AW267, Demand!BB267))</f>
        <v/>
      </c>
      <c r="BD267" s="258"/>
      <c r="BE267" s="208"/>
    </row>
    <row r="268" spans="1:57" ht="15" x14ac:dyDescent="0.25">
      <c r="A268" t="str">
        <f t="shared" ca="1" si="6"/>
        <v/>
      </c>
      <c r="B268" s="263" t="str">
        <f t="shared" ca="1" si="7"/>
        <v xml:space="preserve"> </v>
      </c>
      <c r="C268" s="264"/>
      <c r="D268" s="264"/>
      <c r="E268" s="191"/>
      <c r="F268" s="191"/>
      <c r="G268" s="191"/>
      <c r="H268" s="191"/>
      <c r="I268" s="250"/>
      <c r="J268" s="191"/>
      <c r="K268" s="191"/>
      <c r="L268" s="191"/>
      <c r="M268" s="191"/>
      <c r="N268" s="254"/>
      <c r="O268" s="191"/>
      <c r="P268" s="191"/>
      <c r="Q268" s="191"/>
      <c r="R268" s="191"/>
      <c r="S268" s="254"/>
      <c r="T268" s="191"/>
      <c r="U268" s="191"/>
      <c r="V268" s="191"/>
      <c r="W268" s="191"/>
      <c r="X268" s="254"/>
      <c r="Y268" s="191"/>
      <c r="Z268" s="191"/>
      <c r="AA268" s="191"/>
      <c r="AB268" s="191"/>
      <c r="AC268" s="254"/>
      <c r="AD268" s="191"/>
      <c r="AE268" s="191"/>
      <c r="AF268" s="191"/>
      <c r="AG268" s="191"/>
      <c r="AH268" s="254"/>
      <c r="AI268" s="191"/>
      <c r="AJ268" s="191"/>
      <c r="AK268" s="191"/>
      <c r="AL268" s="191"/>
      <c r="AM268" s="254"/>
      <c r="AN268" s="191"/>
      <c r="AO268" s="191"/>
      <c r="AP268" s="191"/>
      <c r="AQ268" s="191"/>
      <c r="AR268" s="254"/>
      <c r="AS268" s="191"/>
      <c r="AT268" s="191"/>
      <c r="AU268" s="191"/>
      <c r="AV268" s="191"/>
      <c r="AW268" s="254"/>
      <c r="AX268" s="191"/>
      <c r="AY268" s="191"/>
      <c r="AZ268" s="191"/>
      <c r="BA268" s="191"/>
      <c r="BB268" s="254"/>
      <c r="BC268" s="258" t="str">
        <f ca="1">IF('Demand background (hide)'!A259=Num_Modalities,"",SUM(Demand!I268, Demand!N268, Demand!S268, Demand!X268, Demand!AC268, Demand!AH268, Demand!AM268, Demand!AR268, Demand!AW268, Demand!BB268))</f>
        <v/>
      </c>
      <c r="BD268" s="258"/>
      <c r="BE268" s="208"/>
    </row>
    <row r="269" spans="1:57" ht="15" x14ac:dyDescent="0.25">
      <c r="A269" t="str">
        <f t="shared" ref="A269:A272" ca="1" si="8">IF(BC269&lt;&gt;"",ROW(A257),"")</f>
        <v/>
      </c>
      <c r="B269" s="263" t="str">
        <f t="shared" ca="1" si="7"/>
        <v xml:space="preserve"> </v>
      </c>
      <c r="C269" s="264"/>
      <c r="D269" s="264"/>
      <c r="E269" s="191"/>
      <c r="F269" s="191"/>
      <c r="G269" s="191"/>
      <c r="H269" s="191"/>
      <c r="I269" s="250"/>
      <c r="J269" s="191"/>
      <c r="K269" s="191"/>
      <c r="L269" s="191"/>
      <c r="M269" s="191"/>
      <c r="N269" s="254"/>
      <c r="O269" s="191"/>
      <c r="P269" s="191"/>
      <c r="Q269" s="191"/>
      <c r="R269" s="191"/>
      <c r="S269" s="254"/>
      <c r="T269" s="191"/>
      <c r="U269" s="191"/>
      <c r="V269" s="191"/>
      <c r="W269" s="191"/>
      <c r="X269" s="254"/>
      <c r="Y269" s="191"/>
      <c r="Z269" s="191"/>
      <c r="AA269" s="191"/>
      <c r="AB269" s="191"/>
      <c r="AC269" s="254"/>
      <c r="AD269" s="191"/>
      <c r="AE269" s="191"/>
      <c r="AF269" s="191"/>
      <c r="AG269" s="191"/>
      <c r="AH269" s="254"/>
      <c r="AI269" s="191"/>
      <c r="AJ269" s="191"/>
      <c r="AK269" s="191"/>
      <c r="AL269" s="191"/>
      <c r="AM269" s="254"/>
      <c r="AN269" s="191"/>
      <c r="AO269" s="191"/>
      <c r="AP269" s="191"/>
      <c r="AQ269" s="191"/>
      <c r="AR269" s="254"/>
      <c r="AS269" s="191"/>
      <c r="AT269" s="191"/>
      <c r="AU269" s="191"/>
      <c r="AV269" s="191"/>
      <c r="AW269" s="254"/>
      <c r="AX269" s="191"/>
      <c r="AY269" s="191"/>
      <c r="AZ269" s="191"/>
      <c r="BA269" s="191"/>
      <c r="BB269" s="254"/>
      <c r="BC269" s="258" t="str">
        <f ca="1">IF('Demand background (hide)'!A260=Num_Modalities,"",SUM(Demand!I269, Demand!N269, Demand!S269, Demand!X269, Demand!AC269, Demand!AH269, Demand!AM269, Demand!AR269, Demand!AW269, Demand!BB269))</f>
        <v/>
      </c>
      <c r="BD269" s="258"/>
      <c r="BE269" s="208"/>
    </row>
    <row r="270" spans="1:57" ht="15" x14ac:dyDescent="0.25">
      <c r="A270" t="str">
        <f t="shared" ca="1" si="8"/>
        <v/>
      </c>
      <c r="B270" s="263" t="str">
        <f t="shared" ref="B270:B272" ca="1" si="9">IF(A270&lt;=MaxRows,IF($C$6&lt;&gt;"",IF(YEAR(D270)&lt;&gt;YEAR(D269),YEAR(D270)," "),IF(C270&lt;&gt;1,"",OFFSET(B270,-C269,0,1,1)+1))," ")</f>
        <v xml:space="preserve"> </v>
      </c>
      <c r="C270" s="264"/>
      <c r="D270" s="264"/>
      <c r="E270" s="191"/>
      <c r="F270" s="191"/>
      <c r="G270" s="191"/>
      <c r="H270" s="191"/>
      <c r="I270" s="250"/>
      <c r="J270" s="191"/>
      <c r="K270" s="191"/>
      <c r="L270" s="191"/>
      <c r="M270" s="191"/>
      <c r="N270" s="254"/>
      <c r="O270" s="191"/>
      <c r="P270" s="191"/>
      <c r="Q270" s="191"/>
      <c r="R270" s="191"/>
      <c r="S270" s="254"/>
      <c r="T270" s="191"/>
      <c r="U270" s="191"/>
      <c r="V270" s="191"/>
      <c r="W270" s="191"/>
      <c r="X270" s="254"/>
      <c r="Y270" s="191"/>
      <c r="Z270" s="191"/>
      <c r="AA270" s="191"/>
      <c r="AB270" s="191"/>
      <c r="AC270" s="254"/>
      <c r="AD270" s="191"/>
      <c r="AE270" s="191"/>
      <c r="AF270" s="191"/>
      <c r="AG270" s="191"/>
      <c r="AH270" s="254"/>
      <c r="AI270" s="191"/>
      <c r="AJ270" s="191"/>
      <c r="AK270" s="191"/>
      <c r="AL270" s="191"/>
      <c r="AM270" s="254"/>
      <c r="AN270" s="191"/>
      <c r="AO270" s="191"/>
      <c r="AP270" s="191"/>
      <c r="AQ270" s="191"/>
      <c r="AR270" s="254"/>
      <c r="AS270" s="191"/>
      <c r="AT270" s="191"/>
      <c r="AU270" s="191"/>
      <c r="AV270" s="191"/>
      <c r="AW270" s="254"/>
      <c r="AX270" s="191"/>
      <c r="AY270" s="191"/>
      <c r="AZ270" s="191"/>
      <c r="BA270" s="191"/>
      <c r="BB270" s="254"/>
      <c r="BC270" s="258" t="str">
        <f ca="1">IF('Demand background (hide)'!A261=Num_Modalities,"",SUM(Demand!I270, Demand!N270, Demand!S270, Demand!X270, Demand!AC270, Demand!AH270, Demand!AM270, Demand!AR270, Demand!AW270, Demand!BB270))</f>
        <v/>
      </c>
      <c r="BD270" s="258"/>
      <c r="BE270" s="208"/>
    </row>
    <row r="271" spans="1:57" ht="15" x14ac:dyDescent="0.25">
      <c r="A271" t="str">
        <f t="shared" ca="1" si="8"/>
        <v/>
      </c>
      <c r="B271" s="263" t="str">
        <f t="shared" ca="1" si="9"/>
        <v xml:space="preserve"> </v>
      </c>
      <c r="C271" s="264"/>
      <c r="D271" s="264"/>
      <c r="E271" s="191"/>
      <c r="F271" s="191"/>
      <c r="G271" s="191"/>
      <c r="H271" s="191"/>
      <c r="I271" s="250"/>
      <c r="J271" s="191"/>
      <c r="K271" s="191"/>
      <c r="L271" s="191"/>
      <c r="M271" s="191"/>
      <c r="N271" s="254"/>
      <c r="O271" s="191"/>
      <c r="P271" s="191"/>
      <c r="Q271" s="191"/>
      <c r="R271" s="191"/>
      <c r="S271" s="254"/>
      <c r="T271" s="191"/>
      <c r="U271" s="191"/>
      <c r="V271" s="191"/>
      <c r="W271" s="191"/>
      <c r="X271" s="254"/>
      <c r="Y271" s="191"/>
      <c r="Z271" s="191"/>
      <c r="AA271" s="191"/>
      <c r="AB271" s="191"/>
      <c r="AC271" s="254"/>
      <c r="AD271" s="191"/>
      <c r="AE271" s="191"/>
      <c r="AF271" s="191"/>
      <c r="AG271" s="191"/>
      <c r="AH271" s="254"/>
      <c r="AI271" s="191"/>
      <c r="AJ271" s="191"/>
      <c r="AK271" s="191"/>
      <c r="AL271" s="191"/>
      <c r="AM271" s="254"/>
      <c r="AN271" s="191"/>
      <c r="AO271" s="191"/>
      <c r="AP271" s="191"/>
      <c r="AQ271" s="191"/>
      <c r="AR271" s="254"/>
      <c r="AS271" s="191"/>
      <c r="AT271" s="191"/>
      <c r="AU271" s="191"/>
      <c r="AV271" s="191"/>
      <c r="AW271" s="254"/>
      <c r="AX271" s="191"/>
      <c r="AY271" s="191"/>
      <c r="AZ271" s="191"/>
      <c r="BA271" s="191"/>
      <c r="BB271" s="254"/>
      <c r="BC271" s="258" t="str">
        <f ca="1">IF('Demand background (hide)'!A262=Num_Modalities,"",SUM(Demand!I271, Demand!N271, Demand!S271, Demand!X271, Demand!AC271, Demand!AH271, Demand!AM271, Demand!AR271, Demand!AW271, Demand!BB271))</f>
        <v/>
      </c>
      <c r="BD271" s="258"/>
      <c r="BE271" s="208"/>
    </row>
    <row r="272" spans="1:57" ht="15" x14ac:dyDescent="0.25">
      <c r="A272" t="str">
        <f t="shared" ca="1" si="8"/>
        <v/>
      </c>
      <c r="B272" s="263" t="str">
        <f t="shared" ca="1" si="9"/>
        <v xml:space="preserve"> </v>
      </c>
      <c r="C272" s="264"/>
      <c r="D272" s="264"/>
      <c r="E272" s="191"/>
      <c r="F272" s="191"/>
      <c r="G272" s="191"/>
      <c r="H272" s="191"/>
      <c r="I272" s="250"/>
      <c r="J272" s="191"/>
      <c r="K272" s="191"/>
      <c r="L272" s="191"/>
      <c r="M272" s="191"/>
      <c r="N272" s="254"/>
      <c r="O272" s="191"/>
      <c r="P272" s="191"/>
      <c r="Q272" s="191"/>
      <c r="R272" s="191"/>
      <c r="S272" s="254"/>
      <c r="T272" s="191"/>
      <c r="U272" s="191"/>
      <c r="V272" s="191"/>
      <c r="W272" s="191"/>
      <c r="X272" s="254"/>
      <c r="Y272" s="191"/>
      <c r="Z272" s="191"/>
      <c r="AA272" s="191"/>
      <c r="AB272" s="191"/>
      <c r="AC272" s="254"/>
      <c r="AD272" s="191"/>
      <c r="AE272" s="191"/>
      <c r="AF272" s="191"/>
      <c r="AG272" s="191"/>
      <c r="AH272" s="254"/>
      <c r="AI272" s="191"/>
      <c r="AJ272" s="191"/>
      <c r="AK272" s="191"/>
      <c r="AL272" s="191"/>
      <c r="AM272" s="254"/>
      <c r="AN272" s="191"/>
      <c r="AO272" s="191"/>
      <c r="AP272" s="191"/>
      <c r="AQ272" s="191"/>
      <c r="AR272" s="254"/>
      <c r="AS272" s="191"/>
      <c r="AT272" s="191"/>
      <c r="AU272" s="191"/>
      <c r="AV272" s="191"/>
      <c r="AW272" s="254"/>
      <c r="AX272" s="191"/>
      <c r="AY272" s="191"/>
      <c r="AZ272" s="191"/>
      <c r="BA272" s="191"/>
      <c r="BB272" s="254"/>
      <c r="BC272" s="258" t="str">
        <f ca="1">IF('Demand background (hide)'!A263=Num_Modalities,"",SUM(Demand!I272, Demand!N272, Demand!S272, Demand!X272, Demand!AC272, Demand!AH272, Demand!AM272, Demand!AR272, Demand!AW272, Demand!BB272))</f>
        <v/>
      </c>
      <c r="BD272" s="258"/>
      <c r="BE272" s="208"/>
    </row>
  </sheetData>
  <sheetProtection algorithmName="SHA-512" hashValue="8RBKTsHTelrC60aFPNMoBrtkpD2VrQLsmACeHaNaL5ufXzX+QcyaHGwmeQu/sDFf9mcCGsHiwZktDMaDgXY8hg==" saltValue="UQTs1NOZxzlY0oAbB8cT+w==" spinCount="100000" sheet="1" objects="1" scenarios="1"/>
  <dataConsolidate/>
  <mergeCells count="6">
    <mergeCell ref="BC10:BC12"/>
    <mergeCell ref="BD10:BD12"/>
    <mergeCell ref="D10:D12"/>
    <mergeCell ref="BE10:BE12"/>
    <mergeCell ref="B10:B12"/>
    <mergeCell ref="C10:C12"/>
  </mergeCells>
  <conditionalFormatting sqref="BE65:BE272">
    <cfRule type="expression" dxfId="54" priority="6">
      <formula>IF(ROW(C65)-12&lt;=$A$6,TRUE,FALSE)</formula>
    </cfRule>
  </conditionalFormatting>
  <conditionalFormatting sqref="C65:C272">
    <cfRule type="expression" dxfId="53" priority="11">
      <formula>IF(ROW(XFD65)-12&lt;=$A$6,TRUE,FALSE)</formula>
    </cfRule>
  </conditionalFormatting>
  <conditionalFormatting sqref="J65:N272 T65:X272 AD65:AH272 AN65:AR272 AX65:BB272">
    <cfRule type="expression" dxfId="52" priority="2">
      <formula>IF(ROW(C65)-12&lt;=$A$6,TRUE,FALSE)</formula>
    </cfRule>
  </conditionalFormatting>
  <conditionalFormatting sqref="BC65:BD272">
    <cfRule type="expression" dxfId="51" priority="1">
      <formula>IF(ROW(A65)-12&lt;=$A$6,TRUE,FALSE)</formula>
    </cfRule>
  </conditionalFormatting>
  <conditionalFormatting sqref="D65:BB272">
    <cfRule type="expression" dxfId="50" priority="3">
      <formula>IF(ROW(A65)-12&lt;=$A$6,TRUE,FALSE)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25" x14ac:dyDescent="0.2"/>
  <cols>
    <col min="1" max="11" width="11.25" customWidth="1"/>
    <col min="14" max="18" width="9.25" bestFit="1" customWidth="1"/>
    <col min="19" max="19" width="9" customWidth="1"/>
    <col min="20" max="24" width="9.25" bestFit="1" customWidth="1"/>
    <col min="38" max="38" width="16.625" customWidth="1"/>
    <col min="39" max="39" width="10.25" bestFit="1" customWidth="1"/>
    <col min="40" max="41" width="10.25" customWidth="1"/>
    <col min="42" max="42" width="10.25" style="36" customWidth="1"/>
    <col min="43" max="45" width="10.25" customWidth="1"/>
    <col min="46" max="46" width="12.25" bestFit="1" customWidth="1"/>
    <col min="103" max="103" width="10.125" customWidth="1"/>
    <col min="118" max="118" width="9.75" bestFit="1" customWidth="1"/>
    <col min="124" max="124" width="8.75" style="67"/>
    <col min="126" max="130" width="8.75" style="67"/>
    <col min="131" max="131" width="9.75" style="67" bestFit="1" customWidth="1"/>
    <col min="132" max="132" width="8.75" style="67"/>
  </cols>
  <sheetData>
    <row r="1" spans="1:135" x14ac:dyDescent="0.2">
      <c r="B1" t="s">
        <v>62</v>
      </c>
      <c r="M1" t="s">
        <v>65</v>
      </c>
      <c r="N1" t="str">
        <f>"Modifier: "&amp;Setup!$I$17</f>
        <v>Modifier: Minutes</v>
      </c>
      <c r="Z1" t="s">
        <v>66</v>
      </c>
      <c r="AL1" t="s">
        <v>285</v>
      </c>
      <c r="AP1" s="36" t="s">
        <v>129</v>
      </c>
      <c r="BQ1" t="s">
        <v>432</v>
      </c>
      <c r="CV1" t="s">
        <v>215</v>
      </c>
      <c r="CW1" t="s">
        <v>216</v>
      </c>
      <c r="DN1" t="s">
        <v>1188</v>
      </c>
    </row>
    <row r="2" spans="1:135" x14ac:dyDescent="0.2">
      <c r="N2">
        <f ca="1">IF(Setup!$I$17="Patients",1,OFFSET(Demand!$F$11,0,(COLUMN(A1)-1)*5,1,1))</f>
        <v>0</v>
      </c>
      <c r="O2">
        <f ca="1">IF(Setup!$I$17="Patients",1,OFFSET(Demand!$F$11,0,(COLUMN(B1)-1)*5,1,1))</f>
        <v>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1189</v>
      </c>
    </row>
    <row r="3" spans="1:135" x14ac:dyDescent="0.2">
      <c r="A3" t="s">
        <v>63</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1197</v>
      </c>
      <c r="DR3" t="s">
        <v>1190</v>
      </c>
      <c r="DS3" t="s">
        <v>1196</v>
      </c>
      <c r="DT3" s="67" t="s">
        <v>1199</v>
      </c>
      <c r="DU3" t="s">
        <v>502</v>
      </c>
      <c r="DV3" s="67" t="s">
        <v>1221</v>
      </c>
      <c r="DW3" s="67" t="s">
        <v>1222</v>
      </c>
      <c r="DX3" s="67" t="s">
        <v>1220</v>
      </c>
      <c r="DZ3" s="67" t="s">
        <v>1219</v>
      </c>
      <c r="EA3" s="5">
        <f ca="1">IFERROR(SUM(DU4:DU29),0)</f>
        <v>0</v>
      </c>
      <c r="ED3" t="s">
        <v>1223</v>
      </c>
      <c r="EE3" t="s">
        <v>1193</v>
      </c>
    </row>
    <row r="4" spans="1:135" s="5" customFormat="1" x14ac:dyDescent="0.2">
      <c r="A4" s="5">
        <f t="shared" ref="A4:A35" ca="1" si="3">SUM(OFFSET(B4,0,0,1,Num_Modalities))</f>
        <v>10</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Jan</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7</v>
      </c>
      <c r="DN4" s="317">
        <f>'Demand adjustments for Covid'!F12</f>
        <v>44242</v>
      </c>
      <c r="DO4" s="5" t="str">
        <f ca="1">VLOOKUP(IF($DM4&lt;53,$DM4,52),'Summary Calculations (hide)'!$D$15:$F$67,2,0)</f>
        <v/>
      </c>
      <c r="DP4" s="5" t="str">
        <f ca="1">VLOOKUP(IF($DM4&lt;53,$DM4,52),'Summary Calculations (hide)'!$D$15:$F$67,3,0)</f>
        <v/>
      </c>
      <c r="DQ4" s="5">
        <f>IF(AND(DN4&gt;='Demand adjustments for Covid'!$F$12,DN4&lt;'Demand adjustments for Covid'!$F$17),'Demand adjustments for Covid'!$F$13,DO4)</f>
        <v>200</v>
      </c>
      <c r="DR4" s="5">
        <f t="shared" ref="DR4:DR35" si="7">IF(AND(ROW(A1)&gt;=$EE$4,ROW(A1)&lt;=$EE$5),1,0)</f>
        <v>0</v>
      </c>
      <c r="DS4" s="5" t="str">
        <f ca="1">IF('Demand adjustments for Covid'!$F$9="Yes",IF(DR4=0,DQ4,((SUM(DR$4:DR4)-1)*$EE$8)+'Demand adjustments for Covid'!F$13),'Demand background (hide)'!DO4)</f>
        <v/>
      </c>
      <c r="DT4" s="5" t="str">
        <f ca="1">IF(AND('Demand adjustments for Covid'!$F$9="Yes",MaxRows&gt;=10),IF(OR(AND(DN4&gt;='Demand adjustments for Covid'!$F$12,DN4&lt;'Demand adjustments for Covid'!$F$17),DR4=1),DS4+3,DP4),'Demand background (hide)'!DP4)</f>
        <v/>
      </c>
      <c r="DU4" s="5">
        <f ca="1">IF(DS4&lt;='Demand adjustments for Covid'!$F$17,DO4-DS4,0)</f>
        <v>0</v>
      </c>
      <c r="DV4" s="5">
        <f ca="1">IF(AND(ROW(A1)&gt;$EE$5,ROW(A1)&lt;=$EA$5),OFFSET('Demand adjustments for Covid'!$F$35,0,ROW(A1)-'Demand background (hide)'!$EE$5,1,1),0)</f>
        <v>0</v>
      </c>
      <c r="DW4" s="5">
        <f ca="1">IF(AND(ROW(A1)&gt;$EE$5,ROW(A1)&lt;=$EA$5),OFFSET('Demand adjustments for Covid'!$F$36,0,ROW(A1)-'Demand background (hide)'!$EE$5,1,1),0)</f>
        <v>0</v>
      </c>
      <c r="DX4" s="5">
        <f ca="1">SUM(DV4:DW4,DT4)</f>
        <v>0</v>
      </c>
      <c r="ED4" s="5" t="s">
        <v>1191</v>
      </c>
      <c r="EE4" s="5">
        <f>MATCH('Demand adjustments for Covid'!$F$17,$DN$4:$DN$55,0)</f>
        <v>3</v>
      </c>
    </row>
    <row r="5" spans="1:135" s="5" customFormat="1" x14ac:dyDescent="0.2">
      <c r="A5" s="5">
        <f t="shared" ca="1" si="3"/>
        <v>10</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8</v>
      </c>
      <c r="DN5" s="317">
        <f>DN4+7</f>
        <v>44249</v>
      </c>
      <c r="DO5" s="5" t="str">
        <f ca="1">VLOOKUP(IF($DM5&lt;53,$DM5,52),'Summary Calculations (hide)'!$D$15:$F$67,2,0)</f>
        <v/>
      </c>
      <c r="DP5" s="5" t="str">
        <f ca="1">VLOOKUP(IF($DM5&lt;53,$DM5,52),'Summary Calculations (hide)'!$D$15:$F$67,3,0)</f>
        <v/>
      </c>
      <c r="DQ5" s="5">
        <f>IF(AND(DN5&gt;='Demand adjustments for Covid'!$F$12,DN5&lt;'Demand adjustments for Covid'!$F$17),'Demand adjustments for Covid'!$F$13,DO5)</f>
        <v>200</v>
      </c>
      <c r="DR5" s="5">
        <f t="shared" si="7"/>
        <v>0</v>
      </c>
      <c r="DS5" s="5" t="str">
        <f ca="1">IF('Demand adjustments for Covid'!$F$9="Yes",IF(DR5=0,DQ5,((SUM(DR$4:DR5)-1)*$EE$8)+'Demand adjustments for Covid'!F$13),'Demand background (hide)'!DO5)</f>
        <v/>
      </c>
      <c r="DT5" s="5" t="str">
        <f ca="1">IF('Demand adjustments for Covid'!$F$9="Yes",IF(OR(AND(DN5&gt;='Demand adjustments for Covid'!$F$12,DN5&lt;'Demand adjustments for Covid'!$F$17),DR5=1),DS5+3,DP5),'Demand background (hide)'!DP5)</f>
        <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0</v>
      </c>
      <c r="DZ5" s="5" t="s">
        <v>1224</v>
      </c>
      <c r="EA5" s="5">
        <f>MATCH('Demand adjustments for Covid'!F17,'Demand background (hide)'!DN4:DN55,0)+'Demand adjustments for Covid'!F18+12</f>
        <v>35</v>
      </c>
      <c r="ED5" s="5" t="s">
        <v>1192</v>
      </c>
      <c r="EE5" s="5">
        <f>EE4+'Demand adjustments for Covid'!$F$18</f>
        <v>23</v>
      </c>
    </row>
    <row r="6" spans="1:135" s="5" customFormat="1" x14ac:dyDescent="0.2">
      <c r="A6" s="5">
        <f t="shared" ca="1" si="3"/>
        <v>10</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Modality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0</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9</v>
      </c>
      <c r="DN6" s="317">
        <f t="shared" ref="DN6:DN56" si="17">DN5+7</f>
        <v>44256</v>
      </c>
      <c r="DO6" s="5" t="str">
        <f ca="1">VLOOKUP(IF($DM6&lt;53,$DM6,52),'Summary Calculations (hide)'!$D$15:$F$67,2,0)</f>
        <v/>
      </c>
      <c r="DP6" s="5" t="str">
        <f ca="1">VLOOKUP(IF($DM6&lt;53,$DM6,52),'Summary Calculations (hide)'!$D$15:$F$67,3,0)</f>
        <v/>
      </c>
      <c r="DQ6" s="5" t="str">
        <f ca="1">IF(AND(DN6&gt;='Demand adjustments for Covid'!$F$12,DN6&lt;'Demand adjustments for Covid'!$F$17),'Demand adjustments for Covid'!$F$13,DO6)</f>
        <v/>
      </c>
      <c r="DR6" s="5">
        <f t="shared" si="7"/>
        <v>1</v>
      </c>
      <c r="DS6" s="5" t="str">
        <f ca="1">IF('Demand adjustments for Covid'!$F$9="Yes",IF(DR6=0,DQ6,((SUM(DR$4:DR6)-1)*$EE$8)+'Demand adjustments for Covid'!F$13),'Demand background (hide)'!DO6)</f>
        <v/>
      </c>
      <c r="DT6" s="5" t="str">
        <f ca="1">IF('Demand adjustments for Covid'!$F$9="Yes",IF(OR(AND(DN6&gt;='Demand adjustments for Covid'!$F$12,DN6&lt;'Demand adjustments for Covid'!$F$17),DR6=1),DS6+3,DP6),'Demand background (hide)'!DP6)</f>
        <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0</v>
      </c>
      <c r="EA6" s="317"/>
    </row>
    <row r="7" spans="1:135" s="5" customFormat="1" x14ac:dyDescent="0.2">
      <c r="A7" s="5">
        <f t="shared" ca="1" si="3"/>
        <v>10</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Modality 2</v>
      </c>
      <c r="BC7" s="46" t="str">
        <f t="shared" ca="1" si="13"/>
        <v/>
      </c>
      <c r="BD7" s="46" t="str">
        <f t="shared" ca="1" si="14"/>
        <v/>
      </c>
      <c r="BE7" s="46" t="str">
        <f t="shared" ca="1"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0</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10</v>
      </c>
      <c r="DN7" s="317">
        <f t="shared" si="17"/>
        <v>44263</v>
      </c>
      <c r="DO7" s="5" t="str">
        <f ca="1">VLOOKUP(IF($DM7&lt;53,$DM7,52),'Summary Calculations (hide)'!$D$15:$F$67,2,0)</f>
        <v/>
      </c>
      <c r="DP7" s="5" t="str">
        <f ca="1">VLOOKUP(IF($DM7&lt;53,$DM7,52),'Summary Calculations (hide)'!$D$15:$F$67,3,0)</f>
        <v/>
      </c>
      <c r="DQ7" s="5" t="str">
        <f ca="1">IF(AND(DN7&gt;='Demand adjustments for Covid'!$F$12,DN7&lt;'Demand adjustments for Covid'!$F$17),'Demand adjustments for Covid'!$F$13,DO7)</f>
        <v/>
      </c>
      <c r="DR7" s="5">
        <f t="shared" si="7"/>
        <v>1</v>
      </c>
      <c r="DS7" s="5" t="str">
        <f ca="1">IF('Demand adjustments for Covid'!$F$9="Yes",IF(DR7=0,DQ7,((SUM(DR$4:DR7)-1)*$EE$8)+'Demand adjustments for Covid'!F$13),'Demand background (hide)'!DO7)</f>
        <v/>
      </c>
      <c r="DT7" s="5" t="str">
        <f ca="1">IF('Demand adjustments for Covid'!$F$9="Yes",IF(OR(AND(DN7&gt;='Demand adjustments for Covid'!$F$12,DN7&lt;'Demand adjustments for Covid'!$F$17),DR7=1),DS7+3,DP7),'Demand background (hide)'!DP7)</f>
        <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0</v>
      </c>
      <c r="ED7" s="5" t="s">
        <v>1194</v>
      </c>
      <c r="EE7" s="5" t="str">
        <f ca="1">INDEX($DO$4:$DO$55,EE5)</f>
        <v/>
      </c>
    </row>
    <row r="8" spans="1:135" s="5" customFormat="1" x14ac:dyDescent="0.2">
      <c r="A8" s="5">
        <f t="shared" ca="1" si="3"/>
        <v>10</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IF(TEXT(Demand!D17,"MMM")&lt;&gt;TEXT(Demand!D16,"MMM"),TEXT(Demand!D17,"MMM"),"")</f>
        <v/>
      </c>
      <c r="AT8" s="5">
        <f t="shared" ca="1" si="12"/>
        <v>0</v>
      </c>
      <c r="BB8" t="str">
        <f>'Control sheet (hide)'!AA5</f>
        <v>Modality 3</v>
      </c>
      <c r="BC8" s="46" t="str">
        <f t="shared" ca="1" si="13"/>
        <v/>
      </c>
      <c r="BD8" s="46" t="str">
        <f t="shared" ca="1" si="14"/>
        <v/>
      </c>
      <c r="BE8" s="46" t="str">
        <f t="shared" ca="1"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11</v>
      </c>
      <c r="DN8" s="317">
        <f t="shared" si="17"/>
        <v>44270</v>
      </c>
      <c r="DO8" s="5" t="str">
        <f ca="1">VLOOKUP(IF($DM8&lt;53,$DM8,52),'Summary Calculations (hide)'!$D$15:$F$67,2,0)</f>
        <v/>
      </c>
      <c r="DP8" s="5" t="str">
        <f ca="1">VLOOKUP(IF($DM8&lt;53,$DM8,52),'Summary Calculations (hide)'!$D$15:$F$67,3,0)</f>
        <v/>
      </c>
      <c r="DQ8" s="5" t="str">
        <f ca="1">IF(AND(DN8&gt;='Demand adjustments for Covid'!$F$12,DN8&lt;'Demand adjustments for Covid'!$F$17),'Demand adjustments for Covid'!$F$13,DO8)</f>
        <v/>
      </c>
      <c r="DR8" s="5">
        <f t="shared" si="7"/>
        <v>1</v>
      </c>
      <c r="DS8" s="5" t="str">
        <f ca="1">IF('Demand adjustments for Covid'!$F$9="Yes",IF(DR8=0,DQ8,((SUM(DR$4:DR8)-1)*$EE$8)+'Demand adjustments for Covid'!F$13),'Demand background (hide)'!DO8)</f>
        <v/>
      </c>
      <c r="DT8" s="5" t="str">
        <f ca="1">IF('Demand adjustments for Covid'!$F$9="Yes",IF(OR(AND(DN8&gt;='Demand adjustments for Covid'!$F$12,DN8&lt;'Demand adjustments for Covid'!$F$17),DR8=1),DS8+3,DP8),'Demand background (hide)'!DP8)</f>
        <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0</v>
      </c>
      <c r="ED8" s="5" t="s">
        <v>1195</v>
      </c>
      <c r="EE8" s="5" t="e">
        <f ca="1">IF('Demand adjustments for Covid'!F18&gt;0,(EE7-'Demand adjustments for Covid'!F13)/'Demand adjustments for Covid'!F18,0)</f>
        <v>#VALUE!</v>
      </c>
    </row>
    <row r="9" spans="1:135" s="5" customFormat="1" x14ac:dyDescent="0.2">
      <c r="A9" s="5">
        <f t="shared" ca="1" si="3"/>
        <v>10</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IF(TEXT(Demand!D18,"MMM")&lt;&gt;TEXT(Demand!D17,"MMM"),TEXT(Demand!D18,"MMM"),"")</f>
        <v/>
      </c>
      <c r="AT9" s="5">
        <f t="shared" ca="1" si="12"/>
        <v>0</v>
      </c>
      <c r="BB9" t="str">
        <f>'Control sheet (hide)'!AA6</f>
        <v>Modality 4</v>
      </c>
      <c r="BC9" s="46" t="str">
        <f t="shared" ca="1" si="13"/>
        <v/>
      </c>
      <c r="BD9" s="46" t="str">
        <f t="shared" ca="1" si="14"/>
        <v/>
      </c>
      <c r="BE9" s="46" t="str">
        <f t="shared" ca="1"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12</v>
      </c>
      <c r="DN9" s="317">
        <f t="shared" si="17"/>
        <v>44277</v>
      </c>
      <c r="DO9" s="5" t="str">
        <f ca="1">VLOOKUP(IF($DM9&lt;53,$DM9,52),'Summary Calculations (hide)'!$D$15:$F$67,2,0)</f>
        <v/>
      </c>
      <c r="DP9" s="5" t="str">
        <f ca="1">VLOOKUP(IF($DM9&lt;53,$DM9,52),'Summary Calculations (hide)'!$D$15:$F$67,3,0)</f>
        <v/>
      </c>
      <c r="DQ9" s="5" t="str">
        <f ca="1">IF(AND(DN9&gt;='Demand adjustments for Covid'!$F$12,DN9&lt;'Demand adjustments for Covid'!$F$17),'Demand adjustments for Covid'!$F$13,DO9)</f>
        <v/>
      </c>
      <c r="DR9" s="5">
        <f t="shared" si="7"/>
        <v>1</v>
      </c>
      <c r="DS9" s="5" t="str">
        <f ca="1">IF('Demand adjustments for Covid'!$F$9="Yes",IF(DR9=0,DQ9,((SUM(DR$4:DR9)-1)*$EE$8)+'Demand adjustments for Covid'!F$13),'Demand background (hide)'!DO9)</f>
        <v/>
      </c>
      <c r="DT9" s="5" t="str">
        <f ca="1">IF('Demand adjustments for Covid'!$F$9="Yes",IF(OR(AND(DN9&gt;='Demand adjustments for Covid'!$F$12,DN9&lt;'Demand adjustments for Covid'!$F$17),DR9=1),DS9+3,DP9),'Demand background (hide)'!DP9)</f>
        <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0</v>
      </c>
    </row>
    <row r="10" spans="1:135" s="5" customFormat="1" x14ac:dyDescent="0.2">
      <c r="A10" s="5">
        <f t="shared" ca="1" si="3"/>
        <v>10</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ca="1" si="13"/>
        <v/>
      </c>
      <c r="BD10" s="46" t="str">
        <f t="shared" ca="1" si="14"/>
        <v/>
      </c>
      <c r="BE10" s="46" t="str">
        <f t="shared" ca="1"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13</v>
      </c>
      <c r="DN10" s="317">
        <f t="shared" si="17"/>
        <v>44284</v>
      </c>
      <c r="DO10" s="5" t="str">
        <f ca="1">VLOOKUP(IF($DM10&lt;53,$DM10,52),'Summary Calculations (hide)'!$D$15:$F$67,2,0)</f>
        <v/>
      </c>
      <c r="DP10" s="5" t="str">
        <f ca="1">VLOOKUP(IF($DM10&lt;53,$DM10,52),'Summary Calculations (hide)'!$D$15:$F$67,3,0)</f>
        <v/>
      </c>
      <c r="DQ10" s="5" t="str">
        <f ca="1">IF(AND(DN10&gt;='Demand adjustments for Covid'!$F$12,DN10&lt;'Demand adjustments for Covid'!$F$17),'Demand adjustments for Covid'!$F$13,DO10)</f>
        <v/>
      </c>
      <c r="DR10" s="5">
        <f t="shared" si="7"/>
        <v>1</v>
      </c>
      <c r="DS10" s="5" t="str">
        <f ca="1">IF('Demand adjustments for Covid'!$F$9="Yes",IF(DR10=0,DQ10,((SUM(DR$4:DR10)-1)*$EE$8)+'Demand adjustments for Covid'!F$13),'Demand background (hide)'!DO10)</f>
        <v/>
      </c>
      <c r="DT10" s="5" t="str">
        <f ca="1">IF('Demand adjustments for Covid'!$F$9="Yes",IF(OR(AND(DN10&gt;='Demand adjustments for Covid'!$F$12,DN10&lt;'Demand adjustments for Covid'!$F$17),DR10=1),DS10+3,DP10),'Demand background (hide)'!DP10)</f>
        <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0</v>
      </c>
      <c r="ED10" s="5" t="s">
        <v>1198</v>
      </c>
      <c r="EE10" s="5">
        <f ca="1">SUM(DU4:DU55)</f>
        <v>0</v>
      </c>
    </row>
    <row r="11" spans="1:135" s="5" customFormat="1" x14ac:dyDescent="0.2">
      <c r="A11" s="5">
        <f t="shared" ca="1" si="3"/>
        <v>10</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ca="1" si="13"/>
        <v/>
      </c>
      <c r="BD11" s="46" t="str">
        <f t="shared" ca="1" si="14"/>
        <v/>
      </c>
      <c r="BE11" s="46" t="str">
        <f t="shared" ca="1"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14</v>
      </c>
      <c r="DN11" s="317">
        <f t="shared" si="17"/>
        <v>44291</v>
      </c>
      <c r="DO11" s="5" t="str">
        <f ca="1">VLOOKUP(IF($DM11&lt;53,$DM11,52),'Summary Calculations (hide)'!$D$15:$F$67,2,0)</f>
        <v/>
      </c>
      <c r="DP11" s="5" t="str">
        <f ca="1">VLOOKUP(IF($DM11&lt;53,$DM11,52),'Summary Calculations (hide)'!$D$15:$F$67,3,0)</f>
        <v/>
      </c>
      <c r="DQ11" s="5" t="str">
        <f ca="1">IF(AND(DN11&gt;='Demand adjustments for Covid'!$F$12,DN11&lt;'Demand adjustments for Covid'!$F$17),'Demand adjustments for Covid'!$F$13,DO11)</f>
        <v/>
      </c>
      <c r="DR11" s="5">
        <f t="shared" si="7"/>
        <v>1</v>
      </c>
      <c r="DS11" s="5" t="str">
        <f ca="1">IF('Demand adjustments for Covid'!$F$9="Yes",IF(DR11=0,DQ11,((SUM(DR$4:DR11)-1)*$EE$8)+'Demand adjustments for Covid'!F$13),'Demand background (hide)'!DO11)</f>
        <v/>
      </c>
      <c r="DT11" s="5" t="str">
        <f ca="1">IF('Demand adjustments for Covid'!$F$9="Yes",IF(OR(AND(DN11&gt;='Demand adjustments for Covid'!$F$12,DN11&lt;'Demand adjustments for Covid'!$F$17),DR11=1),DS11+3,DP11),'Demand background (hide)'!DP11)</f>
        <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0</v>
      </c>
    </row>
    <row r="12" spans="1:135" s="5" customFormat="1" x14ac:dyDescent="0.2">
      <c r="A12" s="5">
        <f t="shared" ca="1" si="3"/>
        <v>10</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IF(TEXT(Demand!D21,"MMM")&lt;&gt;TEXT(Demand!D20,"MMM"),TEXT(Demand!D21,"MMM"),"")</f>
        <v/>
      </c>
      <c r="AT12" s="5">
        <f t="shared" ca="1" si="12"/>
        <v>0</v>
      </c>
      <c r="AV12" s="5" t="s">
        <v>72</v>
      </c>
      <c r="AW12" s="44" t="str">
        <f ca="1">IFERROR(AW11/1.128,"")</f>
        <v/>
      </c>
      <c r="BB12" t="str">
        <f>'Control sheet (hide)'!AA9</f>
        <v>Modality 7</v>
      </c>
      <c r="BC12" s="46" t="str">
        <f t="shared" ca="1" si="13"/>
        <v/>
      </c>
      <c r="BD12" s="46" t="str">
        <f t="shared" ca="1" si="14"/>
        <v/>
      </c>
      <c r="BE12" s="46" t="str">
        <f t="shared" ca="1"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15</v>
      </c>
      <c r="DN12" s="317">
        <f t="shared" si="17"/>
        <v>44298</v>
      </c>
      <c r="DO12" s="5" t="str">
        <f ca="1">VLOOKUP(IF($DM12&lt;53,$DM12,52),'Summary Calculations (hide)'!$D$15:$F$67,2,0)</f>
        <v/>
      </c>
      <c r="DP12" s="5" t="str">
        <f ca="1">VLOOKUP(IF($DM12&lt;53,$DM12,52),'Summary Calculations (hide)'!$D$15:$F$67,3,0)</f>
        <v/>
      </c>
      <c r="DQ12" s="5" t="str">
        <f ca="1">IF(AND(DN12&gt;='Demand adjustments for Covid'!$F$12,DN12&lt;'Demand adjustments for Covid'!$F$17),'Demand adjustments for Covid'!$F$13,DO12)</f>
        <v/>
      </c>
      <c r="DR12" s="5">
        <f t="shared" si="7"/>
        <v>1</v>
      </c>
      <c r="DS12" s="5" t="str">
        <f ca="1">IF('Demand adjustments for Covid'!$F$9="Yes",IF(DR12=0,DQ12,((SUM(DR$4:DR12)-1)*$EE$8)+'Demand adjustments for Covid'!F$13),'Demand background (hide)'!DO12)</f>
        <v/>
      </c>
      <c r="DT12" s="5" t="str">
        <f ca="1">IF('Demand adjustments for Covid'!$F$9="Yes",IF(OR(AND(DN12&gt;='Demand adjustments for Covid'!$F$12,DN12&lt;'Demand adjustments for Covid'!$F$17),DR12=1),DS12+3,DP12),'Demand background (hide)'!DP12)</f>
        <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0</v>
      </c>
    </row>
    <row r="13" spans="1:135" s="5" customFormat="1" x14ac:dyDescent="0.2">
      <c r="A13" s="5">
        <f t="shared" ca="1" si="3"/>
        <v>10</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ca="1" si="13"/>
        <v/>
      </c>
      <c r="BD13" s="46" t="str">
        <f t="shared" ca="1" si="14"/>
        <v/>
      </c>
      <c r="BE13" s="46" t="str">
        <f t="shared" ca="1"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16</v>
      </c>
      <c r="DN13" s="317">
        <f t="shared" si="17"/>
        <v>44305</v>
      </c>
      <c r="DO13" s="5" t="str">
        <f ca="1">VLOOKUP(IF($DM13&lt;53,$DM13,52),'Summary Calculations (hide)'!$D$15:$F$67,2,0)</f>
        <v/>
      </c>
      <c r="DP13" s="5" t="str">
        <f ca="1">VLOOKUP(IF($DM13&lt;53,$DM13,52),'Summary Calculations (hide)'!$D$15:$F$67,3,0)</f>
        <v/>
      </c>
      <c r="DQ13" s="5" t="str">
        <f ca="1">IF(AND(DN13&gt;='Demand adjustments for Covid'!$F$12,DN13&lt;'Demand adjustments for Covid'!$F$17),'Demand adjustments for Covid'!$F$13,DO13)</f>
        <v/>
      </c>
      <c r="DR13" s="5">
        <f t="shared" si="7"/>
        <v>1</v>
      </c>
      <c r="DS13" s="5" t="str">
        <f ca="1">IF('Demand adjustments for Covid'!$F$9="Yes",IF(DR13=0,DQ13,((SUM(DR$4:DR13)-1)*$EE$8)+'Demand adjustments for Covid'!F$13),'Demand background (hide)'!DO13)</f>
        <v/>
      </c>
      <c r="DT13" s="5" t="str">
        <f ca="1">IF('Demand adjustments for Covid'!$F$9="Yes",IF(OR(AND(DN13&gt;='Demand adjustments for Covid'!$F$12,DN13&lt;'Demand adjustments for Covid'!$F$17),DR13=1),DS13+3,DP13),'Demand background (hide)'!DP13)</f>
        <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0</v>
      </c>
    </row>
    <row r="14" spans="1:135" s="5" customFormat="1" x14ac:dyDescent="0.2">
      <c r="A14" s="5">
        <f t="shared" ca="1" si="3"/>
        <v>10</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ca="1" si="13"/>
        <v/>
      </c>
      <c r="BD14" s="46" t="str">
        <f t="shared" ca="1" si="14"/>
        <v/>
      </c>
      <c r="BE14" s="46" t="str">
        <f t="shared" ca="1"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17</v>
      </c>
      <c r="DN14" s="317">
        <f t="shared" si="17"/>
        <v>44312</v>
      </c>
      <c r="DO14" s="5" t="str">
        <f ca="1">VLOOKUP(IF($DM14&lt;53,$DM14,52),'Summary Calculations (hide)'!$D$15:$F$67,2,0)</f>
        <v/>
      </c>
      <c r="DP14" s="5" t="str">
        <f ca="1">VLOOKUP(IF($DM14&lt;53,$DM14,52),'Summary Calculations (hide)'!$D$15:$F$67,3,0)</f>
        <v/>
      </c>
      <c r="DQ14" s="5" t="str">
        <f ca="1">IF(AND(DN14&gt;='Demand adjustments for Covid'!$F$12,DN14&lt;'Demand adjustments for Covid'!$F$17),'Demand adjustments for Covid'!$F$13,DO14)</f>
        <v/>
      </c>
      <c r="DR14" s="5">
        <f t="shared" si="7"/>
        <v>1</v>
      </c>
      <c r="DS14" s="5" t="str">
        <f ca="1">IF('Demand adjustments for Covid'!$F$9="Yes",IF(DR14=0,DQ14,((SUM(DR$4:DR14)-1)*$EE$8)+'Demand adjustments for Covid'!F$13),'Demand background (hide)'!DO14)</f>
        <v/>
      </c>
      <c r="DT14" s="5" t="str">
        <f ca="1">IF('Demand adjustments for Covid'!$F$9="Yes",IF(OR(AND(DN14&gt;='Demand adjustments for Covid'!$F$12,DN14&lt;'Demand adjustments for Covid'!$F$17),DR14=1),DS14+3,DP14),'Demand background (hide)'!DP14)</f>
        <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0</v>
      </c>
    </row>
    <row r="15" spans="1:135" s="5" customFormat="1" x14ac:dyDescent="0.2">
      <c r="A15" s="5">
        <f t="shared" ca="1" si="3"/>
        <v>10</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IF(TEXT(Demand!D24,"MMM")&lt;&gt;TEXT(Demand!D23,"MMM"),TEXT(Demand!D24,"MMM"),"")</f>
        <v/>
      </c>
      <c r="AT15" s="5">
        <f t="shared" ca="1" si="12"/>
        <v>0</v>
      </c>
      <c r="BB15" t="str">
        <f>'Control sheet (hide)'!AA12</f>
        <v>Modality 10</v>
      </c>
      <c r="BC15" s="46" t="str">
        <f t="shared" ca="1" si="13"/>
        <v/>
      </c>
      <c r="BD15" s="46" t="str">
        <f t="shared" ca="1" si="14"/>
        <v/>
      </c>
      <c r="BE15" s="46" t="str">
        <f t="shared" ca="1"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18</v>
      </c>
      <c r="DN15" s="317">
        <f t="shared" si="17"/>
        <v>44319</v>
      </c>
      <c r="DO15" s="5" t="str">
        <f ca="1">VLOOKUP(IF($DM15&lt;53,$DM15,52),'Summary Calculations (hide)'!$D$15:$F$67,2,0)</f>
        <v/>
      </c>
      <c r="DP15" s="5" t="str">
        <f ca="1">VLOOKUP(IF($DM15&lt;53,$DM15,52),'Summary Calculations (hide)'!$D$15:$F$67,3,0)</f>
        <v/>
      </c>
      <c r="DQ15" s="5" t="str">
        <f ca="1">IF(AND(DN15&gt;='Demand adjustments for Covid'!$F$12,DN15&lt;'Demand adjustments for Covid'!$F$17),'Demand adjustments for Covid'!$F$13,DO15)</f>
        <v/>
      </c>
      <c r="DR15" s="5">
        <f t="shared" si="7"/>
        <v>1</v>
      </c>
      <c r="DS15" s="5" t="str">
        <f ca="1">IF('Demand adjustments for Covid'!$F$9="Yes",IF(DR15=0,DQ15,((SUM(DR$4:DR15)-1)*$EE$8)+'Demand adjustments for Covid'!F$13),'Demand background (hide)'!DO15)</f>
        <v/>
      </c>
      <c r="DT15" s="5" t="str">
        <f ca="1">IF('Demand adjustments for Covid'!$F$9="Yes",IF(OR(AND(DN15&gt;='Demand adjustments for Covid'!$F$12,DN15&lt;'Demand adjustments for Covid'!$F$17),DR15=1),DS15+3,DP15),'Demand background (hide)'!DP15)</f>
        <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0</v>
      </c>
    </row>
    <row r="16" spans="1:135" s="5" customFormat="1" x14ac:dyDescent="0.2">
      <c r="A16" s="5">
        <f t="shared" ca="1" si="3"/>
        <v>10</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19</v>
      </c>
      <c r="DN16" s="317">
        <f t="shared" si="17"/>
        <v>44326</v>
      </c>
      <c r="DO16" s="5" t="str">
        <f ca="1">VLOOKUP(IF($DM16&lt;53,$DM16,52),'Summary Calculations (hide)'!$D$15:$F$67,2,0)</f>
        <v/>
      </c>
      <c r="DP16" s="5" t="str">
        <f ca="1">VLOOKUP(IF($DM16&lt;53,$DM16,52),'Summary Calculations (hide)'!$D$15:$F$67,3,0)</f>
        <v/>
      </c>
      <c r="DQ16" s="5" t="str">
        <f ca="1">IF(AND(DN16&gt;='Demand adjustments for Covid'!$F$12,DN16&lt;'Demand adjustments for Covid'!$F$17),'Demand adjustments for Covid'!$F$13,DO16)</f>
        <v/>
      </c>
      <c r="DR16" s="5">
        <f t="shared" si="7"/>
        <v>1</v>
      </c>
      <c r="DS16" s="5" t="str">
        <f ca="1">IF('Demand adjustments for Covid'!$F$9="Yes",IF(DR16=0,DQ16,((SUM(DR$4:DR16)-1)*$EE$8)+'Demand adjustments for Covid'!F$13),'Demand background (hide)'!DO16)</f>
        <v/>
      </c>
      <c r="DT16" s="5" t="str">
        <f ca="1">IF('Demand adjustments for Covid'!$F$9="Yes",IF(OR(AND(DN16&gt;='Demand adjustments for Covid'!$F$12,DN16&lt;'Demand adjustments for Covid'!$F$17),DR16=1),DS16+3,DP16),'Demand background (hide)'!DP16)</f>
        <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0</v>
      </c>
    </row>
    <row r="17" spans="1:128" s="5" customFormat="1" x14ac:dyDescent="0.2">
      <c r="A17" s="5">
        <f t="shared" ca="1" si="3"/>
        <v>10</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20</v>
      </c>
      <c r="DN17" s="317">
        <f t="shared" si="17"/>
        <v>44333</v>
      </c>
      <c r="DO17" s="5" t="str">
        <f ca="1">VLOOKUP(IF($DM17&lt;53,$DM17,52),'Summary Calculations (hide)'!$D$15:$F$67,2,0)</f>
        <v/>
      </c>
      <c r="DP17" s="5" t="str">
        <f ca="1">VLOOKUP(IF($DM17&lt;53,$DM17,52),'Summary Calculations (hide)'!$D$15:$F$67,3,0)</f>
        <v/>
      </c>
      <c r="DQ17" s="5" t="str">
        <f ca="1">IF(AND(DN17&gt;='Demand adjustments for Covid'!$F$12,DN17&lt;'Demand adjustments for Covid'!$F$17),'Demand adjustments for Covid'!$F$13,DO17)</f>
        <v/>
      </c>
      <c r="DR17" s="5">
        <f t="shared" si="7"/>
        <v>1</v>
      </c>
      <c r="DS17" s="5" t="str">
        <f ca="1">IF('Demand adjustments for Covid'!$F$9="Yes",IF(DR17=0,DQ17,((SUM(DR$4:DR17)-1)*$EE$8)+'Demand adjustments for Covid'!F$13),'Demand background (hide)'!DO17)</f>
        <v/>
      </c>
      <c r="DT17" s="5" t="str">
        <f ca="1">IF('Demand adjustments for Covid'!$F$9="Yes",IF(OR(AND(DN17&gt;='Demand adjustments for Covid'!$F$12,DN17&lt;'Demand adjustments for Covid'!$F$17),DR17=1),DS17+3,DP17),'Demand background (hide)'!DP17)</f>
        <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0</v>
      </c>
    </row>
    <row r="18" spans="1:128" s="5" customFormat="1" x14ac:dyDescent="0.2">
      <c r="A18" s="5">
        <f t="shared" ca="1" si="3"/>
        <v>10</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21</v>
      </c>
      <c r="DN18" s="317">
        <f t="shared" si="17"/>
        <v>44340</v>
      </c>
      <c r="DO18" s="5" t="str">
        <f ca="1">VLOOKUP(IF($DM18&lt;53,$DM18,52),'Summary Calculations (hide)'!$D$15:$F$67,2,0)</f>
        <v/>
      </c>
      <c r="DP18" s="5" t="str">
        <f ca="1">VLOOKUP(IF($DM18&lt;53,$DM18,52),'Summary Calculations (hide)'!$D$15:$F$67,3,0)</f>
        <v/>
      </c>
      <c r="DQ18" s="5" t="str">
        <f ca="1">IF(AND(DN18&gt;='Demand adjustments for Covid'!$F$12,DN18&lt;'Demand adjustments for Covid'!$F$17),'Demand adjustments for Covid'!$F$13,DO18)</f>
        <v/>
      </c>
      <c r="DR18" s="5">
        <f t="shared" si="7"/>
        <v>1</v>
      </c>
      <c r="DS18" s="5" t="str">
        <f ca="1">IF('Demand adjustments for Covid'!$F$9="Yes",IF(DR18=0,DQ18,((SUM(DR$4:DR18)-1)*$EE$8)+'Demand adjustments for Covid'!F$13),'Demand background (hide)'!DO18)</f>
        <v/>
      </c>
      <c r="DT18" s="5" t="str">
        <f ca="1">IF('Demand adjustments for Covid'!$F$9="Yes",IF(OR(AND(DN18&gt;='Demand adjustments for Covid'!$F$12,DN18&lt;'Demand adjustments for Covid'!$F$17),DR18=1),DS18+3,DP18),'Demand background (hide)'!DP18)</f>
        <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0</v>
      </c>
    </row>
    <row r="19" spans="1:128" s="5" customFormat="1" x14ac:dyDescent="0.2">
      <c r="A19" s="5">
        <f t="shared" ca="1" si="3"/>
        <v>10</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22</v>
      </c>
      <c r="DN19" s="317">
        <f t="shared" si="17"/>
        <v>44347</v>
      </c>
      <c r="DO19" s="5" t="str">
        <f ca="1">VLOOKUP(IF($DM19&lt;53,$DM19,52),'Summary Calculations (hide)'!$D$15:$F$67,2,0)</f>
        <v/>
      </c>
      <c r="DP19" s="5" t="str">
        <f ca="1">VLOOKUP(IF($DM19&lt;53,$DM19,52),'Summary Calculations (hide)'!$D$15:$F$67,3,0)</f>
        <v/>
      </c>
      <c r="DQ19" s="5" t="str">
        <f ca="1">IF(AND(DN19&gt;='Demand adjustments for Covid'!$F$12,DN19&lt;'Demand adjustments for Covid'!$F$17),'Demand adjustments for Covid'!$F$13,DO19)</f>
        <v/>
      </c>
      <c r="DR19" s="5">
        <f t="shared" si="7"/>
        <v>1</v>
      </c>
      <c r="DS19" s="5" t="str">
        <f ca="1">IF('Demand adjustments for Covid'!$F$9="Yes",IF(DR19=0,DQ19,((SUM(DR$4:DR19)-1)*$EE$8)+'Demand adjustments for Covid'!F$13),'Demand background (hide)'!DO19)</f>
        <v/>
      </c>
      <c r="DT19" s="5" t="str">
        <f ca="1">IF('Demand adjustments for Covid'!$F$9="Yes",IF(OR(AND(DN19&gt;='Demand adjustments for Covid'!$F$12,DN19&lt;'Demand adjustments for Covid'!$F$17),DR19=1),DS19+3,DP19),'Demand background (hide)'!DP19)</f>
        <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0</v>
      </c>
    </row>
    <row r="20" spans="1:128" s="5" customFormat="1" x14ac:dyDescent="0.2">
      <c r="A20" s="5">
        <f t="shared" ca="1" si="3"/>
        <v>10</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23</v>
      </c>
      <c r="DN20" s="317">
        <f t="shared" si="17"/>
        <v>44354</v>
      </c>
      <c r="DO20" s="5" t="str">
        <f ca="1">VLOOKUP(IF($DM20&lt;53,$DM20,52),'Summary Calculations (hide)'!$D$15:$F$67,2,0)</f>
        <v/>
      </c>
      <c r="DP20" s="5" t="str">
        <f ca="1">VLOOKUP(IF($DM20&lt;53,$DM20,52),'Summary Calculations (hide)'!$D$15:$F$67,3,0)</f>
        <v/>
      </c>
      <c r="DQ20" s="5" t="str">
        <f ca="1">IF(AND(DN20&gt;='Demand adjustments for Covid'!$F$12,DN20&lt;'Demand adjustments for Covid'!$F$17),'Demand adjustments for Covid'!$F$13,DO20)</f>
        <v/>
      </c>
      <c r="DR20" s="5">
        <f t="shared" si="7"/>
        <v>1</v>
      </c>
      <c r="DS20" s="5" t="str">
        <f ca="1">IF('Demand adjustments for Covid'!$F$9="Yes",IF(DR20=0,DQ20,((SUM(DR$4:DR20)-1)*$EE$8)+'Demand adjustments for Covid'!F$13),'Demand background (hide)'!DO20)</f>
        <v/>
      </c>
      <c r="DT20" s="5" t="str">
        <f ca="1">IF('Demand adjustments for Covid'!$F$9="Yes",IF(OR(AND(DN20&gt;='Demand adjustments for Covid'!$F$12,DN20&lt;'Demand adjustments for Covid'!$F$17),DR20=1),DS20+3,DP20),'Demand background (hide)'!DP20)</f>
        <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0</v>
      </c>
    </row>
    <row r="21" spans="1:128" s="5" customFormat="1" x14ac:dyDescent="0.2">
      <c r="A21" s="5">
        <f t="shared" ca="1" si="3"/>
        <v>10</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24</v>
      </c>
      <c r="DN21" s="317">
        <f t="shared" si="17"/>
        <v>44361</v>
      </c>
      <c r="DO21" s="5" t="str">
        <f ca="1">VLOOKUP(IF($DM21&lt;53,$DM21,52),'Summary Calculations (hide)'!$D$15:$F$67,2,0)</f>
        <v/>
      </c>
      <c r="DP21" s="5" t="str">
        <f ca="1">VLOOKUP(IF($DM21&lt;53,$DM21,52),'Summary Calculations (hide)'!$D$15:$F$67,3,0)</f>
        <v/>
      </c>
      <c r="DQ21" s="5" t="str">
        <f ca="1">IF(AND(DN21&gt;='Demand adjustments for Covid'!$F$12,DN21&lt;'Demand adjustments for Covid'!$F$17),'Demand adjustments for Covid'!$F$13,DO21)</f>
        <v/>
      </c>
      <c r="DR21" s="5">
        <f t="shared" si="7"/>
        <v>1</v>
      </c>
      <c r="DS21" s="5" t="str">
        <f ca="1">IF('Demand adjustments for Covid'!$F$9="Yes",IF(DR21=0,DQ21,((SUM(DR$4:DR21)-1)*$EE$8)+'Demand adjustments for Covid'!F$13),'Demand background (hide)'!DO21)</f>
        <v/>
      </c>
      <c r="DT21" s="5" t="str">
        <f ca="1">IF('Demand adjustments for Covid'!$F$9="Yes",IF(OR(AND(DN21&gt;='Demand adjustments for Covid'!$F$12,DN21&lt;'Demand adjustments for Covid'!$F$17),DR21=1),DS21+3,DP21),'Demand background (hide)'!DP21)</f>
        <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0</v>
      </c>
    </row>
    <row r="22" spans="1:128" s="5" customFormat="1" x14ac:dyDescent="0.2">
      <c r="A22" s="5">
        <f t="shared" ca="1" si="3"/>
        <v>10</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25</v>
      </c>
      <c r="DN22" s="317">
        <f t="shared" si="17"/>
        <v>44368</v>
      </c>
      <c r="DO22" s="5" t="str">
        <f ca="1">VLOOKUP(IF($DM22&lt;53,$DM22,52),'Summary Calculations (hide)'!$D$15:$F$67,2,0)</f>
        <v/>
      </c>
      <c r="DP22" s="5" t="str">
        <f ca="1">VLOOKUP(IF($DM22&lt;53,$DM22,52),'Summary Calculations (hide)'!$D$15:$F$67,3,0)</f>
        <v/>
      </c>
      <c r="DQ22" s="5" t="str">
        <f ca="1">IF(AND(DN22&gt;='Demand adjustments for Covid'!$F$12,DN22&lt;'Demand adjustments for Covid'!$F$17),'Demand adjustments for Covid'!$F$13,DO22)</f>
        <v/>
      </c>
      <c r="DR22" s="5">
        <f t="shared" si="7"/>
        <v>1</v>
      </c>
      <c r="DS22" s="5" t="str">
        <f ca="1">IF('Demand adjustments for Covid'!$F$9="Yes",IF(DR22=0,DQ22,((SUM(DR$4:DR22)-1)*$EE$8)+'Demand adjustments for Covid'!F$13),'Demand background (hide)'!DO22)</f>
        <v/>
      </c>
      <c r="DT22" s="5" t="str">
        <f ca="1">IF('Demand adjustments for Covid'!$F$9="Yes",IF(OR(AND(DN22&gt;='Demand adjustments for Covid'!$F$12,DN22&lt;'Demand adjustments for Covid'!$F$17),DR22=1),DS22+3,DP22),'Demand background (hide)'!DP22)</f>
        <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0</v>
      </c>
    </row>
    <row r="23" spans="1:128" s="5" customFormat="1" x14ac:dyDescent="0.2">
      <c r="A23" s="5">
        <f t="shared" ca="1" si="3"/>
        <v>10</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26</v>
      </c>
      <c r="DN23" s="317">
        <f t="shared" si="17"/>
        <v>44375</v>
      </c>
      <c r="DO23" s="5" t="str">
        <f ca="1">VLOOKUP(IF($DM23&lt;53,$DM23,52),'Summary Calculations (hide)'!$D$15:$F$67,2,0)</f>
        <v/>
      </c>
      <c r="DP23" s="5" t="str">
        <f ca="1">VLOOKUP(IF($DM23&lt;53,$DM23,52),'Summary Calculations (hide)'!$D$15:$F$67,3,0)</f>
        <v/>
      </c>
      <c r="DQ23" s="5" t="str">
        <f ca="1">IF(AND(DN23&gt;='Demand adjustments for Covid'!$F$12,DN23&lt;'Demand adjustments for Covid'!$F$17),'Demand adjustments for Covid'!$F$13,DO23)</f>
        <v/>
      </c>
      <c r="DR23" s="5">
        <f t="shared" si="7"/>
        <v>1</v>
      </c>
      <c r="DS23" s="5" t="str">
        <f ca="1">IF('Demand adjustments for Covid'!$F$9="Yes",IF(DR23=0,DQ23,((SUM(DR$4:DR23)-1)*$EE$8)+'Demand adjustments for Covid'!F$13),'Demand background (hide)'!DO23)</f>
        <v/>
      </c>
      <c r="DT23" s="5" t="str">
        <f ca="1">IF('Demand adjustments for Covid'!$F$9="Yes",IF(OR(AND(DN23&gt;='Demand adjustments for Covid'!$F$12,DN23&lt;'Demand adjustments for Covid'!$F$17),DR23=1),DS23+3,DP23),'Demand background (hide)'!DP23)</f>
        <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0</v>
      </c>
    </row>
    <row r="24" spans="1:128" s="5" customFormat="1" x14ac:dyDescent="0.2">
      <c r="A24" s="5">
        <f t="shared" ca="1" si="3"/>
        <v>10</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27</v>
      </c>
      <c r="DN24" s="317">
        <f t="shared" si="17"/>
        <v>44382</v>
      </c>
      <c r="DO24" s="5" t="str">
        <f ca="1">VLOOKUP(IF($DM24&lt;53,$DM24,52),'Summary Calculations (hide)'!$D$15:$F$67,2,0)</f>
        <v/>
      </c>
      <c r="DP24" s="5" t="str">
        <f ca="1">VLOOKUP(IF($DM24&lt;53,$DM24,52),'Summary Calculations (hide)'!$D$15:$F$67,3,0)</f>
        <v/>
      </c>
      <c r="DQ24" s="5" t="str">
        <f ca="1">IF(AND(DN24&gt;='Demand adjustments for Covid'!$F$12,DN24&lt;'Demand adjustments for Covid'!$F$17),'Demand adjustments for Covid'!$F$13,DO24)</f>
        <v/>
      </c>
      <c r="DR24" s="5">
        <f t="shared" si="7"/>
        <v>1</v>
      </c>
      <c r="DS24" s="5" t="str">
        <f ca="1">IF('Demand adjustments for Covid'!$F$9="Yes",IF(DR24=0,DQ24,((SUM(DR$4:DR24)-1)*$EE$8)+'Demand adjustments for Covid'!F$13),'Demand background (hide)'!DO24)</f>
        <v/>
      </c>
      <c r="DT24" s="5" t="str">
        <f ca="1">IF('Demand adjustments for Covid'!$F$9="Yes",IF(OR(AND(DN24&gt;='Demand adjustments for Covid'!$F$12,DN24&lt;'Demand adjustments for Covid'!$F$17),DR24=1),DS24+3,DP24),'Demand background (hide)'!DP24)</f>
        <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0</v>
      </c>
    </row>
    <row r="25" spans="1:128" s="5" customFormat="1" x14ac:dyDescent="0.2">
      <c r="A25" s="5">
        <f t="shared" ca="1" si="3"/>
        <v>10</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28</v>
      </c>
      <c r="DN25" s="317">
        <f t="shared" si="17"/>
        <v>44389</v>
      </c>
      <c r="DO25" s="5" t="str">
        <f ca="1">VLOOKUP(IF($DM25&lt;53,$DM25,52),'Summary Calculations (hide)'!$D$15:$F$67,2,0)</f>
        <v/>
      </c>
      <c r="DP25" s="5" t="str">
        <f ca="1">VLOOKUP(IF($DM25&lt;53,$DM25,52),'Summary Calculations (hide)'!$D$15:$F$67,3,0)</f>
        <v/>
      </c>
      <c r="DQ25" s="5" t="str">
        <f ca="1">IF(AND(DN25&gt;='Demand adjustments for Covid'!$F$12,DN25&lt;'Demand adjustments for Covid'!$F$17),'Demand adjustments for Covid'!$F$13,DO25)</f>
        <v/>
      </c>
      <c r="DR25" s="5">
        <f t="shared" si="7"/>
        <v>1</v>
      </c>
      <c r="DS25" s="5" t="str">
        <f ca="1">IF('Demand adjustments for Covid'!$F$9="Yes",IF(DR25=0,DQ25,((SUM(DR$4:DR25)-1)*$EE$8)+'Demand adjustments for Covid'!F$13),'Demand background (hide)'!DO25)</f>
        <v/>
      </c>
      <c r="DT25" s="5" t="str">
        <f ca="1">IF('Demand adjustments for Covid'!$F$9="Yes",IF(OR(AND(DN25&gt;='Demand adjustments for Covid'!$F$12,DN25&lt;'Demand adjustments for Covid'!$F$17),DR25=1),DS25+3,DP25),'Demand background (hide)'!DP25)</f>
        <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0</v>
      </c>
    </row>
    <row r="26" spans="1:128" s="5" customFormat="1" x14ac:dyDescent="0.2">
      <c r="A26" s="5">
        <f t="shared" ca="1" si="3"/>
        <v>10</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29</v>
      </c>
      <c r="DN26" s="317">
        <f t="shared" si="17"/>
        <v>44396</v>
      </c>
      <c r="DO26" s="5" t="str">
        <f ca="1">VLOOKUP(IF($DM26&lt;53,$DM26,52),'Summary Calculations (hide)'!$D$15:$F$67,2,0)</f>
        <v/>
      </c>
      <c r="DP26" s="5" t="str">
        <f ca="1">VLOOKUP(IF($DM26&lt;53,$DM26,52),'Summary Calculations (hide)'!$D$15:$F$67,3,0)</f>
        <v/>
      </c>
      <c r="DQ26" s="5" t="str">
        <f ca="1">IF(AND(DN26&gt;='Demand adjustments for Covid'!$F$12,DN26&lt;'Demand adjustments for Covid'!$F$17),'Demand adjustments for Covid'!$F$13,DO26)</f>
        <v/>
      </c>
      <c r="DR26" s="5">
        <f t="shared" si="7"/>
        <v>1</v>
      </c>
      <c r="DS26" s="5" t="str">
        <f ca="1">IF('Demand adjustments for Covid'!$F$9="Yes",IF(DR26=0,DQ26,((SUM(DR$4:DR26)-1)*$EE$8)+'Demand adjustments for Covid'!F$13),'Demand background (hide)'!DO26)</f>
        <v/>
      </c>
      <c r="DT26" s="5" t="str">
        <f ca="1">IF('Demand adjustments for Covid'!$F$9="Yes",IF(OR(AND(DN26&gt;='Demand adjustments for Covid'!$F$12,DN26&lt;'Demand adjustments for Covid'!$F$17),DR26=1),DS26+3,DP26),'Demand background (hide)'!DP26)</f>
        <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0</v>
      </c>
    </row>
    <row r="27" spans="1:128" s="5" customFormat="1" x14ac:dyDescent="0.2">
      <c r="A27" s="5">
        <f t="shared" ca="1" si="3"/>
        <v>10</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30</v>
      </c>
      <c r="DN27" s="317">
        <f t="shared" si="17"/>
        <v>44403</v>
      </c>
      <c r="DO27" s="5" t="str">
        <f ca="1">VLOOKUP(IF($DM27&lt;53,$DM27,52),'Summary Calculations (hide)'!$D$15:$F$67,2,0)</f>
        <v/>
      </c>
      <c r="DP27" s="5" t="str">
        <f ca="1">VLOOKUP(IF($DM27&lt;53,$DM27,52),'Summary Calculations (hide)'!$D$15:$F$67,3,0)</f>
        <v/>
      </c>
      <c r="DQ27" s="5" t="str">
        <f ca="1">IF(AND(DN27&gt;='Demand adjustments for Covid'!$F$12,DN27&lt;'Demand adjustments for Covid'!$F$17),'Demand adjustments for Covid'!$F$13,DO27)</f>
        <v/>
      </c>
      <c r="DR27" s="5">
        <f t="shared" si="7"/>
        <v>0</v>
      </c>
      <c r="DS27" s="5" t="str">
        <f ca="1">IF('Demand adjustments for Covid'!$F$9="Yes",IF(DR27=0,DQ27,((SUM(DR$4:DR27)-1)*$EE$8)+'Demand adjustments for Covid'!F$13),'Demand background (hide)'!DO27)</f>
        <v/>
      </c>
      <c r="DT27" s="5" t="str">
        <f ca="1">IF('Demand adjustments for Covid'!$F$9="Yes",IF(OR(AND(DN27&gt;='Demand adjustments for Covid'!$F$12,DN27&lt;'Demand adjustments for Covid'!$F$17),DR27=1),DS27+3,DP27),'Demand background (hide)'!DP27)</f>
        <v/>
      </c>
      <c r="DU27" s="5">
        <f ca="1">IF(DS27&lt;='Demand adjustments for Covid'!$F$17,DO27-DS27,0)</f>
        <v>0</v>
      </c>
      <c r="DV27" s="5">
        <f ca="1">IF(AND(ROW(A24)&gt;$EE$5,ROW(A24)&lt;=$EA$5),OFFSET('Demand adjustments for Covid'!$F$35,0,ROW(A24)-'Demand background (hide)'!$EE$5,1,1),0)</f>
        <v>200</v>
      </c>
      <c r="DW27" s="5">
        <f ca="1">IF(AND(ROW(A24)&gt;$EE$5,ROW(A24)&lt;=$EA$5),OFFSET('Demand adjustments for Covid'!$F$36,0,ROW(A24)-'Demand background (hide)'!$EE$5,1,1),0)</f>
        <v>300</v>
      </c>
      <c r="DX27" s="5">
        <f t="shared" ca="1" si="11"/>
        <v>500</v>
      </c>
    </row>
    <row r="28" spans="1:128" s="5" customFormat="1" x14ac:dyDescent="0.2">
      <c r="A28" s="5">
        <f t="shared" ca="1" si="3"/>
        <v>10</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31</v>
      </c>
      <c r="DN28" s="317">
        <f t="shared" si="17"/>
        <v>44410</v>
      </c>
      <c r="DO28" s="5" t="str">
        <f ca="1">VLOOKUP(IF($DM28&lt;53,$DM28,52),'Summary Calculations (hide)'!$D$15:$F$67,2,0)</f>
        <v/>
      </c>
      <c r="DP28" s="5" t="str">
        <f ca="1">VLOOKUP(IF($DM28&lt;53,$DM28,52),'Summary Calculations (hide)'!$D$15:$F$67,3,0)</f>
        <v/>
      </c>
      <c r="DQ28" s="5" t="str">
        <f ca="1">IF(AND(DN28&gt;='Demand adjustments for Covid'!$F$12,DN28&lt;'Demand adjustments for Covid'!$F$17),'Demand adjustments for Covid'!$F$13,DO28)</f>
        <v/>
      </c>
      <c r="DR28" s="5">
        <f t="shared" si="7"/>
        <v>0</v>
      </c>
      <c r="DS28" s="5" t="str">
        <f ca="1">IF('Demand adjustments for Covid'!$F$9="Yes",IF(DR28=0,DQ28,((SUM(DR$4:DR28)-1)*$EE$8)+'Demand adjustments for Covid'!F$13),'Demand background (hide)'!DO28)</f>
        <v/>
      </c>
      <c r="DT28" s="5" t="str">
        <f ca="1">IF('Demand adjustments for Covid'!$F$9="Yes",IF(OR(AND(DN28&gt;='Demand adjustments for Covid'!$F$12,DN28&lt;'Demand adjustments for Covid'!$F$17),DR28=1),DS28+3,DP28),'Demand background (hide)'!DP28)</f>
        <v/>
      </c>
      <c r="DU28" s="5">
        <f ca="1">IF(DS28&lt;='Demand adjustments for Covid'!$F$17,DO28-DS28,0)</f>
        <v>0</v>
      </c>
      <c r="DV28" s="5">
        <f ca="1">IF(AND(ROW(A25)&gt;$EE$5,ROW(A25)&lt;=$EA$5),OFFSET('Demand adjustments for Covid'!$F$35,0,ROW(A25)-'Demand background (hide)'!$EE$5,1,1),0)</f>
        <v>200</v>
      </c>
      <c r="DW28" s="5">
        <f ca="1">IF(AND(ROW(A25)&gt;$EE$5,ROW(A25)&lt;=$EA$5),OFFSET('Demand adjustments for Covid'!$F$36,0,ROW(A25)-'Demand background (hide)'!$EE$5,1,1),0)</f>
        <v>300</v>
      </c>
      <c r="DX28" s="5">
        <f t="shared" ca="1" si="11"/>
        <v>500</v>
      </c>
    </row>
    <row r="29" spans="1:128" s="5" customFormat="1" x14ac:dyDescent="0.2">
      <c r="A29" s="5">
        <f t="shared" ca="1" si="3"/>
        <v>10</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32</v>
      </c>
      <c r="DN29" s="317">
        <f t="shared" si="17"/>
        <v>44417</v>
      </c>
      <c r="DO29" s="5" t="str">
        <f ca="1">VLOOKUP(IF($DM29&lt;53,$DM29,52),'Summary Calculations (hide)'!$D$15:$F$67,2,0)</f>
        <v/>
      </c>
      <c r="DP29" s="5" t="str">
        <f ca="1">VLOOKUP(IF($DM29&lt;53,$DM29,52),'Summary Calculations (hide)'!$D$15:$F$67,3,0)</f>
        <v/>
      </c>
      <c r="DQ29" s="5" t="str">
        <f ca="1">IF(AND(DN29&gt;='Demand adjustments for Covid'!$F$12,DN29&lt;'Demand adjustments for Covid'!$F$17),'Demand adjustments for Covid'!$F$13,DO29)</f>
        <v/>
      </c>
      <c r="DR29" s="5">
        <f t="shared" si="7"/>
        <v>0</v>
      </c>
      <c r="DS29" s="5" t="str">
        <f ca="1">IF('Demand adjustments for Covid'!$F$9="Yes",IF(DR29=0,DQ29,((SUM(DR$4:DR29)-1)*$EE$8)+'Demand adjustments for Covid'!F$13),'Demand background (hide)'!DO29)</f>
        <v/>
      </c>
      <c r="DT29" s="5" t="str">
        <f ca="1">IF('Demand adjustments for Covid'!$F$9="Yes",IF(OR(AND(DN29&gt;='Demand adjustments for Covid'!$F$12,DN29&lt;'Demand adjustments for Covid'!$F$17),DR29=1),DS29+3,DP29),'Demand background (hide)'!DP29)</f>
        <v/>
      </c>
      <c r="DU29" s="5">
        <f ca="1">IF(DS29&lt;='Demand adjustments for Covid'!$F$17,DO29-DS29,0)</f>
        <v>0</v>
      </c>
      <c r="DV29" s="5">
        <f ca="1">IF(AND(ROW(A26)&gt;$EE$5,ROW(A26)&lt;=$EA$5),OFFSET('Demand adjustments for Covid'!$F$35,0,ROW(A26)-'Demand background (hide)'!$EE$5,1,1),0)</f>
        <v>200</v>
      </c>
      <c r="DW29" s="5">
        <f ca="1">IF(AND(ROW(A26)&gt;$EE$5,ROW(A26)&lt;=$EA$5),OFFSET('Demand adjustments for Covid'!$F$36,0,ROW(A26)-'Demand background (hide)'!$EE$5,1,1),0)</f>
        <v>300</v>
      </c>
      <c r="DX29" s="5">
        <f t="shared" ca="1" si="11"/>
        <v>500</v>
      </c>
    </row>
    <row r="30" spans="1:128" s="5" customFormat="1" x14ac:dyDescent="0.2">
      <c r="A30" s="5">
        <f t="shared" ca="1" si="3"/>
        <v>10</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33</v>
      </c>
      <c r="DN30" s="317">
        <f t="shared" si="17"/>
        <v>44424</v>
      </c>
      <c r="DO30" s="5" t="str">
        <f ca="1">VLOOKUP(IF($DM30&lt;53,$DM30,52),'Summary Calculations (hide)'!$D$15:$F$67,2,0)</f>
        <v/>
      </c>
      <c r="DP30" s="5" t="str">
        <f ca="1">VLOOKUP(IF($DM30&lt;53,$DM30,52),'Summary Calculations (hide)'!$D$15:$F$67,3,0)</f>
        <v/>
      </c>
      <c r="DQ30" s="5" t="str">
        <f ca="1">IF(AND(DN30&gt;='Demand adjustments for Covid'!$F$12,DN30&lt;'Demand adjustments for Covid'!$F$17),'Demand adjustments for Covid'!$F$13,DO30)</f>
        <v/>
      </c>
      <c r="DR30" s="5">
        <f t="shared" si="7"/>
        <v>0</v>
      </c>
      <c r="DS30" s="5" t="str">
        <f ca="1">IF('Demand adjustments for Covid'!$F$9="Yes",IF(DR30=0,DQ30,((SUM(DR$4:DR30)-1)*$EE$8)+'Demand adjustments for Covid'!F$13),'Demand background (hide)'!DO30)</f>
        <v/>
      </c>
      <c r="DT30" s="5" t="str">
        <f ca="1">IF('Demand adjustments for Covid'!$F$9="Yes",IF(OR(AND(DN30&gt;='Demand adjustments for Covid'!$F$12,DN30&lt;'Demand adjustments for Covid'!$F$17),DR30=1),DS30+3,DP30),'Demand background (hide)'!DP30)</f>
        <v/>
      </c>
      <c r="DU30" s="5">
        <f ca="1">IF(DS30&lt;='Demand adjustments for Covid'!$F$17,DO30-DS30,0)</f>
        <v>0</v>
      </c>
      <c r="DV30" s="5">
        <f ca="1">IF(AND(ROW(A27)&gt;$EE$5,ROW(A27)&lt;=$EA$5),OFFSET('Demand adjustments for Covid'!$F$35,0,ROW(A27)-'Demand background (hide)'!$EE$5,1,1),0)</f>
        <v>200</v>
      </c>
      <c r="DW30" s="5">
        <f ca="1">IF(AND(ROW(A27)&gt;$EE$5,ROW(A27)&lt;=$EA$5),OFFSET('Demand adjustments for Covid'!$F$36,0,ROW(A27)-'Demand background (hide)'!$EE$5,1,1),0)</f>
        <v>300</v>
      </c>
      <c r="DX30" s="5">
        <f t="shared" ca="1" si="11"/>
        <v>500</v>
      </c>
    </row>
    <row r="31" spans="1:128" s="5" customFormat="1" x14ac:dyDescent="0.2">
      <c r="A31" s="5">
        <f t="shared" ca="1" si="3"/>
        <v>10</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34</v>
      </c>
      <c r="DN31" s="317">
        <f t="shared" si="17"/>
        <v>44431</v>
      </c>
      <c r="DO31" s="5" t="str">
        <f ca="1">VLOOKUP(IF($DM31&lt;53,$DM31,52),'Summary Calculations (hide)'!$D$15:$F$67,2,0)</f>
        <v/>
      </c>
      <c r="DP31" s="5" t="str">
        <f ca="1">VLOOKUP(IF($DM31&lt;53,$DM31,52),'Summary Calculations (hide)'!$D$15:$F$67,3,0)</f>
        <v/>
      </c>
      <c r="DQ31" s="5" t="str">
        <f ca="1">IF(AND(DN31&gt;='Demand adjustments for Covid'!$F$12,DN31&lt;'Demand adjustments for Covid'!$F$17),'Demand adjustments for Covid'!$F$13,DO31)</f>
        <v/>
      </c>
      <c r="DR31" s="5">
        <f t="shared" si="7"/>
        <v>0</v>
      </c>
      <c r="DS31" s="5" t="str">
        <f ca="1">IF('Demand adjustments for Covid'!$F$9="Yes",IF(DR31=0,DQ31,((SUM(DR$4:DR31)-1)*$EE$8)+'Demand adjustments for Covid'!F$13),'Demand background (hide)'!DO31)</f>
        <v/>
      </c>
      <c r="DT31" s="5" t="str">
        <f ca="1">IF('Demand adjustments for Covid'!$F$9="Yes",IF(OR(AND(DN31&gt;='Demand adjustments for Covid'!$F$12,DN31&lt;'Demand adjustments for Covid'!$F$17),DR31=1),DS31+3,DP31),'Demand background (hide)'!DP31)</f>
        <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500</v>
      </c>
    </row>
    <row r="32" spans="1:128" s="5" customFormat="1" x14ac:dyDescent="0.2">
      <c r="A32" s="5">
        <f t="shared" ca="1" si="3"/>
        <v>10</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35</v>
      </c>
      <c r="DN32" s="317">
        <f t="shared" si="17"/>
        <v>44438</v>
      </c>
      <c r="DO32" s="5" t="str">
        <f ca="1">VLOOKUP(IF($DM32&lt;53,$DM32,52),'Summary Calculations (hide)'!$D$15:$F$67,2,0)</f>
        <v/>
      </c>
      <c r="DP32" s="5" t="str">
        <f ca="1">VLOOKUP(IF($DM32&lt;53,$DM32,52),'Summary Calculations (hide)'!$D$15:$F$67,3,0)</f>
        <v/>
      </c>
      <c r="DQ32" s="5" t="str">
        <f ca="1">IF(AND(DN32&gt;='Demand adjustments for Covid'!$F$12,DN32&lt;'Demand adjustments for Covid'!$F$17),'Demand adjustments for Covid'!$F$13,DO32)</f>
        <v/>
      </c>
      <c r="DR32" s="5">
        <f t="shared" si="7"/>
        <v>0</v>
      </c>
      <c r="DS32" s="5" t="str">
        <f ca="1">IF('Demand adjustments for Covid'!$F$9="Yes",IF(DR32=0,DQ32,((SUM(DR$4:DR32)-1)*$EE$8)+'Demand adjustments for Covid'!F$13),'Demand background (hide)'!DO32)</f>
        <v/>
      </c>
      <c r="DT32" s="5" t="str">
        <f ca="1">IF('Demand adjustments for Covid'!$F$9="Yes",IF(OR(AND(DN32&gt;='Demand adjustments for Covid'!$F$12,DN32&lt;'Demand adjustments for Covid'!$F$17),DR32=1),DS32+3,DP32),'Demand background (hide)'!DP32)</f>
        <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500</v>
      </c>
    </row>
    <row r="33" spans="1:128" s="5" customFormat="1" x14ac:dyDescent="0.2">
      <c r="A33" s="5">
        <f t="shared" ca="1" si="3"/>
        <v>10</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36</v>
      </c>
      <c r="DN33" s="317">
        <f t="shared" si="17"/>
        <v>44445</v>
      </c>
      <c r="DO33" s="5" t="str">
        <f ca="1">VLOOKUP(IF($DM33&lt;53,$DM33,52),'Summary Calculations (hide)'!$D$15:$F$67,2,0)</f>
        <v/>
      </c>
      <c r="DP33" s="5" t="str">
        <f ca="1">VLOOKUP(IF($DM33&lt;53,$DM33,52),'Summary Calculations (hide)'!$D$15:$F$67,3,0)</f>
        <v/>
      </c>
      <c r="DQ33" s="5" t="str">
        <f ca="1">IF(AND(DN33&gt;='Demand adjustments for Covid'!$F$12,DN33&lt;'Demand adjustments for Covid'!$F$17),'Demand adjustments for Covid'!$F$13,DO33)</f>
        <v/>
      </c>
      <c r="DR33" s="5">
        <f t="shared" si="7"/>
        <v>0</v>
      </c>
      <c r="DS33" s="5" t="str">
        <f ca="1">IF('Demand adjustments for Covid'!$F$9="Yes",IF(DR33=0,DQ33,((SUM(DR$4:DR33)-1)*$EE$8)+'Demand adjustments for Covid'!F$13),'Demand background (hide)'!DO33)</f>
        <v/>
      </c>
      <c r="DT33" s="5" t="str">
        <f ca="1">IF('Demand adjustments for Covid'!$F$9="Yes",IF(OR(AND(DN33&gt;='Demand adjustments for Covid'!$F$12,DN33&lt;'Demand adjustments for Covid'!$F$17),DR33=1),DS33+3,DP33),'Demand background (hide)'!DP33)</f>
        <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500</v>
      </c>
    </row>
    <row r="34" spans="1:128" s="5" customFormat="1" x14ac:dyDescent="0.2">
      <c r="A34" s="5">
        <f t="shared" ca="1" si="3"/>
        <v>10</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37</v>
      </c>
      <c r="DN34" s="317">
        <f t="shared" si="17"/>
        <v>44452</v>
      </c>
      <c r="DO34" s="5" t="str">
        <f ca="1">VLOOKUP(IF($DM34&lt;53,$DM34,52),'Summary Calculations (hide)'!$D$15:$F$67,2,0)</f>
        <v/>
      </c>
      <c r="DP34" s="5" t="str">
        <f ca="1">VLOOKUP(IF($DM34&lt;53,$DM34,52),'Summary Calculations (hide)'!$D$15:$F$67,3,0)</f>
        <v/>
      </c>
      <c r="DQ34" s="5" t="str">
        <f ca="1">IF(AND(DN34&gt;='Demand adjustments for Covid'!$F$12,DN34&lt;'Demand adjustments for Covid'!$F$17),'Demand adjustments for Covid'!$F$13,DO34)</f>
        <v/>
      </c>
      <c r="DR34" s="5">
        <f t="shared" si="7"/>
        <v>0</v>
      </c>
      <c r="DS34" s="5" t="str">
        <f ca="1">IF('Demand adjustments for Covid'!$F$9="Yes",IF(DR34=0,DQ34,((SUM(DR$4:DR34)-1)*$EE$8)+'Demand adjustments for Covid'!F$13),'Demand background (hide)'!DO34)</f>
        <v/>
      </c>
      <c r="DT34" s="5" t="str">
        <f ca="1">IF('Demand adjustments for Covid'!$F$9="Yes",IF(OR(AND(DN34&gt;='Demand adjustments for Covid'!$F$12,DN34&lt;'Demand adjustments for Covid'!$F$17),DR34=1),DS34+3,DP34),'Demand background (hide)'!DP34)</f>
        <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500</v>
      </c>
    </row>
    <row r="35" spans="1:128" s="5" customFormat="1" x14ac:dyDescent="0.2">
      <c r="A35" s="5">
        <f t="shared" ca="1" si="3"/>
        <v>10</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38</v>
      </c>
      <c r="DN35" s="317">
        <f t="shared" si="17"/>
        <v>44459</v>
      </c>
      <c r="DO35" s="5" t="str">
        <f ca="1">VLOOKUP(IF($DM35&lt;53,$DM35,52),'Summary Calculations (hide)'!$D$15:$F$67,2,0)</f>
        <v/>
      </c>
      <c r="DP35" s="5" t="str">
        <f ca="1">VLOOKUP(IF($DM35&lt;53,$DM35,52),'Summary Calculations (hide)'!$D$15:$F$67,3,0)</f>
        <v/>
      </c>
      <c r="DQ35" s="5" t="str">
        <f ca="1">IF(AND(DN35&gt;='Demand adjustments for Covid'!$F$12,DN35&lt;'Demand adjustments for Covid'!$F$17),'Demand adjustments for Covid'!$F$13,DO35)</f>
        <v/>
      </c>
      <c r="DR35" s="5">
        <f t="shared" si="7"/>
        <v>0</v>
      </c>
      <c r="DS35" s="5" t="str">
        <f ca="1">IF('Demand adjustments for Covid'!$F$9="Yes",IF(DR35=0,DQ35,((SUM(DR$4:DR35)-1)*$EE$8)+'Demand adjustments for Covid'!F$13),'Demand background (hide)'!DO35)</f>
        <v/>
      </c>
      <c r="DT35" s="5" t="str">
        <f ca="1">IF('Demand adjustments for Covid'!$F$9="Yes",IF(OR(AND(DN35&gt;='Demand adjustments for Covid'!$F$12,DN35&lt;'Demand adjustments for Covid'!$F$17),DR35=1),DS35+3,DP35),'Demand background (hide)'!DP35)</f>
        <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500</v>
      </c>
    </row>
    <row r="36" spans="1:128" s="5" customFormat="1" x14ac:dyDescent="0.2">
      <c r="A36" s="5">
        <f t="shared" ref="A36:A55" ca="1" si="32">SUM(OFFSET(B36,0,0,1,Num_Modalities))</f>
        <v>10</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39</v>
      </c>
      <c r="DN36" s="317">
        <f t="shared" si="17"/>
        <v>44466</v>
      </c>
      <c r="DO36" s="5" t="str">
        <f ca="1">VLOOKUP(IF($DM36&lt;53,$DM36,52),'Summary Calculations (hide)'!$D$15:$F$67,2,0)</f>
        <v/>
      </c>
      <c r="DP36" s="5" t="str">
        <f ca="1">VLOOKUP(IF($DM36&lt;53,$DM36,52),'Summary Calculations (hide)'!$D$15:$F$67,3,0)</f>
        <v/>
      </c>
      <c r="DQ36" s="5" t="str">
        <f ca="1">IF(AND(DN36&gt;='Demand adjustments for Covid'!$F$12,DN36&lt;'Demand adjustments for Covid'!$F$17),'Demand adjustments for Covid'!$F$13,DO36)</f>
        <v/>
      </c>
      <c r="DR36" s="5">
        <f t="shared" ref="DR36:DR55" si="33">IF(AND(ROW(A33)&gt;=$EE$4,ROW(A33)&lt;=$EE$5),1,0)</f>
        <v>0</v>
      </c>
      <c r="DS36" s="5" t="str">
        <f ca="1">IF('Demand adjustments for Covid'!$F$9="Yes",IF(DR36=0,DQ36,((SUM(DR$4:DR36)-1)*$EE$8)+'Demand adjustments for Covid'!F$13),'Demand background (hide)'!DO36)</f>
        <v/>
      </c>
      <c r="DT36" s="5" t="str">
        <f ca="1">IF('Demand adjustments for Covid'!$F$9="Yes",IF(OR(AND(DN36&gt;='Demand adjustments for Covid'!$F$12,DN36&lt;'Demand adjustments for Covid'!$F$17),DR36=1),DS36+3,DP36),'Demand background (hide)'!DP36)</f>
        <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500</v>
      </c>
    </row>
    <row r="37" spans="1:128" s="5" customFormat="1" x14ac:dyDescent="0.2">
      <c r="A37" s="5">
        <f t="shared" ca="1" si="32"/>
        <v>10</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40</v>
      </c>
      <c r="DN37" s="317">
        <f t="shared" si="17"/>
        <v>44473</v>
      </c>
      <c r="DO37" s="5" t="str">
        <f ca="1">VLOOKUP(IF($DM37&lt;53,$DM37,52),'Summary Calculations (hide)'!$D$15:$F$67,2,0)</f>
        <v/>
      </c>
      <c r="DP37" s="5" t="str">
        <f ca="1">VLOOKUP(IF($DM37&lt;53,$DM37,52),'Summary Calculations (hide)'!$D$15:$F$67,3,0)</f>
        <v/>
      </c>
      <c r="DQ37" s="5" t="str">
        <f ca="1">IF(AND(DN37&gt;='Demand adjustments for Covid'!$F$12,DN37&lt;'Demand adjustments for Covid'!$F$17),'Demand adjustments for Covid'!$F$13,DO37)</f>
        <v/>
      </c>
      <c r="DR37" s="5">
        <f t="shared" si="33"/>
        <v>0</v>
      </c>
      <c r="DS37" s="5" t="str">
        <f ca="1">IF('Demand adjustments for Covid'!$F$9="Yes",IF(DR37=0,DQ37,((SUM(DR$4:DR37)-1)*$EE$8)+'Demand adjustments for Covid'!F$13),'Demand background (hide)'!DO37)</f>
        <v/>
      </c>
      <c r="DT37" s="5" t="str">
        <f ca="1">IF('Demand adjustments for Covid'!$F$9="Yes",IF(OR(AND(DN37&gt;='Demand adjustments for Covid'!$F$12,DN37&lt;'Demand adjustments for Covid'!$F$17),DR37=1),DS37+3,DP37),'Demand background (hide)'!DP37)</f>
        <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0</v>
      </c>
    </row>
    <row r="38" spans="1:128" s="5" customFormat="1" x14ac:dyDescent="0.2">
      <c r="A38" s="5">
        <f t="shared" ca="1" si="32"/>
        <v>10</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41</v>
      </c>
      <c r="DN38" s="317">
        <f t="shared" si="17"/>
        <v>44480</v>
      </c>
      <c r="DO38" s="5" t="str">
        <f ca="1">VLOOKUP(IF($DM38&lt;53,$DM38,52),'Summary Calculations (hide)'!$D$15:$F$67,2,0)</f>
        <v/>
      </c>
      <c r="DP38" s="5" t="str">
        <f ca="1">VLOOKUP(IF($DM38&lt;53,$DM38,52),'Summary Calculations (hide)'!$D$15:$F$67,3,0)</f>
        <v/>
      </c>
      <c r="DQ38" s="5" t="str">
        <f ca="1">IF(AND(DN38&gt;='Demand adjustments for Covid'!$F$12,DN38&lt;'Demand adjustments for Covid'!$F$17),'Demand adjustments for Covid'!$F$13,DO38)</f>
        <v/>
      </c>
      <c r="DR38" s="5">
        <f t="shared" si="33"/>
        <v>0</v>
      </c>
      <c r="DS38" s="5" t="str">
        <f ca="1">IF('Demand adjustments for Covid'!$F$9="Yes",IF(DR38=0,DQ38,((SUM(DR$4:DR38)-1)*$EE$8)+'Demand adjustments for Covid'!F$13),'Demand background (hide)'!DO38)</f>
        <v/>
      </c>
      <c r="DT38" s="5" t="str">
        <f ca="1">IF('Demand adjustments for Covid'!$F$9="Yes",IF(OR(AND(DN38&gt;='Demand adjustments for Covid'!$F$12,DN38&lt;'Demand adjustments for Covid'!$F$17),DR38=1),DS38+3,DP38),'Demand background (hide)'!DP38)</f>
        <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0</v>
      </c>
    </row>
    <row r="39" spans="1:128" s="5" customFormat="1" x14ac:dyDescent="0.2">
      <c r="A39" s="5">
        <f t="shared" ca="1" si="32"/>
        <v>10</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42</v>
      </c>
      <c r="DN39" s="317">
        <f t="shared" si="17"/>
        <v>44487</v>
      </c>
      <c r="DO39" s="5" t="str">
        <f ca="1">VLOOKUP(IF($DM39&lt;53,$DM39,52),'Summary Calculations (hide)'!$D$15:$F$67,2,0)</f>
        <v/>
      </c>
      <c r="DP39" s="5" t="str">
        <f ca="1">VLOOKUP(IF($DM39&lt;53,$DM39,52),'Summary Calculations (hide)'!$D$15:$F$67,3,0)</f>
        <v/>
      </c>
      <c r="DQ39" s="5" t="str">
        <f ca="1">IF(AND(DN39&gt;='Demand adjustments for Covid'!$F$12,DN39&lt;'Demand adjustments for Covid'!$F$17),'Demand adjustments for Covid'!$F$13,DO39)</f>
        <v/>
      </c>
      <c r="DR39" s="5">
        <f t="shared" si="33"/>
        <v>0</v>
      </c>
      <c r="DS39" s="5" t="str">
        <f ca="1">IF('Demand adjustments for Covid'!$F$9="Yes",IF(DR39=0,DQ39,((SUM(DR$4:DR39)-1)*$EE$8)+'Demand adjustments for Covid'!F$13),'Demand background (hide)'!DO39)</f>
        <v/>
      </c>
      <c r="DT39" s="5" t="str">
        <f ca="1">IF('Demand adjustments for Covid'!$F$9="Yes",IF(OR(AND(DN39&gt;='Demand adjustments for Covid'!$F$12,DN39&lt;'Demand adjustments for Covid'!$F$17),DR39=1),DS39+3,DP39),'Demand background (hide)'!DP39)</f>
        <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0</v>
      </c>
    </row>
    <row r="40" spans="1:128" s="5" customFormat="1" x14ac:dyDescent="0.2">
      <c r="A40" s="5">
        <f t="shared" ca="1" si="32"/>
        <v>10</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43</v>
      </c>
      <c r="DN40" s="317">
        <f t="shared" si="17"/>
        <v>44494</v>
      </c>
      <c r="DO40" s="5" t="str">
        <f ca="1">VLOOKUP(IF($DM40&lt;53,$DM40,52),'Summary Calculations (hide)'!$D$15:$F$67,2,0)</f>
        <v/>
      </c>
      <c r="DP40" s="5" t="str">
        <f ca="1">VLOOKUP(IF($DM40&lt;53,$DM40,52),'Summary Calculations (hide)'!$D$15:$F$67,3,0)</f>
        <v/>
      </c>
      <c r="DQ40" s="5" t="str">
        <f ca="1">IF(AND(DN40&gt;='Demand adjustments for Covid'!$F$12,DN40&lt;'Demand adjustments for Covid'!$F$17),'Demand adjustments for Covid'!$F$13,DO40)</f>
        <v/>
      </c>
      <c r="DR40" s="5">
        <f t="shared" si="33"/>
        <v>0</v>
      </c>
      <c r="DS40" s="5" t="str">
        <f ca="1">IF('Demand adjustments for Covid'!$F$9="Yes",IF(DR40=0,DQ40,((SUM(DR$4:DR40)-1)*$EE$8)+'Demand adjustments for Covid'!F$13),'Demand background (hide)'!DO40)</f>
        <v/>
      </c>
      <c r="DT40" s="5" t="str">
        <f ca="1">IF('Demand adjustments for Covid'!$F$9="Yes",IF(OR(AND(DN40&gt;='Demand adjustments for Covid'!$F$12,DN40&lt;'Demand adjustments for Covid'!$F$17),DR40=1),DS40+3,DP40),'Demand background (hide)'!DP40)</f>
        <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0</v>
      </c>
    </row>
    <row r="41" spans="1:128" s="5" customFormat="1" x14ac:dyDescent="0.2">
      <c r="A41" s="5">
        <f t="shared" ca="1" si="32"/>
        <v>10</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44</v>
      </c>
      <c r="DN41" s="317">
        <f t="shared" si="17"/>
        <v>44501</v>
      </c>
      <c r="DO41" s="5" t="str">
        <f ca="1">VLOOKUP(IF($DM41&lt;53,$DM41,52),'Summary Calculations (hide)'!$D$15:$F$67,2,0)</f>
        <v/>
      </c>
      <c r="DP41" s="5" t="str">
        <f ca="1">VLOOKUP(IF($DM41&lt;53,$DM41,52),'Summary Calculations (hide)'!$D$15:$F$67,3,0)</f>
        <v/>
      </c>
      <c r="DQ41" s="5" t="str">
        <f ca="1">IF(AND(DN41&gt;='Demand adjustments for Covid'!$F$12,DN41&lt;'Demand adjustments for Covid'!$F$17),'Demand adjustments for Covid'!$F$13,DO41)</f>
        <v/>
      </c>
      <c r="DR41" s="5">
        <f t="shared" si="33"/>
        <v>0</v>
      </c>
      <c r="DS41" s="5" t="str">
        <f ca="1">IF('Demand adjustments for Covid'!$F$9="Yes",IF(DR41=0,DQ41,((SUM(DR$4:DR41)-1)*$EE$8)+'Demand adjustments for Covid'!F$13),'Demand background (hide)'!DO41)</f>
        <v/>
      </c>
      <c r="DT41" s="5" t="str">
        <f ca="1">IF('Demand adjustments for Covid'!$F$9="Yes",IF(OR(AND(DN41&gt;='Demand adjustments for Covid'!$F$12,DN41&lt;'Demand adjustments for Covid'!$F$17),DR41=1),DS41+3,DP41),'Demand background (hide)'!DP41)</f>
        <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0</v>
      </c>
    </row>
    <row r="42" spans="1:128" s="5" customFormat="1" x14ac:dyDescent="0.2">
      <c r="A42" s="5">
        <f t="shared" ca="1" si="32"/>
        <v>10</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45</v>
      </c>
      <c r="DN42" s="317">
        <f t="shared" si="17"/>
        <v>44508</v>
      </c>
      <c r="DO42" s="5" t="str">
        <f ca="1">VLOOKUP(IF($DM42&lt;53,$DM42,52),'Summary Calculations (hide)'!$D$15:$F$67,2,0)</f>
        <v/>
      </c>
      <c r="DP42" s="5" t="str">
        <f ca="1">VLOOKUP(IF($DM42&lt;53,$DM42,52),'Summary Calculations (hide)'!$D$15:$F$67,3,0)</f>
        <v/>
      </c>
      <c r="DQ42" s="5" t="str">
        <f ca="1">IF(AND(DN42&gt;='Demand adjustments for Covid'!$F$12,DN42&lt;'Demand adjustments for Covid'!$F$17),'Demand adjustments for Covid'!$F$13,DO42)</f>
        <v/>
      </c>
      <c r="DR42" s="5">
        <f t="shared" si="33"/>
        <v>0</v>
      </c>
      <c r="DS42" s="5" t="str">
        <f ca="1">IF('Demand adjustments for Covid'!$F$9="Yes",IF(DR42=0,DQ42,((SUM(DR$4:DR42)-1)*$EE$8)+'Demand adjustments for Covid'!F$13),'Demand background (hide)'!DO42)</f>
        <v/>
      </c>
      <c r="DT42" s="5" t="str">
        <f ca="1">IF('Demand adjustments for Covid'!$F$9="Yes",IF(OR(AND(DN42&gt;='Demand adjustments for Covid'!$F$12,DN42&lt;'Demand adjustments for Covid'!$F$17),DR42=1),DS42+3,DP42),'Demand background (hide)'!DP42)</f>
        <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0</v>
      </c>
    </row>
    <row r="43" spans="1:128" s="5" customFormat="1" x14ac:dyDescent="0.2">
      <c r="A43" s="5">
        <f t="shared" ca="1" si="32"/>
        <v>10</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46</v>
      </c>
      <c r="DN43" s="317">
        <f t="shared" si="17"/>
        <v>44515</v>
      </c>
      <c r="DO43" s="5" t="str">
        <f ca="1">VLOOKUP(IF($DM43&lt;53,$DM43,52),'Summary Calculations (hide)'!$D$15:$F$67,2,0)</f>
        <v/>
      </c>
      <c r="DP43" s="5" t="str">
        <f ca="1">VLOOKUP(IF($DM43&lt;53,$DM43,52),'Summary Calculations (hide)'!$D$15:$F$67,3,0)</f>
        <v/>
      </c>
      <c r="DQ43" s="5" t="str">
        <f ca="1">IF(AND(DN43&gt;='Demand adjustments for Covid'!$F$12,DN43&lt;'Demand adjustments for Covid'!$F$17),'Demand adjustments for Covid'!$F$13,DO43)</f>
        <v/>
      </c>
      <c r="DR43" s="5">
        <f t="shared" si="33"/>
        <v>0</v>
      </c>
      <c r="DS43" s="5" t="str">
        <f ca="1">IF('Demand adjustments for Covid'!$F$9="Yes",IF(DR43=0,DQ43,((SUM(DR$4:DR43)-1)*$EE$8)+'Demand adjustments for Covid'!F$13),'Demand background (hide)'!DO43)</f>
        <v/>
      </c>
      <c r="DT43" s="5" t="str">
        <f ca="1">IF('Demand adjustments for Covid'!$F$9="Yes",IF(OR(AND(DN43&gt;='Demand adjustments for Covid'!$F$12,DN43&lt;'Demand adjustments for Covid'!$F$17),DR43=1),DS43+3,DP43),'Demand background (hide)'!DP43)</f>
        <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0</v>
      </c>
    </row>
    <row r="44" spans="1:128" s="5" customFormat="1" x14ac:dyDescent="0.2">
      <c r="A44" s="5">
        <f t="shared" ca="1" si="32"/>
        <v>10</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47</v>
      </c>
      <c r="DN44" s="317">
        <f t="shared" si="17"/>
        <v>44522</v>
      </c>
      <c r="DO44" s="5" t="str">
        <f ca="1">VLOOKUP(IF($DM44&lt;53,$DM44,52),'Summary Calculations (hide)'!$D$15:$F$67,2,0)</f>
        <v/>
      </c>
      <c r="DP44" s="5" t="str">
        <f ca="1">VLOOKUP(IF($DM44&lt;53,$DM44,52),'Summary Calculations (hide)'!$D$15:$F$67,3,0)</f>
        <v/>
      </c>
      <c r="DQ44" s="5" t="str">
        <f ca="1">IF(AND(DN44&gt;='Demand adjustments for Covid'!$F$12,DN44&lt;'Demand adjustments for Covid'!$F$17),'Demand adjustments for Covid'!$F$13,DO44)</f>
        <v/>
      </c>
      <c r="DR44" s="5">
        <f t="shared" si="33"/>
        <v>0</v>
      </c>
      <c r="DS44" s="5" t="str">
        <f ca="1">IF('Demand adjustments for Covid'!$F$9="Yes",IF(DR44=0,DQ44,((SUM(DR$4:DR44)-1)*$EE$8)+'Demand adjustments for Covid'!F$13),'Demand background (hide)'!DO44)</f>
        <v/>
      </c>
      <c r="DT44" s="5" t="str">
        <f ca="1">IF('Demand adjustments for Covid'!$F$9="Yes",IF(OR(AND(DN44&gt;='Demand adjustments for Covid'!$F$12,DN44&lt;'Demand adjustments for Covid'!$F$17),DR44=1),DS44+3,DP44),'Demand background (hide)'!DP44)</f>
        <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0</v>
      </c>
    </row>
    <row r="45" spans="1:128" s="5" customFormat="1" x14ac:dyDescent="0.2">
      <c r="A45" s="5">
        <f t="shared" ca="1" si="32"/>
        <v>10</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48</v>
      </c>
      <c r="DN45" s="317">
        <f t="shared" si="17"/>
        <v>44529</v>
      </c>
      <c r="DO45" s="5" t="str">
        <f ca="1">VLOOKUP(IF($DM45&lt;53,$DM45,52),'Summary Calculations (hide)'!$D$15:$F$67,2,0)</f>
        <v/>
      </c>
      <c r="DP45" s="5" t="str">
        <f ca="1">VLOOKUP(IF($DM45&lt;53,$DM45,52),'Summary Calculations (hide)'!$D$15:$F$67,3,0)</f>
        <v/>
      </c>
      <c r="DQ45" s="5" t="str">
        <f ca="1">IF(AND(DN45&gt;='Demand adjustments for Covid'!$F$12,DN45&lt;'Demand adjustments for Covid'!$F$17),'Demand adjustments for Covid'!$F$13,DO45)</f>
        <v/>
      </c>
      <c r="DR45" s="5">
        <f t="shared" si="33"/>
        <v>0</v>
      </c>
      <c r="DS45" s="5" t="str">
        <f ca="1">IF('Demand adjustments for Covid'!$F$9="Yes",IF(DR45=0,DQ45,((SUM(DR$4:DR45)-1)*$EE$8)+'Demand adjustments for Covid'!F$13),'Demand background (hide)'!DO45)</f>
        <v/>
      </c>
      <c r="DT45" s="5" t="str">
        <f ca="1">IF('Demand adjustments for Covid'!$F$9="Yes",IF(OR(AND(DN45&gt;='Demand adjustments for Covid'!$F$12,DN45&lt;'Demand adjustments for Covid'!$F$17),DR45=1),DS45+3,DP45),'Demand background (hide)'!DP45)</f>
        <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0</v>
      </c>
    </row>
    <row r="46" spans="1:128" s="5" customFormat="1" x14ac:dyDescent="0.2">
      <c r="A46" s="5">
        <f t="shared" ca="1" si="32"/>
        <v>10</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49</v>
      </c>
      <c r="DN46" s="317">
        <f t="shared" si="17"/>
        <v>44536</v>
      </c>
      <c r="DO46" s="5" t="str">
        <f ca="1">VLOOKUP(IF($DM46&lt;53,$DM46,52),'Summary Calculations (hide)'!$D$15:$F$67,2,0)</f>
        <v/>
      </c>
      <c r="DP46" s="5" t="str">
        <f ca="1">VLOOKUP(IF($DM46&lt;53,$DM46,52),'Summary Calculations (hide)'!$D$15:$F$67,3,0)</f>
        <v/>
      </c>
      <c r="DQ46" s="5" t="str">
        <f ca="1">IF(AND(DN46&gt;='Demand adjustments for Covid'!$F$12,DN46&lt;'Demand adjustments for Covid'!$F$17),'Demand adjustments for Covid'!$F$13,DO46)</f>
        <v/>
      </c>
      <c r="DR46" s="5">
        <f t="shared" si="33"/>
        <v>0</v>
      </c>
      <c r="DS46" s="5" t="str">
        <f ca="1">IF('Demand adjustments for Covid'!$F$9="Yes",IF(DR46=0,DQ46,((SUM(DR$4:DR46)-1)*$EE$8)+'Demand adjustments for Covid'!F$13),'Demand background (hide)'!DO46)</f>
        <v/>
      </c>
      <c r="DT46" s="5" t="str">
        <f ca="1">IF('Demand adjustments for Covid'!$F$9="Yes",IF(OR(AND(DN46&gt;='Demand adjustments for Covid'!$F$12,DN46&lt;'Demand adjustments for Covid'!$F$17),DR46=1),DS46+3,DP46),'Demand background (hide)'!DP46)</f>
        <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0</v>
      </c>
    </row>
    <row r="47" spans="1:128" s="5" customFormat="1" x14ac:dyDescent="0.2">
      <c r="A47" s="5">
        <f t="shared" ca="1" si="32"/>
        <v>10</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50</v>
      </c>
      <c r="DN47" s="317">
        <f t="shared" si="17"/>
        <v>44543</v>
      </c>
      <c r="DO47" s="5" t="str">
        <f ca="1">VLOOKUP(IF($DM47&lt;53,$DM47,52),'Summary Calculations (hide)'!$D$15:$F$67,2,0)</f>
        <v/>
      </c>
      <c r="DP47" s="5" t="str">
        <f ca="1">VLOOKUP(IF($DM47&lt;53,$DM47,52),'Summary Calculations (hide)'!$D$15:$F$67,3,0)</f>
        <v/>
      </c>
      <c r="DQ47" s="5" t="str">
        <f ca="1">IF(AND(DN47&gt;='Demand adjustments for Covid'!$F$12,DN47&lt;'Demand adjustments for Covid'!$F$17),'Demand adjustments for Covid'!$F$13,DO47)</f>
        <v/>
      </c>
      <c r="DR47" s="5">
        <f t="shared" si="33"/>
        <v>0</v>
      </c>
      <c r="DS47" s="5" t="str">
        <f ca="1">IF('Demand adjustments for Covid'!$F$9="Yes",IF(DR47=0,DQ47,((SUM(DR$4:DR47)-1)*$EE$8)+'Demand adjustments for Covid'!F$13),'Demand background (hide)'!DO47)</f>
        <v/>
      </c>
      <c r="DT47" s="5" t="str">
        <f ca="1">IF('Demand adjustments for Covid'!$F$9="Yes",IF(OR(AND(DN47&gt;='Demand adjustments for Covid'!$F$12,DN47&lt;'Demand adjustments for Covid'!$F$17),DR47=1),DS47+3,DP47),'Demand background (hide)'!DP47)</f>
        <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0</v>
      </c>
    </row>
    <row r="48" spans="1:128" s="5" customFormat="1" x14ac:dyDescent="0.2">
      <c r="A48" s="5">
        <f t="shared" ca="1" si="32"/>
        <v>10</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51</v>
      </c>
      <c r="DN48" s="317">
        <f t="shared" si="17"/>
        <v>44550</v>
      </c>
      <c r="DO48" s="5" t="str">
        <f ca="1">VLOOKUP(IF($DM48&lt;53,$DM48,52),'Summary Calculations (hide)'!$D$15:$F$67,2,0)</f>
        <v/>
      </c>
      <c r="DP48" s="5" t="str">
        <f ca="1">VLOOKUP(IF($DM48&lt;53,$DM48,52),'Summary Calculations (hide)'!$D$15:$F$67,3,0)</f>
        <v/>
      </c>
      <c r="DQ48" s="5" t="str">
        <f ca="1">IF(AND(DN48&gt;='Demand adjustments for Covid'!$F$12,DN48&lt;'Demand adjustments for Covid'!$F$17),'Demand adjustments for Covid'!$F$13,DO48)</f>
        <v/>
      </c>
      <c r="DR48" s="5">
        <f t="shared" si="33"/>
        <v>0</v>
      </c>
      <c r="DS48" s="5" t="str">
        <f ca="1">IF('Demand adjustments for Covid'!$F$9="Yes",IF(DR48=0,DQ48,((SUM(DR$4:DR48)-1)*$EE$8)+'Demand adjustments for Covid'!F$13),'Demand background (hide)'!DO48)</f>
        <v/>
      </c>
      <c r="DT48" s="5" t="str">
        <f ca="1">IF('Demand adjustments for Covid'!$F$9="Yes",IF(OR(AND(DN48&gt;='Demand adjustments for Covid'!$F$12,DN48&lt;'Demand adjustments for Covid'!$F$17),DR48=1),DS48+3,DP48),'Demand background (hide)'!DP48)</f>
        <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0</v>
      </c>
    </row>
    <row r="49" spans="1:132" s="5" customFormat="1" x14ac:dyDescent="0.2">
      <c r="A49" s="5">
        <f t="shared" ca="1" si="32"/>
        <v>10</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52</v>
      </c>
      <c r="DN49" s="317">
        <f t="shared" si="17"/>
        <v>44557</v>
      </c>
      <c r="DO49" s="5" t="str">
        <f ca="1">VLOOKUP(IF($DM49&lt;53,$DM49,52),'Summary Calculations (hide)'!$D$15:$F$67,2,0)</f>
        <v/>
      </c>
      <c r="DP49" s="5" t="str">
        <f ca="1">VLOOKUP(IF($DM49&lt;53,$DM49,52),'Summary Calculations (hide)'!$D$15:$F$67,3,0)</f>
        <v/>
      </c>
      <c r="DQ49" s="5" t="str">
        <f ca="1">IF(AND(DN49&gt;='Demand adjustments for Covid'!$F$12,DN49&lt;'Demand adjustments for Covid'!$F$17),'Demand adjustments for Covid'!$F$13,DO49)</f>
        <v/>
      </c>
      <c r="DR49" s="5">
        <f t="shared" si="33"/>
        <v>0</v>
      </c>
      <c r="DS49" s="5" t="str">
        <f ca="1">IF('Demand adjustments for Covid'!$F$9="Yes",IF(DR49=0,DQ49,((SUM(DR$4:DR49)-1)*$EE$8)+'Demand adjustments for Covid'!F$13),'Demand background (hide)'!DO49)</f>
        <v/>
      </c>
      <c r="DT49" s="5" t="str">
        <f ca="1">IF('Demand adjustments for Covid'!$F$9="Yes",IF(OR(AND(DN49&gt;='Demand adjustments for Covid'!$F$12,DN49&lt;'Demand adjustments for Covid'!$F$17),DR49=1),DS49+3,DP49),'Demand background (hide)'!DP49)</f>
        <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0</v>
      </c>
    </row>
    <row r="50" spans="1:132" s="5" customFormat="1" x14ac:dyDescent="0.2">
      <c r="A50" s="5">
        <f t="shared" ca="1" si="32"/>
        <v>10</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v>
      </c>
      <c r="DN50" s="317">
        <f t="shared" si="17"/>
        <v>44564</v>
      </c>
      <c r="DO50" s="5" t="str">
        <f ca="1">VLOOKUP(IF($DM50&lt;53,$DM50,52),'Summary Calculations (hide)'!$D$15:$F$67,2,0)</f>
        <v/>
      </c>
      <c r="DP50" s="5" t="str">
        <f ca="1">VLOOKUP(IF($DM50&lt;53,$DM50,52),'Summary Calculations (hide)'!$D$15:$F$67,3,0)</f>
        <v/>
      </c>
      <c r="DQ50" s="5" t="str">
        <f ca="1">IF(AND(DN50&gt;='Demand adjustments for Covid'!$F$12,DN50&lt;'Demand adjustments for Covid'!$F$17),'Demand adjustments for Covid'!$F$13,DO50)</f>
        <v/>
      </c>
      <c r="DR50" s="5">
        <f t="shared" si="33"/>
        <v>0</v>
      </c>
      <c r="DS50" s="5" t="str">
        <f ca="1">IF('Demand adjustments for Covid'!$F$9="Yes",IF(DR50=0,DQ50,((SUM(DR$4:DR50)-1)*$EE$8)+'Demand adjustments for Covid'!F$13),'Demand background (hide)'!DO50)</f>
        <v/>
      </c>
      <c r="DT50" s="5" t="str">
        <f ca="1">IF('Demand adjustments for Covid'!$F$9="Yes",IF(OR(AND(DN50&gt;='Demand adjustments for Covid'!$F$12,DN50&lt;'Demand adjustments for Covid'!$F$17),DR50=1),DS50+3,DP50),'Demand background (hide)'!DP50)</f>
        <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0</v>
      </c>
    </row>
    <row r="51" spans="1:132" s="5" customFormat="1" x14ac:dyDescent="0.2">
      <c r="A51" s="5">
        <f t="shared" ca="1" si="32"/>
        <v>10</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2</v>
      </c>
      <c r="DN51" s="317">
        <f t="shared" si="17"/>
        <v>44571</v>
      </c>
      <c r="DO51" s="5" t="str">
        <f ca="1">VLOOKUP(IF($DM51&lt;53,$DM51,52),'Summary Calculations (hide)'!$D$15:$F$67,2,0)</f>
        <v/>
      </c>
      <c r="DP51" s="5" t="str">
        <f ca="1">VLOOKUP(IF($DM51&lt;53,$DM51,52),'Summary Calculations (hide)'!$D$15:$F$67,3,0)</f>
        <v/>
      </c>
      <c r="DQ51" s="5" t="str">
        <f ca="1">IF(AND(DN51&gt;='Demand adjustments for Covid'!$F$12,DN51&lt;'Demand adjustments for Covid'!$F$17),'Demand adjustments for Covid'!$F$13,DO51)</f>
        <v/>
      </c>
      <c r="DR51" s="5">
        <f t="shared" si="33"/>
        <v>0</v>
      </c>
      <c r="DS51" s="5" t="str">
        <f ca="1">IF('Demand adjustments for Covid'!$F$9="Yes",IF(DR51=0,DQ51,((SUM(DR$4:DR51)-1)*$EE$8)+'Demand adjustments for Covid'!F$13),'Demand background (hide)'!DO51)</f>
        <v/>
      </c>
      <c r="DT51" s="5" t="str">
        <f ca="1">IF('Demand adjustments for Covid'!$F$9="Yes",IF(OR(AND(DN51&gt;='Demand adjustments for Covid'!$F$12,DN51&lt;'Demand adjustments for Covid'!$F$17),DR51=1),DS51+3,DP51),'Demand background (hide)'!DP51)</f>
        <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0</v>
      </c>
    </row>
    <row r="52" spans="1:132" s="5" customFormat="1" x14ac:dyDescent="0.2">
      <c r="A52" s="5">
        <f t="shared" ca="1" si="32"/>
        <v>10</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3</v>
      </c>
      <c r="DN52" s="317">
        <f t="shared" si="17"/>
        <v>44578</v>
      </c>
      <c r="DO52" s="5" t="str">
        <f ca="1">VLOOKUP(IF($DM52&lt;53,$DM52,52),'Summary Calculations (hide)'!$D$15:$F$67,2,0)</f>
        <v/>
      </c>
      <c r="DP52" s="5" t="str">
        <f ca="1">VLOOKUP(IF($DM52&lt;53,$DM52,52),'Summary Calculations (hide)'!$D$15:$F$67,3,0)</f>
        <v/>
      </c>
      <c r="DQ52" s="5" t="str">
        <f ca="1">IF(AND(DN52&gt;='Demand adjustments for Covid'!$F$12,DN52&lt;'Demand adjustments for Covid'!$F$17),'Demand adjustments for Covid'!$F$13,DO52)</f>
        <v/>
      </c>
      <c r="DR52" s="5">
        <f t="shared" si="33"/>
        <v>0</v>
      </c>
      <c r="DS52" s="5" t="str">
        <f ca="1">IF('Demand adjustments for Covid'!$F$9="Yes",IF(DR52=0,DQ52,((SUM(DR$4:DR52)-1)*$EE$8)+'Demand adjustments for Covid'!F$13),'Demand background (hide)'!DO52)</f>
        <v/>
      </c>
      <c r="DT52" s="5" t="str">
        <f ca="1">IF('Demand adjustments for Covid'!$F$9="Yes",IF(OR(AND(DN52&gt;='Demand adjustments for Covid'!$F$12,DN52&lt;'Demand adjustments for Covid'!$F$17),DR52=1),DS52+3,DP52),'Demand background (hide)'!DP52)</f>
        <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0</v>
      </c>
    </row>
    <row r="53" spans="1:132" s="5" customFormat="1" x14ac:dyDescent="0.2">
      <c r="A53" s="5">
        <f t="shared" ca="1" si="32"/>
        <v>10</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4</v>
      </c>
      <c r="DN53" s="317">
        <f t="shared" si="17"/>
        <v>44585</v>
      </c>
      <c r="DO53" s="5" t="str">
        <f ca="1">VLOOKUP(IF($DM53&lt;53,$DM53,52),'Summary Calculations (hide)'!$D$15:$F$67,2,0)</f>
        <v/>
      </c>
      <c r="DP53" s="5" t="str">
        <f ca="1">VLOOKUP(IF($DM53&lt;53,$DM53,52),'Summary Calculations (hide)'!$D$15:$F$67,3,0)</f>
        <v/>
      </c>
      <c r="DQ53" s="5" t="str">
        <f ca="1">IF(AND(DN53&gt;='Demand adjustments for Covid'!$F$12,DN53&lt;'Demand adjustments for Covid'!$F$17),'Demand adjustments for Covid'!$F$13,DO53)</f>
        <v/>
      </c>
      <c r="DR53" s="5">
        <f t="shared" si="33"/>
        <v>0</v>
      </c>
      <c r="DS53" s="5" t="str">
        <f ca="1">IF('Demand adjustments for Covid'!$F$9="Yes",IF(DR53=0,DQ53,((SUM(DR$4:DR53)-1)*$EE$8)+'Demand adjustments for Covid'!F$13),'Demand background (hide)'!DO53)</f>
        <v/>
      </c>
      <c r="DT53" s="5" t="str">
        <f ca="1">IF('Demand adjustments for Covid'!$F$9="Yes",IF(OR(AND(DN53&gt;='Demand adjustments for Covid'!$F$12,DN53&lt;'Demand adjustments for Covid'!$F$17),DR53=1),DS53+3,DP53),'Demand background (hide)'!DP53)</f>
        <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0</v>
      </c>
    </row>
    <row r="54" spans="1:132" s="5" customFormat="1" x14ac:dyDescent="0.2">
      <c r="A54" s="5">
        <f t="shared" ca="1" si="32"/>
        <v>10</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5</v>
      </c>
      <c r="DN54" s="317">
        <f t="shared" si="17"/>
        <v>44592</v>
      </c>
      <c r="DO54" s="5" t="str">
        <f ca="1">VLOOKUP(IF($DM54&lt;53,$DM54,52),'Summary Calculations (hide)'!$D$15:$F$67,2,0)</f>
        <v/>
      </c>
      <c r="DP54" s="5" t="str">
        <f ca="1">VLOOKUP(IF($DM54&lt;53,$DM54,52),'Summary Calculations (hide)'!$D$15:$F$67,3,0)</f>
        <v/>
      </c>
      <c r="DQ54" s="5" t="str">
        <f ca="1">IF(AND(DN54&gt;='Demand adjustments for Covid'!$F$12,DN54&lt;'Demand adjustments for Covid'!$F$17),'Demand adjustments for Covid'!$F$13,DO54)</f>
        <v/>
      </c>
      <c r="DR54" s="5">
        <f t="shared" si="33"/>
        <v>0</v>
      </c>
      <c r="DS54" s="5" t="str">
        <f ca="1">IF('Demand adjustments for Covid'!$F$9="Yes",IF(DR54=0,DQ54,((SUM(DR$4:DR54)-1)*$EE$8)+'Demand adjustments for Covid'!F$13),'Demand background (hide)'!DO54)</f>
        <v/>
      </c>
      <c r="DT54" s="5" t="str">
        <f ca="1">IF('Demand adjustments for Covid'!$F$9="Yes",IF(OR(AND(DN54&gt;='Demand adjustments for Covid'!$F$12,DN54&lt;'Demand adjustments for Covid'!$F$17),DR54=1),DS54+3,DP54),'Demand background (hide)'!DP54)</f>
        <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0</v>
      </c>
    </row>
    <row r="55" spans="1:132" s="5" customFormat="1" x14ac:dyDescent="0.2">
      <c r="A55" s="5">
        <f t="shared" ca="1" si="32"/>
        <v>10</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6</v>
      </c>
      <c r="DN55" s="317">
        <f t="shared" si="17"/>
        <v>44599</v>
      </c>
      <c r="DO55" s="5" t="str">
        <f ca="1">VLOOKUP(IF($DM55&lt;53,$DM55,52),'Summary Calculations (hide)'!$D$15:$F$67,2,0)</f>
        <v/>
      </c>
      <c r="DP55" s="5" t="str">
        <f ca="1">VLOOKUP(IF($DM55&lt;53,$DM55,52),'Summary Calculations (hide)'!$D$15:$F$67,3,0)</f>
        <v/>
      </c>
      <c r="DQ55" s="5" t="str">
        <f ca="1">IF(AND(DN55&gt;='Demand adjustments for Covid'!$F$12,DN55&lt;'Demand adjustments for Covid'!$F$17),'Demand adjustments for Covid'!$F$13,DO55)</f>
        <v/>
      </c>
      <c r="DR55" s="5">
        <f t="shared" si="33"/>
        <v>0</v>
      </c>
      <c r="DS55" s="5" t="str">
        <f ca="1">IF('Demand adjustments for Covid'!$F$9="Yes",IF(DR55=0,DQ55,((SUM(DR$4:DR55)-1)*$EE$8)+'Demand adjustments for Covid'!F$13),'Demand background (hide)'!DO55)</f>
        <v/>
      </c>
      <c r="DT55" s="5" t="str">
        <f ca="1">IF('Demand adjustments for Covid'!$F$9="Yes",IF(OR(AND(DN55&gt;='Demand adjustments for Covid'!$F$12,DN55&lt;'Demand adjustments for Covid'!$F$17),DR55=1),DS55+3,DP55),'Demand background (hide)'!DP55)</f>
        <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0</v>
      </c>
    </row>
    <row r="56" spans="1:132" x14ac:dyDescent="0.2">
      <c r="A56" s="5">
        <f t="shared" ref="A56:A119" ca="1" si="34">SUM(OFFSET(B56,0,0,1,Num_Modalities))</f>
        <v>10</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53</v>
      </c>
      <c r="DN56" s="317">
        <f t="shared" si="17"/>
        <v>44606</v>
      </c>
      <c r="DO56" s="5" t="str">
        <f ca="1">VLOOKUP(IF($DM56&lt;53,$DM56,52),'Summary Calculations (hide)'!$D$15:$F$67,2,0)</f>
        <v/>
      </c>
      <c r="DP56" s="5" t="str">
        <f ca="1">VLOOKUP(IF($DM56&lt;53,$DM56,52),'Summary Calculations (hide)'!$D$15:$F$67,3,0)</f>
        <v/>
      </c>
      <c r="DQ56" s="5" t="str">
        <f ca="1">IF(AND(DN56&gt;='Demand adjustments for Covid'!$F$12,DN56&lt;'Demand adjustments for Covid'!$F$17),'Demand adjustments for Covid'!$F$13,DO56)</f>
        <v/>
      </c>
      <c r="DR56" s="5">
        <f t="shared" ref="DR56" si="35">IF(AND(ROW(A53)&gt;=$EE$4,ROW(A53)&lt;=$EE$5),1,0)</f>
        <v>0</v>
      </c>
      <c r="DS56" s="5" t="str">
        <f ca="1">IF('Demand adjustments for Covid'!$F$9="Yes",IF(DR56=0,DQ56,((SUM(DR$4:DR56)-1)*$EE$8)+'Demand adjustments for Covid'!F$13),'Demand background (hide)'!DO56)</f>
        <v/>
      </c>
      <c r="DT56" s="5" t="str">
        <f ca="1">IF('Demand adjustments for Covid'!$F$9="Yes",IF(OR(AND(DN56&gt;='Demand adjustments for Covid'!$F$12,DN56&lt;'Demand adjustments for Covid'!$F$17),DR56=1),DS56+3,DP56),'Demand background (hide)'!DP56)</f>
        <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0</v>
      </c>
      <c r="DY56" s="5"/>
      <c r="DZ56" s="5"/>
      <c r="EA56" s="5"/>
      <c r="EB56" s="5"/>
    </row>
    <row r="57" spans="1:132" x14ac:dyDescent="0.2">
      <c r="A57" s="5">
        <f t="shared" ca="1" si="34"/>
        <v>10</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
      <c r="A58" s="5">
        <f t="shared" ca="1" si="34"/>
        <v>10</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
      <c r="A59" s="5">
        <f t="shared" ca="1" si="34"/>
        <v>10</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
      <c r="A60" s="5">
        <f t="shared" ca="1" si="34"/>
        <v>10</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
      <c r="A61" s="5">
        <f t="shared" ca="1" si="34"/>
        <v>10</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
      <c r="A62" s="5">
        <f t="shared" ca="1" si="34"/>
        <v>10</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
      <c r="A63" s="5">
        <f t="shared" ca="1" si="34"/>
        <v>10</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
      <c r="A64" s="5">
        <f t="shared" ca="1" si="34"/>
        <v>10</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
      <c r="A65" s="5">
        <f t="shared" ca="1" si="34"/>
        <v>10</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
      <c r="A66" s="5">
        <f t="shared" ca="1" si="34"/>
        <v>10</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
      <c r="A67" s="5">
        <f t="shared" ca="1" si="34"/>
        <v>10</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
      <c r="A68" s="5">
        <f t="shared" ca="1" si="34"/>
        <v>10</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
      <c r="A69" s="5">
        <f t="shared" ca="1" si="34"/>
        <v>10</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
      <c r="A70" s="5">
        <f t="shared" ca="1" si="34"/>
        <v>10</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
      <c r="A71" s="5">
        <f t="shared" ca="1" si="34"/>
        <v>10</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
      <c r="A72" s="5">
        <f t="shared" ca="1" si="34"/>
        <v>10</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
      <c r="A73" s="5">
        <f t="shared" ca="1" si="34"/>
        <v>10</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
      <c r="A74" s="5">
        <f t="shared" ca="1" si="34"/>
        <v>10</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
      <c r="A75" s="5">
        <f t="shared" ca="1" si="34"/>
        <v>10</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
      <c r="A76" s="5">
        <f t="shared" ca="1" si="34"/>
        <v>10</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
      <c r="A77" s="5">
        <f t="shared" ca="1" si="34"/>
        <v>10</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
      <c r="A78" s="5">
        <f t="shared" ca="1" si="34"/>
        <v>10</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
      <c r="A79" s="5">
        <f t="shared" ca="1" si="34"/>
        <v>10</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
      <c r="A80" s="5">
        <f t="shared" ca="1" si="34"/>
        <v>10</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
      <c r="A81" s="5">
        <f t="shared" ca="1" si="34"/>
        <v>10</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
      <c r="A82" s="5">
        <f t="shared" ca="1" si="34"/>
        <v>10</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
      <c r="A83" s="5">
        <f t="shared" ca="1" si="34"/>
        <v>10</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
      <c r="A84" s="5">
        <f t="shared" ca="1" si="34"/>
        <v>10</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
      <c r="A85" s="5">
        <f t="shared" ca="1" si="34"/>
        <v>10</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
      <c r="A86" s="5">
        <f t="shared" ca="1" si="34"/>
        <v>10</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
      <c r="A87" s="5">
        <f t="shared" ca="1" si="34"/>
        <v>10</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
      <c r="A88" s="5">
        <f t="shared" ca="1" si="34"/>
        <v>10</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
      <c r="A89" s="5">
        <f t="shared" ca="1" si="34"/>
        <v>10</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
      <c r="A90" s="5">
        <f t="shared" ca="1" si="34"/>
        <v>10</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
      <c r="A91" s="5">
        <f t="shared" ca="1" si="34"/>
        <v>10</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
      <c r="A92" s="5">
        <f t="shared" ca="1" si="34"/>
        <v>10</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
      <c r="A93" s="5">
        <f t="shared" ca="1" si="34"/>
        <v>10</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
      <c r="A94" s="5">
        <f t="shared" ca="1" si="34"/>
        <v>10</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
      <c r="A95" s="5">
        <f t="shared" ca="1" si="34"/>
        <v>10</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
      <c r="A96" s="5">
        <f t="shared" ca="1" si="34"/>
        <v>10</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
      <c r="A97" s="5">
        <f t="shared" ca="1" si="34"/>
        <v>10</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
      <c r="A98" s="5">
        <f t="shared" ca="1" si="34"/>
        <v>10</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
      <c r="A99" s="5">
        <f t="shared" ca="1" si="34"/>
        <v>10</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
      <c r="A100" s="5">
        <f t="shared" ca="1" si="34"/>
        <v>10</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
      <c r="A101" s="5">
        <f t="shared" ca="1" si="34"/>
        <v>10</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
      <c r="A102" s="5">
        <f t="shared" ca="1" si="34"/>
        <v>10</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
      <c r="A103" s="5">
        <f t="shared" ca="1" si="34"/>
        <v>10</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
      <c r="A104" s="5">
        <f t="shared" ca="1" si="34"/>
        <v>10</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
      <c r="A105" s="5">
        <f t="shared" ca="1" si="34"/>
        <v>10</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
      <c r="A106" s="5">
        <f t="shared" ca="1" si="34"/>
        <v>10</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
      <c r="A107" s="5">
        <f t="shared" ca="1" si="34"/>
        <v>10</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
      <c r="A108" s="5">
        <f t="shared" ca="1" si="34"/>
        <v>10</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
      <c r="A109" s="5">
        <f t="shared" ca="1" si="34"/>
        <v>10</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
      <c r="A110" s="5">
        <f t="shared" ca="1" si="34"/>
        <v>10</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
      <c r="A111" s="5">
        <f t="shared" ca="1" si="34"/>
        <v>10</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
      <c r="A112" s="5">
        <f t="shared" ca="1" si="34"/>
        <v>10</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
      <c r="A113" s="5">
        <f t="shared" ca="1" si="34"/>
        <v>10</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
      <c r="A114" s="5">
        <f t="shared" ca="1" si="34"/>
        <v>10</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
      <c r="A115" s="5">
        <f t="shared" ca="1" si="34"/>
        <v>10</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
      <c r="A116" s="5">
        <f t="shared" ca="1" si="34"/>
        <v>10</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
      <c r="A117" s="5">
        <f t="shared" ca="1" si="34"/>
        <v>10</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
      <c r="A118" s="5">
        <f t="shared" ca="1" si="34"/>
        <v>10</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
      <c r="A119" s="5">
        <f t="shared" ca="1" si="34"/>
        <v>10</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
      <c r="A120" s="5">
        <f t="shared" ref="A120:A183" ca="1" si="43">SUM(OFFSET(B120,0,0,1,Num_Modalities))</f>
        <v>10</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
      <c r="A121" s="5">
        <f t="shared" ca="1" si="43"/>
        <v>10</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
      <c r="A122" s="5">
        <f t="shared" ca="1" si="43"/>
        <v>10</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
      <c r="A123" s="5">
        <f t="shared" ca="1" si="43"/>
        <v>10</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
      <c r="A124" s="5">
        <f t="shared" ca="1" si="43"/>
        <v>10</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
      <c r="A125" s="5">
        <f t="shared" ca="1" si="43"/>
        <v>10</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
      <c r="A126" s="5">
        <f t="shared" ca="1" si="43"/>
        <v>10</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
      <c r="A127" s="5">
        <f t="shared" ca="1" si="43"/>
        <v>10</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
      <c r="A128" s="5">
        <f t="shared" ca="1" si="43"/>
        <v>10</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
      <c r="A129" s="5">
        <f t="shared" ca="1" si="43"/>
        <v>10</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
      <c r="A130" s="5">
        <f t="shared" ca="1" si="43"/>
        <v>10</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
      <c r="A131" s="5">
        <f t="shared" ca="1" si="43"/>
        <v>10</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
      <c r="A132" s="5">
        <f t="shared" ca="1" si="43"/>
        <v>10</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
      <c r="A133" s="5">
        <f t="shared" ca="1" si="43"/>
        <v>10</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
      <c r="A134" s="5">
        <f t="shared" ca="1" si="43"/>
        <v>10</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
      <c r="A135" s="5">
        <f t="shared" ca="1" si="43"/>
        <v>10</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
      <c r="A136" s="5">
        <f t="shared" ca="1" si="43"/>
        <v>10</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
      <c r="A137" s="5">
        <f t="shared" ca="1" si="43"/>
        <v>10</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
      <c r="A138" s="5">
        <f t="shared" ca="1" si="43"/>
        <v>10</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
      <c r="A139" s="5">
        <f t="shared" ca="1" si="43"/>
        <v>10</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
      <c r="A140" s="5">
        <f t="shared" ca="1" si="43"/>
        <v>10</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
      <c r="A141" s="5">
        <f t="shared" ca="1" si="43"/>
        <v>10</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
      <c r="A142" s="5">
        <f t="shared" ca="1" si="43"/>
        <v>10</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
      <c r="A143" s="5">
        <f t="shared" ca="1" si="43"/>
        <v>10</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
      <c r="A144" s="5">
        <f t="shared" ca="1" si="43"/>
        <v>10</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
      <c r="A145" s="5">
        <f t="shared" ca="1" si="43"/>
        <v>10</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
      <c r="A146" s="5">
        <f t="shared" ca="1" si="43"/>
        <v>10</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
      <c r="A147" s="5">
        <f t="shared" ca="1" si="43"/>
        <v>10</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
      <c r="A148" s="5">
        <f t="shared" ca="1" si="43"/>
        <v>10</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
      <c r="A149" s="5">
        <f t="shared" ca="1" si="43"/>
        <v>10</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
      <c r="A150" s="5">
        <f t="shared" ca="1" si="43"/>
        <v>10</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
      <c r="A151" s="5">
        <f t="shared" ca="1" si="43"/>
        <v>10</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
      <c r="A152" s="5">
        <f t="shared" ca="1" si="43"/>
        <v>10</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
      <c r="A153" s="5">
        <f t="shared" ca="1" si="43"/>
        <v>10</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
      <c r="A154" s="5">
        <f t="shared" ca="1" si="43"/>
        <v>10</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
      <c r="A155" s="5">
        <f t="shared" ca="1" si="43"/>
        <v>10</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
      <c r="A156" s="5">
        <f t="shared" ca="1" si="43"/>
        <v>10</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
      <c r="A157" s="5">
        <f t="shared" ca="1" si="43"/>
        <v>10</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
      <c r="A158" s="5">
        <f t="shared" ca="1" si="43"/>
        <v>10</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
      <c r="A159" s="5">
        <f t="shared" ca="1" si="43"/>
        <v>10</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
      <c r="A160" s="5">
        <f t="shared" ca="1" si="43"/>
        <v>10</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
      <c r="A161" s="5">
        <f t="shared" ca="1" si="43"/>
        <v>10</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
      <c r="A162" s="5">
        <f t="shared" ca="1" si="43"/>
        <v>10</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
      <c r="A163" s="5">
        <f t="shared" ca="1" si="43"/>
        <v>10</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
      <c r="A164" s="5">
        <f t="shared" ca="1" si="43"/>
        <v>10</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
      <c r="A165" s="5">
        <f t="shared" ca="1" si="43"/>
        <v>10</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
      <c r="A166" s="5">
        <f t="shared" ca="1" si="43"/>
        <v>10</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
      <c r="A167" s="5">
        <f t="shared" ca="1" si="43"/>
        <v>10</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
      <c r="A168" s="5">
        <f t="shared" ca="1" si="43"/>
        <v>10</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
      <c r="A169" s="5">
        <f t="shared" ca="1" si="43"/>
        <v>10</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
      <c r="A170" s="5">
        <f t="shared" ca="1" si="43"/>
        <v>10</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
      <c r="A171" s="5">
        <f t="shared" ca="1" si="43"/>
        <v>10</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
      <c r="A172" s="5">
        <f t="shared" ca="1" si="43"/>
        <v>10</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
      <c r="A173" s="5">
        <f t="shared" ca="1" si="43"/>
        <v>10</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
      <c r="A174" s="5">
        <f t="shared" ca="1" si="43"/>
        <v>10</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
      <c r="A175" s="5">
        <f t="shared" ca="1" si="43"/>
        <v>10</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
      <c r="A176" s="5">
        <f t="shared" ca="1" si="43"/>
        <v>10</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
      <c r="A177" s="5">
        <f t="shared" ca="1" si="43"/>
        <v>10</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
      <c r="A178" s="5">
        <f t="shared" ca="1" si="43"/>
        <v>10</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
      <c r="A179" s="5">
        <f t="shared" ca="1" si="43"/>
        <v>10</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
      <c r="A180" s="5">
        <f t="shared" ca="1" si="43"/>
        <v>10</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
      <c r="A181" s="5">
        <f t="shared" ca="1" si="43"/>
        <v>10</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
      <c r="A182" s="5">
        <f t="shared" ca="1" si="43"/>
        <v>10</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
      <c r="A183" s="5">
        <f t="shared" ca="1" si="43"/>
        <v>10</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
      <c r="A184" s="5">
        <f t="shared" ref="A184:A247" ca="1" si="50">SUM(OFFSET(B184,0,0,1,Num_Modalities))</f>
        <v>10</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
      <c r="A185" s="5">
        <f t="shared" ca="1" si="50"/>
        <v>10</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
      <c r="A186" s="5">
        <f t="shared" ca="1" si="50"/>
        <v>10</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
      <c r="A187" s="5">
        <f t="shared" ca="1" si="50"/>
        <v>10</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
      <c r="A188" s="5">
        <f t="shared" ca="1" si="50"/>
        <v>10</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
      <c r="A189" s="5">
        <f t="shared" ca="1" si="50"/>
        <v>10</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
      <c r="A190" s="5">
        <f t="shared" ca="1" si="50"/>
        <v>10</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
      <c r="A191" s="5">
        <f t="shared" ca="1" si="50"/>
        <v>10</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
      <c r="A192" s="5">
        <f t="shared" ca="1" si="50"/>
        <v>10</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
      <c r="A193" s="5">
        <f t="shared" ca="1" si="50"/>
        <v>10</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
      <c r="A194" s="5">
        <f t="shared" ca="1" si="50"/>
        <v>10</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
      <c r="A195" s="5">
        <f t="shared" ca="1" si="50"/>
        <v>10</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
      <c r="A196" s="5">
        <f t="shared" ca="1" si="50"/>
        <v>10</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
      <c r="A197" s="5">
        <f t="shared" ca="1" si="50"/>
        <v>10</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
      <c r="A198" s="5">
        <f t="shared" ca="1" si="50"/>
        <v>10</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
      <c r="A199" s="5">
        <f t="shared" ca="1" si="50"/>
        <v>10</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
      <c r="A200" s="5">
        <f t="shared" ca="1" si="50"/>
        <v>10</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
      <c r="A201" s="5">
        <f t="shared" ca="1" si="50"/>
        <v>10</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
      <c r="A202" s="5">
        <f t="shared" ca="1" si="50"/>
        <v>10</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
      <c r="A203" s="5">
        <f t="shared" ca="1" si="50"/>
        <v>10</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
      <c r="A204" s="5">
        <f t="shared" ca="1" si="50"/>
        <v>10</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
      <c r="A205" s="5">
        <f t="shared" ca="1" si="50"/>
        <v>10</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
      <c r="A206" s="5">
        <f t="shared" ca="1" si="50"/>
        <v>10</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
      <c r="A207" s="5">
        <f t="shared" ca="1" si="50"/>
        <v>10</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
      <c r="A208" s="5">
        <f t="shared" ca="1" si="50"/>
        <v>10</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
      <c r="A209" s="5">
        <f t="shared" ca="1" si="50"/>
        <v>10</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
      <c r="A210" s="5">
        <f t="shared" ca="1" si="50"/>
        <v>10</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
      <c r="A211" s="5">
        <f t="shared" ca="1" si="50"/>
        <v>10</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
      <c r="A212" s="5">
        <f t="shared" ca="1" si="50"/>
        <v>10</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
      <c r="A213" s="5">
        <f t="shared" ca="1" si="50"/>
        <v>10</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
      <c r="A214" s="5">
        <f t="shared" ca="1" si="50"/>
        <v>10</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
      <c r="A215" s="5">
        <f t="shared" ca="1" si="50"/>
        <v>10</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
      <c r="A216" s="5">
        <f t="shared" ca="1" si="50"/>
        <v>10</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
      <c r="A217" s="5">
        <f t="shared" ca="1" si="50"/>
        <v>10</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
      <c r="A218" s="5">
        <f t="shared" ca="1" si="50"/>
        <v>10</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
      <c r="A219" s="5">
        <f t="shared" ca="1" si="50"/>
        <v>10</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
      <c r="A220" s="5">
        <f t="shared" ca="1" si="50"/>
        <v>10</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
      <c r="A221" s="5">
        <f t="shared" ca="1" si="50"/>
        <v>10</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
      <c r="A222" s="5">
        <f t="shared" ca="1" si="50"/>
        <v>10</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
      <c r="A223" s="5">
        <f t="shared" ca="1" si="50"/>
        <v>10</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
      <c r="A224" s="5">
        <f t="shared" ca="1" si="50"/>
        <v>10</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
      <c r="A225" s="5">
        <f t="shared" ca="1" si="50"/>
        <v>10</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
      <c r="A226" s="5">
        <f t="shared" ca="1" si="50"/>
        <v>10</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
      <c r="A227" s="5">
        <f t="shared" ca="1" si="50"/>
        <v>10</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
      <c r="A228" s="5">
        <f t="shared" ca="1" si="50"/>
        <v>10</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
      <c r="A229" s="5">
        <f t="shared" ca="1" si="50"/>
        <v>10</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
      <c r="A230" s="5">
        <f t="shared" ca="1" si="50"/>
        <v>10</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
      <c r="A231" s="5">
        <f t="shared" ca="1" si="50"/>
        <v>10</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
      <c r="A232" s="5">
        <f t="shared" ca="1" si="50"/>
        <v>10</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
      <c r="A233" s="5">
        <f t="shared" ca="1" si="50"/>
        <v>10</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
      <c r="A234" s="5">
        <f t="shared" ca="1" si="50"/>
        <v>10</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
      <c r="A235" s="5">
        <f t="shared" ca="1" si="50"/>
        <v>10</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
      <c r="A236" s="5">
        <f t="shared" ca="1" si="50"/>
        <v>10</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
      <c r="A237" s="5">
        <f t="shared" ca="1" si="50"/>
        <v>10</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
      <c r="A238" s="5">
        <f t="shared" ca="1" si="50"/>
        <v>10</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
      <c r="A239" s="5">
        <f t="shared" ca="1" si="50"/>
        <v>10</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
      <c r="A240" s="5">
        <f t="shared" ca="1" si="50"/>
        <v>10</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
      <c r="A241" s="5">
        <f t="shared" ca="1" si="50"/>
        <v>10</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
      <c r="A242" s="5">
        <f t="shared" ca="1" si="50"/>
        <v>10</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
      <c r="A243" s="5">
        <f t="shared" ca="1" si="50"/>
        <v>10</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
      <c r="A244" s="5">
        <f t="shared" ca="1" si="50"/>
        <v>10</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
      <c r="A245" s="5">
        <f t="shared" ca="1" si="50"/>
        <v>10</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
      <c r="A246" s="5">
        <f t="shared" ca="1" si="50"/>
        <v>10</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
      <c r="A247" s="5">
        <f t="shared" ca="1" si="50"/>
        <v>10</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
      <c r="A248" s="5">
        <f t="shared" ref="A248:A252" ca="1" si="57">SUM(OFFSET(B248,0,0,1,Num_Modalities))</f>
        <v>10</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
      <c r="A249" s="5">
        <f t="shared" ca="1" si="57"/>
        <v>10</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
      <c r="A250" s="5">
        <f t="shared" ca="1" si="57"/>
        <v>10</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
      <c r="A251" s="5">
        <f t="shared" ca="1" si="57"/>
        <v>10</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
      <c r="A252" s="5">
        <f t="shared" ca="1" si="57"/>
        <v>10</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
      <c r="A253" s="5">
        <f t="shared" ref="A253:A263" ca="1" si="58">SUM(OFFSET(B253,0,0,1,Num_Modalities))</f>
        <v>10</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
      <c r="A254" s="5">
        <f t="shared" ca="1" si="58"/>
        <v>10</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
      <c r="A255" s="5">
        <f t="shared" ca="1" si="58"/>
        <v>10</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
      <c r="A256" s="5">
        <f t="shared" ca="1" si="58"/>
        <v>10</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
      <c r="A257" s="5">
        <f t="shared" ca="1" si="58"/>
        <v>10</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
      <c r="A258" s="5">
        <f t="shared" ca="1" si="58"/>
        <v>10</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
      <c r="A259" s="5">
        <f t="shared" ca="1" si="58"/>
        <v>10</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
      <c r="A260" s="5">
        <f t="shared" ca="1" si="58"/>
        <v>10</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
      <c r="A261" s="5">
        <f t="shared" ca="1" si="58"/>
        <v>10</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
      <c r="A262" s="5">
        <f t="shared" ca="1" si="58"/>
        <v>10</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
      <c r="A263" s="5">
        <f t="shared" ca="1" si="58"/>
        <v>10</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ColWidth="8.75" defaultRowHeight="14.25" x14ac:dyDescent="0.2"/>
  <cols>
    <col min="1" max="3" width="10.25" style="349" customWidth="1"/>
    <col min="4" max="4" width="17.75" style="349" customWidth="1"/>
    <col min="5" max="5" width="13.75" style="349" customWidth="1"/>
    <col min="6" max="6" width="9.75" style="349" bestFit="1" customWidth="1"/>
    <col min="7" max="16384" width="8.75" style="349"/>
  </cols>
  <sheetData>
    <row r="2" spans="1:18" x14ac:dyDescent="0.2">
      <c r="A2" s="348" t="s">
        <v>1177</v>
      </c>
      <c r="B2" s="348"/>
      <c r="C2" s="348"/>
      <c r="D2" s="348"/>
      <c r="E2" s="348"/>
      <c r="F2" s="348"/>
      <c r="G2" s="348"/>
      <c r="H2" s="348"/>
      <c r="I2" s="348"/>
      <c r="J2" s="348"/>
      <c r="K2" s="348"/>
      <c r="L2" s="348"/>
      <c r="M2" s="348"/>
      <c r="N2" s="348"/>
      <c r="O2" s="348"/>
      <c r="P2" s="348"/>
      <c r="Q2" s="348"/>
      <c r="R2" s="348"/>
    </row>
    <row r="3" spans="1:18" x14ac:dyDescent="0.2">
      <c r="A3" s="350" t="s">
        <v>1178</v>
      </c>
      <c r="B3" s="350"/>
      <c r="C3" s="350"/>
      <c r="D3" s="350"/>
      <c r="E3" s="350"/>
      <c r="F3" s="350"/>
      <c r="G3" s="350"/>
      <c r="H3" s="350"/>
      <c r="I3" s="350"/>
      <c r="J3" s="350"/>
      <c r="K3" s="350"/>
      <c r="L3" s="350"/>
      <c r="M3" s="350"/>
      <c r="N3" s="350"/>
      <c r="O3" s="350"/>
      <c r="P3" s="350"/>
      <c r="Q3" s="350"/>
      <c r="R3" s="350"/>
    </row>
    <row r="5" spans="1:18" x14ac:dyDescent="0.2">
      <c r="A5" s="349" t="s">
        <v>1208</v>
      </c>
    </row>
    <row r="6" spans="1:18" x14ac:dyDescent="0.2">
      <c r="A6" s="349" t="s">
        <v>1186</v>
      </c>
    </row>
    <row r="7" spans="1:18" x14ac:dyDescent="0.2">
      <c r="A7" s="349" t="s">
        <v>1187</v>
      </c>
    </row>
    <row r="9" spans="1:18" ht="15" x14ac:dyDescent="0.25">
      <c r="A9" s="284" t="s">
        <v>1179</v>
      </c>
      <c r="F9" s="337" t="s">
        <v>22</v>
      </c>
    </row>
    <row r="10" spans="1:18" x14ac:dyDescent="0.2">
      <c r="A10" s="351" t="str">
        <f>IF(AND(F9="Yes",Demand!C6="",LEFT(Demand!C8,1)="M"),"You must enter a start date on the 'Demand' sheet, otherwise the model will show errors!","")</f>
        <v/>
      </c>
    </row>
    <row r="11" spans="1:18" ht="15" x14ac:dyDescent="0.25">
      <c r="A11" s="284" t="s">
        <v>1184</v>
      </c>
    </row>
    <row r="12" spans="1:18" x14ac:dyDescent="0.2">
      <c r="A12" s="349" t="s">
        <v>1181</v>
      </c>
      <c r="F12" s="167">
        <v>44242</v>
      </c>
    </row>
    <row r="13" spans="1:18" x14ac:dyDescent="0.2">
      <c r="A13" s="349" t="str">
        <f>"Current (restricted) level of demand ("&amp;Setup!$I$17&amp;"):"</f>
        <v>Current (restricted) level of demand (Minutes):</v>
      </c>
      <c r="D13" s="219"/>
      <c r="F13" s="337">
        <v>200</v>
      </c>
    </row>
    <row r="14" spans="1:18" x14ac:dyDescent="0.2">
      <c r="D14" s="219"/>
      <c r="F14" s="219"/>
    </row>
    <row r="16" spans="1:18" ht="15" x14ac:dyDescent="0.25">
      <c r="A16" s="284" t="s">
        <v>1185</v>
      </c>
    </row>
    <row r="17" spans="1:6" x14ac:dyDescent="0.2">
      <c r="A17" s="349" t="s">
        <v>1183</v>
      </c>
      <c r="F17" s="167">
        <v>44256</v>
      </c>
    </row>
    <row r="18" spans="1:6" x14ac:dyDescent="0.2">
      <c r="A18" s="349" t="s">
        <v>1234</v>
      </c>
      <c r="F18" s="337">
        <v>20</v>
      </c>
    </row>
    <row r="20" spans="1:6" x14ac:dyDescent="0.2">
      <c r="A20" s="349" t="s">
        <v>1180</v>
      </c>
      <c r="F20" s="337" t="s">
        <v>22</v>
      </c>
    </row>
    <row r="23" spans="1:6" ht="15" x14ac:dyDescent="0.25">
      <c r="A23" s="284" t="s">
        <v>1210</v>
      </c>
    </row>
    <row r="24" spans="1:6" x14ac:dyDescent="0.2">
      <c r="A24" s="349" t="s">
        <v>1211</v>
      </c>
    </row>
    <row r="26" spans="1:6" x14ac:dyDescent="0.2">
      <c r="A26" s="349" t="s">
        <v>1212</v>
      </c>
    </row>
    <row r="27" spans="1:6" x14ac:dyDescent="0.2">
      <c r="A27" s="349" t="s">
        <v>1213</v>
      </c>
    </row>
    <row r="28" spans="1:6" x14ac:dyDescent="0.2">
      <c r="A28" s="352" t="s">
        <v>1218</v>
      </c>
    </row>
    <row r="31" spans="1:6" ht="15" x14ac:dyDescent="0.25">
      <c r="A31" s="284" t="s">
        <v>1214</v>
      </c>
    </row>
    <row r="33" spans="1:18" ht="13.9" customHeight="1" x14ac:dyDescent="0.25">
      <c r="D33" s="417" t="str">
        <f>"Number of patients ("&amp;Setup!$I$17&amp;")"</f>
        <v>Number of patients (Minutes)</v>
      </c>
      <c r="E33" s="415" t="s">
        <v>1217</v>
      </c>
      <c r="F33" s="417"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ht="15" x14ac:dyDescent="0.25">
      <c r="D34" s="418"/>
      <c r="E34" s="416"/>
      <c r="F34" s="418"/>
      <c r="G34" s="356">
        <v>1</v>
      </c>
      <c r="H34" s="356">
        <v>2</v>
      </c>
      <c r="I34" s="356">
        <v>3</v>
      </c>
      <c r="J34" s="356">
        <v>4</v>
      </c>
      <c r="K34" s="356">
        <v>5</v>
      </c>
      <c r="L34" s="356">
        <v>6</v>
      </c>
      <c r="M34" s="356">
        <v>7</v>
      </c>
      <c r="N34" s="356">
        <v>8</v>
      </c>
      <c r="O34" s="356">
        <v>9</v>
      </c>
      <c r="P34" s="356">
        <v>10</v>
      </c>
      <c r="Q34" s="356">
        <v>11</v>
      </c>
      <c r="R34" s="356">
        <v>12</v>
      </c>
    </row>
    <row r="35" spans="1:18" ht="15" x14ac:dyDescent="0.25">
      <c r="A35" s="349" t="s">
        <v>1215</v>
      </c>
      <c r="D35" s="359">
        <f ca="1">SUM(OFFSET('Parameters calculator (hide)'!$C$68,0,0,Num_Modalities,1))</f>
        <v>0</v>
      </c>
      <c r="E35" s="338">
        <v>0.04</v>
      </c>
      <c r="F35" s="357">
        <f ca="1">ROUNDUP(D35*(1-E35),0)-SUM(G35:N35)</f>
        <v>-1600</v>
      </c>
      <c r="G35" s="337">
        <v>200</v>
      </c>
      <c r="H35" s="337">
        <v>200</v>
      </c>
      <c r="I35" s="337">
        <v>200</v>
      </c>
      <c r="J35" s="337">
        <v>200</v>
      </c>
      <c r="K35" s="337">
        <v>200</v>
      </c>
      <c r="L35" s="337">
        <v>200</v>
      </c>
      <c r="M35" s="337">
        <v>200</v>
      </c>
      <c r="N35" s="337">
        <v>200</v>
      </c>
      <c r="O35" s="337">
        <v>200</v>
      </c>
      <c r="P35" s="337">
        <v>200</v>
      </c>
      <c r="Q35" s="337"/>
      <c r="R35" s="337"/>
    </row>
    <row r="36" spans="1:18" ht="15" x14ac:dyDescent="0.25">
      <c r="A36" s="349" t="s">
        <v>1216</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ht="15" x14ac:dyDescent="0.25">
      <c r="A39" s="349" t="s">
        <v>1225</v>
      </c>
    </row>
  </sheetData>
  <sheetProtection algorithmName="SHA-512" hashValue="8uJtI1w34RKPE2PemPHnuE/7Ey6YoQlYZyQy/wdH1sgo5TMYeSrsfYH+rzbJc9O0TCDzgKXpznMDo1ZFI14BDw==" saltValue="oPDU6qOcE7UwwJaHAf7rbQ=="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4.25" x14ac:dyDescent="0.2"/>
  <cols>
    <col min="1" max="1" width="19.75" bestFit="1" customWidth="1"/>
    <col min="2" max="2" width="11.25" customWidth="1"/>
    <col min="4" max="4" width="3.25" customWidth="1"/>
  </cols>
  <sheetData>
    <row r="1" spans="1:3" x14ac:dyDescent="0.2">
      <c r="A1" t="s">
        <v>126</v>
      </c>
      <c r="B1" s="246" t="s">
        <v>192</v>
      </c>
    </row>
    <row r="3" spans="1:3" ht="15" x14ac:dyDescent="0.25">
      <c r="A3" s="2" t="s">
        <v>185</v>
      </c>
    </row>
    <row r="4" spans="1:3" ht="14.25" customHeight="1" x14ac:dyDescent="0.2">
      <c r="A4" s="38" t="str">
        <f>IF(SPC_Type="Simple","Sample period","Season 1")&amp;" begins:"</f>
        <v>Season 1 begins:</v>
      </c>
    </row>
    <row r="5" spans="1:3" ht="14.25" customHeight="1" x14ac:dyDescent="0.2">
      <c r="A5" s="38" t="str">
        <f>IF(SPC_Type="Simple","Sample period","Season 1")&amp;" ends:"</f>
        <v>Season 1 ends:</v>
      </c>
      <c r="C5" t="str">
        <f ca="1">'SPC background (hide)'!H5&amp;" weeks"</f>
        <v>-97 weeks</v>
      </c>
    </row>
    <row r="6" spans="1:3" ht="14.25" customHeight="1" x14ac:dyDescent="0.2"/>
    <row r="7" spans="1:3" ht="14.25" customHeight="1" x14ac:dyDescent="0.2">
      <c r="A7" s="326" t="s">
        <v>186</v>
      </c>
      <c r="B7" s="379"/>
      <c r="C7" s="379"/>
    </row>
    <row r="8" spans="1:3" ht="14.25" customHeight="1" x14ac:dyDescent="0.2">
      <c r="A8" s="326" t="s">
        <v>187</v>
      </c>
      <c r="B8" s="379"/>
      <c r="C8" s="379" t="str">
        <f ca="1">IF('SPC background (hide)'!H7&lt;&gt;"",'SPC background (hide)'!H7&amp;" weeks","")</f>
        <v/>
      </c>
    </row>
    <row r="9" spans="1:3" ht="14.25" customHeight="1" x14ac:dyDescent="0.2">
      <c r="A9" s="326"/>
      <c r="B9" s="379"/>
      <c r="C9" s="379"/>
    </row>
    <row r="10" spans="1:3" ht="14.25" customHeight="1" x14ac:dyDescent="0.2">
      <c r="A10" s="326" t="s">
        <v>188</v>
      </c>
      <c r="B10" s="379"/>
      <c r="C10" s="379"/>
    </row>
    <row r="11" spans="1:3" ht="14.25" customHeight="1" x14ac:dyDescent="0.2">
      <c r="A11" s="326" t="s">
        <v>189</v>
      </c>
      <c r="B11" s="379"/>
      <c r="C11" s="379" t="str">
        <f ca="1">IF('SPC background (hide)'!H9&lt;&gt;"",'SPC background (hide)'!H9&amp;" weeks","")</f>
        <v/>
      </c>
    </row>
    <row r="12" spans="1:3" ht="14.25" customHeight="1" x14ac:dyDescent="0.2">
      <c r="A12" s="326"/>
      <c r="B12" s="379"/>
      <c r="C12" s="379"/>
    </row>
    <row r="13" spans="1:3" ht="14.25" customHeight="1" x14ac:dyDescent="0.2">
      <c r="A13" s="326" t="s">
        <v>190</v>
      </c>
      <c r="B13" s="379"/>
      <c r="C13" s="379"/>
    </row>
    <row r="14" spans="1:3" ht="14.25" customHeight="1" x14ac:dyDescent="0.2">
      <c r="A14" s="326" t="s">
        <v>191</v>
      </c>
      <c r="B14" s="379"/>
      <c r="C14" s="379" t="str">
        <f ca="1">IF('SPC background (hide)'!H11&lt;&gt;"",'SPC background (hide)'!H11&amp;" weeks","")</f>
        <v/>
      </c>
    </row>
    <row r="15" spans="1:3" ht="14.25" customHeight="1" x14ac:dyDescent="0.2"/>
    <row r="16" spans="1:3" x14ac:dyDescent="0.2">
      <c r="A16" s="37" t="s">
        <v>147</v>
      </c>
    </row>
    <row r="17" spans="1:3" ht="15" x14ac:dyDescent="0.25">
      <c r="A17" s="2" t="str">
        <f ca="1">'SPC background (hide)'!I11&amp;" weeks"</f>
        <v>-97 weeks</v>
      </c>
    </row>
    <row r="19" spans="1:3" x14ac:dyDescent="0.2">
      <c r="A19" t="str">
        <f ca="1">IF(AND('SPC background (hide)'!I11&lt;52,SPC_Type="1+ Seasons"),"Remaining wks use season:","")</f>
        <v/>
      </c>
      <c r="C19" s="178">
        <v>1</v>
      </c>
    </row>
    <row r="20" spans="1:3" x14ac:dyDescent="0.2">
      <c r="C20" s="45"/>
    </row>
    <row r="21" spans="1:3" x14ac:dyDescent="0.2">
      <c r="A21" t="s">
        <v>195</v>
      </c>
      <c r="C21" s="178" t="s">
        <v>20</v>
      </c>
    </row>
    <row r="22" spans="1:3" x14ac:dyDescent="0.2">
      <c r="C22" s="45"/>
    </row>
    <row r="23" spans="1:3" x14ac:dyDescent="0.2">
      <c r="A23" t="s">
        <v>196</v>
      </c>
      <c r="C23" s="178" t="s">
        <v>20</v>
      </c>
    </row>
    <row r="25" spans="1:3" hidden="1" x14ac:dyDescent="0.2">
      <c r="A25" t="s">
        <v>284</v>
      </c>
      <c r="C25" s="178" t="s">
        <v>22</v>
      </c>
    </row>
    <row r="29" spans="1:3" ht="15" x14ac:dyDescent="0.25">
      <c r="A29" s="2" t="s">
        <v>178</v>
      </c>
    </row>
    <row r="30" spans="1:3" x14ac:dyDescent="0.2">
      <c r="A30" s="40"/>
      <c r="B30" t="s">
        <v>175</v>
      </c>
    </row>
    <row r="31" spans="1:3" x14ac:dyDescent="0.2">
      <c r="A31" s="41"/>
      <c r="B31" t="s">
        <v>176</v>
      </c>
    </row>
    <row r="32" spans="1:3" x14ac:dyDescent="0.2">
      <c r="A32" s="42"/>
      <c r="B32" t="s">
        <v>197</v>
      </c>
    </row>
    <row r="33" spans="1:2" x14ac:dyDescent="0.2">
      <c r="A33" s="43"/>
      <c r="B33" t="s">
        <v>177</v>
      </c>
    </row>
  </sheetData>
  <sheetProtection algorithmName="SHA-512" hashValue="RqHev0bramNif1/o2jKYdsCM4pljiP0i9Tc4nGejBxL87yuEzhGdvKxpxnJ8GJASnw6WamvnjVrm/e6T0ukmYg==" saltValue="JkexRGlbErF4AZZew/5y+A=="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25" x14ac:dyDescent="0.2"/>
  <cols>
    <col min="1" max="2" width="9" style="67"/>
    <col min="3" max="3" width="14.125" style="67" customWidth="1"/>
    <col min="4" max="5" width="9" style="67"/>
    <col min="6" max="6" width="13.625" style="67" customWidth="1"/>
    <col min="7" max="7" width="15.625" style="67" customWidth="1"/>
    <col min="8" max="9" width="9" style="67"/>
    <col min="10" max="26" width="9" style="67" customWidth="1"/>
    <col min="27" max="27" width="9" style="67" hidden="1" customWidth="1"/>
    <col min="28" max="30" width="9" style="67" customWidth="1"/>
    <col min="31" max="16384" width="9" style="67"/>
  </cols>
  <sheetData>
    <row r="1" spans="1:46" x14ac:dyDescent="0.2">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
      <c r="A2" s="67" t="s">
        <v>433</v>
      </c>
      <c r="B2" s="67" t="str">
        <f>"Demand - SPC Chart ("&amp;Setup!$I$17&amp;")"</f>
        <v>Demand - SPC Chart (Minutes)</v>
      </c>
      <c r="AG2" s="67">
        <f ca="1">OFFSET(Demand!$C$13,'SPC background (hide)'!$C$4-2+ROW(A1),0,1,1)</f>
        <v>0</v>
      </c>
      <c r="AH2" s="67">
        <v>1</v>
      </c>
      <c r="AI2" s="67">
        <f ca="1">IF(AH2&lt;=($M$4-$L$4+1),1,IF(AND($M$10&gt;=2,AH2&lt;=$M$5-$L$4+1),2,IF(AND($M$10&gt;=3,AH2&lt;=$M$6-$L$4+1),3,IF(AND($M$10=4,AH2&lt;=$M$7-$L$4+1),4,5))))</f>
        <v>5</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t="str">
        <f ca="1">VLOOKUP($AI2,$K$4:$Q$8,6,0)</f>
        <v/>
      </c>
      <c r="AS2" s="5" t="str">
        <f t="shared" ref="AS2:AS54" ca="1" si="3">VLOOKUP($AI2,$K$4:$Q$8,7,0)</f>
        <v/>
      </c>
      <c r="AT2" s="5" t="str">
        <f ca="1">VLOOKUP(AI2,$K$4:$R$8,8,0)</f>
        <v/>
      </c>
    </row>
    <row r="3" spans="1:46" x14ac:dyDescent="0.2">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1</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
      <c r="B4" s="67" t="s">
        <v>118</v>
      </c>
      <c r="C4" s="67">
        <v>99</v>
      </c>
      <c r="D4" s="67">
        <v>1</v>
      </c>
      <c r="E4" s="67">
        <f ca="1">MAX(0,MaxRows-9)</f>
        <v>0</v>
      </c>
      <c r="F4" s="67">
        <f ca="1">E4-D4+1</f>
        <v>0</v>
      </c>
      <c r="K4" s="67">
        <v>1</v>
      </c>
      <c r="L4" s="67">
        <f>C4</f>
        <v>99</v>
      </c>
      <c r="M4" s="67">
        <f ca="1">H5+L4-1</f>
        <v>1</v>
      </c>
      <c r="N4" s="5">
        <f ca="1">Sigma1</f>
        <v>0</v>
      </c>
      <c r="O4" s="5">
        <f ca="1">Mean1</f>
        <v>0</v>
      </c>
      <c r="P4" s="5">
        <f ca="1">PercLower1</f>
        <v>0</v>
      </c>
      <c r="Q4" s="5">
        <f ca="1">PercUpper1</f>
        <v>0</v>
      </c>
      <c r="R4" s="5">
        <f ca="1">Emergency1</f>
        <v>0</v>
      </c>
      <c r="S4" s="5">
        <f ca="1">O4*H5</f>
        <v>0</v>
      </c>
      <c r="T4" s="5"/>
      <c r="AG4" s="67">
        <f t="shared" ref="AG4:AG54" ca="1" si="12">IF(MOD(AG3+1,53)=0,53,MOD(AG3+1,53))</f>
        <v>2</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
      <c r="B5" s="67" t="s">
        <v>119</v>
      </c>
      <c r="C5" s="67">
        <v>44</v>
      </c>
      <c r="D5" s="67">
        <f>C4+9</f>
        <v>108</v>
      </c>
      <c r="E5" s="67">
        <f ca="1">MIN(C4+52,MaxRows+1)</f>
        <v>2</v>
      </c>
      <c r="F5" s="67">
        <f ca="1">E5-D5+1</f>
        <v>-105</v>
      </c>
      <c r="G5" s="67">
        <f ca="1">H5</f>
        <v>-97</v>
      </c>
      <c r="H5" s="67">
        <f ca="1">MIN(C5+D5-C4,E5-C4)</f>
        <v>-97</v>
      </c>
      <c r="I5" s="67">
        <f ca="1">G5</f>
        <v>-97</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3</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4</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-97</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5</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
      <c r="B8" s="67" t="s">
        <v>122</v>
      </c>
      <c r="C8" s="35">
        <v>2</v>
      </c>
      <c r="D8" s="67" t="e">
        <f ca="1">IF(AND(G7&lt;=42,MaxRows-(G7+$C$4-1)&gt;10),C7+D7,NA())</f>
        <v>#N/A</v>
      </c>
      <c r="E8" s="67" t="e">
        <f ca="1">D8</f>
        <v>#N/A</v>
      </c>
      <c r="F8" s="67" t="e">
        <f ca="1">IF(ISNA(D8),NA(),1)</f>
        <v>#N/A</v>
      </c>
      <c r="K8" s="67">
        <v>5</v>
      </c>
      <c r="L8" s="67">
        <f ca="1">MATCH(5,$AI$2:$AI$54,0)</f>
        <v>1</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f t="shared" ca="1" si="12"/>
        <v>6</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-97</v>
      </c>
      <c r="S9" s="5"/>
      <c r="AG9" s="67">
        <f t="shared" ca="1" si="12"/>
        <v>7</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
      <c r="B10" s="67" t="s">
        <v>124</v>
      </c>
      <c r="C10" s="35">
        <v>2</v>
      </c>
      <c r="D10" s="67" t="e">
        <f ca="1">IF(AND(G9&lt;=42,MaxRows-(G9+$C$4-1)&gt;10),C9+D9,NA())</f>
        <v>#N/A</v>
      </c>
      <c r="E10" s="67" t="e">
        <f ca="1">D10</f>
        <v>#N/A</v>
      </c>
      <c r="F10" s="67" t="e">
        <f ca="1">IF(ISNA(D10),NA(),1)</f>
        <v>#N/A</v>
      </c>
      <c r="L10" s="67" t="s">
        <v>160</v>
      </c>
      <c r="M10" s="67">
        <f ca="1">4-COUNTIF(M4:M7,0)</f>
        <v>1</v>
      </c>
      <c r="S10" s="5">
        <f ca="1">SUM(S4:S7)</f>
        <v>0</v>
      </c>
      <c r="AG10" s="67">
        <f t="shared" ca="1" si="12"/>
        <v>8</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-97</v>
      </c>
      <c r="M11" s="67">
        <f>IF(SPC_Type="1 Season",1,IF(AND(M10=1,I11&lt;52),1,IF('SPC Chart'!C19="",1,'SPC Chart'!C19)))</f>
        <v>1</v>
      </c>
      <c r="S11" s="5">
        <f ca="1">S10/I11</f>
        <v>0</v>
      </c>
      <c r="AG11" s="67">
        <f t="shared" ca="1" si="12"/>
        <v>9</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
      <c r="S12" s="5"/>
      <c r="AG12" s="67">
        <f t="shared" ca="1" si="12"/>
        <v>10</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
      <c r="Q13" s="67" t="s">
        <v>161</v>
      </c>
      <c r="AG13" s="67">
        <f t="shared" ca="1" si="12"/>
        <v>11</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
      <c r="Q14" s="67" t="s">
        <v>171</v>
      </c>
      <c r="R14" s="67" t="s">
        <v>172</v>
      </c>
      <c r="T14" s="67" t="s">
        <v>173</v>
      </c>
      <c r="V14" s="67" t="s">
        <v>180</v>
      </c>
      <c r="X14" s="67" t="s">
        <v>179</v>
      </c>
      <c r="Z14" s="67" t="s">
        <v>174</v>
      </c>
      <c r="AC14" s="67" t="s">
        <v>162</v>
      </c>
      <c r="AG14" s="67">
        <f t="shared" ca="1" si="12"/>
        <v>12</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13</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
      <c r="A16" s="67">
        <f>Demand!C13</f>
        <v>0</v>
      </c>
      <c r="B16" s="67">
        <v>1</v>
      </c>
      <c r="C16" s="5">
        <f ca="1">'Demand background (hide)'!Y4</f>
        <v>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5</v>
      </c>
      <c r="J16" s="5">
        <f t="shared" ref="J16:P16" ca="1" si="13">VLOOKUP($A16,$AG$2:$AQ$54,COLUMN(E$1),0)</f>
        <v>0</v>
      </c>
      <c r="K16" s="5">
        <f t="shared" ca="1" si="13"/>
        <v>0</v>
      </c>
      <c r="L16" s="5">
        <f t="shared" ca="1" si="13"/>
        <v>0</v>
      </c>
      <c r="M16" s="5">
        <f t="shared" ca="1" si="13"/>
        <v>0</v>
      </c>
      <c r="N16" s="5">
        <f t="shared" ca="1" si="13"/>
        <v>0</v>
      </c>
      <c r="O16" s="5">
        <f t="shared" ca="1" si="13"/>
        <v>0</v>
      </c>
      <c r="P16" s="5">
        <f t="shared" ca="1" si="13"/>
        <v>0</v>
      </c>
      <c r="Q16" s="5" t="e">
        <f ca="1">IF(ISNA(H16)=TRUE,IF(OR(C16&gt;P16,C16&lt;J16),C16,NA()),NA())</f>
        <v>#N/A</v>
      </c>
      <c r="V16" s="5">
        <f t="shared" ref="V16:V79" ca="1" si="14">IF(C16&lt;M16,-1,IF(C16&gt;M16,1,0))</f>
        <v>0</v>
      </c>
      <c r="W16" s="5" t="e">
        <f ca="1">IF(ISNA(H16)=TRUE,IF(ABS(SUM(V16:V24))=9,C16,NA()),NA())</f>
        <v>#N/A</v>
      </c>
      <c r="AA16" s="5" t="str">
        <f>IF(Setup!$I$15="Yes",'Demand background (hide)'!AJ4+'SPC background (hide)'!C16,"")</f>
        <v/>
      </c>
      <c r="AC16" s="5" t="str">
        <f ca="1">VLOOKUP($A16,$AG$2:$AS$54,12,0)</f>
        <v/>
      </c>
      <c r="AD16" s="5" t="str">
        <f ca="1">VLOOKUP($A16,$AG$2:$AS$54,13,0)</f>
        <v/>
      </c>
      <c r="AG16" s="67">
        <f t="shared" ca="1" si="12"/>
        <v>14</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
      <c r="A17" s="67">
        <f>Demand!C14</f>
        <v>0</v>
      </c>
      <c r="B17" s="67">
        <v>2</v>
      </c>
      <c r="C17" s="5">
        <f ca="1">'Demand background (hide)'!Y5</f>
        <v>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5</v>
      </c>
      <c r="J17" s="5">
        <f t="shared" ref="J17:J80" ca="1" si="20">VLOOKUP($A17,$AG$2:$AQ$54,COLUMN(E$1),0)</f>
        <v>0</v>
      </c>
      <c r="K17" s="5">
        <f t="shared" ref="K17:K80" ca="1" si="21">VLOOKUP($A17,$AG$2:$AQ$54,COLUMN(F$1),0)</f>
        <v>0</v>
      </c>
      <c r="L17" s="5">
        <f t="shared" ref="L17:L80" ca="1" si="22">VLOOKUP($A17,$AG$2:$AQ$54,COLUMN(G$1),0)</f>
        <v>0</v>
      </c>
      <c r="M17" s="5">
        <f t="shared" ref="M17:M80" ca="1" si="23">VLOOKUP($A17,$AG$2:$AQ$54,COLUMN(H$1),0)</f>
        <v>0</v>
      </c>
      <c r="N17" s="5">
        <f t="shared" ref="N17:N80" ca="1" si="24">VLOOKUP($A17,$AG$2:$AQ$54,COLUMN(I$1),0)</f>
        <v>0</v>
      </c>
      <c r="O17" s="5">
        <f t="shared" ref="O17:O80" ca="1" si="25">VLOOKUP($A17,$AG$2:$AQ$54,COLUMN(J$1),0)</f>
        <v>0</v>
      </c>
      <c r="P17" s="5">
        <f t="shared" ref="P17:P80" ca="1" si="26">VLOOKUP($A17,$AG$2:$AQ$54,COLUMN(K$1),0)</f>
        <v>0</v>
      </c>
      <c r="Q17" s="5" t="e">
        <f t="shared" ref="Q17:Q80" ca="1" si="27">IF(ISNA(H17)=TRUE,IF(OR(C17&gt;P17,C17&lt;J17),C17,NA()),NA())</f>
        <v>#N/A</v>
      </c>
      <c r="R17" s="5">
        <f ca="1">IF(C17&gt;O17,2,IF(C17&lt;K17,-2,IF(C17&gt;M17,1,IF(C17&lt;M17,-1,0))))</f>
        <v>0</v>
      </c>
      <c r="S17" s="67" t="e">
        <f ca="1">IF(ISNA(H17),IF(ABS(SUM(R17:R19))&gt;=5,C17,NA()),NA())</f>
        <v>#N/A</v>
      </c>
      <c r="T17" s="67">
        <f ca="1">IF(C17&gt;N17,2,IF(C17&lt;L17,-2,IF(C17&gt;M17,1,IF(C17&lt;M17,-1,0))))</f>
        <v>0</v>
      </c>
      <c r="U17" s="67" t="e">
        <f ca="1">IF(ISNA(H17)=TRUE,IF(ABS(SUM(T17:T21))&gt;=9,C17,NA()),NA())</f>
        <v>#N/A</v>
      </c>
      <c r="V17" s="5">
        <f t="shared" ca="1" si="14"/>
        <v>0</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str">
        <f t="shared" ref="AC17:AC80" ca="1" si="30">VLOOKUP($A17,$AG$2:$AS$54,12,0)</f>
        <v/>
      </c>
      <c r="AD17" s="5" t="str">
        <f t="shared" ref="AD17:AD80" ca="1" si="31">VLOOKUP($A17,$AG$2:$AS$54,13,0)</f>
        <v/>
      </c>
      <c r="AG17" s="67">
        <f t="shared" ca="1" si="12"/>
        <v>15</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
      <c r="A18" s="67">
        <f>Demand!C15</f>
        <v>0</v>
      </c>
      <c r="B18" s="67">
        <v>3</v>
      </c>
      <c r="C18" s="5">
        <f ca="1">'Demand background (hide)'!Y6</f>
        <v>0</v>
      </c>
      <c r="D18" s="67">
        <f t="shared" si="15"/>
        <v>0</v>
      </c>
      <c r="E18" s="67" t="e">
        <f t="shared" ca="1" si="16"/>
        <v>#N/A</v>
      </c>
      <c r="F18" s="67" t="e">
        <f t="shared" ca="1" si="17"/>
        <v>#N/A</v>
      </c>
      <c r="G18" s="67" t="e">
        <f t="shared" ca="1" si="18"/>
        <v>#N/A</v>
      </c>
      <c r="H18" s="67" t="e">
        <f>IF('Demand background (hide)'!AN6&lt;&gt;"",'SPC background (hide)'!C18,NA())</f>
        <v>#N/A</v>
      </c>
      <c r="I18" s="67">
        <f t="shared" ca="1" si="19"/>
        <v>5</v>
      </c>
      <c r="J18" s="5">
        <f t="shared" ca="1" si="20"/>
        <v>0</v>
      </c>
      <c r="K18" s="5">
        <f t="shared" ca="1" si="21"/>
        <v>0</v>
      </c>
      <c r="L18" s="5">
        <f t="shared" ca="1" si="22"/>
        <v>0</v>
      </c>
      <c r="M18" s="5">
        <f t="shared" ca="1" si="23"/>
        <v>0</v>
      </c>
      <c r="N18" s="5">
        <f t="shared" ca="1" si="24"/>
        <v>0</v>
      </c>
      <c r="O18" s="5">
        <f t="shared" ca="1" si="25"/>
        <v>0</v>
      </c>
      <c r="P18" s="5">
        <f t="shared" ca="1" si="26"/>
        <v>0</v>
      </c>
      <c r="Q18" s="5" t="e">
        <f t="shared" ca="1" si="27"/>
        <v>#N/A</v>
      </c>
      <c r="R18" s="5">
        <f t="shared" ref="R18:R81" ca="1" si="32">IF(C18&gt;O18,2,IF(C18&lt;K18,-2,IF(C18&gt;M18,1,IF(C18&lt;M18,-1,0))))</f>
        <v>0</v>
      </c>
      <c r="S18" s="67" t="e">
        <f t="shared" ref="S18:S81" ca="1" si="33">IF(ISNA(H18),IF(ABS(SUM(R18:R20))&gt;=5,C18,NA()),NA())</f>
        <v>#N/A</v>
      </c>
      <c r="T18" s="67">
        <f t="shared" ref="T18:T81" ca="1" si="34">IF(C18&gt;N18,2,IF(C18&lt;L18,-2,IF(C18&gt;M18,1,IF(C18&lt;M18,-1,0))))</f>
        <v>0</v>
      </c>
      <c r="U18" s="67" t="e">
        <f t="shared" ref="U18:U81" ca="1" si="35">IF(ISNA(H18)=TRUE,IF(ABS(SUM(T18:T22))&gt;=9,C18,NA()),NA())</f>
        <v>#N/A</v>
      </c>
      <c r="V18" s="5">
        <f t="shared" ca="1" si="14"/>
        <v>0</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str">
        <f t="shared" ca="1" si="30"/>
        <v/>
      </c>
      <c r="AD18" s="5" t="str">
        <f t="shared" ca="1" si="31"/>
        <v/>
      </c>
      <c r="AG18" s="67">
        <f t="shared" ca="1" si="12"/>
        <v>16</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
      <c r="A19" s="67">
        <f>Demand!C16</f>
        <v>0</v>
      </c>
      <c r="B19" s="67">
        <v>4</v>
      </c>
      <c r="C19" s="5">
        <f ca="1">'Demand background (hide)'!Y7</f>
        <v>0</v>
      </c>
      <c r="D19" s="67">
        <f t="shared" si="15"/>
        <v>0</v>
      </c>
      <c r="E19" s="67" t="e">
        <f t="shared" ca="1" si="16"/>
        <v>#N/A</v>
      </c>
      <c r="F19" s="67" t="e">
        <f t="shared" ca="1" si="17"/>
        <v>#N/A</v>
      </c>
      <c r="G19" s="67" t="e">
        <f t="shared" ca="1" si="18"/>
        <v>#N/A</v>
      </c>
      <c r="H19" s="67" t="e">
        <f>IF('Demand background (hide)'!AN7&lt;&gt;"",'SPC background (hide)'!C19,NA())</f>
        <v>#N/A</v>
      </c>
      <c r="I19" s="67">
        <f t="shared" ca="1" si="19"/>
        <v>5</v>
      </c>
      <c r="J19" s="5">
        <f t="shared" ca="1" si="20"/>
        <v>0</v>
      </c>
      <c r="K19" s="5">
        <f t="shared" ca="1" si="21"/>
        <v>0</v>
      </c>
      <c r="L19" s="5">
        <f t="shared" ca="1" si="22"/>
        <v>0</v>
      </c>
      <c r="M19" s="5">
        <f t="shared" ca="1" si="23"/>
        <v>0</v>
      </c>
      <c r="N19" s="5">
        <f t="shared" ca="1" si="24"/>
        <v>0</v>
      </c>
      <c r="O19" s="5">
        <f t="shared" ca="1" si="25"/>
        <v>0</v>
      </c>
      <c r="P19" s="5">
        <f t="shared" ca="1" si="26"/>
        <v>0</v>
      </c>
      <c r="Q19" s="5" t="e">
        <f t="shared" ca="1" si="27"/>
        <v>#N/A</v>
      </c>
      <c r="R19" s="5">
        <f t="shared" ca="1" si="32"/>
        <v>0</v>
      </c>
      <c r="S19" s="67" t="e">
        <f t="shared" ca="1" si="33"/>
        <v>#N/A</v>
      </c>
      <c r="T19" s="67">
        <f t="shared" ca="1" si="34"/>
        <v>0</v>
      </c>
      <c r="U19" s="67" t="e">
        <f t="shared" ca="1" si="35"/>
        <v>#N/A</v>
      </c>
      <c r="V19" s="5">
        <f t="shared" ca="1" si="14"/>
        <v>0</v>
      </c>
      <c r="W19" s="5" t="e">
        <f t="shared" ca="1" si="28"/>
        <v>#N/A</v>
      </c>
      <c r="X19" s="67">
        <f t="shared" ca="1" si="29"/>
        <v>0</v>
      </c>
      <c r="Y19" s="67" t="e">
        <f t="shared" ca="1" si="36"/>
        <v>#N/A</v>
      </c>
      <c r="Z19" s="67" t="e">
        <f t="shared" ca="1" si="37"/>
        <v>#N/A</v>
      </c>
      <c r="AA19" s="5" t="str">
        <f>IF(Setup!$I$15="Yes",'Demand background (hide)'!AJ7+'SPC background (hide)'!C19,"")</f>
        <v/>
      </c>
      <c r="AC19" s="5" t="str">
        <f t="shared" ca="1" si="30"/>
        <v/>
      </c>
      <c r="AD19" s="5" t="str">
        <f t="shared" ca="1" si="31"/>
        <v/>
      </c>
      <c r="AG19" s="67">
        <f t="shared" ca="1" si="12"/>
        <v>17</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
      <c r="A20" s="67">
        <f>Demand!C17</f>
        <v>0</v>
      </c>
      <c r="B20" s="67">
        <v>5</v>
      </c>
      <c r="C20" s="5">
        <f ca="1">'Demand background (hide)'!Y8</f>
        <v>0</v>
      </c>
      <c r="D20" s="67">
        <f t="shared" si="15"/>
        <v>0</v>
      </c>
      <c r="E20" s="67" t="e">
        <f t="shared" ca="1" si="16"/>
        <v>#N/A</v>
      </c>
      <c r="F20" s="67" t="e">
        <f t="shared" ca="1" si="17"/>
        <v>#N/A</v>
      </c>
      <c r="G20" s="67" t="e">
        <f t="shared" ca="1" si="18"/>
        <v>#N/A</v>
      </c>
      <c r="H20" s="67" t="e">
        <f>IF('Demand background (hide)'!AN8&lt;&gt;"",'SPC background (hide)'!C20,NA())</f>
        <v>#N/A</v>
      </c>
      <c r="I20" s="67">
        <f t="shared" ca="1" si="19"/>
        <v>5</v>
      </c>
      <c r="J20" s="5">
        <f t="shared" ca="1" si="20"/>
        <v>0</v>
      </c>
      <c r="K20" s="5">
        <f t="shared" ca="1" si="21"/>
        <v>0</v>
      </c>
      <c r="L20" s="5">
        <f t="shared" ca="1" si="22"/>
        <v>0</v>
      </c>
      <c r="M20" s="5">
        <f t="shared" ca="1" si="23"/>
        <v>0</v>
      </c>
      <c r="N20" s="5">
        <f t="shared" ca="1" si="24"/>
        <v>0</v>
      </c>
      <c r="O20" s="5">
        <f t="shared" ca="1" si="25"/>
        <v>0</v>
      </c>
      <c r="P20" s="5">
        <f t="shared" ca="1" si="26"/>
        <v>0</v>
      </c>
      <c r="Q20" s="5" t="e">
        <f t="shared" ca="1" si="27"/>
        <v>#N/A</v>
      </c>
      <c r="R20" s="5">
        <f t="shared" ca="1" si="32"/>
        <v>0</v>
      </c>
      <c r="S20" s="67" t="e">
        <f t="shared" ca="1" si="33"/>
        <v>#N/A</v>
      </c>
      <c r="T20" s="67">
        <f t="shared" ca="1" si="34"/>
        <v>0</v>
      </c>
      <c r="U20" s="67" t="e">
        <f t="shared" ca="1" si="35"/>
        <v>#N/A</v>
      </c>
      <c r="V20" s="5">
        <f t="shared" ca="1" si="14"/>
        <v>0</v>
      </c>
      <c r="W20" s="5" t="e">
        <f t="shared" ca="1" si="28"/>
        <v>#N/A</v>
      </c>
      <c r="X20" s="67">
        <f t="shared" ca="1" si="29"/>
        <v>0</v>
      </c>
      <c r="Y20" s="67" t="e">
        <f t="shared" ca="1" si="36"/>
        <v>#N/A</v>
      </c>
      <c r="Z20" s="67" t="e">
        <f t="shared" ca="1" si="37"/>
        <v>#N/A</v>
      </c>
      <c r="AA20" s="5" t="str">
        <f>IF(Setup!$I$15="Yes",'Demand background (hide)'!AJ8+'SPC background (hide)'!C20,"")</f>
        <v/>
      </c>
      <c r="AC20" s="5" t="str">
        <f t="shared" ca="1" si="30"/>
        <v/>
      </c>
      <c r="AD20" s="5" t="str">
        <f t="shared" ca="1" si="31"/>
        <v/>
      </c>
      <c r="AG20" s="67">
        <f t="shared" ca="1" si="12"/>
        <v>18</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
      <c r="A21" s="67">
        <f>Demand!C18</f>
        <v>0</v>
      </c>
      <c r="B21" s="67">
        <v>6</v>
      </c>
      <c r="C21" s="5">
        <f ca="1">'Demand background (hide)'!Y9</f>
        <v>0</v>
      </c>
      <c r="D21" s="67">
        <f t="shared" si="15"/>
        <v>0</v>
      </c>
      <c r="E21" s="67" t="e">
        <f t="shared" ca="1" si="16"/>
        <v>#N/A</v>
      </c>
      <c r="F21" s="67" t="e">
        <f t="shared" ca="1" si="17"/>
        <v>#N/A</v>
      </c>
      <c r="G21" s="67" t="e">
        <f t="shared" ca="1" si="18"/>
        <v>#N/A</v>
      </c>
      <c r="H21" s="67" t="e">
        <f>IF('Demand background (hide)'!AN9&lt;&gt;"",'SPC background (hide)'!C21,NA())</f>
        <v>#N/A</v>
      </c>
      <c r="I21" s="67">
        <f t="shared" ca="1" si="19"/>
        <v>5</v>
      </c>
      <c r="J21" s="5">
        <f t="shared" ca="1" si="20"/>
        <v>0</v>
      </c>
      <c r="K21" s="5">
        <f t="shared" ca="1" si="21"/>
        <v>0</v>
      </c>
      <c r="L21" s="5">
        <f t="shared" ca="1" si="22"/>
        <v>0</v>
      </c>
      <c r="M21" s="5">
        <f t="shared" ca="1" si="23"/>
        <v>0</v>
      </c>
      <c r="N21" s="5">
        <f t="shared" ca="1" si="24"/>
        <v>0</v>
      </c>
      <c r="O21" s="5">
        <f t="shared" ca="1" si="25"/>
        <v>0</v>
      </c>
      <c r="P21" s="5">
        <f t="shared" ca="1" si="26"/>
        <v>0</v>
      </c>
      <c r="Q21" s="5" t="e">
        <f t="shared" ca="1" si="27"/>
        <v>#N/A</v>
      </c>
      <c r="R21" s="5">
        <f t="shared" ca="1" si="32"/>
        <v>0</v>
      </c>
      <c r="S21" s="67" t="e">
        <f t="shared" ca="1" si="33"/>
        <v>#N/A</v>
      </c>
      <c r="T21" s="67">
        <f t="shared" ca="1" si="34"/>
        <v>0</v>
      </c>
      <c r="U21" s="67" t="e">
        <f t="shared" ca="1" si="35"/>
        <v>#N/A</v>
      </c>
      <c r="V21" s="5">
        <f t="shared" ca="1" si="14"/>
        <v>0</v>
      </c>
      <c r="W21" s="5" t="e">
        <f t="shared" ca="1" si="28"/>
        <v>#N/A</v>
      </c>
      <c r="X21" s="67">
        <f t="shared" ca="1" si="29"/>
        <v>0</v>
      </c>
      <c r="Y21" s="67" t="e">
        <f t="shared" ca="1" si="36"/>
        <v>#N/A</v>
      </c>
      <c r="Z21" s="67" t="e">
        <f t="shared" ca="1" si="37"/>
        <v>#N/A</v>
      </c>
      <c r="AA21" s="5" t="str">
        <f>IF(Setup!$I$15="Yes",'Demand background (hide)'!AJ9+'SPC background (hide)'!C21,"")</f>
        <v/>
      </c>
      <c r="AC21" s="5" t="str">
        <f t="shared" ca="1" si="30"/>
        <v/>
      </c>
      <c r="AD21" s="5" t="str">
        <f t="shared" ca="1" si="31"/>
        <v/>
      </c>
      <c r="AG21" s="67">
        <f t="shared" ca="1" si="12"/>
        <v>19</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
      <c r="A22" s="67">
        <f>Demand!C19</f>
        <v>0</v>
      </c>
      <c r="B22" s="67">
        <v>7</v>
      </c>
      <c r="C22" s="5">
        <f ca="1">'Demand background (hide)'!Y10</f>
        <v>0</v>
      </c>
      <c r="D22" s="67">
        <f t="shared" si="15"/>
        <v>0</v>
      </c>
      <c r="E22" s="67" t="e">
        <f t="shared" ca="1" si="16"/>
        <v>#N/A</v>
      </c>
      <c r="F22" s="67" t="e">
        <f t="shared" ca="1" si="17"/>
        <v>#N/A</v>
      </c>
      <c r="G22" s="67" t="e">
        <f t="shared" ca="1" si="18"/>
        <v>#N/A</v>
      </c>
      <c r="H22" s="67" t="e">
        <f>IF('Demand background (hide)'!AN10&lt;&gt;"",'SPC background (hide)'!C22,NA())</f>
        <v>#N/A</v>
      </c>
      <c r="I22" s="67">
        <f t="shared" ca="1" si="19"/>
        <v>5</v>
      </c>
      <c r="J22" s="5">
        <f t="shared" ca="1" si="20"/>
        <v>0</v>
      </c>
      <c r="K22" s="5">
        <f t="shared" ca="1" si="21"/>
        <v>0</v>
      </c>
      <c r="L22" s="5">
        <f t="shared" ca="1" si="22"/>
        <v>0</v>
      </c>
      <c r="M22" s="5">
        <f t="shared" ca="1" si="23"/>
        <v>0</v>
      </c>
      <c r="N22" s="5">
        <f t="shared" ca="1" si="24"/>
        <v>0</v>
      </c>
      <c r="O22" s="5">
        <f t="shared" ca="1" si="25"/>
        <v>0</v>
      </c>
      <c r="P22" s="5">
        <f t="shared" ca="1" si="26"/>
        <v>0</v>
      </c>
      <c r="Q22" s="5" t="e">
        <f t="shared" ca="1" si="27"/>
        <v>#N/A</v>
      </c>
      <c r="R22" s="5">
        <f t="shared" ca="1" si="32"/>
        <v>0</v>
      </c>
      <c r="S22" s="67" t="e">
        <f t="shared" ca="1" si="33"/>
        <v>#N/A</v>
      </c>
      <c r="T22" s="67">
        <f t="shared" ca="1" si="34"/>
        <v>0</v>
      </c>
      <c r="U22" s="67" t="e">
        <f t="shared" ca="1" si="35"/>
        <v>#N/A</v>
      </c>
      <c r="V22" s="5">
        <f t="shared" ca="1" si="14"/>
        <v>0</v>
      </c>
      <c r="W22" s="5" t="e">
        <f t="shared" ca="1" si="28"/>
        <v>#N/A</v>
      </c>
      <c r="X22" s="67">
        <f t="shared" ca="1" si="29"/>
        <v>0</v>
      </c>
      <c r="Y22" s="67" t="e">
        <f t="shared" ca="1" si="36"/>
        <v>#N/A</v>
      </c>
      <c r="Z22" s="67" t="e">
        <f t="shared" ca="1" si="37"/>
        <v>#N/A</v>
      </c>
      <c r="AA22" s="5" t="str">
        <f>IF(Setup!$I$15="Yes",'Demand background (hide)'!AJ10+'SPC background (hide)'!C22,"")</f>
        <v/>
      </c>
      <c r="AC22" s="5" t="str">
        <f t="shared" ca="1" si="30"/>
        <v/>
      </c>
      <c r="AD22" s="5" t="str">
        <f t="shared" ca="1" si="31"/>
        <v/>
      </c>
      <c r="AG22" s="67">
        <f t="shared" ca="1" si="12"/>
        <v>20</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
      <c r="A23" s="67">
        <f>Demand!C20</f>
        <v>0</v>
      </c>
      <c r="B23" s="67">
        <v>8</v>
      </c>
      <c r="C23" s="5">
        <f ca="1">'Demand background (hide)'!Y11</f>
        <v>0</v>
      </c>
      <c r="D23" s="67">
        <f t="shared" si="15"/>
        <v>0</v>
      </c>
      <c r="E23" s="67" t="e">
        <f t="shared" ca="1" si="16"/>
        <v>#N/A</v>
      </c>
      <c r="F23" s="67" t="e">
        <f t="shared" ca="1" si="17"/>
        <v>#N/A</v>
      </c>
      <c r="G23" s="67" t="e">
        <f t="shared" ca="1" si="18"/>
        <v>#N/A</v>
      </c>
      <c r="H23" s="67" t="e">
        <f>IF('Demand background (hide)'!AN11&lt;&gt;"",'SPC background (hide)'!C23,NA())</f>
        <v>#N/A</v>
      </c>
      <c r="I23" s="67">
        <f t="shared" ca="1" si="19"/>
        <v>5</v>
      </c>
      <c r="J23" s="5">
        <f t="shared" ca="1" si="20"/>
        <v>0</v>
      </c>
      <c r="K23" s="5">
        <f t="shared" ca="1" si="21"/>
        <v>0</v>
      </c>
      <c r="L23" s="5">
        <f t="shared" ca="1" si="22"/>
        <v>0</v>
      </c>
      <c r="M23" s="5">
        <f t="shared" ca="1" si="23"/>
        <v>0</v>
      </c>
      <c r="N23" s="5">
        <f t="shared" ca="1" si="24"/>
        <v>0</v>
      </c>
      <c r="O23" s="5">
        <f t="shared" ca="1" si="25"/>
        <v>0</v>
      </c>
      <c r="P23" s="5">
        <f t="shared" ca="1" si="26"/>
        <v>0</v>
      </c>
      <c r="Q23" s="5" t="e">
        <f t="shared" ca="1" si="27"/>
        <v>#N/A</v>
      </c>
      <c r="R23" s="5">
        <f t="shared" ca="1" si="32"/>
        <v>0</v>
      </c>
      <c r="S23" s="67" t="e">
        <f t="shared" ca="1" si="33"/>
        <v>#N/A</v>
      </c>
      <c r="T23" s="67">
        <f t="shared" ca="1" si="34"/>
        <v>0</v>
      </c>
      <c r="U23" s="67" t="e">
        <f t="shared" ca="1" si="35"/>
        <v>#N/A</v>
      </c>
      <c r="V23" s="5">
        <f t="shared" ca="1" si="14"/>
        <v>0</v>
      </c>
      <c r="W23" s="5" t="e">
        <f t="shared" ca="1" si="28"/>
        <v>#N/A</v>
      </c>
      <c r="X23" s="67">
        <f t="shared" ca="1" si="29"/>
        <v>0</v>
      </c>
      <c r="Y23" s="67" t="e">
        <f t="shared" ca="1" si="36"/>
        <v>#N/A</v>
      </c>
      <c r="Z23" s="67" t="e">
        <f t="shared" ca="1" si="37"/>
        <v>#N/A</v>
      </c>
      <c r="AA23" s="5" t="str">
        <f>IF(Setup!$I$15="Yes",'Demand background (hide)'!AJ11+'SPC background (hide)'!C23,"")</f>
        <v/>
      </c>
      <c r="AC23" s="5" t="str">
        <f t="shared" ca="1" si="30"/>
        <v/>
      </c>
      <c r="AD23" s="5" t="str">
        <f t="shared" ca="1" si="31"/>
        <v/>
      </c>
      <c r="AG23" s="67">
        <f t="shared" ca="1" si="12"/>
        <v>21</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
      <c r="A24" s="67">
        <f>Demand!C21</f>
        <v>0</v>
      </c>
      <c r="B24" s="67">
        <v>9</v>
      </c>
      <c r="C24" s="5">
        <f ca="1">'Demand background (hide)'!Y12</f>
        <v>0</v>
      </c>
      <c r="D24" s="67">
        <f t="shared" si="15"/>
        <v>0</v>
      </c>
      <c r="E24" s="67" t="e">
        <f t="shared" ca="1" si="16"/>
        <v>#N/A</v>
      </c>
      <c r="F24" s="67" t="e">
        <f t="shared" ca="1" si="17"/>
        <v>#N/A</v>
      </c>
      <c r="G24" s="67" t="e">
        <f t="shared" ca="1" si="18"/>
        <v>#N/A</v>
      </c>
      <c r="H24" s="67" t="e">
        <f>IF('Demand background (hide)'!AN12&lt;&gt;"",'SPC background (hide)'!C24,NA())</f>
        <v>#N/A</v>
      </c>
      <c r="I24" s="67">
        <f t="shared" ca="1" si="19"/>
        <v>5</v>
      </c>
      <c r="J24" s="5">
        <f t="shared" ca="1" si="20"/>
        <v>0</v>
      </c>
      <c r="K24" s="5">
        <f t="shared" ca="1" si="21"/>
        <v>0</v>
      </c>
      <c r="L24" s="5">
        <f t="shared" ca="1" si="22"/>
        <v>0</v>
      </c>
      <c r="M24" s="5">
        <f t="shared" ca="1" si="23"/>
        <v>0</v>
      </c>
      <c r="N24" s="5">
        <f t="shared" ca="1" si="24"/>
        <v>0</v>
      </c>
      <c r="O24" s="5">
        <f t="shared" ca="1" si="25"/>
        <v>0</v>
      </c>
      <c r="P24" s="5">
        <f t="shared" ca="1" si="26"/>
        <v>0</v>
      </c>
      <c r="Q24" s="5" t="e">
        <f t="shared" ca="1" si="27"/>
        <v>#N/A</v>
      </c>
      <c r="R24" s="5">
        <f t="shared" ca="1" si="32"/>
        <v>0</v>
      </c>
      <c r="S24" s="67" t="e">
        <f t="shared" ca="1" si="33"/>
        <v>#N/A</v>
      </c>
      <c r="T24" s="67">
        <f t="shared" ca="1" si="34"/>
        <v>0</v>
      </c>
      <c r="U24" s="67" t="e">
        <f t="shared" ca="1" si="35"/>
        <v>#N/A</v>
      </c>
      <c r="V24" s="5">
        <f t="shared" ca="1" si="14"/>
        <v>0</v>
      </c>
      <c r="W24" s="5" t="e">
        <f t="shared" ca="1" si="28"/>
        <v>#N/A</v>
      </c>
      <c r="X24" s="67">
        <f t="shared" ca="1" si="29"/>
        <v>0</v>
      </c>
      <c r="Y24" s="67" t="e">
        <f t="shared" ca="1" si="36"/>
        <v>#N/A</v>
      </c>
      <c r="Z24" s="67" t="e">
        <f t="shared" ca="1" si="37"/>
        <v>#N/A</v>
      </c>
      <c r="AA24" s="5" t="str">
        <f>IF(Setup!$I$15="Yes",'Demand background (hide)'!AJ12+'SPC background (hide)'!C24,"")</f>
        <v/>
      </c>
      <c r="AC24" s="5" t="str">
        <f t="shared" ca="1" si="30"/>
        <v/>
      </c>
      <c r="AD24" s="5" t="str">
        <f t="shared" ca="1" si="31"/>
        <v/>
      </c>
      <c r="AG24" s="67">
        <f t="shared" ca="1" si="12"/>
        <v>22</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
      <c r="A25" s="67">
        <f>Demand!C22</f>
        <v>0</v>
      </c>
      <c r="B25" s="67">
        <v>10</v>
      </c>
      <c r="C25" s="5">
        <f ca="1">'Demand background (hide)'!Y13</f>
        <v>0</v>
      </c>
      <c r="D25" s="67">
        <f t="shared" si="15"/>
        <v>0</v>
      </c>
      <c r="E25" s="67" t="e">
        <f t="shared" ca="1" si="16"/>
        <v>#N/A</v>
      </c>
      <c r="F25" s="67" t="e">
        <f t="shared" ca="1" si="17"/>
        <v>#N/A</v>
      </c>
      <c r="G25" s="67" t="e">
        <f t="shared" ca="1" si="18"/>
        <v>#N/A</v>
      </c>
      <c r="H25" s="67" t="e">
        <f>IF('Demand background (hide)'!AN13&lt;&gt;"",'SPC background (hide)'!C25,NA())</f>
        <v>#N/A</v>
      </c>
      <c r="I25" s="67">
        <f t="shared" ca="1" si="19"/>
        <v>5</v>
      </c>
      <c r="J25" s="5">
        <f t="shared" ca="1" si="20"/>
        <v>0</v>
      </c>
      <c r="K25" s="5">
        <f t="shared" ca="1" si="21"/>
        <v>0</v>
      </c>
      <c r="L25" s="5">
        <f t="shared" ca="1" si="22"/>
        <v>0</v>
      </c>
      <c r="M25" s="5">
        <f t="shared" ca="1" si="23"/>
        <v>0</v>
      </c>
      <c r="N25" s="5">
        <f t="shared" ca="1" si="24"/>
        <v>0</v>
      </c>
      <c r="O25" s="5">
        <f t="shared" ca="1" si="25"/>
        <v>0</v>
      </c>
      <c r="P25" s="5">
        <f t="shared" ca="1" si="26"/>
        <v>0</v>
      </c>
      <c r="Q25" s="5" t="e">
        <f t="shared" ca="1" si="27"/>
        <v>#N/A</v>
      </c>
      <c r="R25" s="5">
        <f t="shared" ca="1" si="32"/>
        <v>0</v>
      </c>
      <c r="S25" s="67" t="e">
        <f t="shared" ca="1" si="33"/>
        <v>#N/A</v>
      </c>
      <c r="T25" s="67">
        <f t="shared" ca="1" si="34"/>
        <v>0</v>
      </c>
      <c r="U25" s="67" t="e">
        <f t="shared" ca="1" si="35"/>
        <v>#N/A</v>
      </c>
      <c r="V25" s="5">
        <f t="shared" ca="1" si="14"/>
        <v>0</v>
      </c>
      <c r="W25" s="5" t="e">
        <f t="shared" ca="1" si="28"/>
        <v>#N/A</v>
      </c>
      <c r="X25" s="67">
        <f t="shared" ca="1" si="29"/>
        <v>0</v>
      </c>
      <c r="Y25" s="67" t="e">
        <f t="shared" ca="1" si="36"/>
        <v>#N/A</v>
      </c>
      <c r="Z25" s="67" t="e">
        <f t="shared" ca="1" si="37"/>
        <v>#N/A</v>
      </c>
      <c r="AA25" s="5" t="str">
        <f>IF(Setup!$I$15="Yes",'Demand background (hide)'!AJ13+'SPC background (hide)'!C25,"")</f>
        <v/>
      </c>
      <c r="AC25" s="5" t="str">
        <f t="shared" ca="1" si="30"/>
        <v/>
      </c>
      <c r="AD25" s="5" t="str">
        <f t="shared" ca="1" si="31"/>
        <v/>
      </c>
      <c r="AG25" s="67">
        <f t="shared" ca="1" si="12"/>
        <v>23</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
      <c r="A26" s="67">
        <f>Demand!C23</f>
        <v>0</v>
      </c>
      <c r="B26" s="67">
        <v>11</v>
      </c>
      <c r="C26" s="5">
        <f ca="1">'Demand background (hide)'!Y14</f>
        <v>0</v>
      </c>
      <c r="D26" s="67">
        <f t="shared" si="15"/>
        <v>0</v>
      </c>
      <c r="E26" s="67" t="e">
        <f t="shared" ca="1" si="16"/>
        <v>#N/A</v>
      </c>
      <c r="F26" s="67" t="e">
        <f t="shared" ca="1" si="17"/>
        <v>#N/A</v>
      </c>
      <c r="G26" s="67" t="e">
        <f t="shared" ca="1" si="18"/>
        <v>#N/A</v>
      </c>
      <c r="H26" s="67" t="e">
        <f>IF('Demand background (hide)'!AN14&lt;&gt;"",'SPC background (hide)'!C26,NA())</f>
        <v>#N/A</v>
      </c>
      <c r="I26" s="67">
        <f t="shared" ca="1" si="19"/>
        <v>5</v>
      </c>
      <c r="J26" s="5">
        <f t="shared" ca="1" si="20"/>
        <v>0</v>
      </c>
      <c r="K26" s="5">
        <f t="shared" ca="1" si="21"/>
        <v>0</v>
      </c>
      <c r="L26" s="5">
        <f t="shared" ca="1" si="22"/>
        <v>0</v>
      </c>
      <c r="M26" s="5">
        <f t="shared" ca="1" si="23"/>
        <v>0</v>
      </c>
      <c r="N26" s="5">
        <f t="shared" ca="1" si="24"/>
        <v>0</v>
      </c>
      <c r="O26" s="5">
        <f t="shared" ca="1" si="25"/>
        <v>0</v>
      </c>
      <c r="P26" s="5">
        <f t="shared" ca="1" si="26"/>
        <v>0</v>
      </c>
      <c r="Q26" s="5" t="e">
        <f t="shared" ca="1" si="27"/>
        <v>#N/A</v>
      </c>
      <c r="R26" s="5">
        <f t="shared" ca="1" si="32"/>
        <v>0</v>
      </c>
      <c r="S26" s="67" t="e">
        <f t="shared" ca="1" si="33"/>
        <v>#N/A</v>
      </c>
      <c r="T26" s="67">
        <f t="shared" ca="1" si="34"/>
        <v>0</v>
      </c>
      <c r="U26" s="67" t="e">
        <f t="shared" ca="1" si="35"/>
        <v>#N/A</v>
      </c>
      <c r="V26" s="5">
        <f t="shared" ca="1" si="14"/>
        <v>0</v>
      </c>
      <c r="W26" s="5" t="e">
        <f t="shared" ca="1" si="28"/>
        <v>#N/A</v>
      </c>
      <c r="X26" s="67">
        <f t="shared" ca="1" si="29"/>
        <v>0</v>
      </c>
      <c r="Y26" s="67" t="e">
        <f t="shared" ca="1" si="36"/>
        <v>#N/A</v>
      </c>
      <c r="Z26" s="67" t="e">
        <f t="shared" ca="1" si="37"/>
        <v>#N/A</v>
      </c>
      <c r="AA26" s="5" t="str">
        <f>IF(Setup!$I$15="Yes",'Demand background (hide)'!AJ14+'SPC background (hide)'!C26,"")</f>
        <v/>
      </c>
      <c r="AC26" s="5" t="str">
        <f t="shared" ca="1" si="30"/>
        <v/>
      </c>
      <c r="AD26" s="5" t="str">
        <f t="shared" ca="1" si="31"/>
        <v/>
      </c>
      <c r="AG26" s="67">
        <f t="shared" ca="1" si="12"/>
        <v>24</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
      <c r="A27" s="67">
        <f>Demand!C24</f>
        <v>0</v>
      </c>
      <c r="B27" s="67">
        <v>12</v>
      </c>
      <c r="C27" s="5">
        <f ca="1">'Demand background (hide)'!Y15</f>
        <v>0</v>
      </c>
      <c r="D27" s="67">
        <f t="shared" si="15"/>
        <v>0</v>
      </c>
      <c r="E27" s="67" t="e">
        <f t="shared" ca="1" si="16"/>
        <v>#N/A</v>
      </c>
      <c r="F27" s="67" t="e">
        <f t="shared" ca="1" si="17"/>
        <v>#N/A</v>
      </c>
      <c r="G27" s="67" t="e">
        <f t="shared" ca="1" si="18"/>
        <v>#N/A</v>
      </c>
      <c r="H27" s="67" t="e">
        <f>IF('Demand background (hide)'!AN15&lt;&gt;"",'SPC background (hide)'!C27,NA())</f>
        <v>#N/A</v>
      </c>
      <c r="I27" s="67">
        <f t="shared" ca="1" si="19"/>
        <v>5</v>
      </c>
      <c r="J27" s="5">
        <f t="shared" ca="1" si="20"/>
        <v>0</v>
      </c>
      <c r="K27" s="5">
        <f t="shared" ca="1" si="21"/>
        <v>0</v>
      </c>
      <c r="L27" s="5">
        <f t="shared" ca="1" si="22"/>
        <v>0</v>
      </c>
      <c r="M27" s="5">
        <f t="shared" ca="1" si="23"/>
        <v>0</v>
      </c>
      <c r="N27" s="5">
        <f t="shared" ca="1" si="24"/>
        <v>0</v>
      </c>
      <c r="O27" s="5">
        <f t="shared" ca="1" si="25"/>
        <v>0</v>
      </c>
      <c r="P27" s="5">
        <f t="shared" ca="1" si="26"/>
        <v>0</v>
      </c>
      <c r="Q27" s="5" t="e">
        <f t="shared" ca="1" si="27"/>
        <v>#N/A</v>
      </c>
      <c r="R27" s="5">
        <f t="shared" ca="1" si="32"/>
        <v>0</v>
      </c>
      <c r="S27" s="67" t="e">
        <f t="shared" ca="1" si="33"/>
        <v>#N/A</v>
      </c>
      <c r="T27" s="67">
        <f t="shared" ca="1" si="34"/>
        <v>0</v>
      </c>
      <c r="U27" s="67" t="e">
        <f t="shared" ca="1" si="35"/>
        <v>#N/A</v>
      </c>
      <c r="V27" s="5">
        <f t="shared" ca="1" si="14"/>
        <v>0</v>
      </c>
      <c r="W27" s="5" t="e">
        <f t="shared" ca="1" si="28"/>
        <v>#N/A</v>
      </c>
      <c r="X27" s="67">
        <f t="shared" ca="1" si="29"/>
        <v>0</v>
      </c>
      <c r="Y27" s="67" t="e">
        <f t="shared" ca="1" si="36"/>
        <v>#N/A</v>
      </c>
      <c r="Z27" s="67" t="e">
        <f t="shared" ca="1" si="37"/>
        <v>#N/A</v>
      </c>
      <c r="AA27" s="5" t="str">
        <f>IF(Setup!$I$15="Yes",'Demand background (hide)'!AJ15+'SPC background (hide)'!C27,"")</f>
        <v/>
      </c>
      <c r="AC27" s="5" t="str">
        <f t="shared" ca="1" si="30"/>
        <v/>
      </c>
      <c r="AD27" s="5" t="str">
        <f t="shared" ca="1" si="31"/>
        <v/>
      </c>
      <c r="AG27" s="67">
        <f t="shared" ca="1" si="12"/>
        <v>25</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
      <c r="A28" s="67">
        <f>Demand!C25</f>
        <v>0</v>
      </c>
      <c r="B28" s="67">
        <v>13</v>
      </c>
      <c r="C28" s="5">
        <f ca="1">'Demand background (hide)'!Y16</f>
        <v>0</v>
      </c>
      <c r="D28" s="67">
        <f t="shared" si="15"/>
        <v>0</v>
      </c>
      <c r="E28" s="67" t="e">
        <f t="shared" ca="1" si="16"/>
        <v>#N/A</v>
      </c>
      <c r="F28" s="67" t="e">
        <f t="shared" ca="1" si="17"/>
        <v>#N/A</v>
      </c>
      <c r="G28" s="67" t="e">
        <f t="shared" ca="1" si="18"/>
        <v>#N/A</v>
      </c>
      <c r="H28" s="67" t="e">
        <f>IF('Demand background (hide)'!AN16&lt;&gt;"",'SPC background (hide)'!C28,NA())</f>
        <v>#N/A</v>
      </c>
      <c r="I28" s="67">
        <f t="shared" ca="1" si="19"/>
        <v>5</v>
      </c>
      <c r="J28" s="5">
        <f t="shared" ca="1" si="20"/>
        <v>0</v>
      </c>
      <c r="K28" s="5">
        <f t="shared" ca="1" si="21"/>
        <v>0</v>
      </c>
      <c r="L28" s="5">
        <f t="shared" ca="1" si="22"/>
        <v>0</v>
      </c>
      <c r="M28" s="5">
        <f t="shared" ca="1" si="23"/>
        <v>0</v>
      </c>
      <c r="N28" s="5">
        <f t="shared" ca="1" si="24"/>
        <v>0</v>
      </c>
      <c r="O28" s="5">
        <f t="shared" ca="1" si="25"/>
        <v>0</v>
      </c>
      <c r="P28" s="5">
        <f t="shared" ca="1" si="26"/>
        <v>0</v>
      </c>
      <c r="Q28" s="5" t="e">
        <f t="shared" ca="1" si="27"/>
        <v>#N/A</v>
      </c>
      <c r="R28" s="5">
        <f t="shared" ca="1" si="32"/>
        <v>0</v>
      </c>
      <c r="S28" s="67" t="e">
        <f t="shared" ca="1" si="33"/>
        <v>#N/A</v>
      </c>
      <c r="T28" s="67">
        <f t="shared" ca="1" si="34"/>
        <v>0</v>
      </c>
      <c r="U28" s="67" t="e">
        <f t="shared" ca="1" si="35"/>
        <v>#N/A</v>
      </c>
      <c r="V28" s="5">
        <f t="shared" ca="1" si="14"/>
        <v>0</v>
      </c>
      <c r="W28" s="5" t="e">
        <f t="shared" ca="1" si="28"/>
        <v>#N/A</v>
      </c>
      <c r="X28" s="67">
        <f t="shared" ca="1" si="29"/>
        <v>0</v>
      </c>
      <c r="Y28" s="67" t="e">
        <f t="shared" ca="1" si="36"/>
        <v>#N/A</v>
      </c>
      <c r="Z28" s="67" t="e">
        <f t="shared" ca="1" si="37"/>
        <v>#N/A</v>
      </c>
      <c r="AA28" s="5" t="str">
        <f>IF(Setup!$I$15="Yes",'Demand background (hide)'!AJ16+'SPC background (hide)'!C28,"")</f>
        <v/>
      </c>
      <c r="AC28" s="5" t="str">
        <f t="shared" ca="1" si="30"/>
        <v/>
      </c>
      <c r="AD28" s="5" t="str">
        <f t="shared" ca="1" si="31"/>
        <v/>
      </c>
      <c r="AG28" s="67">
        <f t="shared" ca="1" si="12"/>
        <v>26</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
      <c r="A29" s="67">
        <f>Demand!C26</f>
        <v>0</v>
      </c>
      <c r="B29" s="67">
        <v>14</v>
      </c>
      <c r="C29" s="5">
        <f ca="1">'Demand background (hide)'!Y17</f>
        <v>0</v>
      </c>
      <c r="D29" s="67">
        <f t="shared" si="15"/>
        <v>0</v>
      </c>
      <c r="E29" s="67" t="e">
        <f t="shared" ca="1" si="16"/>
        <v>#N/A</v>
      </c>
      <c r="F29" s="67" t="e">
        <f t="shared" ca="1" si="17"/>
        <v>#N/A</v>
      </c>
      <c r="G29" s="67" t="e">
        <f t="shared" ca="1" si="18"/>
        <v>#N/A</v>
      </c>
      <c r="H29" s="67" t="e">
        <f>IF('Demand background (hide)'!AN17&lt;&gt;"",'SPC background (hide)'!C29,NA())</f>
        <v>#N/A</v>
      </c>
      <c r="I29" s="67">
        <f t="shared" ca="1" si="19"/>
        <v>5</v>
      </c>
      <c r="J29" s="5">
        <f t="shared" ca="1" si="20"/>
        <v>0</v>
      </c>
      <c r="K29" s="5">
        <f t="shared" ca="1" si="21"/>
        <v>0</v>
      </c>
      <c r="L29" s="5">
        <f t="shared" ca="1" si="22"/>
        <v>0</v>
      </c>
      <c r="M29" s="5">
        <f t="shared" ca="1" si="23"/>
        <v>0</v>
      </c>
      <c r="N29" s="5">
        <f t="shared" ca="1" si="24"/>
        <v>0</v>
      </c>
      <c r="O29" s="5">
        <f t="shared" ca="1" si="25"/>
        <v>0</v>
      </c>
      <c r="P29" s="5">
        <f t="shared" ca="1" si="26"/>
        <v>0</v>
      </c>
      <c r="Q29" s="5" t="e">
        <f t="shared" ca="1" si="27"/>
        <v>#N/A</v>
      </c>
      <c r="R29" s="5">
        <f t="shared" ca="1" si="32"/>
        <v>0</v>
      </c>
      <c r="S29" s="67" t="e">
        <f t="shared" ca="1" si="33"/>
        <v>#N/A</v>
      </c>
      <c r="T29" s="67">
        <f t="shared" ca="1" si="34"/>
        <v>0</v>
      </c>
      <c r="U29" s="67" t="e">
        <f t="shared" ca="1" si="35"/>
        <v>#N/A</v>
      </c>
      <c r="V29" s="5">
        <f t="shared" ca="1" si="14"/>
        <v>0</v>
      </c>
      <c r="W29" s="5" t="e">
        <f t="shared" ca="1" si="28"/>
        <v>#N/A</v>
      </c>
      <c r="X29" s="67">
        <f t="shared" ca="1" si="29"/>
        <v>0</v>
      </c>
      <c r="Y29" s="67" t="e">
        <f t="shared" ca="1" si="36"/>
        <v>#N/A</v>
      </c>
      <c r="Z29" s="67" t="e">
        <f t="shared" ca="1" si="37"/>
        <v>#N/A</v>
      </c>
      <c r="AA29" s="5" t="str">
        <f>IF(Setup!$I$15="Yes",'Demand background (hide)'!AJ17+'SPC background (hide)'!C29,"")</f>
        <v/>
      </c>
      <c r="AC29" s="5" t="str">
        <f t="shared" ca="1" si="30"/>
        <v/>
      </c>
      <c r="AD29" s="5" t="str">
        <f t="shared" ca="1" si="31"/>
        <v/>
      </c>
      <c r="AG29" s="67">
        <f t="shared" ca="1" si="12"/>
        <v>27</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
      <c r="A30" s="67">
        <f>Demand!C27</f>
        <v>0</v>
      </c>
      <c r="B30" s="67">
        <v>15</v>
      </c>
      <c r="C30" s="5">
        <f ca="1">'Demand background (hide)'!Y18</f>
        <v>0</v>
      </c>
      <c r="D30" s="67">
        <f t="shared" si="15"/>
        <v>0</v>
      </c>
      <c r="E30" s="67" t="e">
        <f t="shared" ca="1" si="16"/>
        <v>#N/A</v>
      </c>
      <c r="F30" s="67" t="e">
        <f t="shared" ca="1" si="17"/>
        <v>#N/A</v>
      </c>
      <c r="G30" s="67" t="e">
        <f t="shared" ca="1" si="18"/>
        <v>#N/A</v>
      </c>
      <c r="H30" s="67" t="e">
        <f>IF('Demand background (hide)'!AN18&lt;&gt;"",'SPC background (hide)'!C30,NA())</f>
        <v>#N/A</v>
      </c>
      <c r="I30" s="67">
        <f t="shared" ca="1" si="19"/>
        <v>5</v>
      </c>
      <c r="J30" s="5">
        <f t="shared" ca="1" si="20"/>
        <v>0</v>
      </c>
      <c r="K30" s="5">
        <f t="shared" ca="1" si="21"/>
        <v>0</v>
      </c>
      <c r="L30" s="5">
        <f t="shared" ca="1" si="22"/>
        <v>0</v>
      </c>
      <c r="M30" s="5">
        <f t="shared" ca="1" si="23"/>
        <v>0</v>
      </c>
      <c r="N30" s="5">
        <f t="shared" ca="1" si="24"/>
        <v>0</v>
      </c>
      <c r="O30" s="5">
        <f t="shared" ca="1" si="25"/>
        <v>0</v>
      </c>
      <c r="P30" s="5">
        <f t="shared" ca="1" si="26"/>
        <v>0</v>
      </c>
      <c r="Q30" s="5" t="e">
        <f t="shared" ca="1" si="27"/>
        <v>#N/A</v>
      </c>
      <c r="R30" s="5">
        <f t="shared" ca="1" si="32"/>
        <v>0</v>
      </c>
      <c r="S30" s="67" t="e">
        <f t="shared" ca="1" si="33"/>
        <v>#N/A</v>
      </c>
      <c r="T30" s="67">
        <f t="shared" ca="1" si="34"/>
        <v>0</v>
      </c>
      <c r="U30" s="67" t="e">
        <f t="shared" ca="1" si="35"/>
        <v>#N/A</v>
      </c>
      <c r="V30" s="5">
        <f t="shared" ca="1" si="14"/>
        <v>0</v>
      </c>
      <c r="W30" s="5" t="e">
        <f t="shared" ca="1" si="28"/>
        <v>#N/A</v>
      </c>
      <c r="X30" s="67">
        <f t="shared" ca="1" si="29"/>
        <v>0</v>
      </c>
      <c r="Y30" s="67" t="e">
        <f t="shared" ca="1" si="36"/>
        <v>#N/A</v>
      </c>
      <c r="Z30" s="67" t="e">
        <f t="shared" ca="1" si="37"/>
        <v>#N/A</v>
      </c>
      <c r="AA30" s="5" t="str">
        <f>IF(Setup!$I$15="Yes",'Demand background (hide)'!AJ18+'SPC background (hide)'!C30,"")</f>
        <v/>
      </c>
      <c r="AC30" s="5" t="str">
        <f t="shared" ca="1" si="30"/>
        <v/>
      </c>
      <c r="AD30" s="5" t="str">
        <f t="shared" ca="1" si="31"/>
        <v/>
      </c>
      <c r="AG30" s="67">
        <f t="shared" ca="1" si="12"/>
        <v>28</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
      <c r="A31" s="67">
        <f>Demand!C28</f>
        <v>0</v>
      </c>
      <c r="B31" s="67">
        <v>16</v>
      </c>
      <c r="C31" s="5">
        <f ca="1">'Demand background (hide)'!Y19</f>
        <v>0</v>
      </c>
      <c r="D31" s="67">
        <f t="shared" si="15"/>
        <v>0</v>
      </c>
      <c r="E31" s="67" t="e">
        <f t="shared" ca="1" si="16"/>
        <v>#N/A</v>
      </c>
      <c r="F31" s="67" t="e">
        <f t="shared" ca="1" si="17"/>
        <v>#N/A</v>
      </c>
      <c r="G31" s="67" t="e">
        <f t="shared" ca="1" si="18"/>
        <v>#N/A</v>
      </c>
      <c r="H31" s="67" t="e">
        <f>IF('Demand background (hide)'!AN19&lt;&gt;"",'SPC background (hide)'!C31,NA())</f>
        <v>#N/A</v>
      </c>
      <c r="I31" s="67">
        <f t="shared" ca="1" si="19"/>
        <v>5</v>
      </c>
      <c r="J31" s="5">
        <f t="shared" ca="1" si="20"/>
        <v>0</v>
      </c>
      <c r="K31" s="5">
        <f t="shared" ca="1" si="21"/>
        <v>0</v>
      </c>
      <c r="L31" s="5">
        <f t="shared" ca="1" si="22"/>
        <v>0</v>
      </c>
      <c r="M31" s="5">
        <f t="shared" ca="1" si="23"/>
        <v>0</v>
      </c>
      <c r="N31" s="5">
        <f t="shared" ca="1" si="24"/>
        <v>0</v>
      </c>
      <c r="O31" s="5">
        <f t="shared" ca="1" si="25"/>
        <v>0</v>
      </c>
      <c r="P31" s="5">
        <f t="shared" ca="1" si="26"/>
        <v>0</v>
      </c>
      <c r="Q31" s="5" t="e">
        <f t="shared" ca="1" si="27"/>
        <v>#N/A</v>
      </c>
      <c r="R31" s="5">
        <f t="shared" ca="1" si="32"/>
        <v>0</v>
      </c>
      <c r="S31" s="67" t="e">
        <f t="shared" ca="1" si="33"/>
        <v>#N/A</v>
      </c>
      <c r="T31" s="67">
        <f t="shared" ca="1" si="34"/>
        <v>0</v>
      </c>
      <c r="U31" s="67" t="e">
        <f t="shared" ca="1" si="35"/>
        <v>#N/A</v>
      </c>
      <c r="V31" s="5">
        <f t="shared" ca="1" si="14"/>
        <v>0</v>
      </c>
      <c r="W31" s="5" t="e">
        <f t="shared" ca="1" si="28"/>
        <v>#N/A</v>
      </c>
      <c r="X31" s="67">
        <f t="shared" ca="1" si="29"/>
        <v>0</v>
      </c>
      <c r="Y31" s="67" t="e">
        <f t="shared" ca="1" si="36"/>
        <v>#N/A</v>
      </c>
      <c r="Z31" s="67" t="e">
        <f t="shared" ca="1" si="37"/>
        <v>#N/A</v>
      </c>
      <c r="AA31" s="5" t="str">
        <f>IF(Setup!$I$15="Yes",'Demand background (hide)'!AJ19+'SPC background (hide)'!C31,"")</f>
        <v/>
      </c>
      <c r="AC31" s="5" t="str">
        <f t="shared" ca="1" si="30"/>
        <v/>
      </c>
      <c r="AD31" s="5" t="str">
        <f t="shared" ca="1" si="31"/>
        <v/>
      </c>
      <c r="AG31" s="67">
        <f t="shared" ca="1" si="12"/>
        <v>29</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
      <c r="A32" s="67">
        <f>Demand!C29</f>
        <v>0</v>
      </c>
      <c r="B32" s="67">
        <v>17</v>
      </c>
      <c r="C32" s="5">
        <f ca="1">'Demand background (hide)'!Y20</f>
        <v>0</v>
      </c>
      <c r="D32" s="67">
        <f t="shared" si="15"/>
        <v>0</v>
      </c>
      <c r="E32" s="67" t="e">
        <f t="shared" ca="1" si="16"/>
        <v>#N/A</v>
      </c>
      <c r="F32" s="67" t="e">
        <f t="shared" ca="1" si="17"/>
        <v>#N/A</v>
      </c>
      <c r="G32" s="67" t="e">
        <f t="shared" ca="1" si="18"/>
        <v>#N/A</v>
      </c>
      <c r="H32" s="67" t="e">
        <f>IF('Demand background (hide)'!AN20&lt;&gt;"",'SPC background (hide)'!C32,NA())</f>
        <v>#N/A</v>
      </c>
      <c r="I32" s="67">
        <f t="shared" ca="1" si="19"/>
        <v>5</v>
      </c>
      <c r="J32" s="5">
        <f t="shared" ca="1" si="20"/>
        <v>0</v>
      </c>
      <c r="K32" s="5">
        <f t="shared" ca="1" si="21"/>
        <v>0</v>
      </c>
      <c r="L32" s="5">
        <f t="shared" ca="1" si="22"/>
        <v>0</v>
      </c>
      <c r="M32" s="5">
        <f t="shared" ca="1" si="23"/>
        <v>0</v>
      </c>
      <c r="N32" s="5">
        <f t="shared" ca="1" si="24"/>
        <v>0</v>
      </c>
      <c r="O32" s="5">
        <f t="shared" ca="1" si="25"/>
        <v>0</v>
      </c>
      <c r="P32" s="5">
        <f t="shared" ca="1" si="26"/>
        <v>0</v>
      </c>
      <c r="Q32" s="5" t="e">
        <f t="shared" ca="1" si="27"/>
        <v>#N/A</v>
      </c>
      <c r="R32" s="5">
        <f t="shared" ca="1" si="32"/>
        <v>0</v>
      </c>
      <c r="S32" s="67" t="e">
        <f t="shared" ca="1" si="33"/>
        <v>#N/A</v>
      </c>
      <c r="T32" s="67">
        <f t="shared" ca="1" si="34"/>
        <v>0</v>
      </c>
      <c r="U32" s="67" t="e">
        <f t="shared" ca="1" si="35"/>
        <v>#N/A</v>
      </c>
      <c r="V32" s="5">
        <f t="shared" ca="1" si="14"/>
        <v>0</v>
      </c>
      <c r="W32" s="5" t="e">
        <f t="shared" ca="1" si="28"/>
        <v>#N/A</v>
      </c>
      <c r="X32" s="67">
        <f t="shared" ca="1" si="29"/>
        <v>0</v>
      </c>
      <c r="Y32" s="67" t="e">
        <f t="shared" ca="1" si="36"/>
        <v>#N/A</v>
      </c>
      <c r="Z32" s="67" t="e">
        <f t="shared" ca="1" si="37"/>
        <v>#N/A</v>
      </c>
      <c r="AA32" s="5" t="str">
        <f>IF(Setup!$I$15="Yes",'Demand background (hide)'!AJ20+'SPC background (hide)'!C32,"")</f>
        <v/>
      </c>
      <c r="AC32" s="5" t="str">
        <f t="shared" ca="1" si="30"/>
        <v/>
      </c>
      <c r="AD32" s="5" t="str">
        <f t="shared" ca="1" si="31"/>
        <v/>
      </c>
      <c r="AG32" s="67">
        <f t="shared" ca="1" si="12"/>
        <v>30</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
      <c r="A33" s="67">
        <f>Demand!C30</f>
        <v>0</v>
      </c>
      <c r="B33" s="67">
        <v>18</v>
      </c>
      <c r="C33" s="5">
        <f ca="1">'Demand background (hide)'!Y21</f>
        <v>0</v>
      </c>
      <c r="D33" s="67">
        <f t="shared" si="15"/>
        <v>0</v>
      </c>
      <c r="E33" s="67" t="e">
        <f t="shared" ca="1" si="16"/>
        <v>#N/A</v>
      </c>
      <c r="F33" s="67" t="e">
        <f t="shared" ca="1" si="17"/>
        <v>#N/A</v>
      </c>
      <c r="G33" s="67" t="e">
        <f t="shared" ca="1" si="18"/>
        <v>#N/A</v>
      </c>
      <c r="H33" s="67" t="e">
        <f>IF('Demand background (hide)'!AN21&lt;&gt;"",'SPC background (hide)'!C33,NA())</f>
        <v>#N/A</v>
      </c>
      <c r="I33" s="67">
        <f t="shared" ca="1" si="19"/>
        <v>5</v>
      </c>
      <c r="J33" s="5">
        <f t="shared" ca="1" si="20"/>
        <v>0</v>
      </c>
      <c r="K33" s="5">
        <f t="shared" ca="1" si="21"/>
        <v>0</v>
      </c>
      <c r="L33" s="5">
        <f t="shared" ca="1" si="22"/>
        <v>0</v>
      </c>
      <c r="M33" s="5">
        <f t="shared" ca="1" si="23"/>
        <v>0</v>
      </c>
      <c r="N33" s="5">
        <f t="shared" ca="1" si="24"/>
        <v>0</v>
      </c>
      <c r="O33" s="5">
        <f t="shared" ca="1" si="25"/>
        <v>0</v>
      </c>
      <c r="P33" s="5">
        <f t="shared" ca="1" si="26"/>
        <v>0</v>
      </c>
      <c r="Q33" s="5" t="e">
        <f t="shared" ca="1" si="27"/>
        <v>#N/A</v>
      </c>
      <c r="R33" s="5">
        <f t="shared" ca="1" si="32"/>
        <v>0</v>
      </c>
      <c r="S33" s="67" t="e">
        <f t="shared" ca="1" si="33"/>
        <v>#N/A</v>
      </c>
      <c r="T33" s="67">
        <f t="shared" ca="1" si="34"/>
        <v>0</v>
      </c>
      <c r="U33" s="67" t="e">
        <f t="shared" ca="1" si="35"/>
        <v>#N/A</v>
      </c>
      <c r="V33" s="5">
        <f t="shared" ca="1" si="14"/>
        <v>0</v>
      </c>
      <c r="W33" s="5" t="e">
        <f t="shared" ca="1" si="28"/>
        <v>#N/A</v>
      </c>
      <c r="X33" s="67">
        <f t="shared" ca="1" si="29"/>
        <v>0</v>
      </c>
      <c r="Y33" s="67" t="e">
        <f t="shared" ca="1" si="36"/>
        <v>#N/A</v>
      </c>
      <c r="Z33" s="67" t="e">
        <f t="shared" ca="1" si="37"/>
        <v>#N/A</v>
      </c>
      <c r="AA33" s="5" t="str">
        <f>IF(Setup!$I$15="Yes",'Demand background (hide)'!AJ21+'SPC background (hide)'!C33,"")</f>
        <v/>
      </c>
      <c r="AC33" s="5" t="str">
        <f t="shared" ca="1" si="30"/>
        <v/>
      </c>
      <c r="AD33" s="5" t="str">
        <f t="shared" ca="1" si="31"/>
        <v/>
      </c>
      <c r="AG33" s="67">
        <f t="shared" ca="1" si="12"/>
        <v>31</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
      <c r="A34" s="67">
        <f>Demand!C31</f>
        <v>0</v>
      </c>
      <c r="B34" s="67">
        <v>19</v>
      </c>
      <c r="C34" s="5">
        <f ca="1">'Demand background (hide)'!Y22</f>
        <v>0</v>
      </c>
      <c r="D34" s="67">
        <f t="shared" si="15"/>
        <v>0</v>
      </c>
      <c r="E34" s="67" t="e">
        <f t="shared" ca="1" si="16"/>
        <v>#N/A</v>
      </c>
      <c r="F34" s="67" t="e">
        <f t="shared" ca="1" si="17"/>
        <v>#N/A</v>
      </c>
      <c r="G34" s="67" t="e">
        <f t="shared" ca="1" si="18"/>
        <v>#N/A</v>
      </c>
      <c r="H34" s="67" t="e">
        <f>IF('Demand background (hide)'!AN22&lt;&gt;"",'SPC background (hide)'!C34,NA())</f>
        <v>#N/A</v>
      </c>
      <c r="I34" s="67">
        <f t="shared" ca="1" si="19"/>
        <v>5</v>
      </c>
      <c r="J34" s="5">
        <f t="shared" ca="1" si="20"/>
        <v>0</v>
      </c>
      <c r="K34" s="5">
        <f t="shared" ca="1" si="21"/>
        <v>0</v>
      </c>
      <c r="L34" s="5">
        <f t="shared" ca="1" si="22"/>
        <v>0</v>
      </c>
      <c r="M34" s="5">
        <f t="shared" ca="1" si="23"/>
        <v>0</v>
      </c>
      <c r="N34" s="5">
        <f t="shared" ca="1" si="24"/>
        <v>0</v>
      </c>
      <c r="O34" s="5">
        <f t="shared" ca="1" si="25"/>
        <v>0</v>
      </c>
      <c r="P34" s="5">
        <f t="shared" ca="1" si="26"/>
        <v>0</v>
      </c>
      <c r="Q34" s="5" t="e">
        <f t="shared" ca="1" si="27"/>
        <v>#N/A</v>
      </c>
      <c r="R34" s="5">
        <f t="shared" ca="1" si="32"/>
        <v>0</v>
      </c>
      <c r="S34" s="67" t="e">
        <f t="shared" ca="1" si="33"/>
        <v>#N/A</v>
      </c>
      <c r="T34" s="67">
        <f t="shared" ca="1" si="34"/>
        <v>0</v>
      </c>
      <c r="U34" s="67" t="e">
        <f t="shared" ca="1" si="35"/>
        <v>#N/A</v>
      </c>
      <c r="V34" s="5">
        <f t="shared" ca="1" si="14"/>
        <v>0</v>
      </c>
      <c r="W34" s="5" t="e">
        <f t="shared" ca="1" si="28"/>
        <v>#N/A</v>
      </c>
      <c r="X34" s="67">
        <f t="shared" ca="1" si="29"/>
        <v>0</v>
      </c>
      <c r="Y34" s="67" t="e">
        <f t="shared" ca="1" si="36"/>
        <v>#N/A</v>
      </c>
      <c r="Z34" s="67" t="e">
        <f t="shared" ca="1" si="37"/>
        <v>#N/A</v>
      </c>
      <c r="AA34" s="5" t="str">
        <f>IF(Setup!$I$15="Yes",'Demand background (hide)'!AJ22+'SPC background (hide)'!C34,"")</f>
        <v/>
      </c>
      <c r="AC34" s="5" t="str">
        <f t="shared" ca="1" si="30"/>
        <v/>
      </c>
      <c r="AD34" s="5" t="str">
        <f t="shared" ca="1" si="31"/>
        <v/>
      </c>
      <c r="AG34" s="67">
        <f ca="1">IF(MOD(AG33+1,53)=0,53,MOD(AG33+1,53))</f>
        <v>32</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
      <c r="A35" s="67">
        <f>Demand!C32</f>
        <v>0</v>
      </c>
      <c r="B35" s="67">
        <v>20</v>
      </c>
      <c r="C35" s="5">
        <f ca="1">'Demand background (hide)'!Y23</f>
        <v>0</v>
      </c>
      <c r="D35" s="67">
        <f t="shared" si="15"/>
        <v>0</v>
      </c>
      <c r="E35" s="67" t="e">
        <f t="shared" ca="1" si="16"/>
        <v>#N/A</v>
      </c>
      <c r="F35" s="67" t="e">
        <f t="shared" ca="1" si="17"/>
        <v>#N/A</v>
      </c>
      <c r="G35" s="67" t="e">
        <f t="shared" ca="1" si="18"/>
        <v>#N/A</v>
      </c>
      <c r="H35" s="67" t="e">
        <f>IF('Demand background (hide)'!AN23&lt;&gt;"",'SPC background (hide)'!C35,NA())</f>
        <v>#N/A</v>
      </c>
      <c r="I35" s="67">
        <f t="shared" ca="1" si="19"/>
        <v>5</v>
      </c>
      <c r="J35" s="5">
        <f t="shared" ca="1" si="20"/>
        <v>0</v>
      </c>
      <c r="K35" s="5">
        <f t="shared" ca="1" si="21"/>
        <v>0</v>
      </c>
      <c r="L35" s="5">
        <f t="shared" ca="1" si="22"/>
        <v>0</v>
      </c>
      <c r="M35" s="5">
        <f t="shared" ca="1" si="23"/>
        <v>0</v>
      </c>
      <c r="N35" s="5">
        <f t="shared" ca="1" si="24"/>
        <v>0</v>
      </c>
      <c r="O35" s="5">
        <f t="shared" ca="1" si="25"/>
        <v>0</v>
      </c>
      <c r="P35" s="5">
        <f t="shared" ca="1" si="26"/>
        <v>0</v>
      </c>
      <c r="Q35" s="5" t="e">
        <f t="shared" ca="1" si="27"/>
        <v>#N/A</v>
      </c>
      <c r="R35" s="5">
        <f t="shared" ca="1" si="32"/>
        <v>0</v>
      </c>
      <c r="S35" s="67" t="e">
        <f t="shared" ca="1" si="33"/>
        <v>#N/A</v>
      </c>
      <c r="T35" s="67">
        <f t="shared" ca="1" si="34"/>
        <v>0</v>
      </c>
      <c r="U35" s="67" t="e">
        <f t="shared" ca="1" si="35"/>
        <v>#N/A</v>
      </c>
      <c r="V35" s="5">
        <f t="shared" ca="1" si="14"/>
        <v>0</v>
      </c>
      <c r="W35" s="5" t="e">
        <f t="shared" ca="1" si="28"/>
        <v>#N/A</v>
      </c>
      <c r="X35" s="67">
        <f t="shared" ca="1" si="29"/>
        <v>0</v>
      </c>
      <c r="Y35" s="67" t="e">
        <f t="shared" ca="1" si="36"/>
        <v>#N/A</v>
      </c>
      <c r="Z35" s="67" t="e">
        <f t="shared" ca="1" si="37"/>
        <v>#N/A</v>
      </c>
      <c r="AA35" s="5" t="str">
        <f>IF(Setup!$I$15="Yes",'Demand background (hide)'!AJ23+'SPC background (hide)'!C35,"")</f>
        <v/>
      </c>
      <c r="AC35" s="5" t="str">
        <f t="shared" ca="1" si="30"/>
        <v/>
      </c>
      <c r="AD35" s="5" t="str">
        <f t="shared" ca="1" si="31"/>
        <v/>
      </c>
      <c r="AG35" s="67">
        <f t="shared" ca="1" si="12"/>
        <v>33</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
      <c r="A36" s="67">
        <f>Demand!C33</f>
        <v>0</v>
      </c>
      <c r="B36" s="67">
        <v>21</v>
      </c>
      <c r="C36" s="5">
        <f ca="1">'Demand background (hide)'!Y24</f>
        <v>0</v>
      </c>
      <c r="D36" s="67">
        <f t="shared" si="15"/>
        <v>0</v>
      </c>
      <c r="E36" s="67" t="e">
        <f t="shared" ca="1" si="16"/>
        <v>#N/A</v>
      </c>
      <c r="F36" s="67" t="e">
        <f t="shared" ca="1" si="17"/>
        <v>#N/A</v>
      </c>
      <c r="G36" s="67" t="e">
        <f t="shared" ca="1" si="18"/>
        <v>#N/A</v>
      </c>
      <c r="H36" s="67" t="e">
        <f>IF('Demand background (hide)'!AN24&lt;&gt;"",'SPC background (hide)'!C36,NA())</f>
        <v>#N/A</v>
      </c>
      <c r="I36" s="67">
        <f t="shared" ca="1" si="19"/>
        <v>5</v>
      </c>
      <c r="J36" s="5">
        <f t="shared" ca="1" si="20"/>
        <v>0</v>
      </c>
      <c r="K36" s="5">
        <f t="shared" ca="1" si="21"/>
        <v>0</v>
      </c>
      <c r="L36" s="5">
        <f t="shared" ca="1" si="22"/>
        <v>0</v>
      </c>
      <c r="M36" s="5">
        <f t="shared" ca="1" si="23"/>
        <v>0</v>
      </c>
      <c r="N36" s="5">
        <f t="shared" ca="1" si="24"/>
        <v>0</v>
      </c>
      <c r="O36" s="5">
        <f t="shared" ca="1" si="25"/>
        <v>0</v>
      </c>
      <c r="P36" s="5">
        <f t="shared" ca="1" si="26"/>
        <v>0</v>
      </c>
      <c r="Q36" s="5" t="e">
        <f t="shared" ca="1" si="27"/>
        <v>#N/A</v>
      </c>
      <c r="R36" s="5">
        <f t="shared" ca="1" si="32"/>
        <v>0</v>
      </c>
      <c r="S36" s="67" t="e">
        <f t="shared" ca="1" si="33"/>
        <v>#N/A</v>
      </c>
      <c r="T36" s="67">
        <f t="shared" ca="1" si="34"/>
        <v>0</v>
      </c>
      <c r="U36" s="67" t="e">
        <f t="shared" ca="1" si="35"/>
        <v>#N/A</v>
      </c>
      <c r="V36" s="5">
        <f t="shared" ca="1" si="14"/>
        <v>0</v>
      </c>
      <c r="W36" s="5" t="e">
        <f t="shared" ca="1" si="28"/>
        <v>#N/A</v>
      </c>
      <c r="X36" s="67">
        <f t="shared" ca="1" si="29"/>
        <v>0</v>
      </c>
      <c r="Y36" s="67" t="e">
        <f t="shared" ca="1" si="36"/>
        <v>#N/A</v>
      </c>
      <c r="Z36" s="67" t="e">
        <f t="shared" ca="1" si="37"/>
        <v>#N/A</v>
      </c>
      <c r="AA36" s="5" t="str">
        <f>IF(Setup!$I$15="Yes",'Demand background (hide)'!AJ24+'SPC background (hide)'!C36,"")</f>
        <v/>
      </c>
      <c r="AC36" s="5" t="str">
        <f t="shared" ca="1" si="30"/>
        <v/>
      </c>
      <c r="AD36" s="5" t="str">
        <f t="shared" ca="1" si="31"/>
        <v/>
      </c>
      <c r="AG36" s="67">
        <f t="shared" ca="1" si="12"/>
        <v>34</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
      <c r="A37" s="67">
        <f>Demand!C34</f>
        <v>0</v>
      </c>
      <c r="B37" s="67">
        <v>22</v>
      </c>
      <c r="C37" s="5">
        <f ca="1">'Demand background (hide)'!Y25</f>
        <v>0</v>
      </c>
      <c r="D37" s="67">
        <f t="shared" si="15"/>
        <v>0</v>
      </c>
      <c r="E37" s="67" t="e">
        <f t="shared" ca="1" si="16"/>
        <v>#N/A</v>
      </c>
      <c r="F37" s="67" t="e">
        <f t="shared" ca="1" si="17"/>
        <v>#N/A</v>
      </c>
      <c r="G37" s="67" t="e">
        <f t="shared" ca="1" si="18"/>
        <v>#N/A</v>
      </c>
      <c r="H37" s="67" t="e">
        <f>IF('Demand background (hide)'!AN25&lt;&gt;"",'SPC background (hide)'!C37,NA())</f>
        <v>#N/A</v>
      </c>
      <c r="I37" s="67">
        <f t="shared" ca="1" si="19"/>
        <v>5</v>
      </c>
      <c r="J37" s="5">
        <f t="shared" ca="1" si="20"/>
        <v>0</v>
      </c>
      <c r="K37" s="5">
        <f t="shared" ca="1" si="21"/>
        <v>0</v>
      </c>
      <c r="L37" s="5">
        <f t="shared" ca="1" si="22"/>
        <v>0</v>
      </c>
      <c r="M37" s="5">
        <f t="shared" ca="1" si="23"/>
        <v>0</v>
      </c>
      <c r="N37" s="5">
        <f t="shared" ca="1" si="24"/>
        <v>0</v>
      </c>
      <c r="O37" s="5">
        <f t="shared" ca="1" si="25"/>
        <v>0</v>
      </c>
      <c r="P37" s="5">
        <f t="shared" ca="1" si="26"/>
        <v>0</v>
      </c>
      <c r="Q37" s="5" t="e">
        <f t="shared" ca="1" si="27"/>
        <v>#N/A</v>
      </c>
      <c r="R37" s="5">
        <f t="shared" ca="1" si="32"/>
        <v>0</v>
      </c>
      <c r="S37" s="67" t="e">
        <f t="shared" ca="1" si="33"/>
        <v>#N/A</v>
      </c>
      <c r="T37" s="67">
        <f t="shared" ca="1" si="34"/>
        <v>0</v>
      </c>
      <c r="U37" s="67" t="e">
        <f t="shared" ca="1" si="35"/>
        <v>#N/A</v>
      </c>
      <c r="V37" s="5">
        <f t="shared" ca="1" si="14"/>
        <v>0</v>
      </c>
      <c r="W37" s="5" t="e">
        <f t="shared" ca="1" si="28"/>
        <v>#N/A</v>
      </c>
      <c r="X37" s="67">
        <f t="shared" ca="1" si="29"/>
        <v>0</v>
      </c>
      <c r="Y37" s="67" t="e">
        <f t="shared" ca="1" si="36"/>
        <v>#N/A</v>
      </c>
      <c r="Z37" s="67" t="e">
        <f t="shared" ca="1" si="37"/>
        <v>#N/A</v>
      </c>
      <c r="AA37" s="5" t="str">
        <f>IF(Setup!$I$15="Yes",'Demand background (hide)'!AJ25+'SPC background (hide)'!C37,"")</f>
        <v/>
      </c>
      <c r="AC37" s="5" t="str">
        <f t="shared" ca="1" si="30"/>
        <v/>
      </c>
      <c r="AD37" s="5" t="str">
        <f t="shared" ca="1" si="31"/>
        <v/>
      </c>
      <c r="AG37" s="67">
        <f t="shared" ca="1" si="12"/>
        <v>35</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
      <c r="A38" s="67">
        <f>Demand!C35</f>
        <v>0</v>
      </c>
      <c r="B38" s="67">
        <v>23</v>
      </c>
      <c r="C38" s="5">
        <f ca="1">'Demand background (hide)'!Y26</f>
        <v>0</v>
      </c>
      <c r="D38" s="67">
        <f t="shared" si="15"/>
        <v>0</v>
      </c>
      <c r="E38" s="67" t="e">
        <f t="shared" ca="1" si="16"/>
        <v>#N/A</v>
      </c>
      <c r="F38" s="67" t="e">
        <f t="shared" ca="1" si="17"/>
        <v>#N/A</v>
      </c>
      <c r="G38" s="67" t="e">
        <f t="shared" ca="1" si="18"/>
        <v>#N/A</v>
      </c>
      <c r="H38" s="67" t="e">
        <f>IF('Demand background (hide)'!AN26&lt;&gt;"",'SPC background (hide)'!C38,NA())</f>
        <v>#N/A</v>
      </c>
      <c r="I38" s="67">
        <f t="shared" ca="1" si="19"/>
        <v>5</v>
      </c>
      <c r="J38" s="5">
        <f t="shared" ca="1" si="20"/>
        <v>0</v>
      </c>
      <c r="K38" s="5">
        <f t="shared" ca="1" si="21"/>
        <v>0</v>
      </c>
      <c r="L38" s="5">
        <f t="shared" ca="1" si="22"/>
        <v>0</v>
      </c>
      <c r="M38" s="5">
        <f t="shared" ca="1" si="23"/>
        <v>0</v>
      </c>
      <c r="N38" s="5">
        <f t="shared" ca="1" si="24"/>
        <v>0</v>
      </c>
      <c r="O38" s="5">
        <f t="shared" ca="1" si="25"/>
        <v>0</v>
      </c>
      <c r="P38" s="5">
        <f t="shared" ca="1" si="26"/>
        <v>0</v>
      </c>
      <c r="Q38" s="5" t="e">
        <f t="shared" ca="1" si="27"/>
        <v>#N/A</v>
      </c>
      <c r="R38" s="5">
        <f t="shared" ca="1" si="32"/>
        <v>0</v>
      </c>
      <c r="S38" s="67" t="e">
        <f t="shared" ca="1" si="33"/>
        <v>#N/A</v>
      </c>
      <c r="T38" s="67">
        <f t="shared" ca="1" si="34"/>
        <v>0</v>
      </c>
      <c r="U38" s="67" t="e">
        <f t="shared" ca="1" si="35"/>
        <v>#N/A</v>
      </c>
      <c r="V38" s="5">
        <f t="shared" ca="1" si="14"/>
        <v>0</v>
      </c>
      <c r="W38" s="5" t="e">
        <f t="shared" ca="1" si="28"/>
        <v>#N/A</v>
      </c>
      <c r="X38" s="67">
        <f t="shared" ca="1" si="29"/>
        <v>0</v>
      </c>
      <c r="Y38" s="67" t="e">
        <f t="shared" ca="1" si="36"/>
        <v>#N/A</v>
      </c>
      <c r="Z38" s="67" t="e">
        <f t="shared" ca="1" si="37"/>
        <v>#N/A</v>
      </c>
      <c r="AA38" s="5" t="str">
        <f>IF(Setup!$I$15="Yes",'Demand background (hide)'!AJ26+'SPC background (hide)'!C38,"")</f>
        <v/>
      </c>
      <c r="AC38" s="5" t="str">
        <f t="shared" ca="1" si="30"/>
        <v/>
      </c>
      <c r="AD38" s="5" t="str">
        <f t="shared" ca="1" si="31"/>
        <v/>
      </c>
      <c r="AG38" s="67">
        <f t="shared" ca="1" si="12"/>
        <v>36</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
      <c r="A39" s="67">
        <f>Demand!C36</f>
        <v>0</v>
      </c>
      <c r="B39" s="67">
        <v>24</v>
      </c>
      <c r="C39" s="5">
        <f ca="1">'Demand background (hide)'!Y27</f>
        <v>0</v>
      </c>
      <c r="D39" s="67">
        <f t="shared" si="15"/>
        <v>0</v>
      </c>
      <c r="E39" s="67" t="e">
        <f t="shared" ca="1" si="16"/>
        <v>#N/A</v>
      </c>
      <c r="F39" s="67" t="e">
        <f t="shared" ca="1" si="17"/>
        <v>#N/A</v>
      </c>
      <c r="G39" s="67" t="e">
        <f t="shared" ca="1" si="18"/>
        <v>#N/A</v>
      </c>
      <c r="H39" s="67" t="e">
        <f>IF('Demand background (hide)'!AN27&lt;&gt;"",'SPC background (hide)'!C39,NA())</f>
        <v>#N/A</v>
      </c>
      <c r="I39" s="67">
        <f t="shared" ca="1" si="19"/>
        <v>5</v>
      </c>
      <c r="J39" s="5">
        <f t="shared" ca="1" si="20"/>
        <v>0</v>
      </c>
      <c r="K39" s="5">
        <f t="shared" ca="1" si="21"/>
        <v>0</v>
      </c>
      <c r="L39" s="5">
        <f t="shared" ca="1" si="22"/>
        <v>0</v>
      </c>
      <c r="M39" s="5">
        <f t="shared" ca="1" si="23"/>
        <v>0</v>
      </c>
      <c r="N39" s="5">
        <f t="shared" ca="1" si="24"/>
        <v>0</v>
      </c>
      <c r="O39" s="5">
        <f t="shared" ca="1" si="25"/>
        <v>0</v>
      </c>
      <c r="P39" s="5">
        <f t="shared" ca="1" si="26"/>
        <v>0</v>
      </c>
      <c r="Q39" s="5" t="e">
        <f t="shared" ca="1" si="27"/>
        <v>#N/A</v>
      </c>
      <c r="R39" s="5">
        <f t="shared" ca="1" si="32"/>
        <v>0</v>
      </c>
      <c r="S39" s="67" t="e">
        <f t="shared" ca="1" si="33"/>
        <v>#N/A</v>
      </c>
      <c r="T39" s="67">
        <f t="shared" ca="1" si="34"/>
        <v>0</v>
      </c>
      <c r="U39" s="67" t="e">
        <f t="shared" ca="1" si="35"/>
        <v>#N/A</v>
      </c>
      <c r="V39" s="5">
        <f t="shared" ca="1" si="14"/>
        <v>0</v>
      </c>
      <c r="W39" s="5" t="e">
        <f t="shared" ca="1" si="28"/>
        <v>#N/A</v>
      </c>
      <c r="X39" s="67">
        <f t="shared" ca="1" si="29"/>
        <v>0</v>
      </c>
      <c r="Y39" s="67" t="e">
        <f t="shared" ca="1" si="36"/>
        <v>#N/A</v>
      </c>
      <c r="Z39" s="67" t="e">
        <f t="shared" ca="1" si="37"/>
        <v>#N/A</v>
      </c>
      <c r="AA39" s="5" t="str">
        <f>IF(Setup!$I$15="Yes",'Demand background (hide)'!AJ27+'SPC background (hide)'!C39,"")</f>
        <v/>
      </c>
      <c r="AC39" s="5" t="str">
        <f t="shared" ca="1" si="30"/>
        <v/>
      </c>
      <c r="AD39" s="5" t="str">
        <f t="shared" ca="1" si="31"/>
        <v/>
      </c>
      <c r="AG39" s="67">
        <f t="shared" ca="1" si="12"/>
        <v>37</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
      <c r="A40" s="67">
        <f>Demand!C37</f>
        <v>0</v>
      </c>
      <c r="B40" s="67">
        <v>25</v>
      </c>
      <c r="C40" s="5">
        <f ca="1">'Demand background (hide)'!Y28</f>
        <v>0</v>
      </c>
      <c r="D40" s="67">
        <f t="shared" si="15"/>
        <v>0</v>
      </c>
      <c r="E40" s="67" t="e">
        <f t="shared" ca="1" si="16"/>
        <v>#N/A</v>
      </c>
      <c r="F40" s="67" t="e">
        <f t="shared" ca="1" si="17"/>
        <v>#N/A</v>
      </c>
      <c r="G40" s="67" t="e">
        <f t="shared" ca="1" si="18"/>
        <v>#N/A</v>
      </c>
      <c r="H40" s="67" t="e">
        <f>IF('Demand background (hide)'!AN28&lt;&gt;"",'SPC background (hide)'!C40,NA())</f>
        <v>#N/A</v>
      </c>
      <c r="I40" s="67">
        <f t="shared" ca="1" si="19"/>
        <v>5</v>
      </c>
      <c r="J40" s="5">
        <f t="shared" ca="1" si="20"/>
        <v>0</v>
      </c>
      <c r="K40" s="5">
        <f t="shared" ca="1" si="21"/>
        <v>0</v>
      </c>
      <c r="L40" s="5">
        <f t="shared" ca="1" si="22"/>
        <v>0</v>
      </c>
      <c r="M40" s="5">
        <f t="shared" ca="1" si="23"/>
        <v>0</v>
      </c>
      <c r="N40" s="5">
        <f t="shared" ca="1" si="24"/>
        <v>0</v>
      </c>
      <c r="O40" s="5">
        <f t="shared" ca="1" si="25"/>
        <v>0</v>
      </c>
      <c r="P40" s="5">
        <f t="shared" ca="1" si="26"/>
        <v>0</v>
      </c>
      <c r="Q40" s="5" t="e">
        <f t="shared" ca="1" si="27"/>
        <v>#N/A</v>
      </c>
      <c r="R40" s="5">
        <f t="shared" ca="1" si="32"/>
        <v>0</v>
      </c>
      <c r="S40" s="67" t="e">
        <f t="shared" ca="1" si="33"/>
        <v>#N/A</v>
      </c>
      <c r="T40" s="67">
        <f t="shared" ca="1" si="34"/>
        <v>0</v>
      </c>
      <c r="U40" s="67" t="e">
        <f t="shared" ca="1" si="35"/>
        <v>#N/A</v>
      </c>
      <c r="V40" s="5">
        <f t="shared" ca="1" si="14"/>
        <v>0</v>
      </c>
      <c r="W40" s="5" t="e">
        <f t="shared" ca="1" si="28"/>
        <v>#N/A</v>
      </c>
      <c r="X40" s="67">
        <f t="shared" ca="1" si="29"/>
        <v>0</v>
      </c>
      <c r="Y40" s="67" t="e">
        <f t="shared" ca="1" si="36"/>
        <v>#N/A</v>
      </c>
      <c r="Z40" s="67" t="e">
        <f t="shared" ca="1" si="37"/>
        <v>#N/A</v>
      </c>
      <c r="AA40" s="5" t="str">
        <f>IF(Setup!$I$15="Yes",'Demand background (hide)'!AJ28+'SPC background (hide)'!C40,"")</f>
        <v/>
      </c>
      <c r="AC40" s="5" t="str">
        <f t="shared" ca="1" si="30"/>
        <v/>
      </c>
      <c r="AD40" s="5" t="str">
        <f t="shared" ca="1" si="31"/>
        <v/>
      </c>
      <c r="AG40" s="67">
        <f t="shared" ca="1" si="12"/>
        <v>38</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
      <c r="A41" s="67">
        <f>Demand!C38</f>
        <v>0</v>
      </c>
      <c r="B41" s="67">
        <v>26</v>
      </c>
      <c r="C41" s="5">
        <f ca="1">'Demand background (hide)'!Y29</f>
        <v>0</v>
      </c>
      <c r="D41" s="67">
        <f t="shared" si="15"/>
        <v>0</v>
      </c>
      <c r="E41" s="67" t="e">
        <f t="shared" ca="1" si="16"/>
        <v>#N/A</v>
      </c>
      <c r="F41" s="67" t="e">
        <f t="shared" ca="1" si="17"/>
        <v>#N/A</v>
      </c>
      <c r="G41" s="67" t="e">
        <f t="shared" ca="1" si="18"/>
        <v>#N/A</v>
      </c>
      <c r="H41" s="67" t="e">
        <f>IF('Demand background (hide)'!AN29&lt;&gt;"",'SPC background (hide)'!C41,NA())</f>
        <v>#N/A</v>
      </c>
      <c r="I41" s="67">
        <f t="shared" ca="1" si="19"/>
        <v>5</v>
      </c>
      <c r="J41" s="5">
        <f t="shared" ca="1" si="20"/>
        <v>0</v>
      </c>
      <c r="K41" s="5">
        <f t="shared" ca="1" si="21"/>
        <v>0</v>
      </c>
      <c r="L41" s="5">
        <f t="shared" ca="1" si="22"/>
        <v>0</v>
      </c>
      <c r="M41" s="5">
        <f t="shared" ca="1" si="23"/>
        <v>0</v>
      </c>
      <c r="N41" s="5">
        <f t="shared" ca="1" si="24"/>
        <v>0</v>
      </c>
      <c r="O41" s="5">
        <f t="shared" ca="1" si="25"/>
        <v>0</v>
      </c>
      <c r="P41" s="5">
        <f t="shared" ca="1" si="26"/>
        <v>0</v>
      </c>
      <c r="Q41" s="5" t="e">
        <f t="shared" ca="1" si="27"/>
        <v>#N/A</v>
      </c>
      <c r="R41" s="5">
        <f t="shared" ca="1" si="32"/>
        <v>0</v>
      </c>
      <c r="S41" s="67" t="e">
        <f t="shared" ca="1" si="33"/>
        <v>#N/A</v>
      </c>
      <c r="T41" s="67">
        <f t="shared" ca="1" si="34"/>
        <v>0</v>
      </c>
      <c r="U41" s="67" t="e">
        <f t="shared" ca="1" si="35"/>
        <v>#N/A</v>
      </c>
      <c r="V41" s="5">
        <f t="shared" ca="1" si="14"/>
        <v>0</v>
      </c>
      <c r="W41" s="5" t="e">
        <f t="shared" ca="1" si="28"/>
        <v>#N/A</v>
      </c>
      <c r="X41" s="67">
        <f t="shared" ca="1" si="29"/>
        <v>0</v>
      </c>
      <c r="Y41" s="67" t="e">
        <f t="shared" ca="1" si="36"/>
        <v>#N/A</v>
      </c>
      <c r="Z41" s="67" t="e">
        <f t="shared" ca="1" si="37"/>
        <v>#N/A</v>
      </c>
      <c r="AA41" s="5" t="str">
        <f>IF(Setup!$I$15="Yes",'Demand background (hide)'!AJ29+'SPC background (hide)'!C41,"")</f>
        <v/>
      </c>
      <c r="AC41" s="5" t="str">
        <f t="shared" ca="1" si="30"/>
        <v/>
      </c>
      <c r="AD41" s="5" t="str">
        <f t="shared" ca="1" si="31"/>
        <v/>
      </c>
      <c r="AG41" s="67">
        <f t="shared" ca="1" si="12"/>
        <v>39</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
      <c r="A42" s="67">
        <f>Demand!C39</f>
        <v>0</v>
      </c>
      <c r="B42" s="67">
        <v>27</v>
      </c>
      <c r="C42" s="5">
        <f ca="1">'Demand background (hide)'!Y30</f>
        <v>0</v>
      </c>
      <c r="D42" s="67">
        <f t="shared" si="15"/>
        <v>0</v>
      </c>
      <c r="E42" s="67" t="e">
        <f t="shared" ca="1" si="16"/>
        <v>#N/A</v>
      </c>
      <c r="F42" s="67" t="e">
        <f t="shared" ca="1" si="17"/>
        <v>#N/A</v>
      </c>
      <c r="G42" s="67" t="e">
        <f t="shared" ca="1" si="18"/>
        <v>#N/A</v>
      </c>
      <c r="H42" s="67" t="e">
        <f>IF('Demand background (hide)'!AN30&lt;&gt;"",'SPC background (hide)'!C42,NA())</f>
        <v>#N/A</v>
      </c>
      <c r="I42" s="67">
        <f t="shared" ca="1" si="19"/>
        <v>5</v>
      </c>
      <c r="J42" s="5">
        <f t="shared" ca="1" si="20"/>
        <v>0</v>
      </c>
      <c r="K42" s="5">
        <f t="shared" ca="1" si="21"/>
        <v>0</v>
      </c>
      <c r="L42" s="5">
        <f t="shared" ca="1" si="22"/>
        <v>0</v>
      </c>
      <c r="M42" s="5">
        <f t="shared" ca="1" si="23"/>
        <v>0</v>
      </c>
      <c r="N42" s="5">
        <f t="shared" ca="1" si="24"/>
        <v>0</v>
      </c>
      <c r="O42" s="5">
        <f t="shared" ca="1" si="25"/>
        <v>0</v>
      </c>
      <c r="P42" s="5">
        <f t="shared" ca="1" si="26"/>
        <v>0</v>
      </c>
      <c r="Q42" s="5" t="e">
        <f t="shared" ca="1" si="27"/>
        <v>#N/A</v>
      </c>
      <c r="R42" s="5">
        <f t="shared" ca="1" si="32"/>
        <v>0</v>
      </c>
      <c r="S42" s="67" t="e">
        <f t="shared" ca="1" si="33"/>
        <v>#N/A</v>
      </c>
      <c r="T42" s="67">
        <f t="shared" ca="1" si="34"/>
        <v>0</v>
      </c>
      <c r="U42" s="67" t="e">
        <f t="shared" ca="1" si="35"/>
        <v>#N/A</v>
      </c>
      <c r="V42" s="5">
        <f t="shared" ca="1" si="14"/>
        <v>0</v>
      </c>
      <c r="W42" s="5" t="e">
        <f t="shared" ca="1" si="28"/>
        <v>#N/A</v>
      </c>
      <c r="X42" s="67">
        <f t="shared" ca="1" si="29"/>
        <v>0</v>
      </c>
      <c r="Y42" s="67" t="e">
        <f t="shared" ca="1" si="36"/>
        <v>#N/A</v>
      </c>
      <c r="Z42" s="67" t="e">
        <f t="shared" ca="1" si="37"/>
        <v>#N/A</v>
      </c>
      <c r="AA42" s="5" t="str">
        <f>IF(Setup!$I$15="Yes",'Demand background (hide)'!AJ30+'SPC background (hide)'!C42,"")</f>
        <v/>
      </c>
      <c r="AC42" s="5" t="str">
        <f t="shared" ca="1" si="30"/>
        <v/>
      </c>
      <c r="AD42" s="5" t="str">
        <f t="shared" ca="1" si="31"/>
        <v/>
      </c>
      <c r="AG42" s="67">
        <f t="shared" ca="1" si="12"/>
        <v>40</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
      <c r="A43" s="67">
        <f>Demand!C40</f>
        <v>0</v>
      </c>
      <c r="B43" s="67">
        <v>28</v>
      </c>
      <c r="C43" s="5">
        <f ca="1">'Demand background (hide)'!Y31</f>
        <v>0</v>
      </c>
      <c r="D43" s="67">
        <f t="shared" si="15"/>
        <v>0</v>
      </c>
      <c r="E43" s="67" t="e">
        <f t="shared" ca="1" si="16"/>
        <v>#N/A</v>
      </c>
      <c r="F43" s="67" t="e">
        <f t="shared" ca="1" si="17"/>
        <v>#N/A</v>
      </c>
      <c r="G43" s="67" t="e">
        <f t="shared" ca="1" si="18"/>
        <v>#N/A</v>
      </c>
      <c r="H43" s="67" t="e">
        <f>IF('Demand background (hide)'!AN31&lt;&gt;"",'SPC background (hide)'!C43,NA())</f>
        <v>#N/A</v>
      </c>
      <c r="I43" s="67">
        <f t="shared" ca="1" si="19"/>
        <v>5</v>
      </c>
      <c r="J43" s="5">
        <f t="shared" ca="1" si="20"/>
        <v>0</v>
      </c>
      <c r="K43" s="5">
        <f t="shared" ca="1" si="21"/>
        <v>0</v>
      </c>
      <c r="L43" s="5">
        <f t="shared" ca="1" si="22"/>
        <v>0</v>
      </c>
      <c r="M43" s="5">
        <f t="shared" ca="1" si="23"/>
        <v>0</v>
      </c>
      <c r="N43" s="5">
        <f t="shared" ca="1" si="24"/>
        <v>0</v>
      </c>
      <c r="O43" s="5">
        <f t="shared" ca="1" si="25"/>
        <v>0</v>
      </c>
      <c r="P43" s="5">
        <f t="shared" ca="1" si="26"/>
        <v>0</v>
      </c>
      <c r="Q43" s="5" t="e">
        <f t="shared" ca="1" si="27"/>
        <v>#N/A</v>
      </c>
      <c r="R43" s="5">
        <f t="shared" ca="1" si="32"/>
        <v>0</v>
      </c>
      <c r="S43" s="67" t="e">
        <f t="shared" ca="1" si="33"/>
        <v>#N/A</v>
      </c>
      <c r="T43" s="67">
        <f t="shared" ca="1" si="34"/>
        <v>0</v>
      </c>
      <c r="U43" s="67" t="e">
        <f t="shared" ca="1" si="35"/>
        <v>#N/A</v>
      </c>
      <c r="V43" s="5">
        <f t="shared" ca="1" si="14"/>
        <v>0</v>
      </c>
      <c r="W43" s="5" t="e">
        <f t="shared" ca="1" si="28"/>
        <v>#N/A</v>
      </c>
      <c r="X43" s="67">
        <f t="shared" ca="1" si="29"/>
        <v>0</v>
      </c>
      <c r="Y43" s="67" t="e">
        <f t="shared" ca="1" si="36"/>
        <v>#N/A</v>
      </c>
      <c r="Z43" s="67" t="e">
        <f t="shared" ca="1" si="37"/>
        <v>#N/A</v>
      </c>
      <c r="AA43" s="5" t="str">
        <f>IF(Setup!$I$15="Yes",'Demand background (hide)'!AJ31+'SPC background (hide)'!C43,"")</f>
        <v/>
      </c>
      <c r="AC43" s="5" t="str">
        <f t="shared" ca="1" si="30"/>
        <v/>
      </c>
      <c r="AD43" s="5" t="str">
        <f t="shared" ca="1" si="31"/>
        <v/>
      </c>
      <c r="AG43" s="67">
        <f t="shared" ca="1" si="12"/>
        <v>41</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
      <c r="A44" s="67">
        <f>Demand!C41</f>
        <v>0</v>
      </c>
      <c r="B44" s="67">
        <v>29</v>
      </c>
      <c r="C44" s="5">
        <f ca="1">'Demand background (hide)'!Y32</f>
        <v>0</v>
      </c>
      <c r="D44" s="67">
        <f t="shared" si="15"/>
        <v>0</v>
      </c>
      <c r="E44" s="67" t="e">
        <f t="shared" ca="1" si="16"/>
        <v>#N/A</v>
      </c>
      <c r="F44" s="67" t="e">
        <f t="shared" ca="1" si="17"/>
        <v>#N/A</v>
      </c>
      <c r="G44" s="67" t="e">
        <f t="shared" ca="1" si="18"/>
        <v>#N/A</v>
      </c>
      <c r="H44" s="67" t="e">
        <f>IF('Demand background (hide)'!AN32&lt;&gt;"",'SPC background (hide)'!C44,NA())</f>
        <v>#N/A</v>
      </c>
      <c r="I44" s="67">
        <f t="shared" ca="1" si="19"/>
        <v>5</v>
      </c>
      <c r="J44" s="5">
        <f t="shared" ca="1" si="20"/>
        <v>0</v>
      </c>
      <c r="K44" s="5">
        <f t="shared" ca="1" si="21"/>
        <v>0</v>
      </c>
      <c r="L44" s="5">
        <f t="shared" ca="1" si="22"/>
        <v>0</v>
      </c>
      <c r="M44" s="5">
        <f t="shared" ca="1" si="23"/>
        <v>0</v>
      </c>
      <c r="N44" s="5">
        <f t="shared" ca="1" si="24"/>
        <v>0</v>
      </c>
      <c r="O44" s="5">
        <f t="shared" ca="1" si="25"/>
        <v>0</v>
      </c>
      <c r="P44" s="5">
        <f t="shared" ca="1" si="26"/>
        <v>0</v>
      </c>
      <c r="Q44" s="5" t="e">
        <f t="shared" ca="1" si="27"/>
        <v>#N/A</v>
      </c>
      <c r="R44" s="5">
        <f t="shared" ca="1" si="32"/>
        <v>0</v>
      </c>
      <c r="S44" s="67" t="e">
        <f t="shared" ca="1" si="33"/>
        <v>#N/A</v>
      </c>
      <c r="T44" s="67">
        <f t="shared" ca="1" si="34"/>
        <v>0</v>
      </c>
      <c r="U44" s="67" t="e">
        <f t="shared" ca="1" si="35"/>
        <v>#N/A</v>
      </c>
      <c r="V44" s="5">
        <f t="shared" ca="1" si="14"/>
        <v>0</v>
      </c>
      <c r="W44" s="5" t="e">
        <f t="shared" ca="1" si="28"/>
        <v>#N/A</v>
      </c>
      <c r="X44" s="67">
        <f t="shared" ca="1" si="29"/>
        <v>0</v>
      </c>
      <c r="Y44" s="67" t="e">
        <f t="shared" ca="1" si="36"/>
        <v>#N/A</v>
      </c>
      <c r="Z44" s="67" t="e">
        <f t="shared" ca="1" si="37"/>
        <v>#N/A</v>
      </c>
      <c r="AA44" s="5" t="str">
        <f>IF(Setup!$I$15="Yes",'Demand background (hide)'!AJ32+'SPC background (hide)'!C44,"")</f>
        <v/>
      </c>
      <c r="AC44" s="5" t="str">
        <f t="shared" ca="1" si="30"/>
        <v/>
      </c>
      <c r="AD44" s="5" t="str">
        <f t="shared" ca="1" si="31"/>
        <v/>
      </c>
      <c r="AG44" s="67">
        <f t="shared" ca="1" si="12"/>
        <v>42</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
      <c r="A45" s="67">
        <f>Demand!C42</f>
        <v>0</v>
      </c>
      <c r="B45" s="67">
        <v>30</v>
      </c>
      <c r="C45" s="5">
        <f ca="1">'Demand background (hide)'!Y33</f>
        <v>0</v>
      </c>
      <c r="D45" s="67">
        <f t="shared" si="15"/>
        <v>0</v>
      </c>
      <c r="E45" s="67" t="e">
        <f t="shared" ca="1" si="16"/>
        <v>#N/A</v>
      </c>
      <c r="F45" s="67" t="e">
        <f t="shared" ca="1" si="17"/>
        <v>#N/A</v>
      </c>
      <c r="G45" s="67" t="e">
        <f t="shared" ca="1" si="18"/>
        <v>#N/A</v>
      </c>
      <c r="H45" s="67" t="e">
        <f>IF('Demand background (hide)'!AN33&lt;&gt;"",'SPC background (hide)'!C45,NA())</f>
        <v>#N/A</v>
      </c>
      <c r="I45" s="67">
        <f t="shared" ca="1" si="19"/>
        <v>5</v>
      </c>
      <c r="J45" s="5">
        <f t="shared" ca="1" si="20"/>
        <v>0</v>
      </c>
      <c r="K45" s="5">
        <f t="shared" ca="1" si="21"/>
        <v>0</v>
      </c>
      <c r="L45" s="5">
        <f t="shared" ca="1" si="22"/>
        <v>0</v>
      </c>
      <c r="M45" s="5">
        <f t="shared" ca="1" si="23"/>
        <v>0</v>
      </c>
      <c r="N45" s="5">
        <f t="shared" ca="1" si="24"/>
        <v>0</v>
      </c>
      <c r="O45" s="5">
        <f t="shared" ca="1" si="25"/>
        <v>0</v>
      </c>
      <c r="P45" s="5">
        <f t="shared" ca="1" si="26"/>
        <v>0</v>
      </c>
      <c r="Q45" s="5" t="e">
        <f t="shared" ca="1" si="27"/>
        <v>#N/A</v>
      </c>
      <c r="R45" s="5">
        <f t="shared" ca="1" si="32"/>
        <v>0</v>
      </c>
      <c r="S45" s="67" t="e">
        <f t="shared" ca="1" si="33"/>
        <v>#N/A</v>
      </c>
      <c r="T45" s="67">
        <f t="shared" ca="1" si="34"/>
        <v>0</v>
      </c>
      <c r="U45" s="67" t="e">
        <f t="shared" ca="1" si="35"/>
        <v>#N/A</v>
      </c>
      <c r="V45" s="5">
        <f t="shared" ca="1" si="14"/>
        <v>0</v>
      </c>
      <c r="W45" s="5" t="e">
        <f t="shared" ca="1" si="28"/>
        <v>#N/A</v>
      </c>
      <c r="X45" s="67">
        <f t="shared" ca="1" si="29"/>
        <v>0</v>
      </c>
      <c r="Y45" s="67" t="e">
        <f t="shared" ca="1" si="36"/>
        <v>#N/A</v>
      </c>
      <c r="Z45" s="67" t="e">
        <f t="shared" ca="1" si="37"/>
        <v>#N/A</v>
      </c>
      <c r="AA45" s="5" t="str">
        <f>IF(Setup!$I$15="Yes",'Demand background (hide)'!AJ33+'SPC background (hide)'!C45,"")</f>
        <v/>
      </c>
      <c r="AC45" s="5" t="str">
        <f t="shared" ca="1" si="30"/>
        <v/>
      </c>
      <c r="AD45" s="5" t="str">
        <f t="shared" ca="1" si="31"/>
        <v/>
      </c>
      <c r="AG45" s="67">
        <f t="shared" ca="1" si="12"/>
        <v>43</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
      <c r="A46" s="67">
        <f>Demand!C43</f>
        <v>0</v>
      </c>
      <c r="B46" s="67">
        <v>31</v>
      </c>
      <c r="C46" s="5">
        <f ca="1">'Demand background (hide)'!Y34</f>
        <v>0</v>
      </c>
      <c r="D46" s="67">
        <f t="shared" si="15"/>
        <v>0</v>
      </c>
      <c r="E46" s="67" t="e">
        <f t="shared" ca="1" si="16"/>
        <v>#N/A</v>
      </c>
      <c r="F46" s="67" t="e">
        <f t="shared" ca="1" si="17"/>
        <v>#N/A</v>
      </c>
      <c r="G46" s="67" t="e">
        <f t="shared" ca="1" si="18"/>
        <v>#N/A</v>
      </c>
      <c r="H46" s="67" t="e">
        <f>IF('Demand background (hide)'!AN34&lt;&gt;"",'SPC background (hide)'!C46,NA())</f>
        <v>#N/A</v>
      </c>
      <c r="I46" s="67">
        <f t="shared" ca="1" si="19"/>
        <v>5</v>
      </c>
      <c r="J46" s="5">
        <f t="shared" ca="1" si="20"/>
        <v>0</v>
      </c>
      <c r="K46" s="5">
        <f t="shared" ca="1" si="21"/>
        <v>0</v>
      </c>
      <c r="L46" s="5">
        <f t="shared" ca="1" si="22"/>
        <v>0</v>
      </c>
      <c r="M46" s="5">
        <f t="shared" ca="1" si="23"/>
        <v>0</v>
      </c>
      <c r="N46" s="5">
        <f t="shared" ca="1" si="24"/>
        <v>0</v>
      </c>
      <c r="O46" s="5">
        <f t="shared" ca="1" si="25"/>
        <v>0</v>
      </c>
      <c r="P46" s="5">
        <f t="shared" ca="1" si="26"/>
        <v>0</v>
      </c>
      <c r="Q46" s="5" t="e">
        <f t="shared" ca="1" si="27"/>
        <v>#N/A</v>
      </c>
      <c r="R46" s="5">
        <f t="shared" ca="1" si="32"/>
        <v>0</v>
      </c>
      <c r="S46" s="67" t="e">
        <f t="shared" ca="1" si="33"/>
        <v>#N/A</v>
      </c>
      <c r="T46" s="67">
        <f t="shared" ca="1" si="34"/>
        <v>0</v>
      </c>
      <c r="U46" s="67" t="e">
        <f t="shared" ca="1" si="35"/>
        <v>#N/A</v>
      </c>
      <c r="V46" s="5">
        <f t="shared" ca="1" si="14"/>
        <v>0</v>
      </c>
      <c r="W46" s="5" t="e">
        <f t="shared" ca="1" si="28"/>
        <v>#N/A</v>
      </c>
      <c r="X46" s="67">
        <f t="shared" ca="1" si="29"/>
        <v>0</v>
      </c>
      <c r="Y46" s="67" t="e">
        <f t="shared" ca="1" si="36"/>
        <v>#N/A</v>
      </c>
      <c r="Z46" s="67" t="e">
        <f t="shared" ca="1" si="37"/>
        <v>#N/A</v>
      </c>
      <c r="AA46" s="5" t="str">
        <f>IF(Setup!$I$15="Yes",'Demand background (hide)'!AJ34+'SPC background (hide)'!C46,"")</f>
        <v/>
      </c>
      <c r="AC46" s="5" t="str">
        <f t="shared" ca="1" si="30"/>
        <v/>
      </c>
      <c r="AD46" s="5" t="str">
        <f t="shared" ca="1" si="31"/>
        <v/>
      </c>
      <c r="AG46" s="67">
        <f t="shared" ca="1" si="12"/>
        <v>44</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
      <c r="A47" s="67">
        <f>Demand!C44</f>
        <v>0</v>
      </c>
      <c r="B47" s="67">
        <v>32</v>
      </c>
      <c r="C47" s="5">
        <f ca="1">'Demand background (hide)'!Y35</f>
        <v>0</v>
      </c>
      <c r="D47" s="67">
        <f t="shared" si="15"/>
        <v>0</v>
      </c>
      <c r="E47" s="67" t="e">
        <f t="shared" ca="1" si="16"/>
        <v>#N/A</v>
      </c>
      <c r="F47" s="67" t="e">
        <f t="shared" ca="1" si="17"/>
        <v>#N/A</v>
      </c>
      <c r="G47" s="67" t="e">
        <f t="shared" ca="1" si="18"/>
        <v>#N/A</v>
      </c>
      <c r="H47" s="67" t="e">
        <f>IF('Demand background (hide)'!AN35&lt;&gt;"",'SPC background (hide)'!C47,NA())</f>
        <v>#N/A</v>
      </c>
      <c r="I47" s="67">
        <f t="shared" ca="1" si="19"/>
        <v>5</v>
      </c>
      <c r="J47" s="5">
        <f t="shared" ca="1" si="20"/>
        <v>0</v>
      </c>
      <c r="K47" s="5">
        <f t="shared" ca="1" si="21"/>
        <v>0</v>
      </c>
      <c r="L47" s="5">
        <f t="shared" ca="1" si="22"/>
        <v>0</v>
      </c>
      <c r="M47" s="5">
        <f t="shared" ca="1" si="23"/>
        <v>0</v>
      </c>
      <c r="N47" s="5">
        <f t="shared" ca="1" si="24"/>
        <v>0</v>
      </c>
      <c r="O47" s="5">
        <f t="shared" ca="1" si="25"/>
        <v>0</v>
      </c>
      <c r="P47" s="5">
        <f t="shared" ca="1" si="26"/>
        <v>0</v>
      </c>
      <c r="Q47" s="5" t="e">
        <f t="shared" ca="1" si="27"/>
        <v>#N/A</v>
      </c>
      <c r="R47" s="5">
        <f t="shared" ca="1" si="32"/>
        <v>0</v>
      </c>
      <c r="S47" s="67" t="e">
        <f t="shared" ca="1" si="33"/>
        <v>#N/A</v>
      </c>
      <c r="T47" s="67">
        <f t="shared" ca="1" si="34"/>
        <v>0</v>
      </c>
      <c r="U47" s="67" t="e">
        <f t="shared" ca="1" si="35"/>
        <v>#N/A</v>
      </c>
      <c r="V47" s="5">
        <f t="shared" ca="1" si="14"/>
        <v>0</v>
      </c>
      <c r="W47" s="5" t="e">
        <f t="shared" ca="1" si="28"/>
        <v>#N/A</v>
      </c>
      <c r="X47" s="67">
        <f t="shared" ca="1" si="29"/>
        <v>0</v>
      </c>
      <c r="Y47" s="67" t="e">
        <f t="shared" ca="1" si="36"/>
        <v>#N/A</v>
      </c>
      <c r="Z47" s="67" t="e">
        <f t="shared" ca="1" si="37"/>
        <v>#N/A</v>
      </c>
      <c r="AA47" s="5" t="str">
        <f>IF(Setup!$I$15="Yes",'Demand background (hide)'!AJ35+'SPC background (hide)'!C47,"")</f>
        <v/>
      </c>
      <c r="AC47" s="5" t="str">
        <f t="shared" ca="1" si="30"/>
        <v/>
      </c>
      <c r="AD47" s="5" t="str">
        <f t="shared" ca="1" si="31"/>
        <v/>
      </c>
      <c r="AG47" s="67">
        <f t="shared" ca="1" si="12"/>
        <v>45</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
      <c r="A48" s="67">
        <f>Demand!C45</f>
        <v>0</v>
      </c>
      <c r="B48" s="67">
        <v>33</v>
      </c>
      <c r="C48" s="5">
        <f ca="1">'Demand background (hide)'!Y36</f>
        <v>0</v>
      </c>
      <c r="D48" s="67">
        <f t="shared" si="15"/>
        <v>0</v>
      </c>
      <c r="E48" s="67" t="e">
        <f t="shared" ca="1" si="16"/>
        <v>#N/A</v>
      </c>
      <c r="F48" s="67" t="e">
        <f t="shared" ca="1" si="17"/>
        <v>#N/A</v>
      </c>
      <c r="G48" s="67" t="e">
        <f t="shared" ca="1" si="18"/>
        <v>#N/A</v>
      </c>
      <c r="H48" s="67" t="e">
        <f>IF('Demand background (hide)'!AN36&lt;&gt;"",'SPC background (hide)'!C48,NA())</f>
        <v>#N/A</v>
      </c>
      <c r="I48" s="67">
        <f t="shared" ca="1" si="19"/>
        <v>5</v>
      </c>
      <c r="J48" s="5">
        <f t="shared" ca="1" si="20"/>
        <v>0</v>
      </c>
      <c r="K48" s="5">
        <f t="shared" ca="1" si="21"/>
        <v>0</v>
      </c>
      <c r="L48" s="5">
        <f t="shared" ca="1" si="22"/>
        <v>0</v>
      </c>
      <c r="M48" s="5">
        <f t="shared" ca="1" si="23"/>
        <v>0</v>
      </c>
      <c r="N48" s="5">
        <f t="shared" ca="1" si="24"/>
        <v>0</v>
      </c>
      <c r="O48" s="5">
        <f t="shared" ca="1" si="25"/>
        <v>0</v>
      </c>
      <c r="P48" s="5">
        <f t="shared" ca="1" si="26"/>
        <v>0</v>
      </c>
      <c r="Q48" s="5" t="e">
        <f t="shared" ca="1" si="27"/>
        <v>#N/A</v>
      </c>
      <c r="R48" s="5">
        <f t="shared" ca="1" si="32"/>
        <v>0</v>
      </c>
      <c r="S48" s="67" t="e">
        <f t="shared" ca="1" si="33"/>
        <v>#N/A</v>
      </c>
      <c r="T48" s="67">
        <f t="shared" ca="1" si="34"/>
        <v>0</v>
      </c>
      <c r="U48" s="67" t="e">
        <f t="shared" ca="1" si="35"/>
        <v>#N/A</v>
      </c>
      <c r="V48" s="5">
        <f t="shared" ca="1" si="14"/>
        <v>0</v>
      </c>
      <c r="W48" s="5" t="e">
        <f t="shared" ca="1" si="28"/>
        <v>#N/A</v>
      </c>
      <c r="X48" s="67">
        <f t="shared" ca="1" si="29"/>
        <v>0</v>
      </c>
      <c r="Y48" s="67" t="e">
        <f t="shared" ca="1" si="36"/>
        <v>#N/A</v>
      </c>
      <c r="Z48" s="67" t="e">
        <f t="shared" ca="1" si="37"/>
        <v>#N/A</v>
      </c>
      <c r="AA48" s="5" t="str">
        <f>IF(Setup!$I$15="Yes",'Demand background (hide)'!AJ36+'SPC background (hide)'!C48,"")</f>
        <v/>
      </c>
      <c r="AC48" s="5" t="str">
        <f t="shared" ca="1" si="30"/>
        <v/>
      </c>
      <c r="AD48" s="5" t="str">
        <f t="shared" ca="1" si="31"/>
        <v/>
      </c>
      <c r="AG48" s="67">
        <f t="shared" ca="1" si="12"/>
        <v>46</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
      <c r="A49" s="67">
        <f>Demand!C46</f>
        <v>0</v>
      </c>
      <c r="B49" s="67">
        <v>34</v>
      </c>
      <c r="C49" s="5">
        <f ca="1">'Demand background (hide)'!Y37</f>
        <v>0</v>
      </c>
      <c r="D49" s="67">
        <f t="shared" si="15"/>
        <v>0</v>
      </c>
      <c r="E49" s="67" t="e">
        <f t="shared" ca="1" si="16"/>
        <v>#N/A</v>
      </c>
      <c r="F49" s="67" t="e">
        <f t="shared" ca="1" si="17"/>
        <v>#N/A</v>
      </c>
      <c r="G49" s="67" t="e">
        <f t="shared" ca="1" si="18"/>
        <v>#N/A</v>
      </c>
      <c r="H49" s="67" t="e">
        <f>IF('Demand background (hide)'!AN37&lt;&gt;"",'SPC background (hide)'!C49,NA())</f>
        <v>#N/A</v>
      </c>
      <c r="I49" s="67">
        <f t="shared" ca="1" si="19"/>
        <v>5</v>
      </c>
      <c r="J49" s="5">
        <f t="shared" ca="1" si="20"/>
        <v>0</v>
      </c>
      <c r="K49" s="5">
        <f t="shared" ca="1" si="21"/>
        <v>0</v>
      </c>
      <c r="L49" s="5">
        <f t="shared" ca="1" si="22"/>
        <v>0</v>
      </c>
      <c r="M49" s="5">
        <f t="shared" ca="1" si="23"/>
        <v>0</v>
      </c>
      <c r="N49" s="5">
        <f t="shared" ca="1" si="24"/>
        <v>0</v>
      </c>
      <c r="O49" s="5">
        <f t="shared" ca="1" si="25"/>
        <v>0</v>
      </c>
      <c r="P49" s="5">
        <f t="shared" ca="1" si="26"/>
        <v>0</v>
      </c>
      <c r="Q49" s="5" t="e">
        <f t="shared" ca="1" si="27"/>
        <v>#N/A</v>
      </c>
      <c r="R49" s="5">
        <f t="shared" ca="1" si="32"/>
        <v>0</v>
      </c>
      <c r="S49" s="67" t="e">
        <f t="shared" ca="1" si="33"/>
        <v>#N/A</v>
      </c>
      <c r="T49" s="67">
        <f t="shared" ca="1" si="34"/>
        <v>0</v>
      </c>
      <c r="U49" s="67" t="e">
        <f t="shared" ca="1" si="35"/>
        <v>#N/A</v>
      </c>
      <c r="V49" s="5">
        <f t="shared" ca="1" si="14"/>
        <v>0</v>
      </c>
      <c r="W49" s="5" t="e">
        <f t="shared" ca="1" si="28"/>
        <v>#N/A</v>
      </c>
      <c r="X49" s="67">
        <f t="shared" ca="1" si="29"/>
        <v>0</v>
      </c>
      <c r="Y49" s="67" t="e">
        <f t="shared" ca="1" si="36"/>
        <v>#N/A</v>
      </c>
      <c r="Z49" s="67" t="e">
        <f t="shared" ca="1" si="37"/>
        <v>#N/A</v>
      </c>
      <c r="AA49" s="5" t="str">
        <f>IF(Setup!$I$15="Yes",'Demand background (hide)'!AJ37+'SPC background (hide)'!C49,"")</f>
        <v/>
      </c>
      <c r="AC49" s="5" t="str">
        <f t="shared" ca="1" si="30"/>
        <v/>
      </c>
      <c r="AD49" s="5" t="str">
        <f t="shared" ca="1" si="31"/>
        <v/>
      </c>
      <c r="AG49" s="67">
        <f t="shared" ca="1" si="12"/>
        <v>47</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
      <c r="A50" s="67">
        <f>Demand!C47</f>
        <v>0</v>
      </c>
      <c r="B50" s="67">
        <v>35</v>
      </c>
      <c r="C50" s="5">
        <f ca="1">'Demand background (hide)'!Y38</f>
        <v>0</v>
      </c>
      <c r="D50" s="67">
        <f t="shared" si="15"/>
        <v>0</v>
      </c>
      <c r="E50" s="67" t="e">
        <f t="shared" ca="1" si="16"/>
        <v>#N/A</v>
      </c>
      <c r="F50" s="67" t="e">
        <f t="shared" ca="1" si="17"/>
        <v>#N/A</v>
      </c>
      <c r="G50" s="67" t="e">
        <f t="shared" ca="1" si="18"/>
        <v>#N/A</v>
      </c>
      <c r="H50" s="67" t="e">
        <f>IF('Demand background (hide)'!AN38&lt;&gt;"",'SPC background (hide)'!C50,NA())</f>
        <v>#N/A</v>
      </c>
      <c r="I50" s="67">
        <f t="shared" ca="1" si="19"/>
        <v>5</v>
      </c>
      <c r="J50" s="5">
        <f t="shared" ca="1" si="20"/>
        <v>0</v>
      </c>
      <c r="K50" s="5">
        <f t="shared" ca="1" si="21"/>
        <v>0</v>
      </c>
      <c r="L50" s="5">
        <f t="shared" ca="1" si="22"/>
        <v>0</v>
      </c>
      <c r="M50" s="5">
        <f t="shared" ca="1" si="23"/>
        <v>0</v>
      </c>
      <c r="N50" s="5">
        <f t="shared" ca="1" si="24"/>
        <v>0</v>
      </c>
      <c r="O50" s="5">
        <f t="shared" ca="1" si="25"/>
        <v>0</v>
      </c>
      <c r="P50" s="5">
        <f t="shared" ca="1" si="26"/>
        <v>0</v>
      </c>
      <c r="Q50" s="5" t="e">
        <f t="shared" ca="1" si="27"/>
        <v>#N/A</v>
      </c>
      <c r="R50" s="5">
        <f t="shared" ca="1" si="32"/>
        <v>0</v>
      </c>
      <c r="S50" s="67" t="e">
        <f t="shared" ca="1" si="33"/>
        <v>#N/A</v>
      </c>
      <c r="T50" s="67">
        <f t="shared" ca="1" si="34"/>
        <v>0</v>
      </c>
      <c r="U50" s="67" t="e">
        <f t="shared" ca="1" si="35"/>
        <v>#N/A</v>
      </c>
      <c r="V50" s="5">
        <f t="shared" ca="1" si="14"/>
        <v>0</v>
      </c>
      <c r="W50" s="5" t="e">
        <f t="shared" ca="1" si="28"/>
        <v>#N/A</v>
      </c>
      <c r="X50" s="67">
        <f t="shared" ca="1" si="29"/>
        <v>0</v>
      </c>
      <c r="Y50" s="67" t="e">
        <f t="shared" ca="1" si="36"/>
        <v>#N/A</v>
      </c>
      <c r="Z50" s="67" t="e">
        <f t="shared" ca="1" si="37"/>
        <v>#N/A</v>
      </c>
      <c r="AA50" s="5" t="str">
        <f>IF(Setup!$I$15="Yes",'Demand background (hide)'!AJ38+'SPC background (hide)'!C50,"")</f>
        <v/>
      </c>
      <c r="AC50" s="5" t="str">
        <f t="shared" ca="1" si="30"/>
        <v/>
      </c>
      <c r="AD50" s="5" t="str">
        <f t="shared" ca="1" si="31"/>
        <v/>
      </c>
      <c r="AG50" s="67">
        <f t="shared" ca="1" si="12"/>
        <v>48</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
      <c r="A51" s="67">
        <f>Demand!C48</f>
        <v>0</v>
      </c>
      <c r="B51" s="67">
        <v>36</v>
      </c>
      <c r="C51" s="5">
        <f ca="1">'Demand background (hide)'!Y39</f>
        <v>0</v>
      </c>
      <c r="D51" s="67">
        <f t="shared" si="15"/>
        <v>0</v>
      </c>
      <c r="E51" s="67" t="e">
        <f t="shared" ca="1" si="16"/>
        <v>#N/A</v>
      </c>
      <c r="F51" s="67" t="e">
        <f t="shared" ca="1" si="17"/>
        <v>#N/A</v>
      </c>
      <c r="G51" s="67" t="e">
        <f t="shared" ca="1" si="18"/>
        <v>#N/A</v>
      </c>
      <c r="H51" s="67" t="e">
        <f>IF('Demand background (hide)'!AN39&lt;&gt;"",'SPC background (hide)'!C51,NA())</f>
        <v>#N/A</v>
      </c>
      <c r="I51" s="67">
        <f t="shared" ca="1" si="19"/>
        <v>5</v>
      </c>
      <c r="J51" s="5">
        <f t="shared" ca="1" si="20"/>
        <v>0</v>
      </c>
      <c r="K51" s="5">
        <f t="shared" ca="1" si="21"/>
        <v>0</v>
      </c>
      <c r="L51" s="5">
        <f t="shared" ca="1" si="22"/>
        <v>0</v>
      </c>
      <c r="M51" s="5">
        <f t="shared" ca="1" si="23"/>
        <v>0</v>
      </c>
      <c r="N51" s="5">
        <f t="shared" ca="1" si="24"/>
        <v>0</v>
      </c>
      <c r="O51" s="5">
        <f t="shared" ca="1" si="25"/>
        <v>0</v>
      </c>
      <c r="P51" s="5">
        <f t="shared" ca="1" si="26"/>
        <v>0</v>
      </c>
      <c r="Q51" s="5" t="e">
        <f t="shared" ca="1" si="27"/>
        <v>#N/A</v>
      </c>
      <c r="R51" s="5">
        <f t="shared" ca="1" si="32"/>
        <v>0</v>
      </c>
      <c r="S51" s="67" t="e">
        <f t="shared" ca="1" si="33"/>
        <v>#N/A</v>
      </c>
      <c r="T51" s="67">
        <f t="shared" ca="1" si="34"/>
        <v>0</v>
      </c>
      <c r="U51" s="67" t="e">
        <f t="shared" ca="1" si="35"/>
        <v>#N/A</v>
      </c>
      <c r="V51" s="5">
        <f t="shared" ca="1" si="14"/>
        <v>0</v>
      </c>
      <c r="W51" s="5" t="e">
        <f t="shared" ca="1" si="28"/>
        <v>#N/A</v>
      </c>
      <c r="X51" s="67">
        <f t="shared" ca="1" si="29"/>
        <v>0</v>
      </c>
      <c r="Y51" s="67" t="e">
        <f t="shared" ca="1" si="36"/>
        <v>#N/A</v>
      </c>
      <c r="Z51" s="67" t="e">
        <f t="shared" ca="1" si="37"/>
        <v>#N/A</v>
      </c>
      <c r="AA51" s="5" t="str">
        <f>IF(Setup!$I$15="Yes",'Demand background (hide)'!AJ39+'SPC background (hide)'!C51,"")</f>
        <v/>
      </c>
      <c r="AC51" s="5" t="str">
        <f t="shared" ca="1" si="30"/>
        <v/>
      </c>
      <c r="AD51" s="5" t="str">
        <f t="shared" ca="1" si="31"/>
        <v/>
      </c>
      <c r="AG51" s="67">
        <f t="shared" ca="1" si="12"/>
        <v>49</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
      <c r="A52" s="67">
        <f>Demand!C49</f>
        <v>0</v>
      </c>
      <c r="B52" s="67">
        <v>37</v>
      </c>
      <c r="C52" s="5">
        <f ca="1">'Demand background (hide)'!Y40</f>
        <v>0</v>
      </c>
      <c r="D52" s="67">
        <f t="shared" si="15"/>
        <v>0</v>
      </c>
      <c r="E52" s="67" t="e">
        <f t="shared" ca="1" si="16"/>
        <v>#N/A</v>
      </c>
      <c r="F52" s="67" t="e">
        <f t="shared" ca="1" si="17"/>
        <v>#N/A</v>
      </c>
      <c r="G52" s="67" t="e">
        <f t="shared" ca="1" si="18"/>
        <v>#N/A</v>
      </c>
      <c r="H52" s="67" t="e">
        <f>IF('Demand background (hide)'!AN40&lt;&gt;"",'SPC background (hide)'!C52,NA())</f>
        <v>#N/A</v>
      </c>
      <c r="I52" s="67">
        <f t="shared" ca="1" si="19"/>
        <v>5</v>
      </c>
      <c r="J52" s="5">
        <f t="shared" ca="1" si="20"/>
        <v>0</v>
      </c>
      <c r="K52" s="5">
        <f t="shared" ca="1" si="21"/>
        <v>0</v>
      </c>
      <c r="L52" s="5">
        <f t="shared" ca="1" si="22"/>
        <v>0</v>
      </c>
      <c r="M52" s="5">
        <f t="shared" ca="1" si="23"/>
        <v>0</v>
      </c>
      <c r="N52" s="5">
        <f t="shared" ca="1" si="24"/>
        <v>0</v>
      </c>
      <c r="O52" s="5">
        <f t="shared" ca="1" si="25"/>
        <v>0</v>
      </c>
      <c r="P52" s="5">
        <f t="shared" ca="1" si="26"/>
        <v>0</v>
      </c>
      <c r="Q52" s="5" t="e">
        <f t="shared" ca="1" si="27"/>
        <v>#N/A</v>
      </c>
      <c r="R52" s="5">
        <f t="shared" ca="1" si="32"/>
        <v>0</v>
      </c>
      <c r="S52" s="67" t="e">
        <f t="shared" ca="1" si="33"/>
        <v>#N/A</v>
      </c>
      <c r="T52" s="67">
        <f t="shared" ca="1" si="34"/>
        <v>0</v>
      </c>
      <c r="U52" s="67" t="e">
        <f t="shared" ca="1" si="35"/>
        <v>#N/A</v>
      </c>
      <c r="V52" s="5">
        <f t="shared" ca="1" si="14"/>
        <v>0</v>
      </c>
      <c r="W52" s="5" t="e">
        <f t="shared" ca="1" si="28"/>
        <v>#N/A</v>
      </c>
      <c r="X52" s="67">
        <f t="shared" ca="1" si="29"/>
        <v>0</v>
      </c>
      <c r="Y52" s="67" t="e">
        <f t="shared" ca="1" si="36"/>
        <v>#N/A</v>
      </c>
      <c r="Z52" s="67" t="e">
        <f t="shared" ca="1" si="37"/>
        <v>#N/A</v>
      </c>
      <c r="AA52" s="5" t="str">
        <f>IF(Setup!$I$15="Yes",'Demand background (hide)'!AJ40+'SPC background (hide)'!C52,"")</f>
        <v/>
      </c>
      <c r="AC52" s="5" t="str">
        <f t="shared" ca="1" si="30"/>
        <v/>
      </c>
      <c r="AD52" s="5" t="str">
        <f t="shared" ca="1" si="31"/>
        <v/>
      </c>
      <c r="AG52" s="67">
        <f t="shared" ca="1" si="12"/>
        <v>50</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
      <c r="A53" s="67">
        <f>Demand!C50</f>
        <v>0</v>
      </c>
      <c r="B53" s="67">
        <v>38</v>
      </c>
      <c r="C53" s="5">
        <f ca="1">'Demand background (hide)'!Y41</f>
        <v>0</v>
      </c>
      <c r="D53" s="67">
        <f t="shared" si="15"/>
        <v>0</v>
      </c>
      <c r="E53" s="67" t="e">
        <f t="shared" ca="1" si="16"/>
        <v>#N/A</v>
      </c>
      <c r="F53" s="67" t="e">
        <f t="shared" ca="1" si="17"/>
        <v>#N/A</v>
      </c>
      <c r="G53" s="67" t="e">
        <f t="shared" ca="1" si="18"/>
        <v>#N/A</v>
      </c>
      <c r="H53" s="67" t="e">
        <f>IF('Demand background (hide)'!AN41&lt;&gt;"",'SPC background (hide)'!C53,NA())</f>
        <v>#N/A</v>
      </c>
      <c r="I53" s="67">
        <f t="shared" ca="1" si="19"/>
        <v>5</v>
      </c>
      <c r="J53" s="5">
        <f t="shared" ca="1" si="20"/>
        <v>0</v>
      </c>
      <c r="K53" s="5">
        <f t="shared" ca="1" si="21"/>
        <v>0</v>
      </c>
      <c r="L53" s="5">
        <f t="shared" ca="1" si="22"/>
        <v>0</v>
      </c>
      <c r="M53" s="5">
        <f t="shared" ca="1" si="23"/>
        <v>0</v>
      </c>
      <c r="N53" s="5">
        <f t="shared" ca="1" si="24"/>
        <v>0</v>
      </c>
      <c r="O53" s="5">
        <f t="shared" ca="1" si="25"/>
        <v>0</v>
      </c>
      <c r="P53" s="5">
        <f t="shared" ca="1" si="26"/>
        <v>0</v>
      </c>
      <c r="Q53" s="5" t="e">
        <f t="shared" ca="1" si="27"/>
        <v>#N/A</v>
      </c>
      <c r="R53" s="5">
        <f t="shared" ca="1" si="32"/>
        <v>0</v>
      </c>
      <c r="S53" s="67" t="e">
        <f t="shared" ca="1" si="33"/>
        <v>#N/A</v>
      </c>
      <c r="T53" s="67">
        <f t="shared" ca="1" si="34"/>
        <v>0</v>
      </c>
      <c r="U53" s="67" t="e">
        <f t="shared" ca="1" si="35"/>
        <v>#N/A</v>
      </c>
      <c r="V53" s="5">
        <f t="shared" ca="1" si="14"/>
        <v>0</v>
      </c>
      <c r="W53" s="5" t="e">
        <f t="shared" ca="1" si="28"/>
        <v>#N/A</v>
      </c>
      <c r="X53" s="67">
        <f t="shared" ca="1" si="29"/>
        <v>0</v>
      </c>
      <c r="Y53" s="67" t="e">
        <f t="shared" ca="1" si="36"/>
        <v>#N/A</v>
      </c>
      <c r="Z53" s="67" t="e">
        <f t="shared" ca="1" si="37"/>
        <v>#N/A</v>
      </c>
      <c r="AA53" s="5" t="str">
        <f>IF(Setup!$I$15="Yes",'Demand background (hide)'!AJ41+'SPC background (hide)'!C53,"")</f>
        <v/>
      </c>
      <c r="AC53" s="5" t="str">
        <f t="shared" ca="1" si="30"/>
        <v/>
      </c>
      <c r="AD53" s="5" t="str">
        <f t="shared" ca="1" si="31"/>
        <v/>
      </c>
      <c r="AG53" s="67">
        <f t="shared" ca="1" si="12"/>
        <v>51</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
      <c r="A54" s="67">
        <f>Demand!C51</f>
        <v>0</v>
      </c>
      <c r="B54" s="67">
        <v>39</v>
      </c>
      <c r="C54" s="5">
        <f ca="1">'Demand background (hide)'!Y42</f>
        <v>0</v>
      </c>
      <c r="D54" s="67">
        <f t="shared" si="15"/>
        <v>0</v>
      </c>
      <c r="E54" s="67" t="e">
        <f t="shared" ca="1" si="16"/>
        <v>#N/A</v>
      </c>
      <c r="F54" s="67" t="e">
        <f t="shared" ca="1" si="17"/>
        <v>#N/A</v>
      </c>
      <c r="G54" s="67" t="e">
        <f t="shared" ca="1" si="18"/>
        <v>#N/A</v>
      </c>
      <c r="H54" s="67" t="e">
        <f>IF('Demand background (hide)'!AN42&lt;&gt;"",'SPC background (hide)'!C54,NA())</f>
        <v>#N/A</v>
      </c>
      <c r="I54" s="67">
        <f t="shared" ca="1" si="19"/>
        <v>5</v>
      </c>
      <c r="J54" s="5">
        <f t="shared" ca="1" si="20"/>
        <v>0</v>
      </c>
      <c r="K54" s="5">
        <f t="shared" ca="1" si="21"/>
        <v>0</v>
      </c>
      <c r="L54" s="5">
        <f t="shared" ca="1" si="22"/>
        <v>0</v>
      </c>
      <c r="M54" s="5">
        <f t="shared" ca="1" si="23"/>
        <v>0</v>
      </c>
      <c r="N54" s="5">
        <f t="shared" ca="1" si="24"/>
        <v>0</v>
      </c>
      <c r="O54" s="5">
        <f t="shared" ca="1" si="25"/>
        <v>0</v>
      </c>
      <c r="P54" s="5">
        <f t="shared" ca="1" si="26"/>
        <v>0</v>
      </c>
      <c r="Q54" s="5" t="e">
        <f t="shared" ca="1" si="27"/>
        <v>#N/A</v>
      </c>
      <c r="R54" s="5">
        <f t="shared" ca="1" si="32"/>
        <v>0</v>
      </c>
      <c r="S54" s="67" t="e">
        <f t="shared" ca="1" si="33"/>
        <v>#N/A</v>
      </c>
      <c r="T54" s="67">
        <f t="shared" ca="1" si="34"/>
        <v>0</v>
      </c>
      <c r="U54" s="67" t="e">
        <f t="shared" ca="1" si="35"/>
        <v>#N/A</v>
      </c>
      <c r="V54" s="5">
        <f t="shared" ca="1" si="14"/>
        <v>0</v>
      </c>
      <c r="W54" s="5" t="e">
        <f t="shared" ca="1" si="28"/>
        <v>#N/A</v>
      </c>
      <c r="X54" s="67">
        <f t="shared" ca="1" si="29"/>
        <v>0</v>
      </c>
      <c r="Y54" s="67" t="e">
        <f t="shared" ca="1" si="36"/>
        <v>#N/A</v>
      </c>
      <c r="Z54" s="67" t="e">
        <f t="shared" ca="1" si="37"/>
        <v>#N/A</v>
      </c>
      <c r="AA54" s="5" t="str">
        <f>IF(Setup!$I$15="Yes",'Demand background (hide)'!AJ42+'SPC background (hide)'!C54,"")</f>
        <v/>
      </c>
      <c r="AC54" s="5" t="str">
        <f t="shared" ca="1" si="30"/>
        <v/>
      </c>
      <c r="AD54" s="5" t="str">
        <f t="shared" ca="1" si="31"/>
        <v/>
      </c>
      <c r="AG54" s="67">
        <f t="shared" ca="1" si="12"/>
        <v>52</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
      <c r="A55" s="67">
        <f>Demand!C52</f>
        <v>0</v>
      </c>
      <c r="B55" s="67">
        <v>40</v>
      </c>
      <c r="C55" s="5">
        <f ca="1">'Demand background (hide)'!Y43</f>
        <v>0</v>
      </c>
      <c r="D55" s="67">
        <f t="shared" si="15"/>
        <v>0</v>
      </c>
      <c r="E55" s="67" t="e">
        <f t="shared" ca="1" si="16"/>
        <v>#N/A</v>
      </c>
      <c r="F55" s="67" t="e">
        <f t="shared" ca="1" si="17"/>
        <v>#N/A</v>
      </c>
      <c r="G55" s="67" t="e">
        <f t="shared" ca="1" si="18"/>
        <v>#N/A</v>
      </c>
      <c r="H55" s="67" t="e">
        <f>IF('Demand background (hide)'!AN43&lt;&gt;"",'SPC background (hide)'!C55,NA())</f>
        <v>#N/A</v>
      </c>
      <c r="I55" s="67">
        <f t="shared" ca="1" si="19"/>
        <v>5</v>
      </c>
      <c r="J55" s="5">
        <f t="shared" ca="1" si="20"/>
        <v>0</v>
      </c>
      <c r="K55" s="5">
        <f t="shared" ca="1" si="21"/>
        <v>0</v>
      </c>
      <c r="L55" s="5">
        <f t="shared" ca="1" si="22"/>
        <v>0</v>
      </c>
      <c r="M55" s="5">
        <f t="shared" ca="1" si="23"/>
        <v>0</v>
      </c>
      <c r="N55" s="5">
        <f t="shared" ca="1" si="24"/>
        <v>0</v>
      </c>
      <c r="O55" s="5">
        <f t="shared" ca="1" si="25"/>
        <v>0</v>
      </c>
      <c r="P55" s="5">
        <f t="shared" ca="1" si="26"/>
        <v>0</v>
      </c>
      <c r="Q55" s="5" t="e">
        <f t="shared" ca="1" si="27"/>
        <v>#N/A</v>
      </c>
      <c r="R55" s="5">
        <f t="shared" ca="1" si="32"/>
        <v>0</v>
      </c>
      <c r="S55" s="67" t="e">
        <f t="shared" ca="1" si="33"/>
        <v>#N/A</v>
      </c>
      <c r="T55" s="67">
        <f t="shared" ca="1" si="34"/>
        <v>0</v>
      </c>
      <c r="U55" s="67" t="e">
        <f t="shared" ca="1" si="35"/>
        <v>#N/A</v>
      </c>
      <c r="V55" s="5">
        <f t="shared" ca="1" si="14"/>
        <v>0</v>
      </c>
      <c r="W55" s="5" t="e">
        <f t="shared" ca="1" si="28"/>
        <v>#N/A</v>
      </c>
      <c r="X55" s="67">
        <f t="shared" ca="1" si="29"/>
        <v>0</v>
      </c>
      <c r="Y55" s="67" t="e">
        <f t="shared" ca="1" si="36"/>
        <v>#N/A</v>
      </c>
      <c r="Z55" s="67" t="e">
        <f t="shared" ca="1" si="37"/>
        <v>#N/A</v>
      </c>
      <c r="AA55" s="5" t="str">
        <f>IF(Setup!$I$15="Yes",'Demand background (hide)'!AJ43+'SPC background (hide)'!C55,"")</f>
        <v/>
      </c>
      <c r="AC55" s="5" t="str">
        <f t="shared" ca="1" si="30"/>
        <v/>
      </c>
      <c r="AD55" s="5" t="str">
        <f t="shared" ca="1" si="31"/>
        <v/>
      </c>
    </row>
    <row r="56" spans="1:46" x14ac:dyDescent="0.2">
      <c r="A56" s="67">
        <f>Demand!C53</f>
        <v>0</v>
      </c>
      <c r="B56" s="67">
        <v>41</v>
      </c>
      <c r="C56" s="5">
        <f ca="1">'Demand background (hide)'!Y44</f>
        <v>0</v>
      </c>
      <c r="D56" s="67">
        <f t="shared" si="15"/>
        <v>0</v>
      </c>
      <c r="E56" s="67" t="e">
        <f t="shared" ca="1" si="16"/>
        <v>#N/A</v>
      </c>
      <c r="F56" s="67" t="e">
        <f t="shared" ca="1" si="17"/>
        <v>#N/A</v>
      </c>
      <c r="G56" s="67" t="e">
        <f t="shared" ca="1" si="18"/>
        <v>#N/A</v>
      </c>
      <c r="H56" s="67" t="e">
        <f>IF('Demand background (hide)'!AN44&lt;&gt;"",'SPC background (hide)'!C56,NA())</f>
        <v>#N/A</v>
      </c>
      <c r="I56" s="67">
        <f t="shared" ca="1" si="19"/>
        <v>5</v>
      </c>
      <c r="J56" s="5">
        <f t="shared" ca="1" si="20"/>
        <v>0</v>
      </c>
      <c r="K56" s="5">
        <f t="shared" ca="1" si="21"/>
        <v>0</v>
      </c>
      <c r="L56" s="5">
        <f t="shared" ca="1" si="22"/>
        <v>0</v>
      </c>
      <c r="M56" s="5">
        <f t="shared" ca="1" si="23"/>
        <v>0</v>
      </c>
      <c r="N56" s="5">
        <f t="shared" ca="1" si="24"/>
        <v>0</v>
      </c>
      <c r="O56" s="5">
        <f t="shared" ca="1" si="25"/>
        <v>0</v>
      </c>
      <c r="P56" s="5">
        <f t="shared" ca="1" si="26"/>
        <v>0</v>
      </c>
      <c r="Q56" s="5" t="e">
        <f t="shared" ca="1" si="27"/>
        <v>#N/A</v>
      </c>
      <c r="R56" s="5">
        <f t="shared" ca="1" si="32"/>
        <v>0</v>
      </c>
      <c r="S56" s="67" t="e">
        <f t="shared" ca="1" si="33"/>
        <v>#N/A</v>
      </c>
      <c r="T56" s="67">
        <f t="shared" ca="1" si="34"/>
        <v>0</v>
      </c>
      <c r="U56" s="67" t="e">
        <f t="shared" ca="1" si="35"/>
        <v>#N/A</v>
      </c>
      <c r="V56" s="5">
        <f t="shared" ca="1" si="14"/>
        <v>0</v>
      </c>
      <c r="W56" s="5" t="e">
        <f t="shared" ca="1" si="28"/>
        <v>#N/A</v>
      </c>
      <c r="X56" s="67">
        <f t="shared" ca="1" si="29"/>
        <v>0</v>
      </c>
      <c r="Y56" s="67" t="e">
        <f t="shared" ca="1" si="36"/>
        <v>#N/A</v>
      </c>
      <c r="Z56" s="67" t="e">
        <f t="shared" ca="1" si="37"/>
        <v>#N/A</v>
      </c>
      <c r="AA56" s="5" t="str">
        <f>IF(Setup!$I$15="Yes",'Demand background (hide)'!AJ44+'SPC background (hide)'!C56,"")</f>
        <v/>
      </c>
      <c r="AC56" s="5" t="str">
        <f t="shared" ca="1" si="30"/>
        <v/>
      </c>
      <c r="AD56" s="5" t="str">
        <f t="shared" ca="1" si="31"/>
        <v/>
      </c>
    </row>
    <row r="57" spans="1:46" x14ac:dyDescent="0.2">
      <c r="A57" s="67">
        <f>Demand!C54</f>
        <v>0</v>
      </c>
      <c r="B57" s="67">
        <v>42</v>
      </c>
      <c r="C57" s="5">
        <f ca="1">'Demand background (hide)'!Y45</f>
        <v>0</v>
      </c>
      <c r="D57" s="67">
        <f t="shared" si="15"/>
        <v>0</v>
      </c>
      <c r="E57" s="67" t="e">
        <f t="shared" ca="1" si="16"/>
        <v>#N/A</v>
      </c>
      <c r="F57" s="67" t="e">
        <f t="shared" ca="1" si="17"/>
        <v>#N/A</v>
      </c>
      <c r="G57" s="67" t="e">
        <f t="shared" ca="1" si="18"/>
        <v>#N/A</v>
      </c>
      <c r="H57" s="67" t="e">
        <f>IF('Demand background (hide)'!AN45&lt;&gt;"",'SPC background (hide)'!C57,NA())</f>
        <v>#N/A</v>
      </c>
      <c r="I57" s="67">
        <f t="shared" ca="1" si="19"/>
        <v>5</v>
      </c>
      <c r="J57" s="5">
        <f t="shared" ca="1" si="20"/>
        <v>0</v>
      </c>
      <c r="K57" s="5">
        <f t="shared" ca="1" si="21"/>
        <v>0</v>
      </c>
      <c r="L57" s="5">
        <f t="shared" ca="1" si="22"/>
        <v>0</v>
      </c>
      <c r="M57" s="5">
        <f t="shared" ca="1" si="23"/>
        <v>0</v>
      </c>
      <c r="N57" s="5">
        <f t="shared" ca="1" si="24"/>
        <v>0</v>
      </c>
      <c r="O57" s="5">
        <f t="shared" ca="1" si="25"/>
        <v>0</v>
      </c>
      <c r="P57" s="5">
        <f t="shared" ca="1" si="26"/>
        <v>0</v>
      </c>
      <c r="Q57" s="5" t="e">
        <f t="shared" ca="1" si="27"/>
        <v>#N/A</v>
      </c>
      <c r="R57" s="5">
        <f t="shared" ca="1" si="32"/>
        <v>0</v>
      </c>
      <c r="S57" s="67" t="e">
        <f t="shared" ca="1" si="33"/>
        <v>#N/A</v>
      </c>
      <c r="T57" s="67">
        <f t="shared" ca="1" si="34"/>
        <v>0</v>
      </c>
      <c r="U57" s="67" t="e">
        <f t="shared" ca="1" si="35"/>
        <v>#N/A</v>
      </c>
      <c r="V57" s="5">
        <f t="shared" ca="1" si="14"/>
        <v>0</v>
      </c>
      <c r="W57" s="5" t="e">
        <f t="shared" ca="1" si="28"/>
        <v>#N/A</v>
      </c>
      <c r="X57" s="67">
        <f t="shared" ca="1" si="29"/>
        <v>0</v>
      </c>
      <c r="Y57" s="67" t="e">
        <f t="shared" ca="1" si="36"/>
        <v>#N/A</v>
      </c>
      <c r="Z57" s="67" t="e">
        <f t="shared" ca="1" si="37"/>
        <v>#N/A</v>
      </c>
      <c r="AA57" s="5" t="str">
        <f>IF(Setup!$I$15="Yes",'Demand background (hide)'!AJ45+'SPC background (hide)'!C57,"")</f>
        <v/>
      </c>
      <c r="AC57" s="5" t="str">
        <f t="shared" ca="1" si="30"/>
        <v/>
      </c>
      <c r="AD57" s="5" t="str">
        <f t="shared" ca="1" si="31"/>
        <v/>
      </c>
    </row>
    <row r="58" spans="1:46" x14ac:dyDescent="0.2">
      <c r="A58" s="67">
        <f>Demand!C55</f>
        <v>0</v>
      </c>
      <c r="B58" s="67">
        <v>43</v>
      </c>
      <c r="C58" s="5">
        <f ca="1">'Demand background (hide)'!Y46</f>
        <v>0</v>
      </c>
      <c r="D58" s="67">
        <f t="shared" si="15"/>
        <v>0</v>
      </c>
      <c r="E58" s="67" t="e">
        <f t="shared" ca="1" si="16"/>
        <v>#N/A</v>
      </c>
      <c r="F58" s="67" t="e">
        <f t="shared" ca="1" si="17"/>
        <v>#N/A</v>
      </c>
      <c r="G58" s="67" t="e">
        <f t="shared" ca="1" si="18"/>
        <v>#N/A</v>
      </c>
      <c r="H58" s="67" t="e">
        <f>IF('Demand background (hide)'!AN46&lt;&gt;"",'SPC background (hide)'!C58,NA())</f>
        <v>#N/A</v>
      </c>
      <c r="I58" s="67">
        <f t="shared" ca="1" si="19"/>
        <v>5</v>
      </c>
      <c r="J58" s="5">
        <f t="shared" ca="1" si="20"/>
        <v>0</v>
      </c>
      <c r="K58" s="5">
        <f t="shared" ca="1" si="21"/>
        <v>0</v>
      </c>
      <c r="L58" s="5">
        <f t="shared" ca="1" si="22"/>
        <v>0</v>
      </c>
      <c r="M58" s="5">
        <f t="shared" ca="1" si="23"/>
        <v>0</v>
      </c>
      <c r="N58" s="5">
        <f t="shared" ca="1" si="24"/>
        <v>0</v>
      </c>
      <c r="O58" s="5">
        <f t="shared" ca="1" si="25"/>
        <v>0</v>
      </c>
      <c r="P58" s="5">
        <f t="shared" ca="1" si="26"/>
        <v>0</v>
      </c>
      <c r="Q58" s="5" t="e">
        <f t="shared" ca="1" si="27"/>
        <v>#N/A</v>
      </c>
      <c r="R58" s="5">
        <f t="shared" ca="1" si="32"/>
        <v>0</v>
      </c>
      <c r="S58" s="67" t="e">
        <f t="shared" ca="1" si="33"/>
        <v>#N/A</v>
      </c>
      <c r="T58" s="67">
        <f t="shared" ca="1" si="34"/>
        <v>0</v>
      </c>
      <c r="U58" s="67" t="e">
        <f t="shared" ca="1" si="35"/>
        <v>#N/A</v>
      </c>
      <c r="V58" s="5">
        <f t="shared" ca="1" si="14"/>
        <v>0</v>
      </c>
      <c r="W58" s="5" t="e">
        <f t="shared" ca="1" si="28"/>
        <v>#N/A</v>
      </c>
      <c r="X58" s="67">
        <f t="shared" ca="1" si="29"/>
        <v>0</v>
      </c>
      <c r="Y58" s="67" t="e">
        <f t="shared" ca="1" si="36"/>
        <v>#N/A</v>
      </c>
      <c r="Z58" s="67" t="e">
        <f t="shared" ca="1" si="37"/>
        <v>#N/A</v>
      </c>
      <c r="AA58" s="5" t="str">
        <f>IF(Setup!$I$15="Yes",'Demand background (hide)'!AJ46+'SPC background (hide)'!C58,"")</f>
        <v/>
      </c>
      <c r="AC58" s="5" t="str">
        <f t="shared" ca="1" si="30"/>
        <v/>
      </c>
      <c r="AD58" s="5" t="str">
        <f t="shared" ca="1" si="31"/>
        <v/>
      </c>
    </row>
    <row r="59" spans="1:46" x14ac:dyDescent="0.2">
      <c r="A59" s="67">
        <f>Demand!C56</f>
        <v>0</v>
      </c>
      <c r="B59" s="67">
        <v>44</v>
      </c>
      <c r="C59" s="5">
        <f ca="1">'Demand background (hide)'!Y47</f>
        <v>0</v>
      </c>
      <c r="D59" s="67">
        <f t="shared" si="15"/>
        <v>0</v>
      </c>
      <c r="E59" s="67" t="e">
        <f t="shared" ca="1" si="16"/>
        <v>#N/A</v>
      </c>
      <c r="F59" s="67" t="e">
        <f t="shared" ca="1" si="17"/>
        <v>#N/A</v>
      </c>
      <c r="G59" s="67" t="e">
        <f t="shared" ca="1" si="18"/>
        <v>#N/A</v>
      </c>
      <c r="H59" s="67" t="e">
        <f>IF('Demand background (hide)'!AN47&lt;&gt;"",'SPC background (hide)'!C59,NA())</f>
        <v>#N/A</v>
      </c>
      <c r="I59" s="67">
        <f t="shared" ca="1" si="19"/>
        <v>5</v>
      </c>
      <c r="J59" s="5">
        <f t="shared" ca="1" si="20"/>
        <v>0</v>
      </c>
      <c r="K59" s="5">
        <f t="shared" ca="1" si="21"/>
        <v>0</v>
      </c>
      <c r="L59" s="5">
        <f t="shared" ca="1" si="22"/>
        <v>0</v>
      </c>
      <c r="M59" s="5">
        <f t="shared" ca="1" si="23"/>
        <v>0</v>
      </c>
      <c r="N59" s="5">
        <f t="shared" ca="1" si="24"/>
        <v>0</v>
      </c>
      <c r="O59" s="5">
        <f t="shared" ca="1" si="25"/>
        <v>0</v>
      </c>
      <c r="P59" s="5">
        <f t="shared" ca="1" si="26"/>
        <v>0</v>
      </c>
      <c r="Q59" s="5" t="e">
        <f t="shared" ca="1" si="27"/>
        <v>#N/A</v>
      </c>
      <c r="R59" s="5">
        <f t="shared" ca="1" si="32"/>
        <v>0</v>
      </c>
      <c r="S59" s="67" t="e">
        <f t="shared" ca="1" si="33"/>
        <v>#N/A</v>
      </c>
      <c r="T59" s="67">
        <f t="shared" ca="1" si="34"/>
        <v>0</v>
      </c>
      <c r="U59" s="67" t="e">
        <f t="shared" ca="1" si="35"/>
        <v>#N/A</v>
      </c>
      <c r="V59" s="5">
        <f t="shared" ca="1" si="14"/>
        <v>0</v>
      </c>
      <c r="W59" s="5" t="e">
        <f t="shared" ca="1" si="28"/>
        <v>#N/A</v>
      </c>
      <c r="X59" s="67">
        <f t="shared" ca="1" si="29"/>
        <v>0</v>
      </c>
      <c r="Y59" s="67" t="e">
        <f t="shared" ca="1" si="36"/>
        <v>#N/A</v>
      </c>
      <c r="Z59" s="67" t="e">
        <f t="shared" ca="1" si="37"/>
        <v>#N/A</v>
      </c>
      <c r="AA59" s="5" t="str">
        <f>IF(Setup!$I$15="Yes",'Demand background (hide)'!AJ47+'SPC background (hide)'!C59,"")</f>
        <v/>
      </c>
      <c r="AC59" s="5" t="str">
        <f t="shared" ca="1" si="30"/>
        <v/>
      </c>
      <c r="AD59" s="5" t="str">
        <f t="shared" ca="1" si="31"/>
        <v/>
      </c>
    </row>
    <row r="60" spans="1:46" x14ac:dyDescent="0.2">
      <c r="A60" s="67">
        <f>Demand!C57</f>
        <v>0</v>
      </c>
      <c r="B60" s="67">
        <v>45</v>
      </c>
      <c r="C60" s="5">
        <f ca="1">'Demand background (hide)'!Y48</f>
        <v>0</v>
      </c>
      <c r="D60" s="67">
        <f t="shared" si="15"/>
        <v>0</v>
      </c>
      <c r="E60" s="67" t="e">
        <f t="shared" ca="1" si="16"/>
        <v>#N/A</v>
      </c>
      <c r="F60" s="67" t="e">
        <f t="shared" ca="1" si="17"/>
        <v>#N/A</v>
      </c>
      <c r="G60" s="67" t="e">
        <f t="shared" ca="1" si="18"/>
        <v>#N/A</v>
      </c>
      <c r="H60" s="67" t="e">
        <f>IF('Demand background (hide)'!AN48&lt;&gt;"",'SPC background (hide)'!C60,NA())</f>
        <v>#N/A</v>
      </c>
      <c r="I60" s="67">
        <f t="shared" ca="1" si="19"/>
        <v>5</v>
      </c>
      <c r="J60" s="5">
        <f t="shared" ca="1" si="20"/>
        <v>0</v>
      </c>
      <c r="K60" s="5">
        <f t="shared" ca="1" si="21"/>
        <v>0</v>
      </c>
      <c r="L60" s="5">
        <f t="shared" ca="1" si="22"/>
        <v>0</v>
      </c>
      <c r="M60" s="5">
        <f t="shared" ca="1" si="23"/>
        <v>0</v>
      </c>
      <c r="N60" s="5">
        <f t="shared" ca="1" si="24"/>
        <v>0</v>
      </c>
      <c r="O60" s="5">
        <f t="shared" ca="1" si="25"/>
        <v>0</v>
      </c>
      <c r="P60" s="5">
        <f t="shared" ca="1" si="26"/>
        <v>0</v>
      </c>
      <c r="Q60" s="5" t="e">
        <f t="shared" ca="1" si="27"/>
        <v>#N/A</v>
      </c>
      <c r="R60" s="5">
        <f t="shared" ca="1" si="32"/>
        <v>0</v>
      </c>
      <c r="S60" s="67" t="e">
        <f t="shared" ca="1" si="33"/>
        <v>#N/A</v>
      </c>
      <c r="T60" s="67">
        <f t="shared" ca="1" si="34"/>
        <v>0</v>
      </c>
      <c r="U60" s="67" t="e">
        <f t="shared" ca="1" si="35"/>
        <v>#N/A</v>
      </c>
      <c r="V60" s="5">
        <f t="shared" ca="1" si="14"/>
        <v>0</v>
      </c>
      <c r="W60" s="5" t="e">
        <f t="shared" ca="1" si="28"/>
        <v>#N/A</v>
      </c>
      <c r="X60" s="67">
        <f t="shared" ca="1" si="29"/>
        <v>0</v>
      </c>
      <c r="Y60" s="67" t="e">
        <f t="shared" ca="1" si="36"/>
        <v>#N/A</v>
      </c>
      <c r="Z60" s="67" t="e">
        <f t="shared" ca="1" si="37"/>
        <v>#N/A</v>
      </c>
      <c r="AA60" s="5" t="str">
        <f>IF(Setup!$I$15="Yes",'Demand background (hide)'!AJ48+'SPC background (hide)'!C60,"")</f>
        <v/>
      </c>
      <c r="AC60" s="5" t="str">
        <f t="shared" ca="1" si="30"/>
        <v/>
      </c>
      <c r="AD60" s="5" t="str">
        <f t="shared" ca="1" si="31"/>
        <v/>
      </c>
    </row>
    <row r="61" spans="1:46" x14ac:dyDescent="0.2">
      <c r="A61" s="67">
        <f>Demand!C58</f>
        <v>0</v>
      </c>
      <c r="B61" s="67">
        <v>46</v>
      </c>
      <c r="C61" s="5">
        <f ca="1">'Demand background (hide)'!Y49</f>
        <v>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0</v>
      </c>
      <c r="K61" s="5">
        <f t="shared" ca="1" si="21"/>
        <v>0</v>
      </c>
      <c r="L61" s="5">
        <f t="shared" ca="1" si="22"/>
        <v>0</v>
      </c>
      <c r="M61" s="5">
        <f t="shared" ca="1" si="23"/>
        <v>0</v>
      </c>
      <c r="N61" s="5">
        <f t="shared" ca="1" si="24"/>
        <v>0</v>
      </c>
      <c r="O61" s="5">
        <f t="shared" ca="1" si="25"/>
        <v>0</v>
      </c>
      <c r="P61" s="5">
        <f t="shared" ca="1" si="26"/>
        <v>0</v>
      </c>
      <c r="Q61" s="5" t="e">
        <f t="shared" ca="1" si="27"/>
        <v>#N/A</v>
      </c>
      <c r="R61" s="5">
        <f t="shared" ca="1" si="32"/>
        <v>0</v>
      </c>
      <c r="S61" s="67" t="e">
        <f t="shared" ca="1" si="33"/>
        <v>#N/A</v>
      </c>
      <c r="T61" s="67">
        <f t="shared" ca="1" si="34"/>
        <v>0</v>
      </c>
      <c r="U61" s="67" t="e">
        <f t="shared" ca="1" si="35"/>
        <v>#N/A</v>
      </c>
      <c r="V61" s="5">
        <f t="shared" ca="1" si="14"/>
        <v>0</v>
      </c>
      <c r="W61" s="5" t="e">
        <f t="shared" ca="1" si="28"/>
        <v>#N/A</v>
      </c>
      <c r="X61" s="67">
        <f t="shared" ca="1" si="29"/>
        <v>0</v>
      </c>
      <c r="Y61" s="67" t="e">
        <f t="shared" ca="1" si="36"/>
        <v>#N/A</v>
      </c>
      <c r="Z61" s="67" t="e">
        <f t="shared" ca="1" si="37"/>
        <v>#N/A</v>
      </c>
      <c r="AA61" s="5" t="str">
        <f>IF(Setup!$I$15="Yes",'Demand background (hide)'!AJ49+'SPC background (hide)'!C61,"")</f>
        <v/>
      </c>
      <c r="AC61" s="5" t="str">
        <f t="shared" ca="1" si="30"/>
        <v/>
      </c>
      <c r="AD61" s="5" t="str">
        <f t="shared" ca="1" si="31"/>
        <v/>
      </c>
    </row>
    <row r="62" spans="1:46" x14ac:dyDescent="0.2">
      <c r="A62" s="67">
        <f>Demand!C59</f>
        <v>0</v>
      </c>
      <c r="B62" s="67">
        <v>47</v>
      </c>
      <c r="C62" s="5">
        <f ca="1">'Demand background (hide)'!Y50</f>
        <v>0</v>
      </c>
      <c r="D62" s="67">
        <f t="shared" si="15"/>
        <v>0</v>
      </c>
      <c r="E62" s="67" t="e">
        <f t="shared" ca="1" si="16"/>
        <v>#N/A</v>
      </c>
      <c r="F62" s="67" t="e">
        <f t="shared" ca="1" si="17"/>
        <v>#N/A</v>
      </c>
      <c r="G62" s="67" t="e">
        <f t="shared" ca="1" si="18"/>
        <v>#N/A</v>
      </c>
      <c r="H62" s="67" t="e">
        <f>IF('Demand background (hide)'!AN50&lt;&gt;"",'SPC background (hide)'!C62,NA())</f>
        <v>#N/A</v>
      </c>
      <c r="I62" s="67">
        <f t="shared" ca="1" si="19"/>
        <v>5</v>
      </c>
      <c r="J62" s="5">
        <f t="shared" ca="1" si="20"/>
        <v>0</v>
      </c>
      <c r="K62" s="5">
        <f t="shared" ca="1" si="21"/>
        <v>0</v>
      </c>
      <c r="L62" s="5">
        <f t="shared" ca="1" si="22"/>
        <v>0</v>
      </c>
      <c r="M62" s="5">
        <f t="shared" ca="1" si="23"/>
        <v>0</v>
      </c>
      <c r="N62" s="5">
        <f t="shared" ca="1" si="24"/>
        <v>0</v>
      </c>
      <c r="O62" s="5">
        <f t="shared" ca="1" si="25"/>
        <v>0</v>
      </c>
      <c r="P62" s="5">
        <f t="shared" ca="1" si="26"/>
        <v>0</v>
      </c>
      <c r="Q62" s="5" t="e">
        <f t="shared" ca="1" si="27"/>
        <v>#N/A</v>
      </c>
      <c r="R62" s="5">
        <f t="shared" ca="1" si="32"/>
        <v>0</v>
      </c>
      <c r="S62" s="67" t="e">
        <f t="shared" ca="1" si="33"/>
        <v>#N/A</v>
      </c>
      <c r="T62" s="67">
        <f t="shared" ca="1" si="34"/>
        <v>0</v>
      </c>
      <c r="U62" s="67" t="e">
        <f t="shared" ca="1" si="35"/>
        <v>#N/A</v>
      </c>
      <c r="V62" s="5">
        <f t="shared" ca="1" si="14"/>
        <v>0</v>
      </c>
      <c r="W62" s="5" t="e">
        <f t="shared" ca="1" si="28"/>
        <v>#N/A</v>
      </c>
      <c r="X62" s="67">
        <f t="shared" ca="1" si="29"/>
        <v>0</v>
      </c>
      <c r="Y62" s="67" t="e">
        <f t="shared" ca="1" si="36"/>
        <v>#N/A</v>
      </c>
      <c r="Z62" s="67" t="e">
        <f t="shared" ca="1" si="37"/>
        <v>#N/A</v>
      </c>
      <c r="AA62" s="5" t="str">
        <f>IF(Setup!$I$15="Yes",'Demand background (hide)'!AJ50+'SPC background (hide)'!C62,"")</f>
        <v/>
      </c>
      <c r="AC62" s="5" t="str">
        <f t="shared" ca="1" si="30"/>
        <v/>
      </c>
      <c r="AD62" s="5" t="str">
        <f t="shared" ca="1" si="31"/>
        <v/>
      </c>
    </row>
    <row r="63" spans="1:46" x14ac:dyDescent="0.2">
      <c r="A63" s="67">
        <f>Demand!C60</f>
        <v>0</v>
      </c>
      <c r="B63" s="67">
        <v>48</v>
      </c>
      <c r="C63" s="5">
        <f ca="1">'Demand background (hide)'!Y51</f>
        <v>0</v>
      </c>
      <c r="D63" s="67">
        <f t="shared" si="15"/>
        <v>0</v>
      </c>
      <c r="E63" s="67" t="e">
        <f t="shared" ca="1" si="16"/>
        <v>#N/A</v>
      </c>
      <c r="F63" s="67" t="e">
        <f t="shared" ca="1" si="17"/>
        <v>#N/A</v>
      </c>
      <c r="G63" s="67" t="e">
        <f t="shared" ca="1" si="18"/>
        <v>#N/A</v>
      </c>
      <c r="H63" s="67" t="e">
        <f>IF('Demand background (hide)'!AN51&lt;&gt;"",'SPC background (hide)'!C63,NA())</f>
        <v>#N/A</v>
      </c>
      <c r="I63" s="67">
        <f t="shared" ca="1" si="19"/>
        <v>5</v>
      </c>
      <c r="J63" s="5">
        <f t="shared" ca="1" si="20"/>
        <v>0</v>
      </c>
      <c r="K63" s="5">
        <f t="shared" ca="1" si="21"/>
        <v>0</v>
      </c>
      <c r="L63" s="5">
        <f t="shared" ca="1" si="22"/>
        <v>0</v>
      </c>
      <c r="M63" s="5">
        <f t="shared" ca="1" si="23"/>
        <v>0</v>
      </c>
      <c r="N63" s="5">
        <f t="shared" ca="1" si="24"/>
        <v>0</v>
      </c>
      <c r="O63" s="5">
        <f t="shared" ca="1" si="25"/>
        <v>0</v>
      </c>
      <c r="P63" s="5">
        <f t="shared" ca="1" si="26"/>
        <v>0</v>
      </c>
      <c r="Q63" s="5" t="e">
        <f t="shared" ca="1" si="27"/>
        <v>#N/A</v>
      </c>
      <c r="R63" s="5">
        <f t="shared" ca="1" si="32"/>
        <v>0</v>
      </c>
      <c r="S63" s="67" t="e">
        <f t="shared" ca="1" si="33"/>
        <v>#N/A</v>
      </c>
      <c r="T63" s="67">
        <f t="shared" ca="1" si="34"/>
        <v>0</v>
      </c>
      <c r="U63" s="67" t="e">
        <f t="shared" ca="1" si="35"/>
        <v>#N/A</v>
      </c>
      <c r="V63" s="5">
        <f t="shared" ca="1" si="14"/>
        <v>0</v>
      </c>
      <c r="W63" s="5" t="e">
        <f t="shared" ca="1" si="28"/>
        <v>#N/A</v>
      </c>
      <c r="X63" s="67">
        <f t="shared" ca="1" si="29"/>
        <v>0</v>
      </c>
      <c r="Y63" s="67" t="e">
        <f t="shared" ca="1" si="36"/>
        <v>#N/A</v>
      </c>
      <c r="Z63" s="67" t="e">
        <f t="shared" ca="1" si="37"/>
        <v>#N/A</v>
      </c>
      <c r="AA63" s="5" t="str">
        <f>IF(Setup!$I$15="Yes",'Demand background (hide)'!AJ51+'SPC background (hide)'!C63,"")</f>
        <v/>
      </c>
      <c r="AC63" s="5" t="str">
        <f t="shared" ca="1" si="30"/>
        <v/>
      </c>
      <c r="AD63" s="5" t="str">
        <f t="shared" ca="1" si="31"/>
        <v/>
      </c>
    </row>
    <row r="64" spans="1:46" x14ac:dyDescent="0.2">
      <c r="A64" s="67">
        <f>Demand!C61</f>
        <v>0</v>
      </c>
      <c r="B64" s="67">
        <v>49</v>
      </c>
      <c r="C64" s="5">
        <f ca="1">'Demand background (hide)'!Y52</f>
        <v>0</v>
      </c>
      <c r="D64" s="67">
        <f t="shared" si="15"/>
        <v>0</v>
      </c>
      <c r="E64" s="67" t="e">
        <f t="shared" ca="1" si="16"/>
        <v>#N/A</v>
      </c>
      <c r="F64" s="67" t="e">
        <f t="shared" ca="1" si="17"/>
        <v>#N/A</v>
      </c>
      <c r="G64" s="67" t="e">
        <f t="shared" ca="1" si="18"/>
        <v>#N/A</v>
      </c>
      <c r="H64" s="67" t="e">
        <f>IF('Demand background (hide)'!AN52&lt;&gt;"",'SPC background (hide)'!C64,NA())</f>
        <v>#N/A</v>
      </c>
      <c r="I64" s="67">
        <f t="shared" ca="1" si="19"/>
        <v>5</v>
      </c>
      <c r="J64" s="5">
        <f t="shared" ca="1" si="20"/>
        <v>0</v>
      </c>
      <c r="K64" s="5">
        <f t="shared" ca="1" si="21"/>
        <v>0</v>
      </c>
      <c r="L64" s="5">
        <f t="shared" ca="1" si="22"/>
        <v>0</v>
      </c>
      <c r="M64" s="5">
        <f t="shared" ca="1" si="23"/>
        <v>0</v>
      </c>
      <c r="N64" s="5">
        <f t="shared" ca="1" si="24"/>
        <v>0</v>
      </c>
      <c r="O64" s="5">
        <f t="shared" ca="1" si="25"/>
        <v>0</v>
      </c>
      <c r="P64" s="5">
        <f t="shared" ca="1" si="26"/>
        <v>0</v>
      </c>
      <c r="Q64" s="5" t="e">
        <f t="shared" ca="1" si="27"/>
        <v>#N/A</v>
      </c>
      <c r="R64" s="5">
        <f t="shared" ca="1" si="32"/>
        <v>0</v>
      </c>
      <c r="S64" s="67" t="e">
        <f t="shared" ca="1" si="33"/>
        <v>#N/A</v>
      </c>
      <c r="T64" s="67">
        <f t="shared" ca="1" si="34"/>
        <v>0</v>
      </c>
      <c r="U64" s="67" t="e">
        <f t="shared" ca="1" si="35"/>
        <v>#N/A</v>
      </c>
      <c r="V64" s="5">
        <f t="shared" ca="1" si="14"/>
        <v>0</v>
      </c>
      <c r="W64" s="5" t="e">
        <f t="shared" ca="1" si="28"/>
        <v>#N/A</v>
      </c>
      <c r="X64" s="67">
        <f t="shared" ca="1" si="29"/>
        <v>0</v>
      </c>
      <c r="Y64" s="67" t="e">
        <f t="shared" ca="1" si="36"/>
        <v>#N/A</v>
      </c>
      <c r="Z64" s="67" t="e">
        <f t="shared" ca="1" si="37"/>
        <v>#N/A</v>
      </c>
      <c r="AA64" s="5" t="str">
        <f>IF(Setup!$I$15="Yes",'Demand background (hide)'!AJ52+'SPC background (hide)'!C64,"")</f>
        <v/>
      </c>
      <c r="AC64" s="5" t="str">
        <f t="shared" ca="1" si="30"/>
        <v/>
      </c>
      <c r="AD64" s="5" t="str">
        <f t="shared" ca="1" si="31"/>
        <v/>
      </c>
    </row>
    <row r="65" spans="1:30" x14ac:dyDescent="0.2">
      <c r="A65" s="67">
        <f>Demand!C62</f>
        <v>0</v>
      </c>
      <c r="B65" s="67">
        <v>50</v>
      </c>
      <c r="C65" s="5">
        <f ca="1">'Demand background (hide)'!Y53</f>
        <v>0</v>
      </c>
      <c r="D65" s="67">
        <f t="shared" si="15"/>
        <v>0</v>
      </c>
      <c r="E65" s="67" t="e">
        <f t="shared" ca="1" si="16"/>
        <v>#N/A</v>
      </c>
      <c r="F65" s="67" t="e">
        <f t="shared" ca="1" si="17"/>
        <v>#N/A</v>
      </c>
      <c r="G65" s="67" t="e">
        <f t="shared" ca="1" si="18"/>
        <v>#N/A</v>
      </c>
      <c r="H65" s="67" t="e">
        <f>IF('Demand background (hide)'!AN53&lt;&gt;"",'SPC background (hide)'!C65,NA())</f>
        <v>#N/A</v>
      </c>
      <c r="I65" s="67">
        <f t="shared" ca="1" si="19"/>
        <v>5</v>
      </c>
      <c r="J65" s="5">
        <f t="shared" ca="1" si="20"/>
        <v>0</v>
      </c>
      <c r="K65" s="5">
        <f t="shared" ca="1" si="21"/>
        <v>0</v>
      </c>
      <c r="L65" s="5">
        <f t="shared" ca="1" si="22"/>
        <v>0</v>
      </c>
      <c r="M65" s="5">
        <f t="shared" ca="1" si="23"/>
        <v>0</v>
      </c>
      <c r="N65" s="5">
        <f t="shared" ca="1" si="24"/>
        <v>0</v>
      </c>
      <c r="O65" s="5">
        <f t="shared" ca="1" si="25"/>
        <v>0</v>
      </c>
      <c r="P65" s="5">
        <f t="shared" ca="1" si="26"/>
        <v>0</v>
      </c>
      <c r="Q65" s="5" t="e">
        <f t="shared" ca="1" si="27"/>
        <v>#N/A</v>
      </c>
      <c r="R65" s="5">
        <f t="shared" ca="1" si="32"/>
        <v>0</v>
      </c>
      <c r="S65" s="67" t="e">
        <f t="shared" ca="1" si="33"/>
        <v>#N/A</v>
      </c>
      <c r="T65" s="67">
        <f t="shared" ca="1" si="34"/>
        <v>0</v>
      </c>
      <c r="U65" s="67" t="e">
        <f t="shared" ca="1" si="35"/>
        <v>#N/A</v>
      </c>
      <c r="V65" s="5">
        <f t="shared" ca="1" si="14"/>
        <v>0</v>
      </c>
      <c r="W65" s="5" t="e">
        <f t="shared" ca="1" si="28"/>
        <v>#N/A</v>
      </c>
      <c r="X65" s="67">
        <f t="shared" ca="1" si="29"/>
        <v>0</v>
      </c>
      <c r="Y65" s="67" t="e">
        <f t="shared" ca="1" si="36"/>
        <v>#N/A</v>
      </c>
      <c r="Z65" s="67" t="e">
        <f t="shared" ca="1" si="37"/>
        <v>#N/A</v>
      </c>
      <c r="AA65" s="5" t="str">
        <f>IF(Setup!$I$15="Yes",'Demand background (hide)'!AJ53+'SPC background (hide)'!C65,"")</f>
        <v/>
      </c>
      <c r="AC65" s="5" t="str">
        <f t="shared" ca="1" si="30"/>
        <v/>
      </c>
      <c r="AD65" s="5" t="str">
        <f t="shared" ca="1" si="31"/>
        <v/>
      </c>
    </row>
    <row r="66" spans="1:30" x14ac:dyDescent="0.2">
      <c r="A66" s="67">
        <f>Demand!C63</f>
        <v>0</v>
      </c>
      <c r="B66" s="67">
        <v>51</v>
      </c>
      <c r="C66" s="5">
        <f ca="1">'Demand background (hide)'!Y54</f>
        <v>0</v>
      </c>
      <c r="D66" s="67">
        <f t="shared" si="15"/>
        <v>0</v>
      </c>
      <c r="E66" s="67" t="e">
        <f t="shared" ca="1" si="16"/>
        <v>#N/A</v>
      </c>
      <c r="F66" s="67" t="e">
        <f t="shared" ca="1" si="17"/>
        <v>#N/A</v>
      </c>
      <c r="G66" s="67" t="e">
        <f t="shared" ca="1" si="18"/>
        <v>#N/A</v>
      </c>
      <c r="H66" s="67" t="e">
        <f>IF('Demand background (hide)'!AN54&lt;&gt;"",'SPC background (hide)'!C66,NA())</f>
        <v>#N/A</v>
      </c>
      <c r="I66" s="67">
        <f t="shared" ca="1" si="19"/>
        <v>5</v>
      </c>
      <c r="J66" s="5">
        <f t="shared" ca="1" si="20"/>
        <v>0</v>
      </c>
      <c r="K66" s="5">
        <f t="shared" ca="1" si="21"/>
        <v>0</v>
      </c>
      <c r="L66" s="5">
        <f t="shared" ca="1" si="22"/>
        <v>0</v>
      </c>
      <c r="M66" s="5">
        <f t="shared" ca="1" si="23"/>
        <v>0</v>
      </c>
      <c r="N66" s="5">
        <f t="shared" ca="1" si="24"/>
        <v>0</v>
      </c>
      <c r="O66" s="5">
        <f t="shared" ca="1" si="25"/>
        <v>0</v>
      </c>
      <c r="P66" s="5">
        <f t="shared" ca="1" si="26"/>
        <v>0</v>
      </c>
      <c r="Q66" s="5" t="e">
        <f t="shared" ca="1" si="27"/>
        <v>#N/A</v>
      </c>
      <c r="R66" s="5">
        <f t="shared" ca="1" si="32"/>
        <v>0</v>
      </c>
      <c r="S66" s="67" t="e">
        <f t="shared" ca="1" si="33"/>
        <v>#N/A</v>
      </c>
      <c r="T66" s="67">
        <f t="shared" ca="1" si="34"/>
        <v>0</v>
      </c>
      <c r="U66" s="67" t="e">
        <f t="shared" ca="1" si="35"/>
        <v>#N/A</v>
      </c>
      <c r="V66" s="5">
        <f t="shared" ca="1" si="14"/>
        <v>0</v>
      </c>
      <c r="W66" s="5" t="e">
        <f t="shared" ca="1" si="28"/>
        <v>#N/A</v>
      </c>
      <c r="X66" s="67">
        <f t="shared" ca="1" si="29"/>
        <v>0</v>
      </c>
      <c r="Y66" s="67" t="e">
        <f t="shared" ca="1" si="36"/>
        <v>#N/A</v>
      </c>
      <c r="Z66" s="67" t="e">
        <f t="shared" ca="1" si="37"/>
        <v>#N/A</v>
      </c>
      <c r="AA66" s="5" t="str">
        <f>IF(Setup!$I$15="Yes",'Demand background (hide)'!AJ54+'SPC background (hide)'!C66,"")</f>
        <v/>
      </c>
      <c r="AC66" s="5" t="str">
        <f t="shared" ca="1" si="30"/>
        <v/>
      </c>
      <c r="AD66" s="5" t="str">
        <f t="shared" ca="1" si="31"/>
        <v/>
      </c>
    </row>
    <row r="67" spans="1:30" x14ac:dyDescent="0.2">
      <c r="A67" s="67">
        <f>Demand!C64</f>
        <v>0</v>
      </c>
      <c r="B67" s="67">
        <v>52</v>
      </c>
      <c r="C67" s="5">
        <f ca="1">'Demand background (hide)'!Y55</f>
        <v>0</v>
      </c>
      <c r="D67" s="67">
        <f t="shared" si="15"/>
        <v>0</v>
      </c>
      <c r="E67" s="67" t="e">
        <f t="shared" ca="1" si="16"/>
        <v>#N/A</v>
      </c>
      <c r="F67" s="67" t="e">
        <f t="shared" ca="1" si="17"/>
        <v>#N/A</v>
      </c>
      <c r="G67" s="67" t="e">
        <f t="shared" ca="1" si="18"/>
        <v>#N/A</v>
      </c>
      <c r="H67" s="67" t="e">
        <f>IF('Demand background (hide)'!AN55&lt;&gt;"",'SPC background (hide)'!C67,NA())</f>
        <v>#N/A</v>
      </c>
      <c r="I67" s="67">
        <f t="shared" ca="1" si="19"/>
        <v>5</v>
      </c>
      <c r="J67" s="5">
        <f t="shared" ca="1" si="20"/>
        <v>0</v>
      </c>
      <c r="K67" s="5">
        <f t="shared" ca="1" si="21"/>
        <v>0</v>
      </c>
      <c r="L67" s="5">
        <f t="shared" ca="1" si="22"/>
        <v>0</v>
      </c>
      <c r="M67" s="5">
        <f t="shared" ca="1" si="23"/>
        <v>0</v>
      </c>
      <c r="N67" s="5">
        <f t="shared" ca="1" si="24"/>
        <v>0</v>
      </c>
      <c r="O67" s="5">
        <f t="shared" ca="1" si="25"/>
        <v>0</v>
      </c>
      <c r="P67" s="5">
        <f t="shared" ca="1" si="26"/>
        <v>0</v>
      </c>
      <c r="Q67" s="5" t="e">
        <f t="shared" ca="1" si="27"/>
        <v>#N/A</v>
      </c>
      <c r="R67" s="5">
        <f t="shared" ca="1" si="32"/>
        <v>0</v>
      </c>
      <c r="S67" s="67" t="e">
        <f t="shared" ca="1" si="33"/>
        <v>#N/A</v>
      </c>
      <c r="T67" s="67">
        <f t="shared" ca="1" si="34"/>
        <v>0</v>
      </c>
      <c r="U67" s="67" t="e">
        <f t="shared" ca="1" si="35"/>
        <v>#N/A</v>
      </c>
      <c r="V67" s="5">
        <f t="shared" ca="1" si="14"/>
        <v>0</v>
      </c>
      <c r="W67" s="5" t="e">
        <f t="shared" ca="1" si="28"/>
        <v>#N/A</v>
      </c>
      <c r="X67" s="67">
        <f t="shared" ca="1" si="29"/>
        <v>0</v>
      </c>
      <c r="Y67" s="67" t="e">
        <f t="shared" ca="1" si="36"/>
        <v>#N/A</v>
      </c>
      <c r="Z67" s="67" t="e">
        <f t="shared" ca="1" si="37"/>
        <v>#N/A</v>
      </c>
      <c r="AA67" s="5" t="str">
        <f>IF(Setup!$I$15="Yes",'Demand background (hide)'!AJ55+'SPC background (hide)'!C67,"")</f>
        <v/>
      </c>
      <c r="AC67" s="5" t="str">
        <f t="shared" ca="1" si="30"/>
        <v/>
      </c>
      <c r="AD67" s="5" t="str">
        <f t="shared" ca="1" si="31"/>
        <v/>
      </c>
    </row>
    <row r="68" spans="1:30" x14ac:dyDescent="0.2">
      <c r="A68" s="67">
        <f>Demand!C65</f>
        <v>0</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f t="shared" ca="1" si="19"/>
        <v>5</v>
      </c>
      <c r="J68" s="5">
        <f t="shared" ca="1" si="20"/>
        <v>0</v>
      </c>
      <c r="K68" s="5">
        <f t="shared" ca="1" si="21"/>
        <v>0</v>
      </c>
      <c r="L68" s="5">
        <f t="shared" ca="1" si="22"/>
        <v>0</v>
      </c>
      <c r="M68" s="5">
        <f t="shared" ca="1" si="23"/>
        <v>0</v>
      </c>
      <c r="N68" s="5">
        <f t="shared" ca="1" si="24"/>
        <v>0</v>
      </c>
      <c r="O68" s="5">
        <f t="shared" ca="1" si="25"/>
        <v>0</v>
      </c>
      <c r="P68" s="5">
        <f t="shared" ca="1" si="26"/>
        <v>0</v>
      </c>
      <c r="Q68" s="5" t="e">
        <f t="shared" ca="1" si="27"/>
        <v>#N/A</v>
      </c>
      <c r="R68" s="5">
        <f t="shared" ca="1" si="32"/>
        <v>0</v>
      </c>
      <c r="S68" s="67" t="e">
        <f t="shared" ca="1" si="33"/>
        <v>#N/A</v>
      </c>
      <c r="T68" s="67">
        <f t="shared" ca="1" si="34"/>
        <v>0</v>
      </c>
      <c r="U68" s="67" t="e">
        <f t="shared" ca="1" si="35"/>
        <v>#N/A</v>
      </c>
      <c r="V68" s="5">
        <f t="shared" ca="1" si="14"/>
        <v>0</v>
      </c>
      <c r="W68" s="5" t="e">
        <f t="shared" ca="1" si="28"/>
        <v>#N/A</v>
      </c>
      <c r="X68" s="67">
        <f t="shared" ca="1" si="29"/>
        <v>0</v>
      </c>
      <c r="Y68" s="67" t="e">
        <f t="shared" ca="1" si="36"/>
        <v>#N/A</v>
      </c>
      <c r="Z68" s="67" t="e">
        <f t="shared" ca="1" si="37"/>
        <v>#N/A</v>
      </c>
      <c r="AA68" s="5" t="str">
        <f>IF(Setup!$I$15="Yes",'Demand background (hide)'!AJ56+'SPC background (hide)'!C68,"")</f>
        <v/>
      </c>
      <c r="AC68" s="5" t="str">
        <f t="shared" ca="1" si="30"/>
        <v/>
      </c>
      <c r="AD68" s="5" t="str">
        <f t="shared" ca="1" si="31"/>
        <v/>
      </c>
    </row>
    <row r="69" spans="1:30" x14ac:dyDescent="0.2">
      <c r="A69" s="67">
        <f>Demand!C66</f>
        <v>0</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f t="shared" ca="1" si="19"/>
        <v>5</v>
      </c>
      <c r="J69" s="5">
        <f t="shared" ca="1" si="20"/>
        <v>0</v>
      </c>
      <c r="K69" s="5">
        <f t="shared" ca="1" si="21"/>
        <v>0</v>
      </c>
      <c r="L69" s="5">
        <f t="shared" ca="1" si="22"/>
        <v>0</v>
      </c>
      <c r="M69" s="5">
        <f t="shared" ca="1" si="23"/>
        <v>0</v>
      </c>
      <c r="N69" s="5">
        <f t="shared" ca="1" si="24"/>
        <v>0</v>
      </c>
      <c r="O69" s="5">
        <f t="shared" ca="1" si="25"/>
        <v>0</v>
      </c>
      <c r="P69" s="5">
        <f t="shared" ca="1" si="26"/>
        <v>0</v>
      </c>
      <c r="Q69" s="5" t="e">
        <f t="shared" ca="1" si="27"/>
        <v>#N/A</v>
      </c>
      <c r="R69" s="5">
        <f t="shared" ca="1" si="32"/>
        <v>0</v>
      </c>
      <c r="S69" s="67" t="e">
        <f t="shared" ca="1" si="33"/>
        <v>#N/A</v>
      </c>
      <c r="T69" s="67">
        <f t="shared" ca="1" si="34"/>
        <v>0</v>
      </c>
      <c r="U69" s="67" t="e">
        <f t="shared" ca="1" si="35"/>
        <v>#N/A</v>
      </c>
      <c r="V69" s="5">
        <f t="shared" ca="1" si="14"/>
        <v>0</v>
      </c>
      <c r="W69" s="5" t="e">
        <f t="shared" ca="1" si="28"/>
        <v>#N/A</v>
      </c>
      <c r="X69" s="67">
        <f t="shared" ca="1" si="29"/>
        <v>0</v>
      </c>
      <c r="Y69" s="67" t="e">
        <f t="shared" ca="1" si="36"/>
        <v>#N/A</v>
      </c>
      <c r="Z69" s="67" t="e">
        <f t="shared" ca="1" si="37"/>
        <v>#N/A</v>
      </c>
      <c r="AA69" s="5" t="str">
        <f>IF(Setup!$I$15="Yes",'Demand background (hide)'!AJ57+'SPC background (hide)'!C69,"")</f>
        <v/>
      </c>
      <c r="AC69" s="5" t="str">
        <f t="shared" ca="1" si="30"/>
        <v/>
      </c>
      <c r="AD69" s="5" t="str">
        <f t="shared" ca="1" si="31"/>
        <v/>
      </c>
    </row>
    <row r="70" spans="1:30" x14ac:dyDescent="0.2">
      <c r="A70" s="67">
        <f>Demand!C67</f>
        <v>0</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f t="shared" ca="1" si="19"/>
        <v>5</v>
      </c>
      <c r="J70" s="5">
        <f t="shared" ca="1" si="20"/>
        <v>0</v>
      </c>
      <c r="K70" s="5">
        <f t="shared" ca="1" si="21"/>
        <v>0</v>
      </c>
      <c r="L70" s="5">
        <f t="shared" ca="1" si="22"/>
        <v>0</v>
      </c>
      <c r="M70" s="5">
        <f t="shared" ca="1" si="23"/>
        <v>0</v>
      </c>
      <c r="N70" s="5">
        <f t="shared" ca="1" si="24"/>
        <v>0</v>
      </c>
      <c r="O70" s="5">
        <f t="shared" ca="1" si="25"/>
        <v>0</v>
      </c>
      <c r="P70" s="5">
        <f t="shared" ca="1" si="26"/>
        <v>0</v>
      </c>
      <c r="Q70" s="5" t="e">
        <f t="shared" ca="1" si="27"/>
        <v>#N/A</v>
      </c>
      <c r="R70" s="5">
        <f t="shared" ca="1" si="32"/>
        <v>0</v>
      </c>
      <c r="S70" s="67" t="e">
        <f t="shared" ca="1" si="33"/>
        <v>#N/A</v>
      </c>
      <c r="T70" s="67">
        <f t="shared" ca="1" si="34"/>
        <v>0</v>
      </c>
      <c r="U70" s="67" t="e">
        <f t="shared" ca="1" si="35"/>
        <v>#N/A</v>
      </c>
      <c r="V70" s="5">
        <f t="shared" ca="1" si="14"/>
        <v>0</v>
      </c>
      <c r="W70" s="5" t="e">
        <f t="shared" ca="1" si="28"/>
        <v>#N/A</v>
      </c>
      <c r="X70" s="67">
        <f t="shared" ca="1" si="29"/>
        <v>0</v>
      </c>
      <c r="Y70" s="67" t="e">
        <f t="shared" ca="1" si="36"/>
        <v>#N/A</v>
      </c>
      <c r="Z70" s="67" t="e">
        <f t="shared" ca="1" si="37"/>
        <v>#N/A</v>
      </c>
      <c r="AA70" s="5" t="str">
        <f>IF(Setup!$I$15="Yes",'Demand background (hide)'!AJ58+'SPC background (hide)'!C70,"")</f>
        <v/>
      </c>
      <c r="AC70" s="5" t="str">
        <f t="shared" ca="1" si="30"/>
        <v/>
      </c>
      <c r="AD70" s="5" t="str">
        <f t="shared" ca="1" si="31"/>
        <v/>
      </c>
    </row>
    <row r="71" spans="1:30" x14ac:dyDescent="0.2">
      <c r="A71" s="67">
        <f>Demand!C68</f>
        <v>0</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f t="shared" ca="1" si="19"/>
        <v>5</v>
      </c>
      <c r="J71" s="5">
        <f t="shared" ca="1" si="20"/>
        <v>0</v>
      </c>
      <c r="K71" s="5">
        <f t="shared" ca="1" si="21"/>
        <v>0</v>
      </c>
      <c r="L71" s="5">
        <f t="shared" ca="1" si="22"/>
        <v>0</v>
      </c>
      <c r="M71" s="5">
        <f t="shared" ca="1" si="23"/>
        <v>0</v>
      </c>
      <c r="N71" s="5">
        <f t="shared" ca="1" si="24"/>
        <v>0</v>
      </c>
      <c r="O71" s="5">
        <f t="shared" ca="1" si="25"/>
        <v>0</v>
      </c>
      <c r="P71" s="5">
        <f t="shared" ca="1" si="26"/>
        <v>0</v>
      </c>
      <c r="Q71" s="5" t="e">
        <f t="shared" ca="1" si="27"/>
        <v>#N/A</v>
      </c>
      <c r="R71" s="5">
        <f t="shared" ca="1" si="32"/>
        <v>0</v>
      </c>
      <c r="S71" s="67" t="e">
        <f t="shared" ca="1" si="33"/>
        <v>#N/A</v>
      </c>
      <c r="T71" s="67">
        <f t="shared" ca="1" si="34"/>
        <v>0</v>
      </c>
      <c r="U71" s="67" t="e">
        <f t="shared" ca="1" si="35"/>
        <v>#N/A</v>
      </c>
      <c r="V71" s="5">
        <f t="shared" ca="1" si="14"/>
        <v>0</v>
      </c>
      <c r="W71" s="5" t="e">
        <f t="shared" ca="1" si="28"/>
        <v>#N/A</v>
      </c>
      <c r="X71" s="67">
        <f t="shared" ca="1" si="29"/>
        <v>0</v>
      </c>
      <c r="Y71" s="67" t="e">
        <f t="shared" ca="1" si="36"/>
        <v>#N/A</v>
      </c>
      <c r="Z71" s="67" t="e">
        <f t="shared" ca="1" si="37"/>
        <v>#N/A</v>
      </c>
      <c r="AA71" s="5" t="str">
        <f>IF(Setup!$I$15="Yes",'Demand background (hide)'!AJ59+'SPC background (hide)'!C71,"")</f>
        <v/>
      </c>
      <c r="AC71" s="5" t="str">
        <f t="shared" ca="1" si="30"/>
        <v/>
      </c>
      <c r="AD71" s="5" t="str">
        <f t="shared" ca="1" si="31"/>
        <v/>
      </c>
    </row>
    <row r="72" spans="1:30" x14ac:dyDescent="0.2">
      <c r="A72" s="67">
        <f>Demand!C69</f>
        <v>0</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f t="shared" ca="1" si="19"/>
        <v>5</v>
      </c>
      <c r="J72" s="5">
        <f t="shared" ca="1" si="20"/>
        <v>0</v>
      </c>
      <c r="K72" s="5">
        <f t="shared" ca="1" si="21"/>
        <v>0</v>
      </c>
      <c r="L72" s="5">
        <f t="shared" ca="1" si="22"/>
        <v>0</v>
      </c>
      <c r="M72" s="5">
        <f t="shared" ca="1" si="23"/>
        <v>0</v>
      </c>
      <c r="N72" s="5">
        <f t="shared" ca="1" si="24"/>
        <v>0</v>
      </c>
      <c r="O72" s="5">
        <f t="shared" ca="1" si="25"/>
        <v>0</v>
      </c>
      <c r="P72" s="5">
        <f t="shared" ca="1" si="26"/>
        <v>0</v>
      </c>
      <c r="Q72" s="5" t="e">
        <f t="shared" ca="1" si="27"/>
        <v>#N/A</v>
      </c>
      <c r="R72" s="5">
        <f t="shared" ca="1" si="32"/>
        <v>0</v>
      </c>
      <c r="S72" s="67" t="e">
        <f t="shared" ca="1" si="33"/>
        <v>#N/A</v>
      </c>
      <c r="T72" s="67">
        <f t="shared" ca="1" si="34"/>
        <v>0</v>
      </c>
      <c r="U72" s="67" t="e">
        <f t="shared" ca="1" si="35"/>
        <v>#N/A</v>
      </c>
      <c r="V72" s="5">
        <f t="shared" ca="1" si="14"/>
        <v>0</v>
      </c>
      <c r="W72" s="5" t="e">
        <f t="shared" ca="1" si="28"/>
        <v>#N/A</v>
      </c>
      <c r="X72" s="67">
        <f t="shared" ca="1" si="29"/>
        <v>0</v>
      </c>
      <c r="Y72" s="67" t="e">
        <f t="shared" ca="1" si="36"/>
        <v>#N/A</v>
      </c>
      <c r="Z72" s="67" t="e">
        <f t="shared" ca="1" si="37"/>
        <v>#N/A</v>
      </c>
      <c r="AA72" s="5" t="str">
        <f>IF(Setup!$I$15="Yes",'Demand background (hide)'!AJ60+'SPC background (hide)'!C72,"")</f>
        <v/>
      </c>
      <c r="AC72" s="5" t="str">
        <f t="shared" ca="1" si="30"/>
        <v/>
      </c>
      <c r="AD72" s="5" t="str">
        <f t="shared" ca="1" si="31"/>
        <v/>
      </c>
    </row>
    <row r="73" spans="1:30" x14ac:dyDescent="0.2">
      <c r="A73" s="67">
        <f>Demand!C70</f>
        <v>0</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f t="shared" ca="1" si="19"/>
        <v>5</v>
      </c>
      <c r="J73" s="5">
        <f t="shared" ca="1" si="20"/>
        <v>0</v>
      </c>
      <c r="K73" s="5">
        <f t="shared" ca="1" si="21"/>
        <v>0</v>
      </c>
      <c r="L73" s="5">
        <f t="shared" ca="1" si="22"/>
        <v>0</v>
      </c>
      <c r="M73" s="5">
        <f t="shared" ca="1" si="23"/>
        <v>0</v>
      </c>
      <c r="N73" s="5">
        <f t="shared" ca="1" si="24"/>
        <v>0</v>
      </c>
      <c r="O73" s="5">
        <f t="shared" ca="1" si="25"/>
        <v>0</v>
      </c>
      <c r="P73" s="5">
        <f t="shared" ca="1" si="26"/>
        <v>0</v>
      </c>
      <c r="Q73" s="5" t="e">
        <f t="shared" ca="1" si="27"/>
        <v>#N/A</v>
      </c>
      <c r="R73" s="5">
        <f t="shared" ca="1" si="32"/>
        <v>0</v>
      </c>
      <c r="S73" s="67" t="e">
        <f t="shared" ca="1" si="33"/>
        <v>#N/A</v>
      </c>
      <c r="T73" s="67">
        <f t="shared" ca="1" si="34"/>
        <v>0</v>
      </c>
      <c r="U73" s="67" t="e">
        <f t="shared" ca="1" si="35"/>
        <v>#N/A</v>
      </c>
      <c r="V73" s="5">
        <f t="shared" ca="1" si="14"/>
        <v>0</v>
      </c>
      <c r="W73" s="5" t="e">
        <f t="shared" ca="1" si="28"/>
        <v>#N/A</v>
      </c>
      <c r="X73" s="67">
        <f t="shared" ca="1" si="29"/>
        <v>0</v>
      </c>
      <c r="Y73" s="67" t="e">
        <f t="shared" ca="1" si="36"/>
        <v>#N/A</v>
      </c>
      <c r="Z73" s="67" t="e">
        <f t="shared" ca="1" si="37"/>
        <v>#N/A</v>
      </c>
      <c r="AA73" s="5" t="str">
        <f>IF(Setup!$I$15="Yes",'Demand background (hide)'!AJ61+'SPC background (hide)'!C73,"")</f>
        <v/>
      </c>
      <c r="AC73" s="5" t="str">
        <f t="shared" ca="1" si="30"/>
        <v/>
      </c>
      <c r="AD73" s="5" t="str">
        <f t="shared" ca="1" si="31"/>
        <v/>
      </c>
    </row>
    <row r="74" spans="1:30" x14ac:dyDescent="0.2">
      <c r="A74" s="67">
        <f>Demand!C71</f>
        <v>0</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f t="shared" ca="1" si="19"/>
        <v>5</v>
      </c>
      <c r="J74" s="5">
        <f t="shared" ca="1" si="20"/>
        <v>0</v>
      </c>
      <c r="K74" s="5">
        <f t="shared" ca="1" si="21"/>
        <v>0</v>
      </c>
      <c r="L74" s="5">
        <f t="shared" ca="1" si="22"/>
        <v>0</v>
      </c>
      <c r="M74" s="5">
        <f t="shared" ca="1" si="23"/>
        <v>0</v>
      </c>
      <c r="N74" s="5">
        <f t="shared" ca="1" si="24"/>
        <v>0</v>
      </c>
      <c r="O74" s="5">
        <f t="shared" ca="1" si="25"/>
        <v>0</v>
      </c>
      <c r="P74" s="5">
        <f t="shared" ca="1" si="26"/>
        <v>0</v>
      </c>
      <c r="Q74" s="5" t="e">
        <f t="shared" ca="1" si="27"/>
        <v>#N/A</v>
      </c>
      <c r="R74" s="5">
        <f t="shared" ca="1" si="32"/>
        <v>0</v>
      </c>
      <c r="S74" s="67" t="e">
        <f t="shared" ca="1" si="33"/>
        <v>#N/A</v>
      </c>
      <c r="T74" s="67">
        <f t="shared" ca="1" si="34"/>
        <v>0</v>
      </c>
      <c r="U74" s="67" t="e">
        <f t="shared" ca="1" si="35"/>
        <v>#N/A</v>
      </c>
      <c r="V74" s="5">
        <f t="shared" ca="1" si="14"/>
        <v>0</v>
      </c>
      <c r="W74" s="5" t="e">
        <f t="shared" ca="1" si="28"/>
        <v>#N/A</v>
      </c>
      <c r="X74" s="67">
        <f t="shared" ca="1" si="29"/>
        <v>0</v>
      </c>
      <c r="Y74" s="67" t="e">
        <f t="shared" ca="1" si="36"/>
        <v>#N/A</v>
      </c>
      <c r="Z74" s="67" t="e">
        <f t="shared" ca="1" si="37"/>
        <v>#N/A</v>
      </c>
      <c r="AA74" s="5" t="str">
        <f>IF(Setup!$I$15="Yes",'Demand background (hide)'!AJ62+'SPC background (hide)'!C74,"")</f>
        <v/>
      </c>
      <c r="AC74" s="5" t="str">
        <f t="shared" ca="1" si="30"/>
        <v/>
      </c>
      <c r="AD74" s="5" t="str">
        <f t="shared" ca="1" si="31"/>
        <v/>
      </c>
    </row>
    <row r="75" spans="1:30" x14ac:dyDescent="0.2">
      <c r="A75" s="67">
        <f>Demand!C72</f>
        <v>0</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f t="shared" ca="1" si="19"/>
        <v>5</v>
      </c>
      <c r="J75" s="5">
        <f t="shared" ca="1" si="20"/>
        <v>0</v>
      </c>
      <c r="K75" s="5">
        <f t="shared" ca="1" si="21"/>
        <v>0</v>
      </c>
      <c r="L75" s="5">
        <f t="shared" ca="1" si="22"/>
        <v>0</v>
      </c>
      <c r="M75" s="5">
        <f t="shared" ca="1" si="23"/>
        <v>0</v>
      </c>
      <c r="N75" s="5">
        <f t="shared" ca="1" si="24"/>
        <v>0</v>
      </c>
      <c r="O75" s="5">
        <f t="shared" ca="1" si="25"/>
        <v>0</v>
      </c>
      <c r="P75" s="5">
        <f t="shared" ca="1" si="26"/>
        <v>0</v>
      </c>
      <c r="Q75" s="5" t="e">
        <f t="shared" ca="1" si="27"/>
        <v>#N/A</v>
      </c>
      <c r="R75" s="5">
        <f t="shared" ca="1" si="32"/>
        <v>0</v>
      </c>
      <c r="S75" s="67" t="e">
        <f t="shared" ca="1" si="33"/>
        <v>#N/A</v>
      </c>
      <c r="T75" s="67">
        <f t="shared" ca="1" si="34"/>
        <v>0</v>
      </c>
      <c r="U75" s="67" t="e">
        <f t="shared" ca="1" si="35"/>
        <v>#N/A</v>
      </c>
      <c r="V75" s="5">
        <f t="shared" ca="1" si="14"/>
        <v>0</v>
      </c>
      <c r="W75" s="5" t="e">
        <f t="shared" ca="1" si="28"/>
        <v>#N/A</v>
      </c>
      <c r="X75" s="67">
        <f t="shared" ca="1" si="29"/>
        <v>0</v>
      </c>
      <c r="Y75" s="67" t="e">
        <f t="shared" ca="1" si="36"/>
        <v>#N/A</v>
      </c>
      <c r="Z75" s="67" t="e">
        <f t="shared" ca="1" si="37"/>
        <v>#N/A</v>
      </c>
      <c r="AA75" s="5" t="str">
        <f>IF(Setup!$I$15="Yes",'Demand background (hide)'!AJ63+'SPC background (hide)'!C75,"")</f>
        <v/>
      </c>
      <c r="AC75" s="5" t="str">
        <f t="shared" ca="1" si="30"/>
        <v/>
      </c>
      <c r="AD75" s="5" t="str">
        <f t="shared" ca="1" si="31"/>
        <v/>
      </c>
    </row>
    <row r="76" spans="1:30" x14ac:dyDescent="0.2">
      <c r="A76" s="67">
        <f>Demand!C73</f>
        <v>0</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f t="shared" ca="1" si="19"/>
        <v>5</v>
      </c>
      <c r="J76" s="5">
        <f t="shared" ca="1" si="20"/>
        <v>0</v>
      </c>
      <c r="K76" s="5">
        <f t="shared" ca="1" si="21"/>
        <v>0</v>
      </c>
      <c r="L76" s="5">
        <f t="shared" ca="1" si="22"/>
        <v>0</v>
      </c>
      <c r="M76" s="5">
        <f t="shared" ca="1" si="23"/>
        <v>0</v>
      </c>
      <c r="N76" s="5">
        <f t="shared" ca="1" si="24"/>
        <v>0</v>
      </c>
      <c r="O76" s="5">
        <f t="shared" ca="1" si="25"/>
        <v>0</v>
      </c>
      <c r="P76" s="5">
        <f t="shared" ca="1" si="26"/>
        <v>0</v>
      </c>
      <c r="Q76" s="5" t="e">
        <f t="shared" ca="1" si="27"/>
        <v>#N/A</v>
      </c>
      <c r="R76" s="5">
        <f t="shared" ca="1" si="32"/>
        <v>0</v>
      </c>
      <c r="S76" s="67" t="e">
        <f t="shared" ca="1" si="33"/>
        <v>#N/A</v>
      </c>
      <c r="T76" s="67">
        <f t="shared" ca="1" si="34"/>
        <v>0</v>
      </c>
      <c r="U76" s="67" t="e">
        <f t="shared" ca="1" si="35"/>
        <v>#N/A</v>
      </c>
      <c r="V76" s="5">
        <f t="shared" ca="1" si="14"/>
        <v>0</v>
      </c>
      <c r="W76" s="5" t="e">
        <f t="shared" ca="1" si="28"/>
        <v>#N/A</v>
      </c>
      <c r="X76" s="67">
        <f t="shared" ca="1" si="29"/>
        <v>0</v>
      </c>
      <c r="Y76" s="67" t="e">
        <f t="shared" ca="1" si="36"/>
        <v>#N/A</v>
      </c>
      <c r="Z76" s="67" t="e">
        <f t="shared" ca="1" si="37"/>
        <v>#N/A</v>
      </c>
      <c r="AA76" s="5" t="str">
        <f>IF(Setup!$I$15="Yes",'Demand background (hide)'!AJ64+'SPC background (hide)'!C76,"")</f>
        <v/>
      </c>
      <c r="AC76" s="5" t="str">
        <f t="shared" ca="1" si="30"/>
        <v/>
      </c>
      <c r="AD76" s="5" t="str">
        <f t="shared" ca="1" si="31"/>
        <v/>
      </c>
    </row>
    <row r="77" spans="1:30" x14ac:dyDescent="0.2">
      <c r="A77" s="67">
        <f>Demand!C74</f>
        <v>0</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f t="shared" ca="1" si="19"/>
        <v>5</v>
      </c>
      <c r="J77" s="5">
        <f t="shared" ca="1" si="20"/>
        <v>0</v>
      </c>
      <c r="K77" s="5">
        <f t="shared" ca="1" si="21"/>
        <v>0</v>
      </c>
      <c r="L77" s="5">
        <f t="shared" ca="1" si="22"/>
        <v>0</v>
      </c>
      <c r="M77" s="5">
        <f t="shared" ca="1" si="23"/>
        <v>0</v>
      </c>
      <c r="N77" s="5">
        <f t="shared" ca="1" si="24"/>
        <v>0</v>
      </c>
      <c r="O77" s="5">
        <f t="shared" ca="1" si="25"/>
        <v>0</v>
      </c>
      <c r="P77" s="5">
        <f t="shared" ca="1" si="26"/>
        <v>0</v>
      </c>
      <c r="Q77" s="5" t="e">
        <f t="shared" ca="1" si="27"/>
        <v>#N/A</v>
      </c>
      <c r="R77" s="5">
        <f t="shared" ca="1" si="32"/>
        <v>0</v>
      </c>
      <c r="S77" s="67" t="e">
        <f t="shared" ca="1" si="33"/>
        <v>#N/A</v>
      </c>
      <c r="T77" s="67">
        <f t="shared" ca="1" si="34"/>
        <v>0</v>
      </c>
      <c r="U77" s="67" t="e">
        <f t="shared" ca="1" si="35"/>
        <v>#N/A</v>
      </c>
      <c r="V77" s="5">
        <f t="shared" ca="1" si="14"/>
        <v>0</v>
      </c>
      <c r="W77" s="5" t="e">
        <f t="shared" ca="1" si="28"/>
        <v>#N/A</v>
      </c>
      <c r="X77" s="67">
        <f t="shared" ca="1" si="29"/>
        <v>0</v>
      </c>
      <c r="Y77" s="67" t="e">
        <f t="shared" ca="1" si="36"/>
        <v>#N/A</v>
      </c>
      <c r="Z77" s="67" t="e">
        <f t="shared" ca="1" si="37"/>
        <v>#N/A</v>
      </c>
      <c r="AA77" s="5" t="str">
        <f>IF(Setup!$I$15="Yes",'Demand background (hide)'!AJ65+'SPC background (hide)'!C77,"")</f>
        <v/>
      </c>
      <c r="AC77" s="5" t="str">
        <f t="shared" ca="1" si="30"/>
        <v/>
      </c>
      <c r="AD77" s="5" t="str">
        <f t="shared" ca="1" si="31"/>
        <v/>
      </c>
    </row>
    <row r="78" spans="1:30" x14ac:dyDescent="0.2">
      <c r="A78" s="67">
        <f>Demand!C75</f>
        <v>0</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f t="shared" ca="1" si="19"/>
        <v>5</v>
      </c>
      <c r="J78" s="5">
        <f t="shared" ca="1" si="20"/>
        <v>0</v>
      </c>
      <c r="K78" s="5">
        <f t="shared" ca="1" si="21"/>
        <v>0</v>
      </c>
      <c r="L78" s="5">
        <f t="shared" ca="1" si="22"/>
        <v>0</v>
      </c>
      <c r="M78" s="5">
        <f t="shared" ca="1" si="23"/>
        <v>0</v>
      </c>
      <c r="N78" s="5">
        <f t="shared" ca="1" si="24"/>
        <v>0</v>
      </c>
      <c r="O78" s="5">
        <f t="shared" ca="1" si="25"/>
        <v>0</v>
      </c>
      <c r="P78" s="5">
        <f t="shared" ca="1" si="26"/>
        <v>0</v>
      </c>
      <c r="Q78" s="5" t="e">
        <f t="shared" ca="1" si="27"/>
        <v>#N/A</v>
      </c>
      <c r="R78" s="5">
        <f t="shared" ca="1" si="32"/>
        <v>0</v>
      </c>
      <c r="S78" s="67" t="e">
        <f t="shared" ca="1" si="33"/>
        <v>#N/A</v>
      </c>
      <c r="T78" s="67">
        <f t="shared" ca="1" si="34"/>
        <v>0</v>
      </c>
      <c r="U78" s="67" t="e">
        <f t="shared" ca="1" si="35"/>
        <v>#N/A</v>
      </c>
      <c r="V78" s="5">
        <f t="shared" ca="1" si="14"/>
        <v>0</v>
      </c>
      <c r="W78" s="5" t="e">
        <f t="shared" ca="1" si="28"/>
        <v>#N/A</v>
      </c>
      <c r="X78" s="67">
        <f t="shared" ca="1" si="29"/>
        <v>0</v>
      </c>
      <c r="Y78" s="67" t="e">
        <f t="shared" ca="1" si="36"/>
        <v>#N/A</v>
      </c>
      <c r="Z78" s="67" t="e">
        <f t="shared" ca="1" si="37"/>
        <v>#N/A</v>
      </c>
      <c r="AA78" s="5" t="str">
        <f>IF(Setup!$I$15="Yes",'Demand background (hide)'!AJ66+'SPC background (hide)'!C78,"")</f>
        <v/>
      </c>
      <c r="AC78" s="5" t="str">
        <f t="shared" ca="1" si="30"/>
        <v/>
      </c>
      <c r="AD78" s="5" t="str">
        <f t="shared" ca="1" si="31"/>
        <v/>
      </c>
    </row>
    <row r="79" spans="1:30" x14ac:dyDescent="0.2">
      <c r="A79" s="67">
        <f>Demand!C76</f>
        <v>0</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f t="shared" ca="1" si="19"/>
        <v>5</v>
      </c>
      <c r="J79" s="5">
        <f t="shared" ca="1" si="20"/>
        <v>0</v>
      </c>
      <c r="K79" s="5">
        <f t="shared" ca="1" si="21"/>
        <v>0</v>
      </c>
      <c r="L79" s="5">
        <f t="shared" ca="1" si="22"/>
        <v>0</v>
      </c>
      <c r="M79" s="5">
        <f t="shared" ca="1" si="23"/>
        <v>0</v>
      </c>
      <c r="N79" s="5">
        <f t="shared" ca="1" si="24"/>
        <v>0</v>
      </c>
      <c r="O79" s="5">
        <f t="shared" ca="1" si="25"/>
        <v>0</v>
      </c>
      <c r="P79" s="5">
        <f t="shared" ca="1" si="26"/>
        <v>0</v>
      </c>
      <c r="Q79" s="5" t="e">
        <f t="shared" ca="1" si="27"/>
        <v>#N/A</v>
      </c>
      <c r="R79" s="5">
        <f t="shared" ca="1" si="32"/>
        <v>0</v>
      </c>
      <c r="S79" s="67" t="e">
        <f t="shared" ca="1" si="33"/>
        <v>#N/A</v>
      </c>
      <c r="T79" s="67">
        <f t="shared" ca="1" si="34"/>
        <v>0</v>
      </c>
      <c r="U79" s="67" t="e">
        <f t="shared" ca="1" si="35"/>
        <v>#N/A</v>
      </c>
      <c r="V79" s="5">
        <f t="shared" ca="1" si="14"/>
        <v>0</v>
      </c>
      <c r="W79" s="5" t="e">
        <f t="shared" ca="1" si="28"/>
        <v>#N/A</v>
      </c>
      <c r="X79" s="67">
        <f t="shared" ca="1" si="29"/>
        <v>0</v>
      </c>
      <c r="Y79" s="67" t="e">
        <f t="shared" ca="1" si="36"/>
        <v>#N/A</v>
      </c>
      <c r="Z79" s="67" t="e">
        <f t="shared" ca="1" si="37"/>
        <v>#N/A</v>
      </c>
      <c r="AA79" s="5" t="str">
        <f>IF(Setup!$I$15="Yes",'Demand background (hide)'!AJ67+'SPC background (hide)'!C79,"")</f>
        <v/>
      </c>
      <c r="AC79" s="5" t="str">
        <f t="shared" ca="1" si="30"/>
        <v/>
      </c>
      <c r="AD79" s="5" t="str">
        <f t="shared" ca="1" si="31"/>
        <v/>
      </c>
    </row>
    <row r="80" spans="1:30" x14ac:dyDescent="0.2">
      <c r="A80" s="67">
        <f>Demand!C77</f>
        <v>0</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f t="shared" ca="1" si="19"/>
        <v>5</v>
      </c>
      <c r="J80" s="5">
        <f t="shared" ca="1" si="20"/>
        <v>0</v>
      </c>
      <c r="K80" s="5">
        <f t="shared" ca="1" si="21"/>
        <v>0</v>
      </c>
      <c r="L80" s="5">
        <f t="shared" ca="1" si="22"/>
        <v>0</v>
      </c>
      <c r="M80" s="5">
        <f t="shared" ca="1" si="23"/>
        <v>0</v>
      </c>
      <c r="N80" s="5">
        <f t="shared" ca="1" si="24"/>
        <v>0</v>
      </c>
      <c r="O80" s="5">
        <f t="shared" ca="1" si="25"/>
        <v>0</v>
      </c>
      <c r="P80" s="5">
        <f t="shared" ca="1" si="26"/>
        <v>0</v>
      </c>
      <c r="Q80" s="5" t="e">
        <f t="shared" ca="1" si="27"/>
        <v>#N/A</v>
      </c>
      <c r="R80" s="5">
        <f t="shared" ca="1" si="32"/>
        <v>0</v>
      </c>
      <c r="S80" s="67" t="e">
        <f t="shared" ca="1" si="33"/>
        <v>#N/A</v>
      </c>
      <c r="T80" s="67">
        <f t="shared" ca="1" si="34"/>
        <v>0</v>
      </c>
      <c r="U80" s="67" t="e">
        <f t="shared" ca="1" si="35"/>
        <v>#N/A</v>
      </c>
      <c r="V80" s="5">
        <f t="shared" ref="V80:V143" ca="1" si="38">IF(C80&lt;M80,-1,IF(C80&gt;M80,1,0))</f>
        <v>0</v>
      </c>
      <c r="W80" s="5" t="e">
        <f t="shared" ca="1" si="28"/>
        <v>#N/A</v>
      </c>
      <c r="X80" s="67">
        <f t="shared" ca="1" si="29"/>
        <v>0</v>
      </c>
      <c r="Y80" s="67" t="e">
        <f t="shared" ca="1" si="36"/>
        <v>#N/A</v>
      </c>
      <c r="Z80" s="67" t="e">
        <f t="shared" ca="1" si="37"/>
        <v>#N/A</v>
      </c>
      <c r="AA80" s="5" t="str">
        <f>IF(Setup!$I$15="Yes",'Demand background (hide)'!AJ68+'SPC background (hide)'!C80,"")</f>
        <v/>
      </c>
      <c r="AC80" s="5" t="str">
        <f t="shared" ca="1" si="30"/>
        <v/>
      </c>
      <c r="AD80" s="5" t="str">
        <f t="shared" ca="1" si="31"/>
        <v/>
      </c>
    </row>
    <row r="81" spans="1:30" x14ac:dyDescent="0.2">
      <c r="A81" s="67">
        <f>Demand!C78</f>
        <v>0</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5</v>
      </c>
      <c r="J81" s="5">
        <f t="shared" ref="J81:J144" ca="1" si="44">VLOOKUP($A81,$AG$2:$AQ$54,COLUMN(E$1),0)</f>
        <v>0</v>
      </c>
      <c r="K81" s="5">
        <f t="shared" ref="K81:K144" ca="1" si="45">VLOOKUP($A81,$AG$2:$AQ$54,COLUMN(F$1),0)</f>
        <v>0</v>
      </c>
      <c r="L81" s="5">
        <f t="shared" ref="L81:L144" ca="1" si="46">VLOOKUP($A81,$AG$2:$AQ$54,COLUMN(G$1),0)</f>
        <v>0</v>
      </c>
      <c r="M81" s="5">
        <f t="shared" ref="M81:M144" ca="1" si="47">VLOOKUP($A81,$AG$2:$AQ$54,COLUMN(H$1),0)</f>
        <v>0</v>
      </c>
      <c r="N81" s="5">
        <f t="shared" ref="N81:N144" ca="1" si="48">VLOOKUP($A81,$AG$2:$AQ$54,COLUMN(I$1),0)</f>
        <v>0</v>
      </c>
      <c r="O81" s="5">
        <f t="shared" ref="O81:O144" ca="1" si="49">VLOOKUP($A81,$AG$2:$AQ$54,COLUMN(J$1),0)</f>
        <v>0</v>
      </c>
      <c r="P81" s="5">
        <f t="shared" ref="P81:P144" ca="1" si="50">VLOOKUP($A81,$AG$2:$AQ$54,COLUMN(K$1),0)</f>
        <v>0</v>
      </c>
      <c r="Q81" s="5" t="e">
        <f t="shared" ref="Q81:Q144" ca="1" si="51">IF(ISNA(H81)=TRUE,IF(OR(C81&gt;P81,C81&lt;J81),C81,NA()),NA())</f>
        <v>#N/A</v>
      </c>
      <c r="R81" s="5">
        <f t="shared" ca="1" si="32"/>
        <v>0</v>
      </c>
      <c r="S81" s="67" t="e">
        <f t="shared" ca="1" si="33"/>
        <v>#N/A</v>
      </c>
      <c r="T81" s="67">
        <f t="shared" ca="1" si="34"/>
        <v>0</v>
      </c>
      <c r="U81" s="67" t="e">
        <f t="shared" ca="1" si="35"/>
        <v>#N/A</v>
      </c>
      <c r="V81" s="5">
        <f t="shared" ca="1" si="38"/>
        <v>0</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str">
        <f t="shared" ref="AC81:AC144" ca="1" si="54">VLOOKUP($A81,$AG$2:$AS$54,12,0)</f>
        <v/>
      </c>
      <c r="AD81" s="5" t="str">
        <f t="shared" ref="AD81:AD144" ca="1" si="55">VLOOKUP($A81,$AG$2:$AS$54,13,0)</f>
        <v/>
      </c>
    </row>
    <row r="82" spans="1:30" x14ac:dyDescent="0.2">
      <c r="A82" s="67">
        <f>Demand!C79</f>
        <v>0</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f t="shared" ca="1" si="43"/>
        <v>5</v>
      </c>
      <c r="J82" s="5">
        <f t="shared" ca="1" si="44"/>
        <v>0</v>
      </c>
      <c r="K82" s="5">
        <f t="shared" ca="1" si="45"/>
        <v>0</v>
      </c>
      <c r="L82" s="5">
        <f t="shared" ca="1" si="46"/>
        <v>0</v>
      </c>
      <c r="M82" s="5">
        <f t="shared" ca="1" si="47"/>
        <v>0</v>
      </c>
      <c r="N82" s="5">
        <f t="shared" ca="1" si="48"/>
        <v>0</v>
      </c>
      <c r="O82" s="5">
        <f t="shared" ca="1" si="49"/>
        <v>0</v>
      </c>
      <c r="P82" s="5">
        <f t="shared" ca="1" si="50"/>
        <v>0</v>
      </c>
      <c r="Q82" s="5" t="e">
        <f t="shared" ca="1" si="51"/>
        <v>#N/A</v>
      </c>
      <c r="R82" s="5">
        <f t="shared" ref="R82:R145" ca="1" si="56">IF(C82&gt;O82,2,IF(C82&lt;K82,-2,IF(C82&gt;M82,1,IF(C82&lt;M82,-1,0))))</f>
        <v>0</v>
      </c>
      <c r="S82" s="67" t="e">
        <f t="shared" ref="S82:S145" ca="1" si="57">IF(ISNA(H82),IF(ABS(SUM(R82:R84))&gt;=5,C82,NA()),NA())</f>
        <v>#N/A</v>
      </c>
      <c r="T82" s="67">
        <f t="shared" ref="T82:T145" ca="1" si="58">IF(C82&gt;N82,2,IF(C82&lt;L82,-2,IF(C82&gt;M82,1,IF(C82&lt;M82,-1,0))))</f>
        <v>0</v>
      </c>
      <c r="U82" s="67" t="e">
        <f t="shared" ref="U82:U145" ca="1" si="59">IF(ISNA(H82)=TRUE,IF(ABS(SUM(T82:T86))&gt;=9,C82,NA()),NA())</f>
        <v>#N/A</v>
      </c>
      <c r="V82" s="5">
        <f t="shared" ca="1" si="38"/>
        <v>0</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str">
        <f t="shared" ca="1" si="54"/>
        <v/>
      </c>
      <c r="AD82" s="5" t="str">
        <f t="shared" ca="1" si="55"/>
        <v/>
      </c>
    </row>
    <row r="83" spans="1:30" x14ac:dyDescent="0.2">
      <c r="A83" s="67">
        <f>Demand!C80</f>
        <v>0</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f t="shared" ca="1" si="43"/>
        <v>5</v>
      </c>
      <c r="J83" s="5">
        <f t="shared" ca="1" si="44"/>
        <v>0</v>
      </c>
      <c r="K83" s="5">
        <f t="shared" ca="1" si="45"/>
        <v>0</v>
      </c>
      <c r="L83" s="5">
        <f t="shared" ca="1" si="46"/>
        <v>0</v>
      </c>
      <c r="M83" s="5">
        <f t="shared" ca="1" si="47"/>
        <v>0</v>
      </c>
      <c r="N83" s="5">
        <f t="shared" ca="1" si="48"/>
        <v>0</v>
      </c>
      <c r="O83" s="5">
        <f t="shared" ca="1" si="49"/>
        <v>0</v>
      </c>
      <c r="P83" s="5">
        <f t="shared" ca="1" si="50"/>
        <v>0</v>
      </c>
      <c r="Q83" s="5" t="e">
        <f t="shared" ca="1" si="51"/>
        <v>#N/A</v>
      </c>
      <c r="R83" s="5">
        <f t="shared" ca="1" si="56"/>
        <v>0</v>
      </c>
      <c r="S83" s="67" t="e">
        <f t="shared" ca="1" si="57"/>
        <v>#N/A</v>
      </c>
      <c r="T83" s="67">
        <f t="shared" ca="1" si="58"/>
        <v>0</v>
      </c>
      <c r="U83" s="67" t="e">
        <f t="shared" ca="1" si="59"/>
        <v>#N/A</v>
      </c>
      <c r="V83" s="5">
        <f t="shared" ca="1" si="38"/>
        <v>0</v>
      </c>
      <c r="W83" s="5" t="e">
        <f t="shared" ca="1" si="52"/>
        <v>#N/A</v>
      </c>
      <c r="X83" s="67">
        <f t="shared" ca="1" si="53"/>
        <v>0</v>
      </c>
      <c r="Y83" s="67" t="e">
        <f t="shared" ca="1" si="60"/>
        <v>#N/A</v>
      </c>
      <c r="Z83" s="67" t="e">
        <f t="shared" ca="1" si="61"/>
        <v>#N/A</v>
      </c>
      <c r="AA83" s="5" t="str">
        <f>IF(Setup!$I$15="Yes",'Demand background (hide)'!AJ71+'SPC background (hide)'!C83,"")</f>
        <v/>
      </c>
      <c r="AC83" s="5" t="str">
        <f t="shared" ca="1" si="54"/>
        <v/>
      </c>
      <c r="AD83" s="5" t="str">
        <f t="shared" ca="1" si="55"/>
        <v/>
      </c>
    </row>
    <row r="84" spans="1:30" x14ac:dyDescent="0.2">
      <c r="A84" s="67">
        <f>Demand!C81</f>
        <v>0</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f t="shared" ca="1" si="43"/>
        <v>5</v>
      </c>
      <c r="J84" s="5">
        <f t="shared" ca="1" si="44"/>
        <v>0</v>
      </c>
      <c r="K84" s="5">
        <f t="shared" ca="1" si="45"/>
        <v>0</v>
      </c>
      <c r="L84" s="5">
        <f t="shared" ca="1" si="46"/>
        <v>0</v>
      </c>
      <c r="M84" s="5">
        <f t="shared" ca="1" si="47"/>
        <v>0</v>
      </c>
      <c r="N84" s="5">
        <f t="shared" ca="1" si="48"/>
        <v>0</v>
      </c>
      <c r="O84" s="5">
        <f t="shared" ca="1" si="49"/>
        <v>0</v>
      </c>
      <c r="P84" s="5">
        <f t="shared" ca="1" si="50"/>
        <v>0</v>
      </c>
      <c r="Q84" s="5" t="e">
        <f t="shared" ca="1" si="51"/>
        <v>#N/A</v>
      </c>
      <c r="R84" s="5">
        <f t="shared" ca="1" si="56"/>
        <v>0</v>
      </c>
      <c r="S84" s="67" t="e">
        <f t="shared" ca="1" si="57"/>
        <v>#N/A</v>
      </c>
      <c r="T84" s="67">
        <f t="shared" ca="1" si="58"/>
        <v>0</v>
      </c>
      <c r="U84" s="67" t="e">
        <f t="shared" ca="1" si="59"/>
        <v>#N/A</v>
      </c>
      <c r="V84" s="5">
        <f t="shared" ca="1" si="38"/>
        <v>0</v>
      </c>
      <c r="W84" s="5" t="e">
        <f t="shared" ca="1" si="52"/>
        <v>#N/A</v>
      </c>
      <c r="X84" s="67">
        <f t="shared" ca="1" si="53"/>
        <v>0</v>
      </c>
      <c r="Y84" s="67" t="e">
        <f t="shared" ca="1" si="60"/>
        <v>#N/A</v>
      </c>
      <c r="Z84" s="67" t="e">
        <f t="shared" ca="1" si="61"/>
        <v>#N/A</v>
      </c>
      <c r="AA84" s="5" t="str">
        <f>IF(Setup!$I$15="Yes",'Demand background (hide)'!AJ72+'SPC background (hide)'!C84,"")</f>
        <v/>
      </c>
      <c r="AC84" s="5" t="str">
        <f t="shared" ca="1" si="54"/>
        <v/>
      </c>
      <c r="AD84" s="5" t="str">
        <f t="shared" ca="1" si="55"/>
        <v/>
      </c>
    </row>
    <row r="85" spans="1:30" x14ac:dyDescent="0.2">
      <c r="A85" s="67">
        <f>Demand!C82</f>
        <v>0</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f t="shared" ca="1" si="43"/>
        <v>5</v>
      </c>
      <c r="J85" s="5">
        <f t="shared" ca="1" si="44"/>
        <v>0</v>
      </c>
      <c r="K85" s="5">
        <f t="shared" ca="1" si="45"/>
        <v>0</v>
      </c>
      <c r="L85" s="5">
        <f t="shared" ca="1" si="46"/>
        <v>0</v>
      </c>
      <c r="M85" s="5">
        <f t="shared" ca="1" si="47"/>
        <v>0</v>
      </c>
      <c r="N85" s="5">
        <f t="shared" ca="1" si="48"/>
        <v>0</v>
      </c>
      <c r="O85" s="5">
        <f t="shared" ca="1" si="49"/>
        <v>0</v>
      </c>
      <c r="P85" s="5">
        <f t="shared" ca="1" si="50"/>
        <v>0</v>
      </c>
      <c r="Q85" s="5" t="e">
        <f t="shared" ca="1" si="51"/>
        <v>#N/A</v>
      </c>
      <c r="R85" s="5">
        <f t="shared" ca="1" si="56"/>
        <v>0</v>
      </c>
      <c r="S85" s="67" t="e">
        <f t="shared" ca="1" si="57"/>
        <v>#N/A</v>
      </c>
      <c r="T85" s="67">
        <f t="shared" ca="1" si="58"/>
        <v>0</v>
      </c>
      <c r="U85" s="67" t="e">
        <f t="shared" ca="1" si="59"/>
        <v>#N/A</v>
      </c>
      <c r="V85" s="5">
        <f t="shared" ca="1" si="38"/>
        <v>0</v>
      </c>
      <c r="W85" s="5" t="e">
        <f t="shared" ca="1" si="52"/>
        <v>#N/A</v>
      </c>
      <c r="X85" s="67">
        <f t="shared" ca="1" si="53"/>
        <v>0</v>
      </c>
      <c r="Y85" s="67" t="e">
        <f t="shared" ca="1" si="60"/>
        <v>#N/A</v>
      </c>
      <c r="Z85" s="67" t="e">
        <f t="shared" ca="1" si="61"/>
        <v>#N/A</v>
      </c>
      <c r="AA85" s="5" t="str">
        <f>IF(Setup!$I$15="Yes",'Demand background (hide)'!AJ73+'SPC background (hide)'!C85,"")</f>
        <v/>
      </c>
      <c r="AC85" s="5" t="str">
        <f t="shared" ca="1" si="54"/>
        <v/>
      </c>
      <c r="AD85" s="5" t="str">
        <f t="shared" ca="1" si="55"/>
        <v/>
      </c>
    </row>
    <row r="86" spans="1:30" x14ac:dyDescent="0.2">
      <c r="A86" s="67">
        <f>Demand!C83</f>
        <v>0</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f t="shared" ca="1" si="43"/>
        <v>5</v>
      </c>
      <c r="J86" s="5">
        <f t="shared" ca="1" si="44"/>
        <v>0</v>
      </c>
      <c r="K86" s="5">
        <f t="shared" ca="1" si="45"/>
        <v>0</v>
      </c>
      <c r="L86" s="5">
        <f t="shared" ca="1" si="46"/>
        <v>0</v>
      </c>
      <c r="M86" s="5">
        <f t="shared" ca="1" si="47"/>
        <v>0</v>
      </c>
      <c r="N86" s="5">
        <f t="shared" ca="1" si="48"/>
        <v>0</v>
      </c>
      <c r="O86" s="5">
        <f t="shared" ca="1" si="49"/>
        <v>0</v>
      </c>
      <c r="P86" s="5">
        <f t="shared" ca="1" si="50"/>
        <v>0</v>
      </c>
      <c r="Q86" s="5" t="e">
        <f t="shared" ca="1" si="51"/>
        <v>#N/A</v>
      </c>
      <c r="R86" s="5">
        <f t="shared" ca="1" si="56"/>
        <v>0</v>
      </c>
      <c r="S86" s="67" t="e">
        <f t="shared" ca="1" si="57"/>
        <v>#N/A</v>
      </c>
      <c r="T86" s="67">
        <f t="shared" ca="1" si="58"/>
        <v>0</v>
      </c>
      <c r="U86" s="67" t="e">
        <f t="shared" ca="1" si="59"/>
        <v>#N/A</v>
      </c>
      <c r="V86" s="5">
        <f t="shared" ca="1" si="38"/>
        <v>0</v>
      </c>
      <c r="W86" s="5" t="e">
        <f t="shared" ca="1" si="52"/>
        <v>#N/A</v>
      </c>
      <c r="X86" s="67">
        <f t="shared" ca="1" si="53"/>
        <v>0</v>
      </c>
      <c r="Y86" s="67" t="e">
        <f t="shared" ca="1" si="60"/>
        <v>#N/A</v>
      </c>
      <c r="Z86" s="67" t="e">
        <f t="shared" ca="1" si="61"/>
        <v>#N/A</v>
      </c>
      <c r="AA86" s="5" t="str">
        <f>IF(Setup!$I$15="Yes",'Demand background (hide)'!AJ74+'SPC background (hide)'!C86,"")</f>
        <v/>
      </c>
      <c r="AC86" s="5" t="str">
        <f t="shared" ca="1" si="54"/>
        <v/>
      </c>
      <c r="AD86" s="5" t="str">
        <f t="shared" ca="1" si="55"/>
        <v/>
      </c>
    </row>
    <row r="87" spans="1:30" x14ac:dyDescent="0.2">
      <c r="A87" s="67">
        <f>Demand!C84</f>
        <v>0</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f t="shared" ca="1" si="43"/>
        <v>5</v>
      </c>
      <c r="J87" s="5">
        <f t="shared" ca="1" si="44"/>
        <v>0</v>
      </c>
      <c r="K87" s="5">
        <f t="shared" ca="1" si="45"/>
        <v>0</v>
      </c>
      <c r="L87" s="5">
        <f t="shared" ca="1" si="46"/>
        <v>0</v>
      </c>
      <c r="M87" s="5">
        <f t="shared" ca="1" si="47"/>
        <v>0</v>
      </c>
      <c r="N87" s="5">
        <f t="shared" ca="1" si="48"/>
        <v>0</v>
      </c>
      <c r="O87" s="5">
        <f t="shared" ca="1" si="49"/>
        <v>0</v>
      </c>
      <c r="P87" s="5">
        <f t="shared" ca="1" si="50"/>
        <v>0</v>
      </c>
      <c r="Q87" s="5" t="e">
        <f t="shared" ca="1" si="51"/>
        <v>#N/A</v>
      </c>
      <c r="R87" s="5">
        <f t="shared" ca="1" si="56"/>
        <v>0</v>
      </c>
      <c r="S87" s="67" t="e">
        <f t="shared" ca="1" si="57"/>
        <v>#N/A</v>
      </c>
      <c r="T87" s="67">
        <f t="shared" ca="1" si="58"/>
        <v>0</v>
      </c>
      <c r="U87" s="67" t="e">
        <f t="shared" ca="1" si="59"/>
        <v>#N/A</v>
      </c>
      <c r="V87" s="5">
        <f t="shared" ca="1" si="38"/>
        <v>0</v>
      </c>
      <c r="W87" s="5" t="e">
        <f t="shared" ca="1" si="52"/>
        <v>#N/A</v>
      </c>
      <c r="X87" s="67">
        <f t="shared" ca="1" si="53"/>
        <v>0</v>
      </c>
      <c r="Y87" s="67" t="e">
        <f t="shared" ca="1" si="60"/>
        <v>#N/A</v>
      </c>
      <c r="Z87" s="67" t="e">
        <f t="shared" ca="1" si="61"/>
        <v>#N/A</v>
      </c>
      <c r="AA87" s="5" t="str">
        <f>IF(Setup!$I$15="Yes",'Demand background (hide)'!AJ75+'SPC background (hide)'!C87,"")</f>
        <v/>
      </c>
      <c r="AC87" s="5" t="str">
        <f t="shared" ca="1" si="54"/>
        <v/>
      </c>
      <c r="AD87" s="5" t="str">
        <f t="shared" ca="1" si="55"/>
        <v/>
      </c>
    </row>
    <row r="88" spans="1:30" x14ac:dyDescent="0.2">
      <c r="A88" s="67">
        <f>Demand!C85</f>
        <v>0</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f t="shared" ca="1" si="43"/>
        <v>5</v>
      </c>
      <c r="J88" s="5">
        <f t="shared" ca="1" si="44"/>
        <v>0</v>
      </c>
      <c r="K88" s="5">
        <f t="shared" ca="1" si="45"/>
        <v>0</v>
      </c>
      <c r="L88" s="5">
        <f t="shared" ca="1" si="46"/>
        <v>0</v>
      </c>
      <c r="M88" s="5">
        <f t="shared" ca="1" si="47"/>
        <v>0</v>
      </c>
      <c r="N88" s="5">
        <f t="shared" ca="1" si="48"/>
        <v>0</v>
      </c>
      <c r="O88" s="5">
        <f t="shared" ca="1" si="49"/>
        <v>0</v>
      </c>
      <c r="P88" s="5">
        <f t="shared" ca="1" si="50"/>
        <v>0</v>
      </c>
      <c r="Q88" s="5" t="e">
        <f t="shared" ca="1" si="51"/>
        <v>#N/A</v>
      </c>
      <c r="R88" s="5">
        <f t="shared" ca="1" si="56"/>
        <v>0</v>
      </c>
      <c r="S88" s="67" t="e">
        <f t="shared" ca="1" si="57"/>
        <v>#N/A</v>
      </c>
      <c r="T88" s="67">
        <f t="shared" ca="1" si="58"/>
        <v>0</v>
      </c>
      <c r="U88" s="67" t="e">
        <f t="shared" ca="1" si="59"/>
        <v>#N/A</v>
      </c>
      <c r="V88" s="5">
        <f t="shared" ca="1" si="38"/>
        <v>0</v>
      </c>
      <c r="W88" s="5" t="e">
        <f t="shared" ca="1" si="52"/>
        <v>#N/A</v>
      </c>
      <c r="X88" s="67">
        <f t="shared" ca="1" si="53"/>
        <v>0</v>
      </c>
      <c r="Y88" s="67" t="e">
        <f t="shared" ca="1" si="60"/>
        <v>#N/A</v>
      </c>
      <c r="Z88" s="67" t="e">
        <f t="shared" ca="1" si="61"/>
        <v>#N/A</v>
      </c>
      <c r="AA88" s="5" t="str">
        <f>IF(Setup!$I$15="Yes",'Demand background (hide)'!AJ76+'SPC background (hide)'!C88,"")</f>
        <v/>
      </c>
      <c r="AC88" s="5" t="str">
        <f t="shared" ca="1" si="54"/>
        <v/>
      </c>
      <c r="AD88" s="5" t="str">
        <f t="shared" ca="1" si="55"/>
        <v/>
      </c>
    </row>
    <row r="89" spans="1:30" x14ac:dyDescent="0.2">
      <c r="A89" s="67">
        <f>Demand!C86</f>
        <v>0</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f t="shared" ca="1" si="43"/>
        <v>5</v>
      </c>
      <c r="J89" s="5">
        <f t="shared" ca="1" si="44"/>
        <v>0</v>
      </c>
      <c r="K89" s="5">
        <f t="shared" ca="1" si="45"/>
        <v>0</v>
      </c>
      <c r="L89" s="5">
        <f t="shared" ca="1" si="46"/>
        <v>0</v>
      </c>
      <c r="M89" s="5">
        <f t="shared" ca="1" si="47"/>
        <v>0</v>
      </c>
      <c r="N89" s="5">
        <f t="shared" ca="1" si="48"/>
        <v>0</v>
      </c>
      <c r="O89" s="5">
        <f t="shared" ca="1" si="49"/>
        <v>0</v>
      </c>
      <c r="P89" s="5">
        <f t="shared" ca="1" si="50"/>
        <v>0</v>
      </c>
      <c r="Q89" s="5" t="e">
        <f t="shared" ca="1" si="51"/>
        <v>#N/A</v>
      </c>
      <c r="R89" s="5">
        <f t="shared" ca="1" si="56"/>
        <v>0</v>
      </c>
      <c r="S89" s="67" t="e">
        <f t="shared" ca="1" si="57"/>
        <v>#N/A</v>
      </c>
      <c r="T89" s="67">
        <f t="shared" ca="1" si="58"/>
        <v>0</v>
      </c>
      <c r="U89" s="67" t="e">
        <f t="shared" ca="1" si="59"/>
        <v>#N/A</v>
      </c>
      <c r="V89" s="5">
        <f t="shared" ca="1" si="38"/>
        <v>0</v>
      </c>
      <c r="W89" s="5" t="e">
        <f t="shared" ca="1" si="52"/>
        <v>#N/A</v>
      </c>
      <c r="X89" s="67">
        <f t="shared" ca="1" si="53"/>
        <v>0</v>
      </c>
      <c r="Y89" s="67" t="e">
        <f t="shared" ca="1" si="60"/>
        <v>#N/A</v>
      </c>
      <c r="Z89" s="67" t="e">
        <f t="shared" ca="1" si="61"/>
        <v>#N/A</v>
      </c>
      <c r="AA89" s="5" t="str">
        <f>IF(Setup!$I$15="Yes",'Demand background (hide)'!AJ77+'SPC background (hide)'!C89,"")</f>
        <v/>
      </c>
      <c r="AC89" s="5" t="str">
        <f t="shared" ca="1" si="54"/>
        <v/>
      </c>
      <c r="AD89" s="5" t="str">
        <f t="shared" ca="1" si="55"/>
        <v/>
      </c>
    </row>
    <row r="90" spans="1:30" x14ac:dyDescent="0.2">
      <c r="A90" s="67">
        <f>Demand!C87</f>
        <v>0</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f t="shared" ca="1" si="43"/>
        <v>5</v>
      </c>
      <c r="J90" s="5">
        <f t="shared" ca="1" si="44"/>
        <v>0</v>
      </c>
      <c r="K90" s="5">
        <f t="shared" ca="1" si="45"/>
        <v>0</v>
      </c>
      <c r="L90" s="5">
        <f t="shared" ca="1" si="46"/>
        <v>0</v>
      </c>
      <c r="M90" s="5">
        <f t="shared" ca="1" si="47"/>
        <v>0</v>
      </c>
      <c r="N90" s="5">
        <f t="shared" ca="1" si="48"/>
        <v>0</v>
      </c>
      <c r="O90" s="5">
        <f t="shared" ca="1" si="49"/>
        <v>0</v>
      </c>
      <c r="P90" s="5">
        <f t="shared" ca="1" si="50"/>
        <v>0</v>
      </c>
      <c r="Q90" s="5" t="e">
        <f t="shared" ca="1" si="51"/>
        <v>#N/A</v>
      </c>
      <c r="R90" s="5">
        <f t="shared" ca="1" si="56"/>
        <v>0</v>
      </c>
      <c r="S90" s="67" t="e">
        <f t="shared" ca="1" si="57"/>
        <v>#N/A</v>
      </c>
      <c r="T90" s="67">
        <f t="shared" ca="1" si="58"/>
        <v>0</v>
      </c>
      <c r="U90" s="67" t="e">
        <f t="shared" ca="1" si="59"/>
        <v>#N/A</v>
      </c>
      <c r="V90" s="5">
        <f t="shared" ca="1" si="38"/>
        <v>0</v>
      </c>
      <c r="W90" s="5" t="e">
        <f t="shared" ca="1" si="52"/>
        <v>#N/A</v>
      </c>
      <c r="X90" s="67">
        <f t="shared" ca="1" si="53"/>
        <v>0</v>
      </c>
      <c r="Y90" s="67" t="e">
        <f t="shared" ca="1" si="60"/>
        <v>#N/A</v>
      </c>
      <c r="Z90" s="67" t="e">
        <f t="shared" ca="1" si="61"/>
        <v>#N/A</v>
      </c>
      <c r="AA90" s="5" t="str">
        <f>IF(Setup!$I$15="Yes",'Demand background (hide)'!AJ78+'SPC background (hide)'!C90,"")</f>
        <v/>
      </c>
      <c r="AC90" s="5" t="str">
        <f t="shared" ca="1" si="54"/>
        <v/>
      </c>
      <c r="AD90" s="5" t="str">
        <f t="shared" ca="1" si="55"/>
        <v/>
      </c>
    </row>
    <row r="91" spans="1:30" x14ac:dyDescent="0.2">
      <c r="A91" s="67">
        <f>Demand!C88</f>
        <v>0</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f t="shared" ca="1" si="43"/>
        <v>5</v>
      </c>
      <c r="J91" s="5">
        <f t="shared" ca="1" si="44"/>
        <v>0</v>
      </c>
      <c r="K91" s="5">
        <f t="shared" ca="1" si="45"/>
        <v>0</v>
      </c>
      <c r="L91" s="5">
        <f t="shared" ca="1" si="46"/>
        <v>0</v>
      </c>
      <c r="M91" s="5">
        <f t="shared" ca="1" si="47"/>
        <v>0</v>
      </c>
      <c r="N91" s="5">
        <f t="shared" ca="1" si="48"/>
        <v>0</v>
      </c>
      <c r="O91" s="5">
        <f t="shared" ca="1" si="49"/>
        <v>0</v>
      </c>
      <c r="P91" s="5">
        <f t="shared" ca="1" si="50"/>
        <v>0</v>
      </c>
      <c r="Q91" s="5" t="e">
        <f t="shared" ca="1" si="51"/>
        <v>#N/A</v>
      </c>
      <c r="R91" s="5">
        <f t="shared" ca="1" si="56"/>
        <v>0</v>
      </c>
      <c r="S91" s="67" t="e">
        <f t="shared" ca="1" si="57"/>
        <v>#N/A</v>
      </c>
      <c r="T91" s="67">
        <f t="shared" ca="1" si="58"/>
        <v>0</v>
      </c>
      <c r="U91" s="67" t="e">
        <f t="shared" ca="1" si="59"/>
        <v>#N/A</v>
      </c>
      <c r="V91" s="5">
        <f t="shared" ca="1" si="38"/>
        <v>0</v>
      </c>
      <c r="W91" s="5" t="e">
        <f t="shared" ca="1" si="52"/>
        <v>#N/A</v>
      </c>
      <c r="X91" s="67">
        <f t="shared" ca="1" si="53"/>
        <v>0</v>
      </c>
      <c r="Y91" s="67" t="e">
        <f t="shared" ca="1" si="60"/>
        <v>#N/A</v>
      </c>
      <c r="Z91" s="67" t="e">
        <f t="shared" ca="1" si="61"/>
        <v>#N/A</v>
      </c>
      <c r="AA91" s="5" t="str">
        <f>IF(Setup!$I$15="Yes",'Demand background (hide)'!AJ79+'SPC background (hide)'!C91,"")</f>
        <v/>
      </c>
      <c r="AC91" s="5" t="str">
        <f t="shared" ca="1" si="54"/>
        <v/>
      </c>
      <c r="AD91" s="5" t="str">
        <f t="shared" ca="1" si="55"/>
        <v/>
      </c>
    </row>
    <row r="92" spans="1:30" x14ac:dyDescent="0.2">
      <c r="A92" s="67">
        <f>Demand!C89</f>
        <v>0</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f t="shared" ca="1" si="43"/>
        <v>5</v>
      </c>
      <c r="J92" s="5">
        <f t="shared" ca="1" si="44"/>
        <v>0</v>
      </c>
      <c r="K92" s="5">
        <f t="shared" ca="1" si="45"/>
        <v>0</v>
      </c>
      <c r="L92" s="5">
        <f t="shared" ca="1" si="46"/>
        <v>0</v>
      </c>
      <c r="M92" s="5">
        <f t="shared" ca="1" si="47"/>
        <v>0</v>
      </c>
      <c r="N92" s="5">
        <f t="shared" ca="1" si="48"/>
        <v>0</v>
      </c>
      <c r="O92" s="5">
        <f t="shared" ca="1" si="49"/>
        <v>0</v>
      </c>
      <c r="P92" s="5">
        <f t="shared" ca="1" si="50"/>
        <v>0</v>
      </c>
      <c r="Q92" s="5" t="e">
        <f t="shared" ca="1" si="51"/>
        <v>#N/A</v>
      </c>
      <c r="R92" s="5">
        <f t="shared" ca="1" si="56"/>
        <v>0</v>
      </c>
      <c r="S92" s="67" t="e">
        <f t="shared" ca="1" si="57"/>
        <v>#N/A</v>
      </c>
      <c r="T92" s="67">
        <f t="shared" ca="1" si="58"/>
        <v>0</v>
      </c>
      <c r="U92" s="67" t="e">
        <f t="shared" ca="1" si="59"/>
        <v>#N/A</v>
      </c>
      <c r="V92" s="5">
        <f t="shared" ca="1" si="38"/>
        <v>0</v>
      </c>
      <c r="W92" s="5" t="e">
        <f t="shared" ca="1" si="52"/>
        <v>#N/A</v>
      </c>
      <c r="X92" s="67">
        <f t="shared" ca="1" si="53"/>
        <v>0</v>
      </c>
      <c r="Y92" s="67" t="e">
        <f t="shared" ca="1" si="60"/>
        <v>#N/A</v>
      </c>
      <c r="Z92" s="67" t="e">
        <f t="shared" ca="1" si="61"/>
        <v>#N/A</v>
      </c>
      <c r="AA92" s="5" t="str">
        <f>IF(Setup!$I$15="Yes",'Demand background (hide)'!AJ80+'SPC background (hide)'!C92,"")</f>
        <v/>
      </c>
      <c r="AC92" s="5" t="str">
        <f t="shared" ca="1" si="54"/>
        <v/>
      </c>
      <c r="AD92" s="5" t="str">
        <f t="shared" ca="1" si="55"/>
        <v/>
      </c>
    </row>
    <row r="93" spans="1:30" x14ac:dyDescent="0.2">
      <c r="A93" s="67">
        <f>Demand!C90</f>
        <v>0</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f t="shared" ca="1" si="43"/>
        <v>5</v>
      </c>
      <c r="J93" s="5">
        <f t="shared" ca="1" si="44"/>
        <v>0</v>
      </c>
      <c r="K93" s="5">
        <f t="shared" ca="1" si="45"/>
        <v>0</v>
      </c>
      <c r="L93" s="5">
        <f t="shared" ca="1" si="46"/>
        <v>0</v>
      </c>
      <c r="M93" s="5">
        <f t="shared" ca="1" si="47"/>
        <v>0</v>
      </c>
      <c r="N93" s="5">
        <f t="shared" ca="1" si="48"/>
        <v>0</v>
      </c>
      <c r="O93" s="5">
        <f t="shared" ca="1" si="49"/>
        <v>0</v>
      </c>
      <c r="P93" s="5">
        <f t="shared" ca="1" si="50"/>
        <v>0</v>
      </c>
      <c r="Q93" s="5" t="e">
        <f t="shared" ca="1" si="51"/>
        <v>#N/A</v>
      </c>
      <c r="R93" s="5">
        <f t="shared" ca="1" si="56"/>
        <v>0</v>
      </c>
      <c r="S93" s="67" t="e">
        <f t="shared" ca="1" si="57"/>
        <v>#N/A</v>
      </c>
      <c r="T93" s="67">
        <f t="shared" ca="1" si="58"/>
        <v>0</v>
      </c>
      <c r="U93" s="67" t="e">
        <f t="shared" ca="1" si="59"/>
        <v>#N/A</v>
      </c>
      <c r="V93" s="5">
        <f t="shared" ca="1" si="38"/>
        <v>0</v>
      </c>
      <c r="W93" s="5" t="e">
        <f t="shared" ca="1" si="52"/>
        <v>#N/A</v>
      </c>
      <c r="X93" s="67">
        <f t="shared" ca="1" si="53"/>
        <v>0</v>
      </c>
      <c r="Y93" s="67" t="e">
        <f t="shared" ca="1" si="60"/>
        <v>#N/A</v>
      </c>
      <c r="Z93" s="67" t="e">
        <f t="shared" ca="1" si="61"/>
        <v>#N/A</v>
      </c>
      <c r="AA93" s="5" t="str">
        <f>IF(Setup!$I$15="Yes",'Demand background (hide)'!AJ81+'SPC background (hide)'!C93,"")</f>
        <v/>
      </c>
      <c r="AC93" s="5" t="str">
        <f t="shared" ca="1" si="54"/>
        <v/>
      </c>
      <c r="AD93" s="5" t="str">
        <f t="shared" ca="1" si="55"/>
        <v/>
      </c>
    </row>
    <row r="94" spans="1:30" x14ac:dyDescent="0.2">
      <c r="A94" s="67">
        <f>Demand!C91</f>
        <v>0</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f t="shared" ca="1" si="43"/>
        <v>5</v>
      </c>
      <c r="J94" s="5">
        <f t="shared" ca="1" si="44"/>
        <v>0</v>
      </c>
      <c r="K94" s="5">
        <f t="shared" ca="1" si="45"/>
        <v>0</v>
      </c>
      <c r="L94" s="5">
        <f t="shared" ca="1" si="46"/>
        <v>0</v>
      </c>
      <c r="M94" s="5">
        <f t="shared" ca="1" si="47"/>
        <v>0</v>
      </c>
      <c r="N94" s="5">
        <f t="shared" ca="1" si="48"/>
        <v>0</v>
      </c>
      <c r="O94" s="5">
        <f t="shared" ca="1" si="49"/>
        <v>0</v>
      </c>
      <c r="P94" s="5">
        <f t="shared" ca="1" si="50"/>
        <v>0</v>
      </c>
      <c r="Q94" s="5" t="e">
        <f t="shared" ca="1" si="51"/>
        <v>#N/A</v>
      </c>
      <c r="R94" s="5">
        <f t="shared" ca="1" si="56"/>
        <v>0</v>
      </c>
      <c r="S94" s="67" t="e">
        <f t="shared" ca="1" si="57"/>
        <v>#N/A</v>
      </c>
      <c r="T94" s="67">
        <f t="shared" ca="1" si="58"/>
        <v>0</v>
      </c>
      <c r="U94" s="67" t="e">
        <f t="shared" ca="1" si="59"/>
        <v>#N/A</v>
      </c>
      <c r="V94" s="5">
        <f t="shared" ca="1" si="38"/>
        <v>0</v>
      </c>
      <c r="W94" s="5" t="e">
        <f t="shared" ca="1" si="52"/>
        <v>#N/A</v>
      </c>
      <c r="X94" s="67">
        <f t="shared" ca="1" si="53"/>
        <v>0</v>
      </c>
      <c r="Y94" s="67" t="e">
        <f t="shared" ca="1" si="60"/>
        <v>#N/A</v>
      </c>
      <c r="Z94" s="67" t="e">
        <f t="shared" ca="1" si="61"/>
        <v>#N/A</v>
      </c>
      <c r="AA94" s="5" t="str">
        <f>IF(Setup!$I$15="Yes",'Demand background (hide)'!AJ82+'SPC background (hide)'!C94,"")</f>
        <v/>
      </c>
      <c r="AC94" s="5" t="str">
        <f t="shared" ca="1" si="54"/>
        <v/>
      </c>
      <c r="AD94" s="5" t="str">
        <f t="shared" ca="1" si="55"/>
        <v/>
      </c>
    </row>
    <row r="95" spans="1:30" x14ac:dyDescent="0.2">
      <c r="A95" s="67">
        <f>Demand!C92</f>
        <v>0</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f t="shared" ca="1" si="43"/>
        <v>5</v>
      </c>
      <c r="J95" s="5">
        <f t="shared" ca="1" si="44"/>
        <v>0</v>
      </c>
      <c r="K95" s="5">
        <f t="shared" ca="1" si="45"/>
        <v>0</v>
      </c>
      <c r="L95" s="5">
        <f t="shared" ca="1" si="46"/>
        <v>0</v>
      </c>
      <c r="M95" s="5">
        <f t="shared" ca="1" si="47"/>
        <v>0</v>
      </c>
      <c r="N95" s="5">
        <f t="shared" ca="1" si="48"/>
        <v>0</v>
      </c>
      <c r="O95" s="5">
        <f t="shared" ca="1" si="49"/>
        <v>0</v>
      </c>
      <c r="P95" s="5">
        <f t="shared" ca="1" si="50"/>
        <v>0</v>
      </c>
      <c r="Q95" s="5" t="e">
        <f t="shared" ca="1" si="51"/>
        <v>#N/A</v>
      </c>
      <c r="R95" s="5">
        <f t="shared" ca="1" si="56"/>
        <v>0</v>
      </c>
      <c r="S95" s="67" t="e">
        <f t="shared" ca="1" si="57"/>
        <v>#N/A</v>
      </c>
      <c r="T95" s="67">
        <f t="shared" ca="1" si="58"/>
        <v>0</v>
      </c>
      <c r="U95" s="67" t="e">
        <f t="shared" ca="1" si="59"/>
        <v>#N/A</v>
      </c>
      <c r="V95" s="5">
        <f t="shared" ca="1" si="38"/>
        <v>0</v>
      </c>
      <c r="W95" s="5" t="e">
        <f t="shared" ca="1" si="52"/>
        <v>#N/A</v>
      </c>
      <c r="X95" s="67">
        <f t="shared" ca="1" si="53"/>
        <v>0</v>
      </c>
      <c r="Y95" s="67" t="e">
        <f t="shared" ca="1" si="60"/>
        <v>#N/A</v>
      </c>
      <c r="Z95" s="67" t="e">
        <f t="shared" ca="1" si="61"/>
        <v>#N/A</v>
      </c>
      <c r="AA95" s="5" t="str">
        <f>IF(Setup!$I$15="Yes",'Demand background (hide)'!AJ83+'SPC background (hide)'!C95,"")</f>
        <v/>
      </c>
      <c r="AC95" s="5" t="str">
        <f t="shared" ca="1" si="54"/>
        <v/>
      </c>
      <c r="AD95" s="5" t="str">
        <f t="shared" ca="1" si="55"/>
        <v/>
      </c>
    </row>
    <row r="96" spans="1:30" x14ac:dyDescent="0.2">
      <c r="A96" s="67">
        <f>Demand!C93</f>
        <v>0</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f t="shared" ca="1" si="43"/>
        <v>5</v>
      </c>
      <c r="J96" s="5">
        <f t="shared" ca="1" si="44"/>
        <v>0</v>
      </c>
      <c r="K96" s="5">
        <f t="shared" ca="1" si="45"/>
        <v>0</v>
      </c>
      <c r="L96" s="5">
        <f t="shared" ca="1" si="46"/>
        <v>0</v>
      </c>
      <c r="M96" s="5">
        <f t="shared" ca="1" si="47"/>
        <v>0</v>
      </c>
      <c r="N96" s="5">
        <f t="shared" ca="1" si="48"/>
        <v>0</v>
      </c>
      <c r="O96" s="5">
        <f t="shared" ca="1" si="49"/>
        <v>0</v>
      </c>
      <c r="P96" s="5">
        <f t="shared" ca="1" si="50"/>
        <v>0</v>
      </c>
      <c r="Q96" s="5" t="e">
        <f t="shared" ca="1" si="51"/>
        <v>#N/A</v>
      </c>
      <c r="R96" s="5">
        <f t="shared" ca="1" si="56"/>
        <v>0</v>
      </c>
      <c r="S96" s="67" t="e">
        <f t="shared" ca="1" si="57"/>
        <v>#N/A</v>
      </c>
      <c r="T96" s="67">
        <f t="shared" ca="1" si="58"/>
        <v>0</v>
      </c>
      <c r="U96" s="67" t="e">
        <f t="shared" ca="1" si="59"/>
        <v>#N/A</v>
      </c>
      <c r="V96" s="5">
        <f t="shared" ca="1" si="38"/>
        <v>0</v>
      </c>
      <c r="W96" s="5" t="e">
        <f t="shared" ca="1" si="52"/>
        <v>#N/A</v>
      </c>
      <c r="X96" s="67">
        <f t="shared" ca="1" si="53"/>
        <v>0</v>
      </c>
      <c r="Y96" s="67" t="e">
        <f t="shared" ca="1" si="60"/>
        <v>#N/A</v>
      </c>
      <c r="Z96" s="67" t="e">
        <f t="shared" ca="1" si="61"/>
        <v>#N/A</v>
      </c>
      <c r="AA96" s="5" t="str">
        <f>IF(Setup!$I$15="Yes",'Demand background (hide)'!AJ84+'SPC background (hide)'!C96,"")</f>
        <v/>
      </c>
      <c r="AC96" s="5" t="str">
        <f t="shared" ca="1" si="54"/>
        <v/>
      </c>
      <c r="AD96" s="5" t="str">
        <f t="shared" ca="1" si="55"/>
        <v/>
      </c>
    </row>
    <row r="97" spans="1:30" x14ac:dyDescent="0.2">
      <c r="A97" s="67">
        <f>Demand!C94</f>
        <v>0</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f t="shared" ca="1" si="43"/>
        <v>5</v>
      </c>
      <c r="J97" s="5">
        <f t="shared" ca="1" si="44"/>
        <v>0</v>
      </c>
      <c r="K97" s="5">
        <f t="shared" ca="1" si="45"/>
        <v>0</v>
      </c>
      <c r="L97" s="5">
        <f t="shared" ca="1" si="46"/>
        <v>0</v>
      </c>
      <c r="M97" s="5">
        <f t="shared" ca="1" si="47"/>
        <v>0</v>
      </c>
      <c r="N97" s="5">
        <f t="shared" ca="1" si="48"/>
        <v>0</v>
      </c>
      <c r="O97" s="5">
        <f t="shared" ca="1" si="49"/>
        <v>0</v>
      </c>
      <c r="P97" s="5">
        <f t="shared" ca="1" si="50"/>
        <v>0</v>
      </c>
      <c r="Q97" s="5" t="e">
        <f t="shared" ca="1" si="51"/>
        <v>#N/A</v>
      </c>
      <c r="R97" s="5">
        <f t="shared" ca="1" si="56"/>
        <v>0</v>
      </c>
      <c r="S97" s="67" t="e">
        <f t="shared" ca="1" si="57"/>
        <v>#N/A</v>
      </c>
      <c r="T97" s="67">
        <f t="shared" ca="1" si="58"/>
        <v>0</v>
      </c>
      <c r="U97" s="67" t="e">
        <f t="shared" ca="1" si="59"/>
        <v>#N/A</v>
      </c>
      <c r="V97" s="5">
        <f t="shared" ca="1" si="38"/>
        <v>0</v>
      </c>
      <c r="W97" s="5" t="e">
        <f t="shared" ca="1" si="52"/>
        <v>#N/A</v>
      </c>
      <c r="X97" s="67">
        <f t="shared" ca="1" si="53"/>
        <v>0</v>
      </c>
      <c r="Y97" s="67" t="e">
        <f t="shared" ca="1" si="60"/>
        <v>#N/A</v>
      </c>
      <c r="Z97" s="67" t="e">
        <f t="shared" ca="1" si="61"/>
        <v>#N/A</v>
      </c>
      <c r="AA97" s="5" t="str">
        <f>IF(Setup!$I$15="Yes",'Demand background (hide)'!AJ85+'SPC background (hide)'!C97,"")</f>
        <v/>
      </c>
      <c r="AC97" s="5" t="str">
        <f t="shared" ca="1" si="54"/>
        <v/>
      </c>
      <c r="AD97" s="5" t="str">
        <f t="shared" ca="1" si="55"/>
        <v/>
      </c>
    </row>
    <row r="98" spans="1:30" x14ac:dyDescent="0.2">
      <c r="A98" s="67">
        <f>Demand!C95</f>
        <v>0</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f t="shared" ca="1" si="43"/>
        <v>5</v>
      </c>
      <c r="J98" s="5">
        <f t="shared" ca="1" si="44"/>
        <v>0</v>
      </c>
      <c r="K98" s="5">
        <f t="shared" ca="1" si="45"/>
        <v>0</v>
      </c>
      <c r="L98" s="5">
        <f t="shared" ca="1" si="46"/>
        <v>0</v>
      </c>
      <c r="M98" s="5">
        <f t="shared" ca="1" si="47"/>
        <v>0</v>
      </c>
      <c r="N98" s="5">
        <f t="shared" ca="1" si="48"/>
        <v>0</v>
      </c>
      <c r="O98" s="5">
        <f t="shared" ca="1" si="49"/>
        <v>0</v>
      </c>
      <c r="P98" s="5">
        <f t="shared" ca="1" si="50"/>
        <v>0</v>
      </c>
      <c r="Q98" s="5" t="e">
        <f t="shared" ca="1" si="51"/>
        <v>#N/A</v>
      </c>
      <c r="R98" s="5">
        <f t="shared" ca="1" si="56"/>
        <v>0</v>
      </c>
      <c r="S98" s="67" t="e">
        <f t="shared" ca="1" si="57"/>
        <v>#N/A</v>
      </c>
      <c r="T98" s="67">
        <f t="shared" ca="1" si="58"/>
        <v>0</v>
      </c>
      <c r="U98" s="67" t="e">
        <f t="shared" ca="1" si="59"/>
        <v>#N/A</v>
      </c>
      <c r="V98" s="5">
        <f t="shared" ca="1" si="38"/>
        <v>0</v>
      </c>
      <c r="W98" s="5" t="e">
        <f t="shared" ca="1" si="52"/>
        <v>#N/A</v>
      </c>
      <c r="X98" s="67">
        <f t="shared" ca="1" si="53"/>
        <v>0</v>
      </c>
      <c r="Y98" s="67" t="e">
        <f t="shared" ca="1" si="60"/>
        <v>#N/A</v>
      </c>
      <c r="Z98" s="67" t="e">
        <f t="shared" ca="1" si="61"/>
        <v>#N/A</v>
      </c>
      <c r="AA98" s="5" t="str">
        <f>IF(Setup!$I$15="Yes",'Demand background (hide)'!AJ86+'SPC background (hide)'!C98,"")</f>
        <v/>
      </c>
      <c r="AC98" s="5" t="str">
        <f t="shared" ca="1" si="54"/>
        <v/>
      </c>
      <c r="AD98" s="5" t="str">
        <f t="shared" ca="1" si="55"/>
        <v/>
      </c>
    </row>
    <row r="99" spans="1:30" x14ac:dyDescent="0.2">
      <c r="A99" s="67">
        <f>Demand!C96</f>
        <v>0</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f t="shared" ca="1" si="43"/>
        <v>5</v>
      </c>
      <c r="J99" s="5">
        <f t="shared" ca="1" si="44"/>
        <v>0</v>
      </c>
      <c r="K99" s="5">
        <f t="shared" ca="1" si="45"/>
        <v>0</v>
      </c>
      <c r="L99" s="5">
        <f t="shared" ca="1" si="46"/>
        <v>0</v>
      </c>
      <c r="M99" s="5">
        <f t="shared" ca="1" si="47"/>
        <v>0</v>
      </c>
      <c r="N99" s="5">
        <f t="shared" ca="1" si="48"/>
        <v>0</v>
      </c>
      <c r="O99" s="5">
        <f t="shared" ca="1" si="49"/>
        <v>0</v>
      </c>
      <c r="P99" s="5">
        <f t="shared" ca="1" si="50"/>
        <v>0</v>
      </c>
      <c r="Q99" s="5" t="e">
        <f t="shared" ca="1" si="51"/>
        <v>#N/A</v>
      </c>
      <c r="R99" s="5">
        <f t="shared" ca="1" si="56"/>
        <v>0</v>
      </c>
      <c r="S99" s="67" t="e">
        <f t="shared" ca="1" si="57"/>
        <v>#N/A</v>
      </c>
      <c r="T99" s="67">
        <f t="shared" ca="1" si="58"/>
        <v>0</v>
      </c>
      <c r="U99" s="67" t="e">
        <f t="shared" ca="1" si="59"/>
        <v>#N/A</v>
      </c>
      <c r="V99" s="5">
        <f t="shared" ca="1" si="38"/>
        <v>0</v>
      </c>
      <c r="W99" s="5" t="e">
        <f t="shared" ca="1" si="52"/>
        <v>#N/A</v>
      </c>
      <c r="X99" s="67">
        <f t="shared" ca="1" si="53"/>
        <v>0</v>
      </c>
      <c r="Y99" s="67" t="e">
        <f t="shared" ca="1" si="60"/>
        <v>#N/A</v>
      </c>
      <c r="Z99" s="67" t="e">
        <f t="shared" ca="1" si="61"/>
        <v>#N/A</v>
      </c>
      <c r="AA99" s="5" t="str">
        <f>IF(Setup!$I$15="Yes",'Demand background (hide)'!AJ87+'SPC background (hide)'!C99,"")</f>
        <v/>
      </c>
      <c r="AC99" s="5" t="str">
        <f t="shared" ca="1" si="54"/>
        <v/>
      </c>
      <c r="AD99" s="5" t="str">
        <f t="shared" ca="1" si="55"/>
        <v/>
      </c>
    </row>
    <row r="100" spans="1:30" x14ac:dyDescent="0.2">
      <c r="A100" s="67">
        <f>Demand!C97</f>
        <v>0</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f t="shared" ca="1" si="43"/>
        <v>5</v>
      </c>
      <c r="J100" s="5">
        <f t="shared" ca="1" si="44"/>
        <v>0</v>
      </c>
      <c r="K100" s="5">
        <f t="shared" ca="1" si="45"/>
        <v>0</v>
      </c>
      <c r="L100" s="5">
        <f t="shared" ca="1" si="46"/>
        <v>0</v>
      </c>
      <c r="M100" s="5">
        <f t="shared" ca="1" si="47"/>
        <v>0</v>
      </c>
      <c r="N100" s="5">
        <f t="shared" ca="1" si="48"/>
        <v>0</v>
      </c>
      <c r="O100" s="5">
        <f t="shared" ca="1" si="49"/>
        <v>0</v>
      </c>
      <c r="P100" s="5">
        <f t="shared" ca="1" si="50"/>
        <v>0</v>
      </c>
      <c r="Q100" s="5" t="e">
        <f t="shared" ca="1" si="51"/>
        <v>#N/A</v>
      </c>
      <c r="R100" s="5">
        <f t="shared" ca="1" si="56"/>
        <v>0</v>
      </c>
      <c r="S100" s="67" t="e">
        <f t="shared" ca="1" si="57"/>
        <v>#N/A</v>
      </c>
      <c r="T100" s="67">
        <f t="shared" ca="1" si="58"/>
        <v>0</v>
      </c>
      <c r="U100" s="67" t="e">
        <f t="shared" ca="1" si="59"/>
        <v>#N/A</v>
      </c>
      <c r="V100" s="5">
        <f t="shared" ca="1" si="38"/>
        <v>0</v>
      </c>
      <c r="W100" s="5" t="e">
        <f t="shared" ca="1" si="52"/>
        <v>#N/A</v>
      </c>
      <c r="X100" s="67">
        <f t="shared" ca="1" si="53"/>
        <v>0</v>
      </c>
      <c r="Y100" s="67" t="e">
        <f t="shared" ca="1" si="60"/>
        <v>#N/A</v>
      </c>
      <c r="Z100" s="67" t="e">
        <f t="shared" ca="1" si="61"/>
        <v>#N/A</v>
      </c>
      <c r="AA100" s="5" t="str">
        <f>IF(Setup!$I$15="Yes",'Demand background (hide)'!AJ88+'SPC background (hide)'!C100,"")</f>
        <v/>
      </c>
      <c r="AC100" s="5" t="str">
        <f t="shared" ca="1" si="54"/>
        <v/>
      </c>
      <c r="AD100" s="5" t="str">
        <f t="shared" ca="1" si="55"/>
        <v/>
      </c>
    </row>
    <row r="101" spans="1:30" x14ac:dyDescent="0.2">
      <c r="A101" s="67">
        <f>Demand!C98</f>
        <v>0</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f t="shared" ca="1" si="43"/>
        <v>5</v>
      </c>
      <c r="J101" s="5">
        <f t="shared" ca="1" si="44"/>
        <v>0</v>
      </c>
      <c r="K101" s="5">
        <f t="shared" ca="1" si="45"/>
        <v>0</v>
      </c>
      <c r="L101" s="5">
        <f t="shared" ca="1" si="46"/>
        <v>0</v>
      </c>
      <c r="M101" s="5">
        <f t="shared" ca="1" si="47"/>
        <v>0</v>
      </c>
      <c r="N101" s="5">
        <f t="shared" ca="1" si="48"/>
        <v>0</v>
      </c>
      <c r="O101" s="5">
        <f t="shared" ca="1" si="49"/>
        <v>0</v>
      </c>
      <c r="P101" s="5">
        <f t="shared" ca="1" si="50"/>
        <v>0</v>
      </c>
      <c r="Q101" s="5" t="e">
        <f t="shared" ca="1" si="51"/>
        <v>#N/A</v>
      </c>
      <c r="R101" s="5">
        <f t="shared" ca="1" si="56"/>
        <v>0</v>
      </c>
      <c r="S101" s="67" t="e">
        <f t="shared" ca="1" si="57"/>
        <v>#N/A</v>
      </c>
      <c r="T101" s="67">
        <f t="shared" ca="1" si="58"/>
        <v>0</v>
      </c>
      <c r="U101" s="67" t="e">
        <f t="shared" ca="1" si="59"/>
        <v>#N/A</v>
      </c>
      <c r="V101" s="5">
        <f t="shared" ca="1" si="38"/>
        <v>0</v>
      </c>
      <c r="W101" s="5" t="e">
        <f t="shared" ca="1" si="52"/>
        <v>#N/A</v>
      </c>
      <c r="X101" s="67">
        <f t="shared" ca="1" si="53"/>
        <v>0</v>
      </c>
      <c r="Y101" s="67" t="e">
        <f t="shared" ca="1" si="60"/>
        <v>#N/A</v>
      </c>
      <c r="Z101" s="67" t="e">
        <f t="shared" ca="1" si="61"/>
        <v>#N/A</v>
      </c>
      <c r="AA101" s="5" t="str">
        <f>IF(Setup!$I$15="Yes",'Demand background (hide)'!AJ89+'SPC background (hide)'!C101,"")</f>
        <v/>
      </c>
      <c r="AC101" s="5" t="str">
        <f t="shared" ca="1" si="54"/>
        <v/>
      </c>
      <c r="AD101" s="5" t="str">
        <f t="shared" ca="1" si="55"/>
        <v/>
      </c>
    </row>
    <row r="102" spans="1:30" x14ac:dyDescent="0.2">
      <c r="A102" s="67">
        <f>Demand!C99</f>
        <v>0</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f t="shared" ca="1" si="43"/>
        <v>5</v>
      </c>
      <c r="J102" s="5">
        <f t="shared" ca="1" si="44"/>
        <v>0</v>
      </c>
      <c r="K102" s="5">
        <f t="shared" ca="1" si="45"/>
        <v>0</v>
      </c>
      <c r="L102" s="5">
        <f t="shared" ca="1" si="46"/>
        <v>0</v>
      </c>
      <c r="M102" s="5">
        <f t="shared" ca="1" si="47"/>
        <v>0</v>
      </c>
      <c r="N102" s="5">
        <f t="shared" ca="1" si="48"/>
        <v>0</v>
      </c>
      <c r="O102" s="5">
        <f t="shared" ca="1" si="49"/>
        <v>0</v>
      </c>
      <c r="P102" s="5">
        <f t="shared" ca="1" si="50"/>
        <v>0</v>
      </c>
      <c r="Q102" s="5" t="e">
        <f t="shared" ca="1" si="51"/>
        <v>#N/A</v>
      </c>
      <c r="R102" s="5">
        <f t="shared" ca="1" si="56"/>
        <v>0</v>
      </c>
      <c r="S102" s="67" t="e">
        <f t="shared" ca="1" si="57"/>
        <v>#N/A</v>
      </c>
      <c r="T102" s="67">
        <f t="shared" ca="1" si="58"/>
        <v>0</v>
      </c>
      <c r="U102" s="67" t="e">
        <f t="shared" ca="1" si="59"/>
        <v>#N/A</v>
      </c>
      <c r="V102" s="5">
        <f t="shared" ca="1" si="38"/>
        <v>0</v>
      </c>
      <c r="W102" s="5" t="e">
        <f t="shared" ca="1" si="52"/>
        <v>#N/A</v>
      </c>
      <c r="X102" s="67">
        <f t="shared" ca="1" si="53"/>
        <v>0</v>
      </c>
      <c r="Y102" s="67" t="e">
        <f t="shared" ca="1" si="60"/>
        <v>#N/A</v>
      </c>
      <c r="Z102" s="67" t="e">
        <f t="shared" ca="1" si="61"/>
        <v>#N/A</v>
      </c>
      <c r="AA102" s="5" t="str">
        <f>IF(Setup!$I$15="Yes",'Demand background (hide)'!AJ90+'SPC background (hide)'!C102,"")</f>
        <v/>
      </c>
      <c r="AC102" s="5" t="str">
        <f t="shared" ca="1" si="54"/>
        <v/>
      </c>
      <c r="AD102" s="5" t="str">
        <f t="shared" ca="1" si="55"/>
        <v/>
      </c>
    </row>
    <row r="103" spans="1:30" x14ac:dyDescent="0.2">
      <c r="A103" s="67">
        <f>Demand!C100</f>
        <v>0</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f t="shared" ca="1" si="43"/>
        <v>5</v>
      </c>
      <c r="J103" s="5">
        <f t="shared" ca="1" si="44"/>
        <v>0</v>
      </c>
      <c r="K103" s="5">
        <f t="shared" ca="1" si="45"/>
        <v>0</v>
      </c>
      <c r="L103" s="5">
        <f t="shared" ca="1" si="46"/>
        <v>0</v>
      </c>
      <c r="M103" s="5">
        <f t="shared" ca="1" si="47"/>
        <v>0</v>
      </c>
      <c r="N103" s="5">
        <f t="shared" ca="1" si="48"/>
        <v>0</v>
      </c>
      <c r="O103" s="5">
        <f t="shared" ca="1" si="49"/>
        <v>0</v>
      </c>
      <c r="P103" s="5">
        <f t="shared" ca="1" si="50"/>
        <v>0</v>
      </c>
      <c r="Q103" s="5" t="e">
        <f t="shared" ca="1" si="51"/>
        <v>#N/A</v>
      </c>
      <c r="R103" s="5">
        <f t="shared" ca="1" si="56"/>
        <v>0</v>
      </c>
      <c r="S103" s="67" t="e">
        <f t="shared" ca="1" si="57"/>
        <v>#N/A</v>
      </c>
      <c r="T103" s="67">
        <f t="shared" ca="1" si="58"/>
        <v>0</v>
      </c>
      <c r="U103" s="67" t="e">
        <f t="shared" ca="1" si="59"/>
        <v>#N/A</v>
      </c>
      <c r="V103" s="5">
        <f t="shared" ca="1" si="38"/>
        <v>0</v>
      </c>
      <c r="W103" s="5" t="e">
        <f t="shared" ca="1" si="52"/>
        <v>#N/A</v>
      </c>
      <c r="X103" s="67">
        <f t="shared" ca="1" si="53"/>
        <v>0</v>
      </c>
      <c r="Y103" s="67" t="e">
        <f t="shared" ca="1" si="60"/>
        <v>#N/A</v>
      </c>
      <c r="Z103" s="67" t="e">
        <f t="shared" ca="1" si="61"/>
        <v>#N/A</v>
      </c>
      <c r="AA103" s="5" t="str">
        <f>IF(Setup!$I$15="Yes",'Demand background (hide)'!AJ91+'SPC background (hide)'!C103,"")</f>
        <v/>
      </c>
      <c r="AC103" s="5" t="str">
        <f t="shared" ca="1" si="54"/>
        <v/>
      </c>
      <c r="AD103" s="5" t="str">
        <f t="shared" ca="1" si="55"/>
        <v/>
      </c>
    </row>
    <row r="104" spans="1:30" x14ac:dyDescent="0.2">
      <c r="A104" s="67">
        <f>Demand!C101</f>
        <v>0</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f t="shared" ca="1" si="43"/>
        <v>5</v>
      </c>
      <c r="J104" s="5">
        <f t="shared" ca="1" si="44"/>
        <v>0</v>
      </c>
      <c r="K104" s="5">
        <f t="shared" ca="1" si="45"/>
        <v>0</v>
      </c>
      <c r="L104" s="5">
        <f t="shared" ca="1" si="46"/>
        <v>0</v>
      </c>
      <c r="M104" s="5">
        <f t="shared" ca="1" si="47"/>
        <v>0</v>
      </c>
      <c r="N104" s="5">
        <f t="shared" ca="1" si="48"/>
        <v>0</v>
      </c>
      <c r="O104" s="5">
        <f t="shared" ca="1" si="49"/>
        <v>0</v>
      </c>
      <c r="P104" s="5">
        <f t="shared" ca="1" si="50"/>
        <v>0</v>
      </c>
      <c r="Q104" s="5" t="e">
        <f t="shared" ca="1" si="51"/>
        <v>#N/A</v>
      </c>
      <c r="R104" s="5">
        <f t="shared" ca="1" si="56"/>
        <v>0</v>
      </c>
      <c r="S104" s="67" t="e">
        <f t="shared" ca="1" si="57"/>
        <v>#N/A</v>
      </c>
      <c r="T104" s="67">
        <f t="shared" ca="1" si="58"/>
        <v>0</v>
      </c>
      <c r="U104" s="67" t="e">
        <f t="shared" ca="1" si="59"/>
        <v>#N/A</v>
      </c>
      <c r="V104" s="5">
        <f t="shared" ca="1" si="38"/>
        <v>0</v>
      </c>
      <c r="W104" s="5" t="e">
        <f t="shared" ca="1" si="52"/>
        <v>#N/A</v>
      </c>
      <c r="X104" s="67">
        <f t="shared" ca="1" si="53"/>
        <v>0</v>
      </c>
      <c r="Y104" s="67" t="e">
        <f t="shared" ca="1" si="60"/>
        <v>#N/A</v>
      </c>
      <c r="Z104" s="67" t="e">
        <f t="shared" ca="1" si="61"/>
        <v>#N/A</v>
      </c>
      <c r="AA104" s="5" t="str">
        <f>IF(Setup!$I$15="Yes",'Demand background (hide)'!AJ92+'SPC background (hide)'!C104,"")</f>
        <v/>
      </c>
      <c r="AC104" s="5" t="str">
        <f t="shared" ca="1" si="54"/>
        <v/>
      </c>
      <c r="AD104" s="5" t="str">
        <f t="shared" ca="1" si="55"/>
        <v/>
      </c>
    </row>
    <row r="105" spans="1:30" x14ac:dyDescent="0.2">
      <c r="A105" s="67">
        <f>Demand!C102</f>
        <v>0</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f t="shared" ca="1" si="43"/>
        <v>5</v>
      </c>
      <c r="J105" s="5">
        <f t="shared" ca="1" si="44"/>
        <v>0</v>
      </c>
      <c r="K105" s="5">
        <f t="shared" ca="1" si="45"/>
        <v>0</v>
      </c>
      <c r="L105" s="5">
        <f t="shared" ca="1" si="46"/>
        <v>0</v>
      </c>
      <c r="M105" s="5">
        <f t="shared" ca="1" si="47"/>
        <v>0</v>
      </c>
      <c r="N105" s="5">
        <f t="shared" ca="1" si="48"/>
        <v>0</v>
      </c>
      <c r="O105" s="5">
        <f t="shared" ca="1" si="49"/>
        <v>0</v>
      </c>
      <c r="P105" s="5">
        <f t="shared" ca="1" si="50"/>
        <v>0</v>
      </c>
      <c r="Q105" s="5" t="e">
        <f t="shared" ca="1" si="51"/>
        <v>#N/A</v>
      </c>
      <c r="R105" s="5">
        <f t="shared" ca="1" si="56"/>
        <v>0</v>
      </c>
      <c r="S105" s="67" t="e">
        <f t="shared" ca="1" si="57"/>
        <v>#N/A</v>
      </c>
      <c r="T105" s="67">
        <f t="shared" ca="1" si="58"/>
        <v>0</v>
      </c>
      <c r="U105" s="67" t="e">
        <f t="shared" ca="1" si="59"/>
        <v>#N/A</v>
      </c>
      <c r="V105" s="5">
        <f t="shared" ca="1" si="38"/>
        <v>0</v>
      </c>
      <c r="W105" s="5" t="e">
        <f t="shared" ca="1" si="52"/>
        <v>#N/A</v>
      </c>
      <c r="X105" s="67">
        <f t="shared" ca="1" si="53"/>
        <v>0</v>
      </c>
      <c r="Y105" s="67" t="e">
        <f t="shared" ca="1" si="60"/>
        <v>#N/A</v>
      </c>
      <c r="Z105" s="67" t="e">
        <f t="shared" ca="1" si="61"/>
        <v>#N/A</v>
      </c>
      <c r="AA105" s="5" t="str">
        <f>IF(Setup!$I$15="Yes",'Demand background (hide)'!AJ93+'SPC background (hide)'!C105,"")</f>
        <v/>
      </c>
      <c r="AC105" s="5" t="str">
        <f t="shared" ca="1" si="54"/>
        <v/>
      </c>
      <c r="AD105" s="5" t="str">
        <f t="shared" ca="1" si="55"/>
        <v/>
      </c>
    </row>
    <row r="106" spans="1:30" x14ac:dyDescent="0.2">
      <c r="A106" s="67">
        <f>Demand!C103</f>
        <v>0</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f t="shared" ca="1" si="43"/>
        <v>5</v>
      </c>
      <c r="J106" s="5">
        <f t="shared" ca="1" si="44"/>
        <v>0</v>
      </c>
      <c r="K106" s="5">
        <f t="shared" ca="1" si="45"/>
        <v>0</v>
      </c>
      <c r="L106" s="5">
        <f t="shared" ca="1" si="46"/>
        <v>0</v>
      </c>
      <c r="M106" s="5">
        <f t="shared" ca="1" si="47"/>
        <v>0</v>
      </c>
      <c r="N106" s="5">
        <f t="shared" ca="1" si="48"/>
        <v>0</v>
      </c>
      <c r="O106" s="5">
        <f t="shared" ca="1" si="49"/>
        <v>0</v>
      </c>
      <c r="P106" s="5">
        <f t="shared" ca="1" si="50"/>
        <v>0</v>
      </c>
      <c r="Q106" s="5" t="e">
        <f t="shared" ca="1" si="51"/>
        <v>#N/A</v>
      </c>
      <c r="R106" s="5">
        <f t="shared" ca="1" si="56"/>
        <v>0</v>
      </c>
      <c r="S106" s="67" t="e">
        <f t="shared" ca="1" si="57"/>
        <v>#N/A</v>
      </c>
      <c r="T106" s="67">
        <f t="shared" ca="1" si="58"/>
        <v>0</v>
      </c>
      <c r="U106" s="67" t="e">
        <f t="shared" ca="1" si="59"/>
        <v>#N/A</v>
      </c>
      <c r="V106" s="5">
        <f t="shared" ca="1" si="38"/>
        <v>0</v>
      </c>
      <c r="W106" s="5" t="e">
        <f t="shared" ca="1" si="52"/>
        <v>#N/A</v>
      </c>
      <c r="X106" s="67">
        <f t="shared" ca="1" si="53"/>
        <v>0</v>
      </c>
      <c r="Y106" s="67" t="e">
        <f t="shared" ca="1" si="60"/>
        <v>#N/A</v>
      </c>
      <c r="Z106" s="67" t="e">
        <f t="shared" ca="1" si="61"/>
        <v>#N/A</v>
      </c>
      <c r="AA106" s="5" t="str">
        <f>IF(Setup!$I$15="Yes",'Demand background (hide)'!AJ94+'SPC background (hide)'!C106,"")</f>
        <v/>
      </c>
      <c r="AC106" s="5" t="str">
        <f t="shared" ca="1" si="54"/>
        <v/>
      </c>
      <c r="AD106" s="5" t="str">
        <f t="shared" ca="1" si="55"/>
        <v/>
      </c>
    </row>
    <row r="107" spans="1:30" x14ac:dyDescent="0.2">
      <c r="A107" s="67">
        <f>Demand!C104</f>
        <v>0</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f t="shared" ca="1" si="43"/>
        <v>5</v>
      </c>
      <c r="J107" s="5">
        <f t="shared" ca="1" si="44"/>
        <v>0</v>
      </c>
      <c r="K107" s="5">
        <f t="shared" ca="1" si="45"/>
        <v>0</v>
      </c>
      <c r="L107" s="5">
        <f t="shared" ca="1" si="46"/>
        <v>0</v>
      </c>
      <c r="M107" s="5">
        <f t="shared" ca="1" si="47"/>
        <v>0</v>
      </c>
      <c r="N107" s="5">
        <f t="shared" ca="1" si="48"/>
        <v>0</v>
      </c>
      <c r="O107" s="5">
        <f t="shared" ca="1" si="49"/>
        <v>0</v>
      </c>
      <c r="P107" s="5">
        <f t="shared" ca="1" si="50"/>
        <v>0</v>
      </c>
      <c r="Q107" s="5" t="e">
        <f t="shared" ca="1" si="51"/>
        <v>#N/A</v>
      </c>
      <c r="R107" s="5">
        <f t="shared" ca="1" si="56"/>
        <v>0</v>
      </c>
      <c r="S107" s="67" t="e">
        <f t="shared" ca="1" si="57"/>
        <v>#N/A</v>
      </c>
      <c r="T107" s="67">
        <f t="shared" ca="1" si="58"/>
        <v>0</v>
      </c>
      <c r="U107" s="67" t="e">
        <f t="shared" ca="1" si="59"/>
        <v>#N/A</v>
      </c>
      <c r="V107" s="5">
        <f t="shared" ca="1" si="38"/>
        <v>0</v>
      </c>
      <c r="W107" s="5" t="e">
        <f t="shared" ca="1" si="52"/>
        <v>#N/A</v>
      </c>
      <c r="X107" s="67">
        <f t="shared" ca="1" si="53"/>
        <v>0</v>
      </c>
      <c r="Y107" s="67" t="e">
        <f t="shared" ca="1" si="60"/>
        <v>#N/A</v>
      </c>
      <c r="Z107" s="67" t="e">
        <f t="shared" ca="1" si="61"/>
        <v>#N/A</v>
      </c>
      <c r="AA107" s="5" t="str">
        <f>IF(Setup!$I$15="Yes",'Demand background (hide)'!AJ95+'SPC background (hide)'!C107,"")</f>
        <v/>
      </c>
      <c r="AC107" s="5" t="str">
        <f t="shared" ca="1" si="54"/>
        <v/>
      </c>
      <c r="AD107" s="5" t="str">
        <f t="shared" ca="1" si="55"/>
        <v/>
      </c>
    </row>
    <row r="108" spans="1:30" x14ac:dyDescent="0.2">
      <c r="A108" s="67">
        <f>Demand!C105</f>
        <v>0</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f t="shared" ca="1" si="43"/>
        <v>5</v>
      </c>
      <c r="J108" s="5">
        <f t="shared" ca="1" si="44"/>
        <v>0</v>
      </c>
      <c r="K108" s="5">
        <f t="shared" ca="1" si="45"/>
        <v>0</v>
      </c>
      <c r="L108" s="5">
        <f t="shared" ca="1" si="46"/>
        <v>0</v>
      </c>
      <c r="M108" s="5">
        <f t="shared" ca="1" si="47"/>
        <v>0</v>
      </c>
      <c r="N108" s="5">
        <f t="shared" ca="1" si="48"/>
        <v>0</v>
      </c>
      <c r="O108" s="5">
        <f t="shared" ca="1" si="49"/>
        <v>0</v>
      </c>
      <c r="P108" s="5">
        <f t="shared" ca="1" si="50"/>
        <v>0</v>
      </c>
      <c r="Q108" s="5" t="e">
        <f t="shared" ca="1" si="51"/>
        <v>#N/A</v>
      </c>
      <c r="R108" s="5">
        <f t="shared" ca="1" si="56"/>
        <v>0</v>
      </c>
      <c r="S108" s="67" t="e">
        <f t="shared" ca="1" si="57"/>
        <v>#N/A</v>
      </c>
      <c r="T108" s="67">
        <f t="shared" ca="1" si="58"/>
        <v>0</v>
      </c>
      <c r="U108" s="67" t="e">
        <f t="shared" ca="1" si="59"/>
        <v>#N/A</v>
      </c>
      <c r="V108" s="5">
        <f t="shared" ca="1" si="38"/>
        <v>0</v>
      </c>
      <c r="W108" s="5" t="e">
        <f t="shared" ca="1" si="52"/>
        <v>#N/A</v>
      </c>
      <c r="X108" s="67">
        <f t="shared" ca="1" si="53"/>
        <v>0</v>
      </c>
      <c r="Y108" s="67" t="e">
        <f t="shared" ca="1" si="60"/>
        <v>#N/A</v>
      </c>
      <c r="Z108" s="67" t="e">
        <f t="shared" ca="1" si="61"/>
        <v>#N/A</v>
      </c>
      <c r="AA108" s="5" t="str">
        <f>IF(Setup!$I$15="Yes",'Demand background (hide)'!AJ96+'SPC background (hide)'!C108,"")</f>
        <v/>
      </c>
      <c r="AC108" s="5" t="str">
        <f t="shared" ca="1" si="54"/>
        <v/>
      </c>
      <c r="AD108" s="5" t="str">
        <f t="shared" ca="1" si="55"/>
        <v/>
      </c>
    </row>
    <row r="109" spans="1:30" x14ac:dyDescent="0.2">
      <c r="A109" s="67">
        <f>Demand!C106</f>
        <v>0</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f t="shared" ca="1" si="43"/>
        <v>5</v>
      </c>
      <c r="J109" s="5">
        <f t="shared" ca="1" si="44"/>
        <v>0</v>
      </c>
      <c r="K109" s="5">
        <f t="shared" ca="1" si="45"/>
        <v>0</v>
      </c>
      <c r="L109" s="5">
        <f t="shared" ca="1" si="46"/>
        <v>0</v>
      </c>
      <c r="M109" s="5">
        <f t="shared" ca="1" si="47"/>
        <v>0</v>
      </c>
      <c r="N109" s="5">
        <f t="shared" ca="1" si="48"/>
        <v>0</v>
      </c>
      <c r="O109" s="5">
        <f t="shared" ca="1" si="49"/>
        <v>0</v>
      </c>
      <c r="P109" s="5">
        <f t="shared" ca="1" si="50"/>
        <v>0</v>
      </c>
      <c r="Q109" s="5" t="e">
        <f t="shared" ca="1" si="51"/>
        <v>#N/A</v>
      </c>
      <c r="R109" s="5">
        <f t="shared" ca="1" si="56"/>
        <v>0</v>
      </c>
      <c r="S109" s="67" t="e">
        <f t="shared" ca="1" si="57"/>
        <v>#N/A</v>
      </c>
      <c r="T109" s="67">
        <f t="shared" ca="1" si="58"/>
        <v>0</v>
      </c>
      <c r="U109" s="67" t="e">
        <f t="shared" ca="1" si="59"/>
        <v>#N/A</v>
      </c>
      <c r="V109" s="5">
        <f t="shared" ca="1" si="38"/>
        <v>0</v>
      </c>
      <c r="W109" s="5" t="e">
        <f t="shared" ca="1" si="52"/>
        <v>#N/A</v>
      </c>
      <c r="X109" s="67">
        <f t="shared" ca="1" si="53"/>
        <v>0</v>
      </c>
      <c r="Y109" s="67" t="e">
        <f t="shared" ca="1" si="60"/>
        <v>#N/A</v>
      </c>
      <c r="Z109" s="67" t="e">
        <f t="shared" ca="1" si="61"/>
        <v>#N/A</v>
      </c>
      <c r="AA109" s="5" t="str">
        <f>IF(Setup!$I$15="Yes",'Demand background (hide)'!AJ97+'SPC background (hide)'!C109,"")</f>
        <v/>
      </c>
      <c r="AC109" s="5" t="str">
        <f t="shared" ca="1" si="54"/>
        <v/>
      </c>
      <c r="AD109" s="5" t="str">
        <f t="shared" ca="1" si="55"/>
        <v/>
      </c>
    </row>
    <row r="110" spans="1:30" x14ac:dyDescent="0.2">
      <c r="A110" s="67">
        <f>Demand!C107</f>
        <v>0</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f t="shared" ca="1" si="43"/>
        <v>5</v>
      </c>
      <c r="J110" s="5">
        <f t="shared" ca="1" si="44"/>
        <v>0</v>
      </c>
      <c r="K110" s="5">
        <f t="shared" ca="1" si="45"/>
        <v>0</v>
      </c>
      <c r="L110" s="5">
        <f t="shared" ca="1" si="46"/>
        <v>0</v>
      </c>
      <c r="M110" s="5">
        <f t="shared" ca="1" si="47"/>
        <v>0</v>
      </c>
      <c r="N110" s="5">
        <f t="shared" ca="1" si="48"/>
        <v>0</v>
      </c>
      <c r="O110" s="5">
        <f t="shared" ca="1" si="49"/>
        <v>0</v>
      </c>
      <c r="P110" s="5">
        <f t="shared" ca="1" si="50"/>
        <v>0</v>
      </c>
      <c r="Q110" s="5" t="e">
        <f t="shared" ca="1" si="51"/>
        <v>#N/A</v>
      </c>
      <c r="R110" s="5">
        <f t="shared" ca="1" si="56"/>
        <v>0</v>
      </c>
      <c r="S110" s="67" t="e">
        <f t="shared" ca="1" si="57"/>
        <v>#N/A</v>
      </c>
      <c r="T110" s="67">
        <f t="shared" ca="1" si="58"/>
        <v>0</v>
      </c>
      <c r="U110" s="67" t="e">
        <f t="shared" ca="1" si="59"/>
        <v>#N/A</v>
      </c>
      <c r="V110" s="5">
        <f t="shared" ca="1" si="38"/>
        <v>0</v>
      </c>
      <c r="W110" s="5" t="e">
        <f t="shared" ca="1" si="52"/>
        <v>#N/A</v>
      </c>
      <c r="X110" s="67">
        <f t="shared" ca="1" si="53"/>
        <v>0</v>
      </c>
      <c r="Y110" s="67" t="e">
        <f t="shared" ca="1" si="60"/>
        <v>#N/A</v>
      </c>
      <c r="Z110" s="67" t="e">
        <f t="shared" ca="1" si="61"/>
        <v>#N/A</v>
      </c>
      <c r="AA110" s="5" t="str">
        <f>IF(Setup!$I$15="Yes",'Demand background (hide)'!AJ98+'SPC background (hide)'!C110,"")</f>
        <v/>
      </c>
      <c r="AC110" s="5" t="str">
        <f t="shared" ca="1" si="54"/>
        <v/>
      </c>
      <c r="AD110" s="5" t="str">
        <f t="shared" ca="1" si="55"/>
        <v/>
      </c>
    </row>
    <row r="111" spans="1:30" x14ac:dyDescent="0.2">
      <c r="A111" s="67">
        <f>Demand!C108</f>
        <v>0</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f t="shared" ca="1" si="43"/>
        <v>5</v>
      </c>
      <c r="J111" s="5">
        <f t="shared" ca="1" si="44"/>
        <v>0</v>
      </c>
      <c r="K111" s="5">
        <f t="shared" ca="1" si="45"/>
        <v>0</v>
      </c>
      <c r="L111" s="5">
        <f t="shared" ca="1" si="46"/>
        <v>0</v>
      </c>
      <c r="M111" s="5">
        <f t="shared" ca="1" si="47"/>
        <v>0</v>
      </c>
      <c r="N111" s="5">
        <f t="shared" ca="1" si="48"/>
        <v>0</v>
      </c>
      <c r="O111" s="5">
        <f t="shared" ca="1" si="49"/>
        <v>0</v>
      </c>
      <c r="P111" s="5">
        <f t="shared" ca="1" si="50"/>
        <v>0</v>
      </c>
      <c r="Q111" s="5" t="e">
        <f t="shared" ca="1" si="51"/>
        <v>#N/A</v>
      </c>
      <c r="R111" s="5">
        <f t="shared" ca="1" si="56"/>
        <v>0</v>
      </c>
      <c r="S111" s="67" t="e">
        <f t="shared" ca="1" si="57"/>
        <v>#N/A</v>
      </c>
      <c r="T111" s="67">
        <f t="shared" ca="1" si="58"/>
        <v>0</v>
      </c>
      <c r="U111" s="67" t="e">
        <f t="shared" ca="1" si="59"/>
        <v>#N/A</v>
      </c>
      <c r="V111" s="5">
        <f t="shared" ca="1" si="38"/>
        <v>0</v>
      </c>
      <c r="W111" s="5" t="e">
        <f t="shared" ca="1" si="52"/>
        <v>#N/A</v>
      </c>
      <c r="X111" s="67">
        <f t="shared" ca="1" si="53"/>
        <v>0</v>
      </c>
      <c r="Y111" s="67" t="e">
        <f t="shared" ca="1" si="60"/>
        <v>#N/A</v>
      </c>
      <c r="Z111" s="67" t="e">
        <f t="shared" ca="1" si="61"/>
        <v>#N/A</v>
      </c>
      <c r="AA111" s="5" t="str">
        <f>IF(Setup!$I$15="Yes",'Demand background (hide)'!AJ99+'SPC background (hide)'!C111,"")</f>
        <v/>
      </c>
      <c r="AC111" s="5" t="str">
        <f t="shared" ca="1" si="54"/>
        <v/>
      </c>
      <c r="AD111" s="5" t="str">
        <f t="shared" ca="1" si="55"/>
        <v/>
      </c>
    </row>
    <row r="112" spans="1:30" x14ac:dyDescent="0.2">
      <c r="A112" s="67">
        <f>Demand!C109</f>
        <v>0</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f t="shared" ca="1" si="43"/>
        <v>5</v>
      </c>
      <c r="J112" s="5">
        <f t="shared" ca="1" si="44"/>
        <v>0</v>
      </c>
      <c r="K112" s="5">
        <f t="shared" ca="1" si="45"/>
        <v>0</v>
      </c>
      <c r="L112" s="5">
        <f t="shared" ca="1" si="46"/>
        <v>0</v>
      </c>
      <c r="M112" s="5">
        <f t="shared" ca="1" si="47"/>
        <v>0</v>
      </c>
      <c r="N112" s="5">
        <f t="shared" ca="1" si="48"/>
        <v>0</v>
      </c>
      <c r="O112" s="5">
        <f t="shared" ca="1" si="49"/>
        <v>0</v>
      </c>
      <c r="P112" s="5">
        <f t="shared" ca="1" si="50"/>
        <v>0</v>
      </c>
      <c r="Q112" s="5" t="e">
        <f t="shared" ca="1" si="51"/>
        <v>#N/A</v>
      </c>
      <c r="R112" s="5">
        <f t="shared" ca="1" si="56"/>
        <v>0</v>
      </c>
      <c r="S112" s="67" t="e">
        <f t="shared" ca="1" si="57"/>
        <v>#N/A</v>
      </c>
      <c r="T112" s="67">
        <f t="shared" ca="1" si="58"/>
        <v>0</v>
      </c>
      <c r="U112" s="67" t="e">
        <f t="shared" ca="1" si="59"/>
        <v>#N/A</v>
      </c>
      <c r="V112" s="5">
        <f t="shared" ca="1" si="38"/>
        <v>0</v>
      </c>
      <c r="W112" s="5" t="e">
        <f t="shared" ca="1" si="52"/>
        <v>#N/A</v>
      </c>
      <c r="X112" s="67">
        <f t="shared" ca="1" si="53"/>
        <v>0</v>
      </c>
      <c r="Y112" s="67" t="e">
        <f t="shared" ca="1" si="60"/>
        <v>#N/A</v>
      </c>
      <c r="Z112" s="67" t="e">
        <f t="shared" ca="1" si="61"/>
        <v>#N/A</v>
      </c>
      <c r="AA112" s="5" t="str">
        <f>IF(Setup!$I$15="Yes",'Demand background (hide)'!AJ100+'SPC background (hide)'!C112,"")</f>
        <v/>
      </c>
      <c r="AC112" s="5" t="str">
        <f t="shared" ca="1" si="54"/>
        <v/>
      </c>
      <c r="AD112" s="5" t="str">
        <f t="shared" ca="1" si="55"/>
        <v/>
      </c>
    </row>
    <row r="113" spans="1:30" x14ac:dyDescent="0.2">
      <c r="A113" s="67">
        <f>Demand!C110</f>
        <v>0</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0</v>
      </c>
      <c r="K113" s="5">
        <f t="shared" ca="1" si="45"/>
        <v>0</v>
      </c>
      <c r="L113" s="5">
        <f t="shared" ca="1" si="46"/>
        <v>0</v>
      </c>
      <c r="M113" s="5">
        <f t="shared" ca="1" si="47"/>
        <v>0</v>
      </c>
      <c r="N113" s="5">
        <f t="shared" ca="1" si="48"/>
        <v>0</v>
      </c>
      <c r="O113" s="5">
        <f t="shared" ca="1" si="49"/>
        <v>0</v>
      </c>
      <c r="P113" s="5">
        <f t="shared" ca="1" si="50"/>
        <v>0</v>
      </c>
      <c r="Q113" s="5" t="e">
        <f t="shared" ca="1" si="51"/>
        <v>#N/A</v>
      </c>
      <c r="R113" s="5">
        <f t="shared" ca="1" si="56"/>
        <v>0</v>
      </c>
      <c r="S113" s="67" t="e">
        <f t="shared" ca="1" si="57"/>
        <v>#N/A</v>
      </c>
      <c r="T113" s="67">
        <f t="shared" ca="1" si="58"/>
        <v>0</v>
      </c>
      <c r="U113" s="67" t="e">
        <f t="shared" ca="1" si="59"/>
        <v>#N/A</v>
      </c>
      <c r="V113" s="5">
        <f t="shared" ca="1" si="38"/>
        <v>0</v>
      </c>
      <c r="W113" s="5" t="e">
        <f t="shared" ca="1" si="52"/>
        <v>#N/A</v>
      </c>
      <c r="X113" s="67">
        <f t="shared" ca="1" si="53"/>
        <v>0</v>
      </c>
      <c r="Y113" s="67" t="e">
        <f t="shared" ca="1" si="60"/>
        <v>#N/A</v>
      </c>
      <c r="Z113" s="67" t="e">
        <f t="shared" ca="1" si="61"/>
        <v>#N/A</v>
      </c>
      <c r="AA113" s="5" t="str">
        <f>IF(Setup!$I$15="Yes",'Demand background (hide)'!AJ101+'SPC background (hide)'!C113,"")</f>
        <v/>
      </c>
      <c r="AC113" s="5" t="str">
        <f t="shared" ca="1" si="54"/>
        <v/>
      </c>
      <c r="AD113" s="5" t="str">
        <f t="shared" ca="1" si="55"/>
        <v/>
      </c>
    </row>
    <row r="114" spans="1:30" x14ac:dyDescent="0.2">
      <c r="A114" s="67">
        <f>Demand!C111</f>
        <v>0</v>
      </c>
      <c r="B114" s="67">
        <v>99</v>
      </c>
      <c r="C114" s="5">
        <f ca="1">'Demand background (hide)'!Y102</f>
        <v>0</v>
      </c>
      <c r="D114" s="67">
        <f t="shared" si="39"/>
        <v>1</v>
      </c>
      <c r="E114" s="67" t="e">
        <f t="shared" ca="1" si="40"/>
        <v>#N/A</v>
      </c>
      <c r="F114" s="67" t="e">
        <f t="shared" ca="1" si="41"/>
        <v>#N/A</v>
      </c>
      <c r="G114" s="67" t="e">
        <f t="shared" ca="1" si="42"/>
        <v>#N/A</v>
      </c>
      <c r="H114" s="67" t="e">
        <f>IF('Demand background (hide)'!AN102&lt;&gt;"",'SPC background (hide)'!C114,NA())</f>
        <v>#N/A</v>
      </c>
      <c r="I114" s="67">
        <f t="shared" ca="1" si="43"/>
        <v>5</v>
      </c>
      <c r="J114" s="5">
        <f t="shared" ca="1" si="44"/>
        <v>0</v>
      </c>
      <c r="K114" s="5">
        <f t="shared" ca="1" si="45"/>
        <v>0</v>
      </c>
      <c r="L114" s="5">
        <f t="shared" ca="1" si="46"/>
        <v>0</v>
      </c>
      <c r="M114" s="5">
        <f t="shared" ca="1" si="47"/>
        <v>0</v>
      </c>
      <c r="N114" s="5">
        <f t="shared" ca="1" si="48"/>
        <v>0</v>
      </c>
      <c r="O114" s="5">
        <f t="shared" ca="1" si="49"/>
        <v>0</v>
      </c>
      <c r="P114" s="5">
        <f t="shared" ca="1" si="50"/>
        <v>0</v>
      </c>
      <c r="Q114" s="5" t="e">
        <f t="shared" ca="1" si="51"/>
        <v>#N/A</v>
      </c>
      <c r="R114" s="5">
        <f t="shared" ca="1" si="56"/>
        <v>0</v>
      </c>
      <c r="S114" s="67" t="e">
        <f t="shared" ca="1" si="57"/>
        <v>#N/A</v>
      </c>
      <c r="T114" s="67">
        <f t="shared" ca="1" si="58"/>
        <v>0</v>
      </c>
      <c r="U114" s="67" t="e">
        <f t="shared" ca="1" si="59"/>
        <v>#N/A</v>
      </c>
      <c r="V114" s="5">
        <f t="shared" ca="1" si="38"/>
        <v>0</v>
      </c>
      <c r="W114" s="5" t="e">
        <f t="shared" ca="1" si="52"/>
        <v>#N/A</v>
      </c>
      <c r="X114" s="67">
        <f t="shared" ca="1" si="53"/>
        <v>0</v>
      </c>
      <c r="Y114" s="67" t="e">
        <f t="shared" ca="1" si="60"/>
        <v>#N/A</v>
      </c>
      <c r="Z114" s="67" t="e">
        <f t="shared" ca="1" si="61"/>
        <v>#N/A</v>
      </c>
      <c r="AA114" s="5" t="str">
        <f>IF(Setup!$I$15="Yes",'Demand background (hide)'!AJ102+'SPC background (hide)'!C114,"")</f>
        <v/>
      </c>
      <c r="AC114" s="5" t="str">
        <f t="shared" ca="1" si="54"/>
        <v/>
      </c>
      <c r="AD114" s="5" t="str">
        <f t="shared" ca="1" si="55"/>
        <v/>
      </c>
    </row>
    <row r="115" spans="1:30" x14ac:dyDescent="0.2">
      <c r="A115" s="67">
        <f>Demand!C112</f>
        <v>0</v>
      </c>
      <c r="B115" s="67">
        <v>100</v>
      </c>
      <c r="C115" s="5">
        <f ca="1">'Demand background (hide)'!Y103</f>
        <v>0</v>
      </c>
      <c r="D115" s="67">
        <f t="shared" si="39"/>
        <v>1</v>
      </c>
      <c r="E115" s="67" t="e">
        <f t="shared" ca="1" si="40"/>
        <v>#N/A</v>
      </c>
      <c r="F115" s="67" t="e">
        <f t="shared" ca="1" si="41"/>
        <v>#N/A</v>
      </c>
      <c r="G115" s="67" t="e">
        <f t="shared" ca="1" si="42"/>
        <v>#N/A</v>
      </c>
      <c r="H115" s="67" t="e">
        <f>IF('Demand background (hide)'!AN103&lt;&gt;"",'SPC background (hide)'!C115,NA())</f>
        <v>#N/A</v>
      </c>
      <c r="I115" s="67">
        <f t="shared" ca="1" si="43"/>
        <v>5</v>
      </c>
      <c r="J115" s="5">
        <f t="shared" ca="1" si="44"/>
        <v>0</v>
      </c>
      <c r="K115" s="5">
        <f t="shared" ca="1" si="45"/>
        <v>0</v>
      </c>
      <c r="L115" s="5">
        <f t="shared" ca="1" si="46"/>
        <v>0</v>
      </c>
      <c r="M115" s="5">
        <f t="shared" ca="1" si="47"/>
        <v>0</v>
      </c>
      <c r="N115" s="5">
        <f t="shared" ca="1" si="48"/>
        <v>0</v>
      </c>
      <c r="O115" s="5">
        <f t="shared" ca="1" si="49"/>
        <v>0</v>
      </c>
      <c r="P115" s="5">
        <f t="shared" ca="1" si="50"/>
        <v>0</v>
      </c>
      <c r="Q115" s="5" t="e">
        <f t="shared" ca="1" si="51"/>
        <v>#N/A</v>
      </c>
      <c r="R115" s="5">
        <f t="shared" ca="1" si="56"/>
        <v>0</v>
      </c>
      <c r="S115" s="67" t="e">
        <f t="shared" ca="1" si="57"/>
        <v>#N/A</v>
      </c>
      <c r="T115" s="67">
        <f t="shared" ca="1" si="58"/>
        <v>0</v>
      </c>
      <c r="U115" s="67" t="e">
        <f t="shared" ca="1" si="59"/>
        <v>#N/A</v>
      </c>
      <c r="V115" s="5">
        <f t="shared" ca="1" si="38"/>
        <v>0</v>
      </c>
      <c r="W115" s="5" t="e">
        <f t="shared" ca="1" si="52"/>
        <v>#N/A</v>
      </c>
      <c r="X115" s="67">
        <f t="shared" ca="1" si="53"/>
        <v>0</v>
      </c>
      <c r="Y115" s="67" t="e">
        <f t="shared" ca="1" si="60"/>
        <v>#N/A</v>
      </c>
      <c r="Z115" s="67" t="e">
        <f t="shared" ca="1" si="61"/>
        <v>#N/A</v>
      </c>
      <c r="AA115" s="5" t="str">
        <f>IF(Setup!$I$15="Yes",'Demand background (hide)'!AJ103+'SPC background (hide)'!C115,"")</f>
        <v/>
      </c>
      <c r="AC115" s="5" t="str">
        <f t="shared" ca="1" si="54"/>
        <v/>
      </c>
      <c r="AD115" s="5" t="str">
        <f t="shared" ca="1" si="55"/>
        <v/>
      </c>
    </row>
    <row r="116" spans="1:30" x14ac:dyDescent="0.2">
      <c r="A116" s="67">
        <f>Demand!C113</f>
        <v>0</v>
      </c>
      <c r="B116" s="67">
        <v>101</v>
      </c>
      <c r="C116" s="5">
        <f ca="1">'Demand background (hide)'!Y104</f>
        <v>0</v>
      </c>
      <c r="D116" s="67">
        <f t="shared" si="39"/>
        <v>1</v>
      </c>
      <c r="E116" s="67" t="e">
        <f t="shared" ca="1" si="40"/>
        <v>#N/A</v>
      </c>
      <c r="F116" s="67" t="e">
        <f t="shared" ca="1" si="41"/>
        <v>#N/A</v>
      </c>
      <c r="G116" s="67" t="e">
        <f t="shared" ca="1" si="42"/>
        <v>#N/A</v>
      </c>
      <c r="H116" s="67" t="e">
        <f>IF('Demand background (hide)'!AN104&lt;&gt;"",'SPC background (hide)'!C116,NA())</f>
        <v>#N/A</v>
      </c>
      <c r="I116" s="67">
        <f t="shared" ca="1" si="43"/>
        <v>5</v>
      </c>
      <c r="J116" s="5">
        <f t="shared" ca="1" si="44"/>
        <v>0</v>
      </c>
      <c r="K116" s="5">
        <f t="shared" ca="1" si="45"/>
        <v>0</v>
      </c>
      <c r="L116" s="5">
        <f t="shared" ca="1" si="46"/>
        <v>0</v>
      </c>
      <c r="M116" s="5">
        <f t="shared" ca="1" si="47"/>
        <v>0</v>
      </c>
      <c r="N116" s="5">
        <f t="shared" ca="1" si="48"/>
        <v>0</v>
      </c>
      <c r="O116" s="5">
        <f t="shared" ca="1" si="49"/>
        <v>0</v>
      </c>
      <c r="P116" s="5">
        <f t="shared" ca="1" si="50"/>
        <v>0</v>
      </c>
      <c r="Q116" s="5" t="e">
        <f t="shared" ca="1" si="51"/>
        <v>#N/A</v>
      </c>
      <c r="R116" s="5">
        <f t="shared" ca="1" si="56"/>
        <v>0</v>
      </c>
      <c r="S116" s="67" t="e">
        <f t="shared" ca="1" si="57"/>
        <v>#N/A</v>
      </c>
      <c r="T116" s="67">
        <f t="shared" ca="1" si="58"/>
        <v>0</v>
      </c>
      <c r="U116" s="67" t="e">
        <f t="shared" ca="1" si="59"/>
        <v>#N/A</v>
      </c>
      <c r="V116" s="5">
        <f t="shared" ca="1" si="38"/>
        <v>0</v>
      </c>
      <c r="W116" s="5" t="e">
        <f t="shared" ca="1" si="52"/>
        <v>#N/A</v>
      </c>
      <c r="X116" s="67">
        <f t="shared" ca="1" si="53"/>
        <v>0</v>
      </c>
      <c r="Y116" s="67" t="e">
        <f t="shared" ca="1" si="60"/>
        <v>#N/A</v>
      </c>
      <c r="Z116" s="67" t="e">
        <f t="shared" ca="1" si="61"/>
        <v>#N/A</v>
      </c>
      <c r="AA116" s="5" t="str">
        <f>IF(Setup!$I$15="Yes",'Demand background (hide)'!AJ104+'SPC background (hide)'!C116,"")</f>
        <v/>
      </c>
      <c r="AC116" s="5" t="str">
        <f t="shared" ca="1" si="54"/>
        <v/>
      </c>
      <c r="AD116" s="5" t="str">
        <f t="shared" ca="1" si="55"/>
        <v/>
      </c>
    </row>
    <row r="117" spans="1:30" x14ac:dyDescent="0.2">
      <c r="A117" s="67">
        <f>Demand!C114</f>
        <v>0</v>
      </c>
      <c r="B117" s="67">
        <v>102</v>
      </c>
      <c r="C117" s="5">
        <f ca="1">'Demand background (hide)'!Y105</f>
        <v>0</v>
      </c>
      <c r="D117" s="67">
        <f t="shared" si="39"/>
        <v>1</v>
      </c>
      <c r="E117" s="67" t="e">
        <f t="shared" ca="1" si="40"/>
        <v>#N/A</v>
      </c>
      <c r="F117" s="67" t="e">
        <f t="shared" ca="1" si="41"/>
        <v>#N/A</v>
      </c>
      <c r="G117" s="67" t="e">
        <f t="shared" ca="1" si="42"/>
        <v>#N/A</v>
      </c>
      <c r="H117" s="67" t="e">
        <f>IF('Demand background (hide)'!AN105&lt;&gt;"",'SPC background (hide)'!C117,NA())</f>
        <v>#N/A</v>
      </c>
      <c r="I117" s="67">
        <f t="shared" ca="1" si="43"/>
        <v>5</v>
      </c>
      <c r="J117" s="5">
        <f t="shared" ca="1" si="44"/>
        <v>0</v>
      </c>
      <c r="K117" s="5">
        <f t="shared" ca="1" si="45"/>
        <v>0</v>
      </c>
      <c r="L117" s="5">
        <f t="shared" ca="1" si="46"/>
        <v>0</v>
      </c>
      <c r="M117" s="5">
        <f t="shared" ca="1" si="47"/>
        <v>0</v>
      </c>
      <c r="N117" s="5">
        <f t="shared" ca="1" si="48"/>
        <v>0</v>
      </c>
      <c r="O117" s="5">
        <f t="shared" ca="1" si="49"/>
        <v>0</v>
      </c>
      <c r="P117" s="5">
        <f t="shared" ca="1" si="50"/>
        <v>0</v>
      </c>
      <c r="Q117" s="5" t="e">
        <f t="shared" ca="1" si="51"/>
        <v>#N/A</v>
      </c>
      <c r="R117" s="5">
        <f t="shared" ca="1" si="56"/>
        <v>0</v>
      </c>
      <c r="S117" s="67" t="e">
        <f t="shared" ca="1" si="57"/>
        <v>#N/A</v>
      </c>
      <c r="T117" s="67">
        <f t="shared" ca="1" si="58"/>
        <v>0</v>
      </c>
      <c r="U117" s="67" t="e">
        <f t="shared" ca="1" si="59"/>
        <v>#N/A</v>
      </c>
      <c r="V117" s="5">
        <f t="shared" ca="1" si="38"/>
        <v>0</v>
      </c>
      <c r="W117" s="5" t="e">
        <f t="shared" ca="1" si="52"/>
        <v>#N/A</v>
      </c>
      <c r="X117" s="67">
        <f t="shared" ca="1" si="53"/>
        <v>0</v>
      </c>
      <c r="Y117" s="67" t="e">
        <f t="shared" ca="1" si="60"/>
        <v>#N/A</v>
      </c>
      <c r="Z117" s="67" t="e">
        <f t="shared" ca="1" si="61"/>
        <v>#N/A</v>
      </c>
      <c r="AA117" s="5" t="str">
        <f>IF(Setup!$I$15="Yes",'Demand background (hide)'!AJ105+'SPC background (hide)'!C117,"")</f>
        <v/>
      </c>
      <c r="AC117" s="5" t="str">
        <f t="shared" ca="1" si="54"/>
        <v/>
      </c>
      <c r="AD117" s="5" t="str">
        <f t="shared" ca="1" si="55"/>
        <v/>
      </c>
    </row>
    <row r="118" spans="1:30" x14ac:dyDescent="0.2">
      <c r="A118" s="67">
        <f>Demand!C115</f>
        <v>0</v>
      </c>
      <c r="B118" s="67">
        <v>103</v>
      </c>
      <c r="C118" s="5">
        <f ca="1">'Demand background (hide)'!Y106</f>
        <v>0</v>
      </c>
      <c r="D118" s="67">
        <f t="shared" si="39"/>
        <v>1</v>
      </c>
      <c r="E118" s="67" t="e">
        <f t="shared" ca="1" si="40"/>
        <v>#N/A</v>
      </c>
      <c r="F118" s="67" t="e">
        <f t="shared" ca="1" si="41"/>
        <v>#N/A</v>
      </c>
      <c r="G118" s="67" t="e">
        <f t="shared" ca="1" si="42"/>
        <v>#N/A</v>
      </c>
      <c r="H118" s="67" t="e">
        <f>IF('Demand background (hide)'!AN106&lt;&gt;"",'SPC background (hide)'!C118,NA())</f>
        <v>#N/A</v>
      </c>
      <c r="I118" s="67">
        <f t="shared" ca="1" si="43"/>
        <v>5</v>
      </c>
      <c r="J118" s="5">
        <f t="shared" ca="1" si="44"/>
        <v>0</v>
      </c>
      <c r="K118" s="5">
        <f t="shared" ca="1" si="45"/>
        <v>0</v>
      </c>
      <c r="L118" s="5">
        <f t="shared" ca="1" si="46"/>
        <v>0</v>
      </c>
      <c r="M118" s="5">
        <f t="shared" ca="1" si="47"/>
        <v>0</v>
      </c>
      <c r="N118" s="5">
        <f t="shared" ca="1" si="48"/>
        <v>0</v>
      </c>
      <c r="O118" s="5">
        <f t="shared" ca="1" si="49"/>
        <v>0</v>
      </c>
      <c r="P118" s="5">
        <f t="shared" ca="1" si="50"/>
        <v>0</v>
      </c>
      <c r="Q118" s="5" t="e">
        <f t="shared" ca="1" si="51"/>
        <v>#N/A</v>
      </c>
      <c r="R118" s="5">
        <f t="shared" ca="1" si="56"/>
        <v>0</v>
      </c>
      <c r="S118" s="67" t="e">
        <f t="shared" ca="1" si="57"/>
        <v>#N/A</v>
      </c>
      <c r="T118" s="67">
        <f t="shared" ca="1" si="58"/>
        <v>0</v>
      </c>
      <c r="U118" s="67" t="e">
        <f t="shared" ca="1" si="59"/>
        <v>#N/A</v>
      </c>
      <c r="V118" s="5">
        <f t="shared" ca="1" si="38"/>
        <v>0</v>
      </c>
      <c r="W118" s="5" t="e">
        <f t="shared" ca="1" si="52"/>
        <v>#N/A</v>
      </c>
      <c r="X118" s="67">
        <f t="shared" ca="1" si="53"/>
        <v>0</v>
      </c>
      <c r="Y118" s="67" t="e">
        <f t="shared" ca="1" si="60"/>
        <v>#N/A</v>
      </c>
      <c r="Z118" s="67" t="e">
        <f t="shared" ca="1" si="61"/>
        <v>#N/A</v>
      </c>
      <c r="AA118" s="5" t="str">
        <f>IF(Setup!$I$15="Yes",'Demand background (hide)'!AJ106+'SPC background (hide)'!C118,"")</f>
        <v/>
      </c>
      <c r="AC118" s="5" t="str">
        <f t="shared" ca="1" si="54"/>
        <v/>
      </c>
      <c r="AD118" s="5" t="str">
        <f t="shared" ca="1" si="55"/>
        <v/>
      </c>
    </row>
    <row r="119" spans="1:30" x14ac:dyDescent="0.2">
      <c r="A119" s="67">
        <f>Demand!C116</f>
        <v>0</v>
      </c>
      <c r="B119" s="67">
        <v>104</v>
      </c>
      <c r="C119" s="5">
        <f ca="1">'Demand background (hide)'!Y107</f>
        <v>0</v>
      </c>
      <c r="D119" s="67">
        <f t="shared" si="39"/>
        <v>1</v>
      </c>
      <c r="E119" s="67" t="e">
        <f t="shared" ca="1" si="40"/>
        <v>#N/A</v>
      </c>
      <c r="F119" s="67" t="e">
        <f t="shared" ca="1" si="41"/>
        <v>#N/A</v>
      </c>
      <c r="G119" s="67" t="e">
        <f t="shared" ca="1" si="42"/>
        <v>#N/A</v>
      </c>
      <c r="H119" s="67" t="e">
        <f>IF('Demand background (hide)'!AN107&lt;&gt;"",'SPC background (hide)'!C119,NA())</f>
        <v>#N/A</v>
      </c>
      <c r="I119" s="67">
        <f t="shared" ca="1" si="43"/>
        <v>5</v>
      </c>
      <c r="J119" s="5">
        <f t="shared" ca="1" si="44"/>
        <v>0</v>
      </c>
      <c r="K119" s="5">
        <f t="shared" ca="1" si="45"/>
        <v>0</v>
      </c>
      <c r="L119" s="5">
        <f t="shared" ca="1" si="46"/>
        <v>0</v>
      </c>
      <c r="M119" s="5">
        <f t="shared" ca="1" si="47"/>
        <v>0</v>
      </c>
      <c r="N119" s="5">
        <f t="shared" ca="1" si="48"/>
        <v>0</v>
      </c>
      <c r="O119" s="5">
        <f t="shared" ca="1" si="49"/>
        <v>0</v>
      </c>
      <c r="P119" s="5">
        <f t="shared" ca="1" si="50"/>
        <v>0</v>
      </c>
      <c r="Q119" s="5" t="e">
        <f t="shared" ca="1" si="51"/>
        <v>#N/A</v>
      </c>
      <c r="R119" s="5">
        <f t="shared" ca="1" si="56"/>
        <v>0</v>
      </c>
      <c r="S119" s="67" t="e">
        <f t="shared" ca="1" si="57"/>
        <v>#N/A</v>
      </c>
      <c r="T119" s="67">
        <f t="shared" ca="1" si="58"/>
        <v>0</v>
      </c>
      <c r="U119" s="67" t="e">
        <f t="shared" ca="1" si="59"/>
        <v>#N/A</v>
      </c>
      <c r="V119" s="5">
        <f t="shared" ca="1" si="38"/>
        <v>0</v>
      </c>
      <c r="W119" s="5" t="e">
        <f t="shared" ca="1" si="52"/>
        <v>#N/A</v>
      </c>
      <c r="X119" s="67">
        <f t="shared" ca="1" si="53"/>
        <v>0</v>
      </c>
      <c r="Y119" s="67" t="e">
        <f t="shared" ca="1" si="60"/>
        <v>#N/A</v>
      </c>
      <c r="Z119" s="67" t="e">
        <f t="shared" ca="1" si="61"/>
        <v>#N/A</v>
      </c>
      <c r="AA119" s="5" t="str">
        <f>IF(Setup!$I$15="Yes",'Demand background (hide)'!AJ107+'SPC background (hide)'!C119,"")</f>
        <v/>
      </c>
      <c r="AC119" s="5" t="str">
        <f t="shared" ca="1" si="54"/>
        <v/>
      </c>
      <c r="AD119" s="5" t="str">
        <f t="shared" ca="1" si="55"/>
        <v/>
      </c>
    </row>
    <row r="120" spans="1:30" x14ac:dyDescent="0.2">
      <c r="A120" s="67">
        <f>Demand!C117</f>
        <v>0</v>
      </c>
      <c r="B120" s="67">
        <v>105</v>
      </c>
      <c r="C120" s="5">
        <f ca="1">'Demand background (hide)'!Y108</f>
        <v>0</v>
      </c>
      <c r="D120" s="67">
        <f t="shared" si="39"/>
        <v>1</v>
      </c>
      <c r="E120" s="67" t="e">
        <f t="shared" ca="1" si="40"/>
        <v>#N/A</v>
      </c>
      <c r="F120" s="67" t="e">
        <f t="shared" ca="1" si="41"/>
        <v>#N/A</v>
      </c>
      <c r="G120" s="67" t="e">
        <f t="shared" ca="1" si="42"/>
        <v>#N/A</v>
      </c>
      <c r="H120" s="67" t="e">
        <f>IF('Demand background (hide)'!AN108&lt;&gt;"",'SPC background (hide)'!C120,NA())</f>
        <v>#N/A</v>
      </c>
      <c r="I120" s="67">
        <f t="shared" ca="1" si="43"/>
        <v>5</v>
      </c>
      <c r="J120" s="5">
        <f t="shared" ca="1" si="44"/>
        <v>0</v>
      </c>
      <c r="K120" s="5">
        <f t="shared" ca="1" si="45"/>
        <v>0</v>
      </c>
      <c r="L120" s="5">
        <f t="shared" ca="1" si="46"/>
        <v>0</v>
      </c>
      <c r="M120" s="5">
        <f t="shared" ca="1" si="47"/>
        <v>0</v>
      </c>
      <c r="N120" s="5">
        <f t="shared" ca="1" si="48"/>
        <v>0</v>
      </c>
      <c r="O120" s="5">
        <f t="shared" ca="1" si="49"/>
        <v>0</v>
      </c>
      <c r="P120" s="5">
        <f t="shared" ca="1" si="50"/>
        <v>0</v>
      </c>
      <c r="Q120" s="5" t="e">
        <f t="shared" ca="1" si="51"/>
        <v>#N/A</v>
      </c>
      <c r="R120" s="5">
        <f t="shared" ca="1" si="56"/>
        <v>0</v>
      </c>
      <c r="S120" s="67" t="e">
        <f t="shared" ca="1" si="57"/>
        <v>#N/A</v>
      </c>
      <c r="T120" s="67">
        <f t="shared" ca="1" si="58"/>
        <v>0</v>
      </c>
      <c r="U120" s="67" t="e">
        <f t="shared" ca="1" si="59"/>
        <v>#N/A</v>
      </c>
      <c r="V120" s="5">
        <f t="shared" ca="1" si="38"/>
        <v>0</v>
      </c>
      <c r="W120" s="5" t="e">
        <f t="shared" ca="1" si="52"/>
        <v>#N/A</v>
      </c>
      <c r="X120" s="67">
        <f t="shared" ca="1" si="53"/>
        <v>0</v>
      </c>
      <c r="Y120" s="67" t="e">
        <f t="shared" ca="1" si="60"/>
        <v>#N/A</v>
      </c>
      <c r="Z120" s="67" t="e">
        <f t="shared" ca="1" si="61"/>
        <v>#N/A</v>
      </c>
      <c r="AA120" s="5" t="str">
        <f>IF(Setup!$I$15="Yes",'Demand background (hide)'!AJ108+'SPC background (hide)'!C120,"")</f>
        <v/>
      </c>
      <c r="AC120" s="5" t="str">
        <f t="shared" ca="1" si="54"/>
        <v/>
      </c>
      <c r="AD120" s="5" t="str">
        <f t="shared" ca="1" si="55"/>
        <v/>
      </c>
    </row>
    <row r="121" spans="1:30" x14ac:dyDescent="0.2">
      <c r="A121" s="67">
        <f>Demand!C118</f>
        <v>0</v>
      </c>
      <c r="B121" s="67">
        <v>106</v>
      </c>
      <c r="C121" s="5">
        <f ca="1">'Demand background (hide)'!Y109</f>
        <v>0</v>
      </c>
      <c r="D121" s="67">
        <f t="shared" si="39"/>
        <v>1</v>
      </c>
      <c r="E121" s="67" t="e">
        <f t="shared" ca="1" si="40"/>
        <v>#N/A</v>
      </c>
      <c r="F121" s="67" t="e">
        <f t="shared" ca="1" si="41"/>
        <v>#N/A</v>
      </c>
      <c r="G121" s="67" t="e">
        <f t="shared" ca="1" si="42"/>
        <v>#N/A</v>
      </c>
      <c r="H121" s="67" t="e">
        <f>IF('Demand background (hide)'!AN109&lt;&gt;"",'SPC background (hide)'!C121,NA())</f>
        <v>#N/A</v>
      </c>
      <c r="I121" s="67">
        <f t="shared" ca="1" si="43"/>
        <v>5</v>
      </c>
      <c r="J121" s="5">
        <f t="shared" ca="1" si="44"/>
        <v>0</v>
      </c>
      <c r="K121" s="5">
        <f t="shared" ca="1" si="45"/>
        <v>0</v>
      </c>
      <c r="L121" s="5">
        <f t="shared" ca="1" si="46"/>
        <v>0</v>
      </c>
      <c r="M121" s="5">
        <f t="shared" ca="1" si="47"/>
        <v>0</v>
      </c>
      <c r="N121" s="5">
        <f t="shared" ca="1" si="48"/>
        <v>0</v>
      </c>
      <c r="O121" s="5">
        <f t="shared" ca="1" si="49"/>
        <v>0</v>
      </c>
      <c r="P121" s="5">
        <f t="shared" ca="1" si="50"/>
        <v>0</v>
      </c>
      <c r="Q121" s="5" t="e">
        <f t="shared" ca="1" si="51"/>
        <v>#N/A</v>
      </c>
      <c r="R121" s="5">
        <f t="shared" ca="1" si="56"/>
        <v>0</v>
      </c>
      <c r="S121" s="67" t="e">
        <f t="shared" ca="1" si="57"/>
        <v>#N/A</v>
      </c>
      <c r="T121" s="67">
        <f t="shared" ca="1" si="58"/>
        <v>0</v>
      </c>
      <c r="U121" s="67" t="e">
        <f t="shared" ca="1" si="59"/>
        <v>#N/A</v>
      </c>
      <c r="V121" s="5">
        <f t="shared" ca="1" si="38"/>
        <v>0</v>
      </c>
      <c r="W121" s="5" t="e">
        <f t="shared" ca="1" si="52"/>
        <v>#N/A</v>
      </c>
      <c r="X121" s="67">
        <f t="shared" ca="1" si="53"/>
        <v>0</v>
      </c>
      <c r="Y121" s="67" t="e">
        <f t="shared" ca="1" si="60"/>
        <v>#N/A</v>
      </c>
      <c r="Z121" s="67" t="e">
        <f t="shared" ca="1" si="61"/>
        <v>#N/A</v>
      </c>
      <c r="AA121" s="5" t="str">
        <f>IF(Setup!$I$15="Yes",'Demand background (hide)'!AJ109+'SPC background (hide)'!C121,"")</f>
        <v/>
      </c>
      <c r="AC121" s="5" t="str">
        <f t="shared" ca="1" si="54"/>
        <v/>
      </c>
      <c r="AD121" s="5" t="str">
        <f t="shared" ca="1" si="55"/>
        <v/>
      </c>
    </row>
    <row r="122" spans="1:30" x14ac:dyDescent="0.2">
      <c r="A122" s="67">
        <f>Demand!C119</f>
        <v>0</v>
      </c>
      <c r="B122" s="67">
        <v>107</v>
      </c>
      <c r="C122" s="5">
        <f ca="1">'Demand background (hide)'!Y110</f>
        <v>0</v>
      </c>
      <c r="D122" s="67">
        <f t="shared" si="39"/>
        <v>1</v>
      </c>
      <c r="E122" s="67" t="e">
        <f t="shared" ca="1" si="40"/>
        <v>#N/A</v>
      </c>
      <c r="F122" s="67" t="e">
        <f t="shared" ca="1" si="41"/>
        <v>#N/A</v>
      </c>
      <c r="G122" s="67" t="e">
        <f t="shared" ca="1" si="42"/>
        <v>#N/A</v>
      </c>
      <c r="H122" s="67" t="e">
        <f>IF('Demand background (hide)'!AN110&lt;&gt;"",'SPC background (hide)'!C122,NA())</f>
        <v>#N/A</v>
      </c>
      <c r="I122" s="67">
        <f t="shared" ca="1" si="43"/>
        <v>5</v>
      </c>
      <c r="J122" s="5">
        <f t="shared" ca="1" si="44"/>
        <v>0</v>
      </c>
      <c r="K122" s="5">
        <f t="shared" ca="1" si="45"/>
        <v>0</v>
      </c>
      <c r="L122" s="5">
        <f t="shared" ca="1" si="46"/>
        <v>0</v>
      </c>
      <c r="M122" s="5">
        <f t="shared" ca="1" si="47"/>
        <v>0</v>
      </c>
      <c r="N122" s="5">
        <f t="shared" ca="1" si="48"/>
        <v>0</v>
      </c>
      <c r="O122" s="5">
        <f t="shared" ca="1" si="49"/>
        <v>0</v>
      </c>
      <c r="P122" s="5">
        <f t="shared" ca="1" si="50"/>
        <v>0</v>
      </c>
      <c r="Q122" s="5" t="e">
        <f t="shared" ca="1" si="51"/>
        <v>#N/A</v>
      </c>
      <c r="R122" s="5">
        <f t="shared" ca="1" si="56"/>
        <v>0</v>
      </c>
      <c r="S122" s="67" t="e">
        <f t="shared" ca="1" si="57"/>
        <v>#N/A</v>
      </c>
      <c r="T122" s="67">
        <f t="shared" ca="1" si="58"/>
        <v>0</v>
      </c>
      <c r="U122" s="67" t="e">
        <f t="shared" ca="1" si="59"/>
        <v>#N/A</v>
      </c>
      <c r="V122" s="5">
        <f t="shared" ca="1" si="38"/>
        <v>0</v>
      </c>
      <c r="W122" s="5" t="e">
        <f t="shared" ca="1" si="52"/>
        <v>#N/A</v>
      </c>
      <c r="X122" s="67">
        <f t="shared" ca="1" si="53"/>
        <v>0</v>
      </c>
      <c r="Y122" s="67" t="e">
        <f t="shared" ca="1" si="60"/>
        <v>#N/A</v>
      </c>
      <c r="Z122" s="67" t="e">
        <f t="shared" ca="1" si="61"/>
        <v>#N/A</v>
      </c>
      <c r="AA122" s="5" t="str">
        <f>IF(Setup!$I$15="Yes",'Demand background (hide)'!AJ110+'SPC background (hide)'!C122,"")</f>
        <v/>
      </c>
      <c r="AC122" s="5" t="str">
        <f t="shared" ca="1" si="54"/>
        <v/>
      </c>
      <c r="AD122" s="5" t="str">
        <f t="shared" ca="1" si="55"/>
        <v/>
      </c>
    </row>
    <row r="123" spans="1:30" x14ac:dyDescent="0.2">
      <c r="A123" s="67">
        <f>Demand!C120</f>
        <v>0</v>
      </c>
      <c r="B123" s="67">
        <v>108</v>
      </c>
      <c r="C123" s="5">
        <f ca="1">'Demand background (hide)'!Y111</f>
        <v>0</v>
      </c>
      <c r="D123" s="67">
        <f t="shared" si="39"/>
        <v>1</v>
      </c>
      <c r="E123" s="67" t="e">
        <f t="shared" ca="1" si="40"/>
        <v>#N/A</v>
      </c>
      <c r="F123" s="67" t="e">
        <f t="shared" ca="1" si="41"/>
        <v>#N/A</v>
      </c>
      <c r="G123" s="67" t="e">
        <f t="shared" ca="1" si="42"/>
        <v>#N/A</v>
      </c>
      <c r="H123" s="67" t="e">
        <f>IF('Demand background (hide)'!AN111&lt;&gt;"",'SPC background (hide)'!C123,NA())</f>
        <v>#N/A</v>
      </c>
      <c r="I123" s="67">
        <f t="shared" ca="1" si="43"/>
        <v>5</v>
      </c>
      <c r="J123" s="5">
        <f t="shared" ca="1" si="44"/>
        <v>0</v>
      </c>
      <c r="K123" s="5">
        <f t="shared" ca="1" si="45"/>
        <v>0</v>
      </c>
      <c r="L123" s="5">
        <f t="shared" ca="1" si="46"/>
        <v>0</v>
      </c>
      <c r="M123" s="5">
        <f t="shared" ca="1" si="47"/>
        <v>0</v>
      </c>
      <c r="N123" s="5">
        <f t="shared" ca="1" si="48"/>
        <v>0</v>
      </c>
      <c r="O123" s="5">
        <f t="shared" ca="1" si="49"/>
        <v>0</v>
      </c>
      <c r="P123" s="5">
        <f t="shared" ca="1" si="50"/>
        <v>0</v>
      </c>
      <c r="Q123" s="5" t="e">
        <f t="shared" ca="1" si="51"/>
        <v>#N/A</v>
      </c>
      <c r="R123" s="5">
        <f t="shared" ca="1" si="56"/>
        <v>0</v>
      </c>
      <c r="S123" s="67" t="e">
        <f t="shared" ca="1" si="57"/>
        <v>#N/A</v>
      </c>
      <c r="T123" s="67">
        <f t="shared" ca="1" si="58"/>
        <v>0</v>
      </c>
      <c r="U123" s="67" t="e">
        <f t="shared" ca="1" si="59"/>
        <v>#N/A</v>
      </c>
      <c r="V123" s="5">
        <f t="shared" ca="1" si="38"/>
        <v>0</v>
      </c>
      <c r="W123" s="5" t="e">
        <f t="shared" ca="1" si="52"/>
        <v>#N/A</v>
      </c>
      <c r="X123" s="67">
        <f t="shared" ca="1" si="53"/>
        <v>0</v>
      </c>
      <c r="Y123" s="67" t="e">
        <f t="shared" ca="1" si="60"/>
        <v>#N/A</v>
      </c>
      <c r="Z123" s="67" t="e">
        <f t="shared" ca="1" si="61"/>
        <v>#N/A</v>
      </c>
      <c r="AA123" s="5" t="str">
        <f>IF(Setup!$I$15="Yes",'Demand background (hide)'!AJ111+'SPC background (hide)'!C123,"")</f>
        <v/>
      </c>
      <c r="AC123" s="5" t="str">
        <f t="shared" ca="1" si="54"/>
        <v/>
      </c>
      <c r="AD123" s="5" t="str">
        <f t="shared" ca="1" si="55"/>
        <v/>
      </c>
    </row>
    <row r="124" spans="1:30" x14ac:dyDescent="0.2">
      <c r="A124" s="67">
        <f>Demand!C121</f>
        <v>0</v>
      </c>
      <c r="B124" s="67">
        <v>109</v>
      </c>
      <c r="C124" s="5">
        <f ca="1">'Demand background (hide)'!Y112</f>
        <v>0</v>
      </c>
      <c r="D124" s="67">
        <f t="shared" si="39"/>
        <v>1</v>
      </c>
      <c r="E124" s="67" t="e">
        <f t="shared" ca="1" si="40"/>
        <v>#N/A</v>
      </c>
      <c r="F124" s="67" t="e">
        <f t="shared" ca="1" si="41"/>
        <v>#N/A</v>
      </c>
      <c r="G124" s="67" t="e">
        <f t="shared" ca="1" si="42"/>
        <v>#N/A</v>
      </c>
      <c r="H124" s="67" t="e">
        <f>IF('Demand background (hide)'!AN112&lt;&gt;"",'SPC background (hide)'!C124,NA())</f>
        <v>#N/A</v>
      </c>
      <c r="I124" s="67">
        <f t="shared" ca="1" si="43"/>
        <v>5</v>
      </c>
      <c r="J124" s="5">
        <f t="shared" ca="1" si="44"/>
        <v>0</v>
      </c>
      <c r="K124" s="5">
        <f t="shared" ca="1" si="45"/>
        <v>0</v>
      </c>
      <c r="L124" s="5">
        <f t="shared" ca="1" si="46"/>
        <v>0</v>
      </c>
      <c r="M124" s="5">
        <f t="shared" ca="1" si="47"/>
        <v>0</v>
      </c>
      <c r="N124" s="5">
        <f t="shared" ca="1" si="48"/>
        <v>0</v>
      </c>
      <c r="O124" s="5">
        <f t="shared" ca="1" si="49"/>
        <v>0</v>
      </c>
      <c r="P124" s="5">
        <f t="shared" ca="1" si="50"/>
        <v>0</v>
      </c>
      <c r="Q124" s="5" t="e">
        <f t="shared" ca="1" si="51"/>
        <v>#N/A</v>
      </c>
      <c r="R124" s="5">
        <f t="shared" ca="1" si="56"/>
        <v>0</v>
      </c>
      <c r="S124" s="67" t="e">
        <f t="shared" ca="1" si="57"/>
        <v>#N/A</v>
      </c>
      <c r="T124" s="67">
        <f t="shared" ca="1" si="58"/>
        <v>0</v>
      </c>
      <c r="U124" s="67" t="e">
        <f t="shared" ca="1" si="59"/>
        <v>#N/A</v>
      </c>
      <c r="V124" s="5">
        <f t="shared" ca="1" si="38"/>
        <v>0</v>
      </c>
      <c r="W124" s="5" t="e">
        <f t="shared" ca="1" si="52"/>
        <v>#N/A</v>
      </c>
      <c r="X124" s="67">
        <f t="shared" ca="1" si="53"/>
        <v>0</v>
      </c>
      <c r="Y124" s="67" t="e">
        <f t="shared" ca="1" si="60"/>
        <v>#N/A</v>
      </c>
      <c r="Z124" s="67" t="e">
        <f t="shared" ca="1" si="61"/>
        <v>#N/A</v>
      </c>
      <c r="AA124" s="5" t="str">
        <f>IF(Setup!$I$15="Yes",'Demand background (hide)'!AJ112+'SPC background (hide)'!C124,"")</f>
        <v/>
      </c>
      <c r="AC124" s="5" t="str">
        <f t="shared" ca="1" si="54"/>
        <v/>
      </c>
      <c r="AD124" s="5" t="str">
        <f t="shared" ca="1" si="55"/>
        <v/>
      </c>
    </row>
    <row r="125" spans="1:30" x14ac:dyDescent="0.2">
      <c r="A125" s="67">
        <f>Demand!C122</f>
        <v>0</v>
      </c>
      <c r="B125" s="67">
        <v>110</v>
      </c>
      <c r="C125" s="5">
        <f ca="1">'Demand background (hide)'!Y113</f>
        <v>0</v>
      </c>
      <c r="D125" s="67">
        <f t="shared" si="39"/>
        <v>1</v>
      </c>
      <c r="E125" s="67" t="e">
        <f t="shared" ca="1" si="40"/>
        <v>#N/A</v>
      </c>
      <c r="F125" s="67" t="e">
        <f t="shared" ca="1" si="41"/>
        <v>#N/A</v>
      </c>
      <c r="G125" s="67" t="e">
        <f t="shared" ca="1" si="42"/>
        <v>#N/A</v>
      </c>
      <c r="H125" s="67" t="e">
        <f>IF('Demand background (hide)'!AN113&lt;&gt;"",'SPC background (hide)'!C125,NA())</f>
        <v>#N/A</v>
      </c>
      <c r="I125" s="67">
        <f t="shared" ca="1" si="43"/>
        <v>5</v>
      </c>
      <c r="J125" s="5">
        <f t="shared" ca="1" si="44"/>
        <v>0</v>
      </c>
      <c r="K125" s="5">
        <f t="shared" ca="1" si="45"/>
        <v>0</v>
      </c>
      <c r="L125" s="5">
        <f t="shared" ca="1" si="46"/>
        <v>0</v>
      </c>
      <c r="M125" s="5">
        <f t="shared" ca="1" si="47"/>
        <v>0</v>
      </c>
      <c r="N125" s="5">
        <f t="shared" ca="1" si="48"/>
        <v>0</v>
      </c>
      <c r="O125" s="5">
        <f t="shared" ca="1" si="49"/>
        <v>0</v>
      </c>
      <c r="P125" s="5">
        <f t="shared" ca="1" si="50"/>
        <v>0</v>
      </c>
      <c r="Q125" s="5" t="e">
        <f t="shared" ca="1" si="51"/>
        <v>#N/A</v>
      </c>
      <c r="R125" s="5">
        <f t="shared" ca="1" si="56"/>
        <v>0</v>
      </c>
      <c r="S125" s="67" t="e">
        <f t="shared" ca="1" si="57"/>
        <v>#N/A</v>
      </c>
      <c r="T125" s="67">
        <f t="shared" ca="1" si="58"/>
        <v>0</v>
      </c>
      <c r="U125" s="67" t="e">
        <f t="shared" ca="1" si="59"/>
        <v>#N/A</v>
      </c>
      <c r="V125" s="5">
        <f t="shared" ca="1" si="38"/>
        <v>0</v>
      </c>
      <c r="W125" s="5" t="e">
        <f t="shared" ca="1" si="52"/>
        <v>#N/A</v>
      </c>
      <c r="X125" s="67">
        <f t="shared" ca="1" si="53"/>
        <v>0</v>
      </c>
      <c r="Y125" s="67" t="e">
        <f t="shared" ca="1" si="60"/>
        <v>#N/A</v>
      </c>
      <c r="Z125" s="67" t="e">
        <f t="shared" ca="1" si="61"/>
        <v>#N/A</v>
      </c>
      <c r="AA125" s="5" t="str">
        <f>IF(Setup!$I$15="Yes",'Demand background (hide)'!AJ113+'SPC background (hide)'!C125,"")</f>
        <v/>
      </c>
      <c r="AC125" s="5" t="str">
        <f t="shared" ca="1" si="54"/>
        <v/>
      </c>
      <c r="AD125" s="5" t="str">
        <f t="shared" ca="1" si="55"/>
        <v/>
      </c>
    </row>
    <row r="126" spans="1:30" x14ac:dyDescent="0.2">
      <c r="A126" s="67">
        <f>Demand!C123</f>
        <v>0</v>
      </c>
      <c r="B126" s="67">
        <v>111</v>
      </c>
      <c r="C126" s="5">
        <f ca="1">'Demand background (hide)'!Y114</f>
        <v>0</v>
      </c>
      <c r="D126" s="67">
        <f t="shared" si="39"/>
        <v>1</v>
      </c>
      <c r="E126" s="67" t="e">
        <f t="shared" ca="1" si="40"/>
        <v>#N/A</v>
      </c>
      <c r="F126" s="67" t="e">
        <f t="shared" ca="1" si="41"/>
        <v>#N/A</v>
      </c>
      <c r="G126" s="67" t="e">
        <f t="shared" ca="1" si="42"/>
        <v>#N/A</v>
      </c>
      <c r="H126" s="67" t="e">
        <f>IF('Demand background (hide)'!AN114&lt;&gt;"",'SPC background (hide)'!C126,NA())</f>
        <v>#N/A</v>
      </c>
      <c r="I126" s="67">
        <f t="shared" ca="1" si="43"/>
        <v>5</v>
      </c>
      <c r="J126" s="5">
        <f t="shared" ca="1" si="44"/>
        <v>0</v>
      </c>
      <c r="K126" s="5">
        <f t="shared" ca="1" si="45"/>
        <v>0</v>
      </c>
      <c r="L126" s="5">
        <f t="shared" ca="1" si="46"/>
        <v>0</v>
      </c>
      <c r="M126" s="5">
        <f t="shared" ca="1" si="47"/>
        <v>0</v>
      </c>
      <c r="N126" s="5">
        <f t="shared" ca="1" si="48"/>
        <v>0</v>
      </c>
      <c r="O126" s="5">
        <f t="shared" ca="1" si="49"/>
        <v>0</v>
      </c>
      <c r="P126" s="5">
        <f t="shared" ca="1" si="50"/>
        <v>0</v>
      </c>
      <c r="Q126" s="5" t="e">
        <f t="shared" ca="1" si="51"/>
        <v>#N/A</v>
      </c>
      <c r="R126" s="5">
        <f t="shared" ca="1" si="56"/>
        <v>0</v>
      </c>
      <c r="S126" s="67" t="e">
        <f t="shared" ca="1" si="57"/>
        <v>#N/A</v>
      </c>
      <c r="T126" s="67">
        <f t="shared" ca="1" si="58"/>
        <v>0</v>
      </c>
      <c r="U126" s="67" t="e">
        <f t="shared" ca="1" si="59"/>
        <v>#N/A</v>
      </c>
      <c r="V126" s="5">
        <f t="shared" ca="1" si="38"/>
        <v>0</v>
      </c>
      <c r="W126" s="5" t="e">
        <f t="shared" ca="1" si="52"/>
        <v>#N/A</v>
      </c>
      <c r="X126" s="67">
        <f t="shared" ca="1" si="53"/>
        <v>0</v>
      </c>
      <c r="Y126" s="67" t="e">
        <f t="shared" ca="1" si="60"/>
        <v>#N/A</v>
      </c>
      <c r="Z126" s="67" t="e">
        <f t="shared" ca="1" si="61"/>
        <v>#N/A</v>
      </c>
      <c r="AA126" s="5" t="str">
        <f>IF(Setup!$I$15="Yes",'Demand background (hide)'!AJ114+'SPC background (hide)'!C126,"")</f>
        <v/>
      </c>
      <c r="AC126" s="5" t="str">
        <f t="shared" ca="1" si="54"/>
        <v/>
      </c>
      <c r="AD126" s="5" t="str">
        <f t="shared" ca="1" si="55"/>
        <v/>
      </c>
    </row>
    <row r="127" spans="1:30" x14ac:dyDescent="0.2">
      <c r="A127" s="67">
        <f>Demand!C124</f>
        <v>0</v>
      </c>
      <c r="B127" s="67">
        <v>112</v>
      </c>
      <c r="C127" s="5">
        <f ca="1">'Demand background (hide)'!Y115</f>
        <v>0</v>
      </c>
      <c r="D127" s="67">
        <f t="shared" si="39"/>
        <v>1</v>
      </c>
      <c r="E127" s="67" t="e">
        <f t="shared" ca="1" si="40"/>
        <v>#N/A</v>
      </c>
      <c r="F127" s="67" t="e">
        <f t="shared" ca="1" si="41"/>
        <v>#N/A</v>
      </c>
      <c r="G127" s="67" t="e">
        <f t="shared" ca="1" si="42"/>
        <v>#N/A</v>
      </c>
      <c r="H127" s="67" t="e">
        <f>IF('Demand background (hide)'!AN115&lt;&gt;"",'SPC background (hide)'!C127,NA())</f>
        <v>#N/A</v>
      </c>
      <c r="I127" s="67">
        <f t="shared" ca="1" si="43"/>
        <v>5</v>
      </c>
      <c r="J127" s="5">
        <f t="shared" ca="1" si="44"/>
        <v>0</v>
      </c>
      <c r="K127" s="5">
        <f t="shared" ca="1" si="45"/>
        <v>0</v>
      </c>
      <c r="L127" s="5">
        <f t="shared" ca="1" si="46"/>
        <v>0</v>
      </c>
      <c r="M127" s="5">
        <f t="shared" ca="1" si="47"/>
        <v>0</v>
      </c>
      <c r="N127" s="5">
        <f t="shared" ca="1" si="48"/>
        <v>0</v>
      </c>
      <c r="O127" s="5">
        <f t="shared" ca="1" si="49"/>
        <v>0</v>
      </c>
      <c r="P127" s="5">
        <f t="shared" ca="1" si="50"/>
        <v>0</v>
      </c>
      <c r="Q127" s="5" t="e">
        <f t="shared" ca="1" si="51"/>
        <v>#N/A</v>
      </c>
      <c r="R127" s="5">
        <f t="shared" ca="1" si="56"/>
        <v>0</v>
      </c>
      <c r="S127" s="67" t="e">
        <f t="shared" ca="1" si="57"/>
        <v>#N/A</v>
      </c>
      <c r="T127" s="67">
        <f t="shared" ca="1" si="58"/>
        <v>0</v>
      </c>
      <c r="U127" s="67" t="e">
        <f t="shared" ca="1" si="59"/>
        <v>#N/A</v>
      </c>
      <c r="V127" s="5">
        <f t="shared" ca="1" si="38"/>
        <v>0</v>
      </c>
      <c r="W127" s="5" t="e">
        <f t="shared" ca="1" si="52"/>
        <v>#N/A</v>
      </c>
      <c r="X127" s="67">
        <f t="shared" ca="1" si="53"/>
        <v>0</v>
      </c>
      <c r="Y127" s="67" t="e">
        <f t="shared" ca="1" si="60"/>
        <v>#N/A</v>
      </c>
      <c r="Z127" s="67" t="e">
        <f t="shared" ca="1" si="61"/>
        <v>#N/A</v>
      </c>
      <c r="AA127" s="5" t="str">
        <f>IF(Setup!$I$15="Yes",'Demand background (hide)'!AJ115+'SPC background (hide)'!C127,"")</f>
        <v/>
      </c>
      <c r="AC127" s="5" t="str">
        <f t="shared" ca="1" si="54"/>
        <v/>
      </c>
      <c r="AD127" s="5" t="str">
        <f t="shared" ca="1" si="55"/>
        <v/>
      </c>
    </row>
    <row r="128" spans="1:30" x14ac:dyDescent="0.2">
      <c r="A128" s="67">
        <f>Demand!C125</f>
        <v>0</v>
      </c>
      <c r="B128" s="67">
        <v>113</v>
      </c>
      <c r="C128" s="5">
        <f ca="1">'Demand background (hide)'!Y116</f>
        <v>0</v>
      </c>
      <c r="D128" s="67">
        <f t="shared" si="39"/>
        <v>1</v>
      </c>
      <c r="E128" s="67" t="e">
        <f t="shared" ca="1" si="40"/>
        <v>#N/A</v>
      </c>
      <c r="F128" s="67" t="e">
        <f t="shared" ca="1" si="41"/>
        <v>#N/A</v>
      </c>
      <c r="G128" s="67" t="e">
        <f t="shared" ca="1" si="42"/>
        <v>#N/A</v>
      </c>
      <c r="H128" s="67" t="e">
        <f>IF('Demand background (hide)'!AN116&lt;&gt;"",'SPC background (hide)'!C128,NA())</f>
        <v>#N/A</v>
      </c>
      <c r="I128" s="67">
        <f t="shared" ca="1" si="43"/>
        <v>5</v>
      </c>
      <c r="J128" s="5">
        <f t="shared" ca="1" si="44"/>
        <v>0</v>
      </c>
      <c r="K128" s="5">
        <f t="shared" ca="1" si="45"/>
        <v>0</v>
      </c>
      <c r="L128" s="5">
        <f t="shared" ca="1" si="46"/>
        <v>0</v>
      </c>
      <c r="M128" s="5">
        <f t="shared" ca="1" si="47"/>
        <v>0</v>
      </c>
      <c r="N128" s="5">
        <f t="shared" ca="1" si="48"/>
        <v>0</v>
      </c>
      <c r="O128" s="5">
        <f t="shared" ca="1" si="49"/>
        <v>0</v>
      </c>
      <c r="P128" s="5">
        <f t="shared" ca="1" si="50"/>
        <v>0</v>
      </c>
      <c r="Q128" s="5" t="e">
        <f t="shared" ca="1" si="51"/>
        <v>#N/A</v>
      </c>
      <c r="R128" s="5">
        <f t="shared" ca="1" si="56"/>
        <v>0</v>
      </c>
      <c r="S128" s="67" t="e">
        <f t="shared" ca="1" si="57"/>
        <v>#N/A</v>
      </c>
      <c r="T128" s="67">
        <f t="shared" ca="1" si="58"/>
        <v>0</v>
      </c>
      <c r="U128" s="67" t="e">
        <f t="shared" ca="1" si="59"/>
        <v>#N/A</v>
      </c>
      <c r="V128" s="5">
        <f t="shared" ca="1" si="38"/>
        <v>0</v>
      </c>
      <c r="W128" s="5" t="e">
        <f t="shared" ca="1" si="52"/>
        <v>#N/A</v>
      </c>
      <c r="X128" s="67">
        <f t="shared" ca="1" si="53"/>
        <v>0</v>
      </c>
      <c r="Y128" s="67" t="e">
        <f t="shared" ca="1" si="60"/>
        <v>#N/A</v>
      </c>
      <c r="Z128" s="67" t="e">
        <f t="shared" ca="1" si="61"/>
        <v>#N/A</v>
      </c>
      <c r="AA128" s="5" t="str">
        <f>IF(Setup!$I$15="Yes",'Demand background (hide)'!AJ116+'SPC background (hide)'!C128,"")</f>
        <v/>
      </c>
      <c r="AC128" s="5" t="str">
        <f t="shared" ca="1" si="54"/>
        <v/>
      </c>
      <c r="AD128" s="5" t="str">
        <f t="shared" ca="1" si="55"/>
        <v/>
      </c>
    </row>
    <row r="129" spans="1:30" x14ac:dyDescent="0.2">
      <c r="A129" s="67">
        <f>Demand!C126</f>
        <v>0</v>
      </c>
      <c r="B129" s="67">
        <v>114</v>
      </c>
      <c r="C129" s="5">
        <f ca="1">'Demand background (hide)'!Y117</f>
        <v>0</v>
      </c>
      <c r="D129" s="67">
        <f t="shared" si="39"/>
        <v>1</v>
      </c>
      <c r="E129" s="67" t="e">
        <f t="shared" ca="1" si="40"/>
        <v>#N/A</v>
      </c>
      <c r="F129" s="67" t="e">
        <f t="shared" ca="1" si="41"/>
        <v>#N/A</v>
      </c>
      <c r="G129" s="67" t="e">
        <f t="shared" ca="1" si="42"/>
        <v>#N/A</v>
      </c>
      <c r="H129" s="67" t="e">
        <f>IF('Demand background (hide)'!AN117&lt;&gt;"",'SPC background (hide)'!C129,NA())</f>
        <v>#N/A</v>
      </c>
      <c r="I129" s="67">
        <f t="shared" ca="1" si="43"/>
        <v>5</v>
      </c>
      <c r="J129" s="5">
        <f t="shared" ca="1" si="44"/>
        <v>0</v>
      </c>
      <c r="K129" s="5">
        <f t="shared" ca="1" si="45"/>
        <v>0</v>
      </c>
      <c r="L129" s="5">
        <f t="shared" ca="1" si="46"/>
        <v>0</v>
      </c>
      <c r="M129" s="5">
        <f t="shared" ca="1" si="47"/>
        <v>0</v>
      </c>
      <c r="N129" s="5">
        <f t="shared" ca="1" si="48"/>
        <v>0</v>
      </c>
      <c r="O129" s="5">
        <f t="shared" ca="1" si="49"/>
        <v>0</v>
      </c>
      <c r="P129" s="5">
        <f t="shared" ca="1" si="50"/>
        <v>0</v>
      </c>
      <c r="Q129" s="5" t="e">
        <f t="shared" ca="1" si="51"/>
        <v>#N/A</v>
      </c>
      <c r="R129" s="5">
        <f t="shared" ca="1" si="56"/>
        <v>0</v>
      </c>
      <c r="S129" s="67" t="e">
        <f t="shared" ca="1" si="57"/>
        <v>#N/A</v>
      </c>
      <c r="T129" s="67">
        <f t="shared" ca="1" si="58"/>
        <v>0</v>
      </c>
      <c r="U129" s="67" t="e">
        <f t="shared" ca="1" si="59"/>
        <v>#N/A</v>
      </c>
      <c r="V129" s="5">
        <f t="shared" ca="1" si="38"/>
        <v>0</v>
      </c>
      <c r="W129" s="5" t="e">
        <f t="shared" ca="1" si="52"/>
        <v>#N/A</v>
      </c>
      <c r="X129" s="67">
        <f t="shared" ca="1" si="53"/>
        <v>0</v>
      </c>
      <c r="Y129" s="67" t="e">
        <f t="shared" ca="1" si="60"/>
        <v>#N/A</v>
      </c>
      <c r="Z129" s="67" t="e">
        <f t="shared" ca="1" si="61"/>
        <v>#N/A</v>
      </c>
      <c r="AA129" s="5" t="str">
        <f>IF(Setup!$I$15="Yes",'Demand background (hide)'!AJ117+'SPC background (hide)'!C129,"")</f>
        <v/>
      </c>
      <c r="AC129" s="5" t="str">
        <f t="shared" ca="1" si="54"/>
        <v/>
      </c>
      <c r="AD129" s="5" t="str">
        <f t="shared" ca="1" si="55"/>
        <v/>
      </c>
    </row>
    <row r="130" spans="1:30" x14ac:dyDescent="0.2">
      <c r="A130" s="67">
        <f>Demand!C127</f>
        <v>0</v>
      </c>
      <c r="B130" s="67">
        <v>115</v>
      </c>
      <c r="C130" s="5">
        <f ca="1">'Demand background (hide)'!Y118</f>
        <v>0</v>
      </c>
      <c r="D130" s="67">
        <f t="shared" si="39"/>
        <v>1</v>
      </c>
      <c r="E130" s="67" t="e">
        <f t="shared" ca="1" si="40"/>
        <v>#N/A</v>
      </c>
      <c r="F130" s="67" t="e">
        <f t="shared" ca="1" si="41"/>
        <v>#N/A</v>
      </c>
      <c r="G130" s="67" t="e">
        <f t="shared" ca="1" si="42"/>
        <v>#N/A</v>
      </c>
      <c r="H130" s="67" t="e">
        <f>IF('Demand background (hide)'!AN118&lt;&gt;"",'SPC background (hide)'!C130,NA())</f>
        <v>#N/A</v>
      </c>
      <c r="I130" s="67">
        <f t="shared" ca="1" si="43"/>
        <v>5</v>
      </c>
      <c r="J130" s="5">
        <f t="shared" ca="1" si="44"/>
        <v>0</v>
      </c>
      <c r="K130" s="5">
        <f t="shared" ca="1" si="45"/>
        <v>0</v>
      </c>
      <c r="L130" s="5">
        <f t="shared" ca="1" si="46"/>
        <v>0</v>
      </c>
      <c r="M130" s="5">
        <f t="shared" ca="1" si="47"/>
        <v>0</v>
      </c>
      <c r="N130" s="5">
        <f t="shared" ca="1" si="48"/>
        <v>0</v>
      </c>
      <c r="O130" s="5">
        <f t="shared" ca="1" si="49"/>
        <v>0</v>
      </c>
      <c r="P130" s="5">
        <f t="shared" ca="1" si="50"/>
        <v>0</v>
      </c>
      <c r="Q130" s="5" t="e">
        <f t="shared" ca="1" si="51"/>
        <v>#N/A</v>
      </c>
      <c r="R130" s="5">
        <f t="shared" ca="1" si="56"/>
        <v>0</v>
      </c>
      <c r="S130" s="67" t="e">
        <f t="shared" ca="1" si="57"/>
        <v>#N/A</v>
      </c>
      <c r="T130" s="67">
        <f t="shared" ca="1" si="58"/>
        <v>0</v>
      </c>
      <c r="U130" s="67" t="e">
        <f t="shared" ca="1" si="59"/>
        <v>#N/A</v>
      </c>
      <c r="V130" s="5">
        <f t="shared" ca="1" si="38"/>
        <v>0</v>
      </c>
      <c r="W130" s="5" t="e">
        <f t="shared" ca="1" si="52"/>
        <v>#N/A</v>
      </c>
      <c r="X130" s="67">
        <f t="shared" ca="1" si="53"/>
        <v>0</v>
      </c>
      <c r="Y130" s="67" t="e">
        <f t="shared" ca="1" si="60"/>
        <v>#N/A</v>
      </c>
      <c r="Z130" s="67" t="e">
        <f t="shared" ca="1" si="61"/>
        <v>#N/A</v>
      </c>
      <c r="AA130" s="5" t="str">
        <f>IF(Setup!$I$15="Yes",'Demand background (hide)'!AJ118+'SPC background (hide)'!C130,"")</f>
        <v/>
      </c>
      <c r="AC130" s="5" t="str">
        <f t="shared" ca="1" si="54"/>
        <v/>
      </c>
      <c r="AD130" s="5" t="str">
        <f t="shared" ca="1" si="55"/>
        <v/>
      </c>
    </row>
    <row r="131" spans="1:30" x14ac:dyDescent="0.2">
      <c r="A131" s="67">
        <f>Demand!C128</f>
        <v>0</v>
      </c>
      <c r="B131" s="67">
        <v>116</v>
      </c>
      <c r="C131" s="5">
        <f ca="1">'Demand background (hide)'!Y119</f>
        <v>0</v>
      </c>
      <c r="D131" s="67">
        <f t="shared" si="39"/>
        <v>1</v>
      </c>
      <c r="E131" s="67" t="e">
        <f t="shared" ca="1" si="40"/>
        <v>#N/A</v>
      </c>
      <c r="F131" s="67" t="e">
        <f t="shared" ca="1" si="41"/>
        <v>#N/A</v>
      </c>
      <c r="G131" s="67" t="e">
        <f t="shared" ca="1" si="42"/>
        <v>#N/A</v>
      </c>
      <c r="H131" s="67" t="e">
        <f>IF('Demand background (hide)'!AN119&lt;&gt;"",'SPC background (hide)'!C131,NA())</f>
        <v>#N/A</v>
      </c>
      <c r="I131" s="67">
        <f t="shared" ca="1" si="43"/>
        <v>5</v>
      </c>
      <c r="J131" s="5">
        <f t="shared" ca="1" si="44"/>
        <v>0</v>
      </c>
      <c r="K131" s="5">
        <f t="shared" ca="1" si="45"/>
        <v>0</v>
      </c>
      <c r="L131" s="5">
        <f t="shared" ca="1" si="46"/>
        <v>0</v>
      </c>
      <c r="M131" s="5">
        <f t="shared" ca="1" si="47"/>
        <v>0</v>
      </c>
      <c r="N131" s="5">
        <f t="shared" ca="1" si="48"/>
        <v>0</v>
      </c>
      <c r="O131" s="5">
        <f t="shared" ca="1" si="49"/>
        <v>0</v>
      </c>
      <c r="P131" s="5">
        <f t="shared" ca="1" si="50"/>
        <v>0</v>
      </c>
      <c r="Q131" s="5" t="e">
        <f t="shared" ca="1" si="51"/>
        <v>#N/A</v>
      </c>
      <c r="R131" s="5">
        <f t="shared" ca="1" si="56"/>
        <v>0</v>
      </c>
      <c r="S131" s="67" t="e">
        <f t="shared" ca="1" si="57"/>
        <v>#N/A</v>
      </c>
      <c r="T131" s="67">
        <f t="shared" ca="1" si="58"/>
        <v>0</v>
      </c>
      <c r="U131" s="67" t="e">
        <f t="shared" ca="1" si="59"/>
        <v>#N/A</v>
      </c>
      <c r="V131" s="5">
        <f t="shared" ca="1" si="38"/>
        <v>0</v>
      </c>
      <c r="W131" s="5" t="e">
        <f t="shared" ca="1" si="52"/>
        <v>#N/A</v>
      </c>
      <c r="X131" s="67">
        <f t="shared" ca="1" si="53"/>
        <v>0</v>
      </c>
      <c r="Y131" s="67" t="e">
        <f t="shared" ca="1" si="60"/>
        <v>#N/A</v>
      </c>
      <c r="Z131" s="67" t="e">
        <f t="shared" ca="1" si="61"/>
        <v>#N/A</v>
      </c>
      <c r="AA131" s="5" t="str">
        <f>IF(Setup!$I$15="Yes",'Demand background (hide)'!AJ119+'SPC background (hide)'!C131,"")</f>
        <v/>
      </c>
      <c r="AC131" s="5" t="str">
        <f t="shared" ca="1" si="54"/>
        <v/>
      </c>
      <c r="AD131" s="5" t="str">
        <f t="shared" ca="1" si="55"/>
        <v/>
      </c>
    </row>
    <row r="132" spans="1:30" x14ac:dyDescent="0.2">
      <c r="A132" s="67">
        <f>Demand!C129</f>
        <v>0</v>
      </c>
      <c r="B132" s="67">
        <v>117</v>
      </c>
      <c r="C132" s="5">
        <f ca="1">'Demand background (hide)'!Y120</f>
        <v>0</v>
      </c>
      <c r="D132" s="67">
        <f t="shared" si="39"/>
        <v>1</v>
      </c>
      <c r="E132" s="67" t="e">
        <f t="shared" ca="1" si="40"/>
        <v>#N/A</v>
      </c>
      <c r="F132" s="67" t="e">
        <f t="shared" ca="1" si="41"/>
        <v>#N/A</v>
      </c>
      <c r="G132" s="67" t="e">
        <f t="shared" ca="1" si="42"/>
        <v>#N/A</v>
      </c>
      <c r="H132" s="67" t="e">
        <f>IF('Demand background (hide)'!AN120&lt;&gt;"",'SPC background (hide)'!C132,NA())</f>
        <v>#N/A</v>
      </c>
      <c r="I132" s="67">
        <f t="shared" ca="1" si="43"/>
        <v>5</v>
      </c>
      <c r="J132" s="5">
        <f t="shared" ca="1" si="44"/>
        <v>0</v>
      </c>
      <c r="K132" s="5">
        <f t="shared" ca="1" si="45"/>
        <v>0</v>
      </c>
      <c r="L132" s="5">
        <f t="shared" ca="1" si="46"/>
        <v>0</v>
      </c>
      <c r="M132" s="5">
        <f t="shared" ca="1" si="47"/>
        <v>0</v>
      </c>
      <c r="N132" s="5">
        <f t="shared" ca="1" si="48"/>
        <v>0</v>
      </c>
      <c r="O132" s="5">
        <f t="shared" ca="1" si="49"/>
        <v>0</v>
      </c>
      <c r="P132" s="5">
        <f t="shared" ca="1" si="50"/>
        <v>0</v>
      </c>
      <c r="Q132" s="5" t="e">
        <f t="shared" ca="1" si="51"/>
        <v>#N/A</v>
      </c>
      <c r="R132" s="5">
        <f t="shared" ca="1" si="56"/>
        <v>0</v>
      </c>
      <c r="S132" s="67" t="e">
        <f t="shared" ca="1" si="57"/>
        <v>#N/A</v>
      </c>
      <c r="T132" s="67">
        <f t="shared" ca="1" si="58"/>
        <v>0</v>
      </c>
      <c r="U132" s="67" t="e">
        <f t="shared" ca="1" si="59"/>
        <v>#N/A</v>
      </c>
      <c r="V132" s="5">
        <f t="shared" ca="1" si="38"/>
        <v>0</v>
      </c>
      <c r="W132" s="5" t="e">
        <f t="shared" ca="1" si="52"/>
        <v>#N/A</v>
      </c>
      <c r="X132" s="67">
        <f t="shared" ca="1" si="53"/>
        <v>0</v>
      </c>
      <c r="Y132" s="67" t="e">
        <f t="shared" ca="1" si="60"/>
        <v>#N/A</v>
      </c>
      <c r="Z132" s="67" t="e">
        <f t="shared" ca="1" si="61"/>
        <v>#N/A</v>
      </c>
      <c r="AA132" s="5" t="str">
        <f>IF(Setup!$I$15="Yes",'Demand background (hide)'!AJ120+'SPC background (hide)'!C132,"")</f>
        <v/>
      </c>
      <c r="AC132" s="5" t="str">
        <f t="shared" ca="1" si="54"/>
        <v/>
      </c>
      <c r="AD132" s="5" t="str">
        <f t="shared" ca="1" si="55"/>
        <v/>
      </c>
    </row>
    <row r="133" spans="1:30" x14ac:dyDescent="0.2">
      <c r="A133" s="67">
        <f>Demand!C130</f>
        <v>0</v>
      </c>
      <c r="B133" s="67">
        <v>118</v>
      </c>
      <c r="C133" s="5">
        <f ca="1">'Demand background (hide)'!Y121</f>
        <v>0</v>
      </c>
      <c r="D133" s="67">
        <f t="shared" si="39"/>
        <v>1</v>
      </c>
      <c r="E133" s="67" t="e">
        <f t="shared" ca="1" si="40"/>
        <v>#N/A</v>
      </c>
      <c r="F133" s="67" t="e">
        <f t="shared" ca="1" si="41"/>
        <v>#N/A</v>
      </c>
      <c r="G133" s="67" t="e">
        <f t="shared" ca="1" si="42"/>
        <v>#N/A</v>
      </c>
      <c r="H133" s="67" t="e">
        <f>IF('Demand background (hide)'!AN121&lt;&gt;"",'SPC background (hide)'!C133,NA())</f>
        <v>#N/A</v>
      </c>
      <c r="I133" s="67">
        <f t="shared" ca="1" si="43"/>
        <v>5</v>
      </c>
      <c r="J133" s="5">
        <f t="shared" ca="1" si="44"/>
        <v>0</v>
      </c>
      <c r="K133" s="5">
        <f t="shared" ca="1" si="45"/>
        <v>0</v>
      </c>
      <c r="L133" s="5">
        <f t="shared" ca="1" si="46"/>
        <v>0</v>
      </c>
      <c r="M133" s="5">
        <f t="shared" ca="1" si="47"/>
        <v>0</v>
      </c>
      <c r="N133" s="5">
        <f t="shared" ca="1" si="48"/>
        <v>0</v>
      </c>
      <c r="O133" s="5">
        <f t="shared" ca="1" si="49"/>
        <v>0</v>
      </c>
      <c r="P133" s="5">
        <f t="shared" ca="1" si="50"/>
        <v>0</v>
      </c>
      <c r="Q133" s="5" t="e">
        <f t="shared" ca="1" si="51"/>
        <v>#N/A</v>
      </c>
      <c r="R133" s="5">
        <f t="shared" ca="1" si="56"/>
        <v>0</v>
      </c>
      <c r="S133" s="67" t="e">
        <f t="shared" ca="1" si="57"/>
        <v>#N/A</v>
      </c>
      <c r="T133" s="67">
        <f t="shared" ca="1" si="58"/>
        <v>0</v>
      </c>
      <c r="U133" s="67" t="e">
        <f t="shared" ca="1" si="59"/>
        <v>#N/A</v>
      </c>
      <c r="V133" s="5">
        <f t="shared" ca="1" si="38"/>
        <v>0</v>
      </c>
      <c r="W133" s="5" t="e">
        <f t="shared" ca="1" si="52"/>
        <v>#N/A</v>
      </c>
      <c r="X133" s="67">
        <f t="shared" ca="1" si="53"/>
        <v>0</v>
      </c>
      <c r="Y133" s="67" t="e">
        <f t="shared" ca="1" si="60"/>
        <v>#N/A</v>
      </c>
      <c r="Z133" s="67" t="e">
        <f t="shared" ca="1" si="61"/>
        <v>#N/A</v>
      </c>
      <c r="AA133" s="5" t="str">
        <f>IF(Setup!$I$15="Yes",'Demand background (hide)'!AJ121+'SPC background (hide)'!C133,"")</f>
        <v/>
      </c>
      <c r="AC133" s="5" t="str">
        <f t="shared" ca="1" si="54"/>
        <v/>
      </c>
      <c r="AD133" s="5" t="str">
        <f t="shared" ca="1" si="55"/>
        <v/>
      </c>
    </row>
    <row r="134" spans="1:30" x14ac:dyDescent="0.2">
      <c r="A134" s="67">
        <f>Demand!C131</f>
        <v>0</v>
      </c>
      <c r="B134" s="67">
        <v>119</v>
      </c>
      <c r="C134" s="5">
        <f ca="1">'Demand background (hide)'!Y122</f>
        <v>0</v>
      </c>
      <c r="D134" s="67">
        <f t="shared" si="39"/>
        <v>1</v>
      </c>
      <c r="E134" s="67" t="e">
        <f t="shared" ca="1" si="40"/>
        <v>#N/A</v>
      </c>
      <c r="F134" s="67" t="e">
        <f t="shared" ca="1" si="41"/>
        <v>#N/A</v>
      </c>
      <c r="G134" s="67" t="e">
        <f t="shared" ca="1" si="42"/>
        <v>#N/A</v>
      </c>
      <c r="H134" s="67" t="e">
        <f>IF('Demand background (hide)'!AN122&lt;&gt;"",'SPC background (hide)'!C134,NA())</f>
        <v>#N/A</v>
      </c>
      <c r="I134" s="67">
        <f t="shared" ca="1" si="43"/>
        <v>5</v>
      </c>
      <c r="J134" s="5">
        <f t="shared" ca="1" si="44"/>
        <v>0</v>
      </c>
      <c r="K134" s="5">
        <f t="shared" ca="1" si="45"/>
        <v>0</v>
      </c>
      <c r="L134" s="5">
        <f t="shared" ca="1" si="46"/>
        <v>0</v>
      </c>
      <c r="M134" s="5">
        <f t="shared" ca="1" si="47"/>
        <v>0</v>
      </c>
      <c r="N134" s="5">
        <f t="shared" ca="1" si="48"/>
        <v>0</v>
      </c>
      <c r="O134" s="5">
        <f t="shared" ca="1" si="49"/>
        <v>0</v>
      </c>
      <c r="P134" s="5">
        <f t="shared" ca="1" si="50"/>
        <v>0</v>
      </c>
      <c r="Q134" s="5" t="e">
        <f t="shared" ca="1" si="51"/>
        <v>#N/A</v>
      </c>
      <c r="R134" s="5">
        <f t="shared" ca="1" si="56"/>
        <v>0</v>
      </c>
      <c r="S134" s="67" t="e">
        <f t="shared" ca="1" si="57"/>
        <v>#N/A</v>
      </c>
      <c r="T134" s="67">
        <f t="shared" ca="1" si="58"/>
        <v>0</v>
      </c>
      <c r="U134" s="67" t="e">
        <f t="shared" ca="1" si="59"/>
        <v>#N/A</v>
      </c>
      <c r="V134" s="5">
        <f t="shared" ca="1" si="38"/>
        <v>0</v>
      </c>
      <c r="W134" s="5" t="e">
        <f t="shared" ca="1" si="52"/>
        <v>#N/A</v>
      </c>
      <c r="X134" s="67">
        <f t="shared" ca="1" si="53"/>
        <v>0</v>
      </c>
      <c r="Y134" s="67" t="e">
        <f t="shared" ca="1" si="60"/>
        <v>#N/A</v>
      </c>
      <c r="Z134" s="67" t="e">
        <f t="shared" ca="1" si="61"/>
        <v>#N/A</v>
      </c>
      <c r="AA134" s="5" t="str">
        <f>IF(Setup!$I$15="Yes",'Demand background (hide)'!AJ122+'SPC background (hide)'!C134,"")</f>
        <v/>
      </c>
      <c r="AC134" s="5" t="str">
        <f t="shared" ca="1" si="54"/>
        <v/>
      </c>
      <c r="AD134" s="5" t="str">
        <f t="shared" ca="1" si="55"/>
        <v/>
      </c>
    </row>
    <row r="135" spans="1:30" x14ac:dyDescent="0.2">
      <c r="A135" s="67">
        <f>Demand!C132</f>
        <v>0</v>
      </c>
      <c r="B135" s="67">
        <v>120</v>
      </c>
      <c r="C135" s="5">
        <f ca="1">'Demand background (hide)'!Y123</f>
        <v>0</v>
      </c>
      <c r="D135" s="67">
        <f t="shared" si="39"/>
        <v>1</v>
      </c>
      <c r="E135" s="67" t="e">
        <f t="shared" ca="1" si="40"/>
        <v>#N/A</v>
      </c>
      <c r="F135" s="67" t="e">
        <f t="shared" ca="1" si="41"/>
        <v>#N/A</v>
      </c>
      <c r="G135" s="67" t="e">
        <f t="shared" ca="1" si="42"/>
        <v>#N/A</v>
      </c>
      <c r="H135" s="67" t="e">
        <f>IF('Demand background (hide)'!AN123&lt;&gt;"",'SPC background (hide)'!C135,NA())</f>
        <v>#N/A</v>
      </c>
      <c r="I135" s="67">
        <f t="shared" ca="1" si="43"/>
        <v>5</v>
      </c>
      <c r="J135" s="5">
        <f t="shared" ca="1" si="44"/>
        <v>0</v>
      </c>
      <c r="K135" s="5">
        <f t="shared" ca="1" si="45"/>
        <v>0</v>
      </c>
      <c r="L135" s="5">
        <f t="shared" ca="1" si="46"/>
        <v>0</v>
      </c>
      <c r="M135" s="5">
        <f t="shared" ca="1" si="47"/>
        <v>0</v>
      </c>
      <c r="N135" s="5">
        <f t="shared" ca="1" si="48"/>
        <v>0</v>
      </c>
      <c r="O135" s="5">
        <f t="shared" ca="1" si="49"/>
        <v>0</v>
      </c>
      <c r="P135" s="5">
        <f t="shared" ca="1" si="50"/>
        <v>0</v>
      </c>
      <c r="Q135" s="5" t="e">
        <f t="shared" ca="1" si="51"/>
        <v>#N/A</v>
      </c>
      <c r="R135" s="5">
        <f t="shared" ca="1" si="56"/>
        <v>0</v>
      </c>
      <c r="S135" s="67" t="e">
        <f t="shared" ca="1" si="57"/>
        <v>#N/A</v>
      </c>
      <c r="T135" s="67">
        <f t="shared" ca="1" si="58"/>
        <v>0</v>
      </c>
      <c r="U135" s="67" t="e">
        <f t="shared" ca="1" si="59"/>
        <v>#N/A</v>
      </c>
      <c r="V135" s="5">
        <f t="shared" ca="1" si="38"/>
        <v>0</v>
      </c>
      <c r="W135" s="5" t="e">
        <f t="shared" ca="1" si="52"/>
        <v>#N/A</v>
      </c>
      <c r="X135" s="67">
        <f t="shared" ca="1" si="53"/>
        <v>0</v>
      </c>
      <c r="Y135" s="67" t="e">
        <f t="shared" ca="1" si="60"/>
        <v>#N/A</v>
      </c>
      <c r="Z135" s="67" t="e">
        <f t="shared" ca="1" si="61"/>
        <v>#N/A</v>
      </c>
      <c r="AA135" s="5" t="str">
        <f>IF(Setup!$I$15="Yes",'Demand background (hide)'!AJ123+'SPC background (hide)'!C135,"")</f>
        <v/>
      </c>
      <c r="AC135" s="5" t="str">
        <f t="shared" ca="1" si="54"/>
        <v/>
      </c>
      <c r="AD135" s="5" t="str">
        <f t="shared" ca="1" si="55"/>
        <v/>
      </c>
    </row>
    <row r="136" spans="1:30" x14ac:dyDescent="0.2">
      <c r="A136" s="67">
        <f>Demand!C133</f>
        <v>0</v>
      </c>
      <c r="B136" s="67">
        <v>121</v>
      </c>
      <c r="C136" s="5">
        <f ca="1">'Demand background (hide)'!Y124</f>
        <v>0</v>
      </c>
      <c r="D136" s="67">
        <f t="shared" si="39"/>
        <v>1</v>
      </c>
      <c r="E136" s="67" t="e">
        <f t="shared" ca="1" si="40"/>
        <v>#N/A</v>
      </c>
      <c r="F136" s="67" t="e">
        <f t="shared" ca="1" si="41"/>
        <v>#N/A</v>
      </c>
      <c r="G136" s="67" t="e">
        <f t="shared" ca="1" si="42"/>
        <v>#N/A</v>
      </c>
      <c r="H136" s="67" t="e">
        <f>IF('Demand background (hide)'!AN124&lt;&gt;"",'SPC background (hide)'!C136,NA())</f>
        <v>#N/A</v>
      </c>
      <c r="I136" s="67">
        <f t="shared" ca="1" si="43"/>
        <v>5</v>
      </c>
      <c r="J136" s="5">
        <f t="shared" ca="1" si="44"/>
        <v>0</v>
      </c>
      <c r="K136" s="5">
        <f t="shared" ca="1" si="45"/>
        <v>0</v>
      </c>
      <c r="L136" s="5">
        <f t="shared" ca="1" si="46"/>
        <v>0</v>
      </c>
      <c r="M136" s="5">
        <f t="shared" ca="1" si="47"/>
        <v>0</v>
      </c>
      <c r="N136" s="5">
        <f t="shared" ca="1" si="48"/>
        <v>0</v>
      </c>
      <c r="O136" s="5">
        <f t="shared" ca="1" si="49"/>
        <v>0</v>
      </c>
      <c r="P136" s="5">
        <f t="shared" ca="1" si="50"/>
        <v>0</v>
      </c>
      <c r="Q136" s="5" t="e">
        <f t="shared" ca="1" si="51"/>
        <v>#N/A</v>
      </c>
      <c r="R136" s="5">
        <f t="shared" ca="1" si="56"/>
        <v>0</v>
      </c>
      <c r="S136" s="67" t="e">
        <f t="shared" ca="1" si="57"/>
        <v>#N/A</v>
      </c>
      <c r="T136" s="67">
        <f t="shared" ca="1" si="58"/>
        <v>0</v>
      </c>
      <c r="U136" s="67" t="e">
        <f t="shared" ca="1" si="59"/>
        <v>#N/A</v>
      </c>
      <c r="V136" s="5">
        <f t="shared" ca="1" si="38"/>
        <v>0</v>
      </c>
      <c r="W136" s="5" t="e">
        <f t="shared" ca="1" si="52"/>
        <v>#N/A</v>
      </c>
      <c r="X136" s="67">
        <f t="shared" ca="1" si="53"/>
        <v>0</v>
      </c>
      <c r="Y136" s="67" t="e">
        <f t="shared" ca="1" si="60"/>
        <v>#N/A</v>
      </c>
      <c r="Z136" s="67" t="e">
        <f t="shared" ca="1" si="61"/>
        <v>#N/A</v>
      </c>
      <c r="AA136" s="5" t="str">
        <f>IF(Setup!$I$15="Yes",'Demand background (hide)'!AJ124+'SPC background (hide)'!C136,"")</f>
        <v/>
      </c>
      <c r="AC136" s="5" t="str">
        <f t="shared" ca="1" si="54"/>
        <v/>
      </c>
      <c r="AD136" s="5" t="str">
        <f t="shared" ca="1" si="55"/>
        <v/>
      </c>
    </row>
    <row r="137" spans="1:30" x14ac:dyDescent="0.2">
      <c r="A137" s="67">
        <f>Demand!C134</f>
        <v>0</v>
      </c>
      <c r="B137" s="67">
        <v>122</v>
      </c>
      <c r="C137" s="5">
        <f ca="1">'Demand background (hide)'!Y125</f>
        <v>0</v>
      </c>
      <c r="D137" s="67">
        <f t="shared" si="39"/>
        <v>1</v>
      </c>
      <c r="E137" s="67" t="e">
        <f t="shared" ca="1" si="40"/>
        <v>#N/A</v>
      </c>
      <c r="F137" s="67" t="e">
        <f t="shared" ca="1" si="41"/>
        <v>#N/A</v>
      </c>
      <c r="G137" s="67" t="e">
        <f t="shared" ca="1" si="42"/>
        <v>#N/A</v>
      </c>
      <c r="H137" s="67" t="e">
        <f>IF('Demand background (hide)'!AN125&lt;&gt;"",'SPC background (hide)'!C137,NA())</f>
        <v>#N/A</v>
      </c>
      <c r="I137" s="67">
        <f t="shared" ca="1" si="43"/>
        <v>5</v>
      </c>
      <c r="J137" s="5">
        <f t="shared" ca="1" si="44"/>
        <v>0</v>
      </c>
      <c r="K137" s="5">
        <f t="shared" ca="1" si="45"/>
        <v>0</v>
      </c>
      <c r="L137" s="5">
        <f t="shared" ca="1" si="46"/>
        <v>0</v>
      </c>
      <c r="M137" s="5">
        <f t="shared" ca="1" si="47"/>
        <v>0</v>
      </c>
      <c r="N137" s="5">
        <f t="shared" ca="1" si="48"/>
        <v>0</v>
      </c>
      <c r="O137" s="5">
        <f t="shared" ca="1" si="49"/>
        <v>0</v>
      </c>
      <c r="P137" s="5">
        <f t="shared" ca="1" si="50"/>
        <v>0</v>
      </c>
      <c r="Q137" s="5" t="e">
        <f t="shared" ca="1" si="51"/>
        <v>#N/A</v>
      </c>
      <c r="R137" s="5">
        <f t="shared" ca="1" si="56"/>
        <v>0</v>
      </c>
      <c r="S137" s="67" t="e">
        <f t="shared" ca="1" si="57"/>
        <v>#N/A</v>
      </c>
      <c r="T137" s="67">
        <f t="shared" ca="1" si="58"/>
        <v>0</v>
      </c>
      <c r="U137" s="67" t="e">
        <f t="shared" ca="1" si="59"/>
        <v>#N/A</v>
      </c>
      <c r="V137" s="5">
        <f t="shared" ca="1" si="38"/>
        <v>0</v>
      </c>
      <c r="W137" s="5" t="e">
        <f t="shared" ca="1" si="52"/>
        <v>#N/A</v>
      </c>
      <c r="X137" s="67">
        <f t="shared" ca="1" si="53"/>
        <v>0</v>
      </c>
      <c r="Y137" s="67" t="e">
        <f t="shared" ca="1" si="60"/>
        <v>#N/A</v>
      </c>
      <c r="Z137" s="67" t="e">
        <f t="shared" ca="1" si="61"/>
        <v>#N/A</v>
      </c>
      <c r="AA137" s="5" t="str">
        <f>IF(Setup!$I$15="Yes",'Demand background (hide)'!AJ125+'SPC background (hide)'!C137,"")</f>
        <v/>
      </c>
      <c r="AC137" s="5" t="str">
        <f t="shared" ca="1" si="54"/>
        <v/>
      </c>
      <c r="AD137" s="5" t="str">
        <f t="shared" ca="1" si="55"/>
        <v/>
      </c>
    </row>
    <row r="138" spans="1:30" x14ac:dyDescent="0.2">
      <c r="A138" s="67">
        <f>Demand!C135</f>
        <v>0</v>
      </c>
      <c r="B138" s="67">
        <v>123</v>
      </c>
      <c r="C138" s="5">
        <f ca="1">'Demand background (hide)'!Y126</f>
        <v>0</v>
      </c>
      <c r="D138" s="67">
        <f t="shared" si="39"/>
        <v>1</v>
      </c>
      <c r="E138" s="67" t="e">
        <f t="shared" ca="1" si="40"/>
        <v>#N/A</v>
      </c>
      <c r="F138" s="67" t="e">
        <f t="shared" ca="1" si="41"/>
        <v>#N/A</v>
      </c>
      <c r="G138" s="67" t="e">
        <f t="shared" ca="1" si="42"/>
        <v>#N/A</v>
      </c>
      <c r="H138" s="67" t="e">
        <f>IF('Demand background (hide)'!AN126&lt;&gt;"",'SPC background (hide)'!C138,NA())</f>
        <v>#N/A</v>
      </c>
      <c r="I138" s="67">
        <f t="shared" ca="1" si="43"/>
        <v>5</v>
      </c>
      <c r="J138" s="5">
        <f t="shared" ca="1" si="44"/>
        <v>0</v>
      </c>
      <c r="K138" s="5">
        <f t="shared" ca="1" si="45"/>
        <v>0</v>
      </c>
      <c r="L138" s="5">
        <f t="shared" ca="1" si="46"/>
        <v>0</v>
      </c>
      <c r="M138" s="5">
        <f t="shared" ca="1" si="47"/>
        <v>0</v>
      </c>
      <c r="N138" s="5">
        <f t="shared" ca="1" si="48"/>
        <v>0</v>
      </c>
      <c r="O138" s="5">
        <f t="shared" ca="1" si="49"/>
        <v>0</v>
      </c>
      <c r="P138" s="5">
        <f t="shared" ca="1" si="50"/>
        <v>0</v>
      </c>
      <c r="Q138" s="5" t="e">
        <f t="shared" ca="1" si="51"/>
        <v>#N/A</v>
      </c>
      <c r="R138" s="5">
        <f t="shared" ca="1" si="56"/>
        <v>0</v>
      </c>
      <c r="S138" s="67" t="e">
        <f t="shared" ca="1" si="57"/>
        <v>#N/A</v>
      </c>
      <c r="T138" s="67">
        <f t="shared" ca="1" si="58"/>
        <v>0</v>
      </c>
      <c r="U138" s="67" t="e">
        <f t="shared" ca="1" si="59"/>
        <v>#N/A</v>
      </c>
      <c r="V138" s="5">
        <f t="shared" ca="1" si="38"/>
        <v>0</v>
      </c>
      <c r="W138" s="5" t="e">
        <f t="shared" ca="1" si="52"/>
        <v>#N/A</v>
      </c>
      <c r="X138" s="67">
        <f t="shared" ca="1" si="53"/>
        <v>0</v>
      </c>
      <c r="Y138" s="67" t="e">
        <f t="shared" ca="1" si="60"/>
        <v>#N/A</v>
      </c>
      <c r="Z138" s="67" t="e">
        <f t="shared" ca="1" si="61"/>
        <v>#N/A</v>
      </c>
      <c r="AA138" s="5" t="str">
        <f>IF(Setup!$I$15="Yes",'Demand background (hide)'!AJ126+'SPC background (hide)'!C138,"")</f>
        <v/>
      </c>
      <c r="AC138" s="5" t="str">
        <f t="shared" ca="1" si="54"/>
        <v/>
      </c>
      <c r="AD138" s="5" t="str">
        <f t="shared" ca="1" si="55"/>
        <v/>
      </c>
    </row>
    <row r="139" spans="1:30" x14ac:dyDescent="0.2">
      <c r="A139" s="67">
        <f>Demand!C136</f>
        <v>0</v>
      </c>
      <c r="B139" s="67">
        <v>124</v>
      </c>
      <c r="C139" s="5">
        <f ca="1">'Demand background (hide)'!Y127</f>
        <v>0</v>
      </c>
      <c r="D139" s="67">
        <f t="shared" si="39"/>
        <v>1</v>
      </c>
      <c r="E139" s="67" t="e">
        <f t="shared" ca="1" si="40"/>
        <v>#N/A</v>
      </c>
      <c r="F139" s="67" t="e">
        <f t="shared" ca="1" si="41"/>
        <v>#N/A</v>
      </c>
      <c r="G139" s="67" t="e">
        <f t="shared" ca="1" si="42"/>
        <v>#N/A</v>
      </c>
      <c r="H139" s="67" t="e">
        <f>IF('Demand background (hide)'!AN127&lt;&gt;"",'SPC background (hide)'!C139,NA())</f>
        <v>#N/A</v>
      </c>
      <c r="I139" s="67">
        <f t="shared" ca="1" si="43"/>
        <v>5</v>
      </c>
      <c r="J139" s="5">
        <f t="shared" ca="1" si="44"/>
        <v>0</v>
      </c>
      <c r="K139" s="5">
        <f t="shared" ca="1" si="45"/>
        <v>0</v>
      </c>
      <c r="L139" s="5">
        <f t="shared" ca="1" si="46"/>
        <v>0</v>
      </c>
      <c r="M139" s="5">
        <f t="shared" ca="1" si="47"/>
        <v>0</v>
      </c>
      <c r="N139" s="5">
        <f t="shared" ca="1" si="48"/>
        <v>0</v>
      </c>
      <c r="O139" s="5">
        <f t="shared" ca="1" si="49"/>
        <v>0</v>
      </c>
      <c r="P139" s="5">
        <f t="shared" ca="1" si="50"/>
        <v>0</v>
      </c>
      <c r="Q139" s="5" t="e">
        <f t="shared" ca="1" si="51"/>
        <v>#N/A</v>
      </c>
      <c r="R139" s="5">
        <f t="shared" ca="1" si="56"/>
        <v>0</v>
      </c>
      <c r="S139" s="67" t="e">
        <f t="shared" ca="1" si="57"/>
        <v>#N/A</v>
      </c>
      <c r="T139" s="67">
        <f t="shared" ca="1" si="58"/>
        <v>0</v>
      </c>
      <c r="U139" s="67" t="e">
        <f t="shared" ca="1" si="59"/>
        <v>#N/A</v>
      </c>
      <c r="V139" s="5">
        <f t="shared" ca="1" si="38"/>
        <v>0</v>
      </c>
      <c r="W139" s="5" t="e">
        <f t="shared" ca="1" si="52"/>
        <v>#N/A</v>
      </c>
      <c r="X139" s="67">
        <f t="shared" ca="1" si="53"/>
        <v>0</v>
      </c>
      <c r="Y139" s="67" t="e">
        <f t="shared" ca="1" si="60"/>
        <v>#N/A</v>
      </c>
      <c r="Z139" s="67" t="e">
        <f t="shared" ca="1" si="61"/>
        <v>#N/A</v>
      </c>
      <c r="AA139" s="5" t="str">
        <f>IF(Setup!$I$15="Yes",'Demand background (hide)'!AJ127+'SPC background (hide)'!C139,"")</f>
        <v/>
      </c>
      <c r="AC139" s="5" t="str">
        <f t="shared" ca="1" si="54"/>
        <v/>
      </c>
      <c r="AD139" s="5" t="str">
        <f t="shared" ca="1" si="55"/>
        <v/>
      </c>
    </row>
    <row r="140" spans="1:30" x14ac:dyDescent="0.2">
      <c r="A140" s="67">
        <f>Demand!C137</f>
        <v>0</v>
      </c>
      <c r="B140" s="67">
        <v>125</v>
      </c>
      <c r="C140" s="5">
        <f ca="1">'Demand background (hide)'!Y128</f>
        <v>0</v>
      </c>
      <c r="D140" s="67">
        <f t="shared" si="39"/>
        <v>1</v>
      </c>
      <c r="E140" s="67" t="e">
        <f t="shared" ca="1" si="40"/>
        <v>#N/A</v>
      </c>
      <c r="F140" s="67" t="e">
        <f t="shared" ca="1" si="41"/>
        <v>#N/A</v>
      </c>
      <c r="G140" s="67" t="e">
        <f t="shared" ca="1" si="42"/>
        <v>#N/A</v>
      </c>
      <c r="H140" s="67" t="e">
        <f>IF('Demand background (hide)'!AN128&lt;&gt;"",'SPC background (hide)'!C140,NA())</f>
        <v>#N/A</v>
      </c>
      <c r="I140" s="67">
        <f t="shared" ca="1" si="43"/>
        <v>5</v>
      </c>
      <c r="J140" s="5">
        <f t="shared" ca="1" si="44"/>
        <v>0</v>
      </c>
      <c r="K140" s="5">
        <f t="shared" ca="1" si="45"/>
        <v>0</v>
      </c>
      <c r="L140" s="5">
        <f t="shared" ca="1" si="46"/>
        <v>0</v>
      </c>
      <c r="M140" s="5">
        <f t="shared" ca="1" si="47"/>
        <v>0</v>
      </c>
      <c r="N140" s="5">
        <f t="shared" ca="1" si="48"/>
        <v>0</v>
      </c>
      <c r="O140" s="5">
        <f t="shared" ca="1" si="49"/>
        <v>0</v>
      </c>
      <c r="P140" s="5">
        <f t="shared" ca="1" si="50"/>
        <v>0</v>
      </c>
      <c r="Q140" s="5" t="e">
        <f t="shared" ca="1" si="51"/>
        <v>#N/A</v>
      </c>
      <c r="R140" s="5">
        <f t="shared" ca="1" si="56"/>
        <v>0</v>
      </c>
      <c r="S140" s="67" t="e">
        <f t="shared" ca="1" si="57"/>
        <v>#N/A</v>
      </c>
      <c r="T140" s="67">
        <f t="shared" ca="1" si="58"/>
        <v>0</v>
      </c>
      <c r="U140" s="67" t="e">
        <f t="shared" ca="1" si="59"/>
        <v>#N/A</v>
      </c>
      <c r="V140" s="5">
        <f t="shared" ca="1" si="38"/>
        <v>0</v>
      </c>
      <c r="W140" s="5" t="e">
        <f t="shared" ca="1" si="52"/>
        <v>#N/A</v>
      </c>
      <c r="X140" s="67">
        <f t="shared" ca="1" si="53"/>
        <v>0</v>
      </c>
      <c r="Y140" s="67" t="e">
        <f t="shared" ca="1" si="60"/>
        <v>#N/A</v>
      </c>
      <c r="Z140" s="67" t="e">
        <f t="shared" ca="1" si="61"/>
        <v>#N/A</v>
      </c>
      <c r="AA140" s="5" t="str">
        <f>IF(Setup!$I$15="Yes",'Demand background (hide)'!AJ128+'SPC background (hide)'!C140,"")</f>
        <v/>
      </c>
      <c r="AC140" s="5" t="str">
        <f t="shared" ca="1" si="54"/>
        <v/>
      </c>
      <c r="AD140" s="5" t="str">
        <f t="shared" ca="1" si="55"/>
        <v/>
      </c>
    </row>
    <row r="141" spans="1:30" x14ac:dyDescent="0.2">
      <c r="A141" s="67">
        <f>Demand!C138</f>
        <v>0</v>
      </c>
      <c r="B141" s="67">
        <v>126</v>
      </c>
      <c r="C141" s="5">
        <f ca="1">'Demand background (hide)'!Y129</f>
        <v>0</v>
      </c>
      <c r="D141" s="67">
        <f t="shared" si="39"/>
        <v>1</v>
      </c>
      <c r="E141" s="67" t="e">
        <f t="shared" ca="1" si="40"/>
        <v>#N/A</v>
      </c>
      <c r="F141" s="67" t="e">
        <f t="shared" ca="1" si="41"/>
        <v>#N/A</v>
      </c>
      <c r="G141" s="67" t="e">
        <f t="shared" ca="1" si="42"/>
        <v>#N/A</v>
      </c>
      <c r="H141" s="67" t="e">
        <f>IF('Demand background (hide)'!AN129&lt;&gt;"",'SPC background (hide)'!C141,NA())</f>
        <v>#N/A</v>
      </c>
      <c r="I141" s="67">
        <f t="shared" ca="1" si="43"/>
        <v>5</v>
      </c>
      <c r="J141" s="5">
        <f t="shared" ca="1" si="44"/>
        <v>0</v>
      </c>
      <c r="K141" s="5">
        <f t="shared" ca="1" si="45"/>
        <v>0</v>
      </c>
      <c r="L141" s="5">
        <f t="shared" ca="1" si="46"/>
        <v>0</v>
      </c>
      <c r="M141" s="5">
        <f t="shared" ca="1" si="47"/>
        <v>0</v>
      </c>
      <c r="N141" s="5">
        <f t="shared" ca="1" si="48"/>
        <v>0</v>
      </c>
      <c r="O141" s="5">
        <f t="shared" ca="1" si="49"/>
        <v>0</v>
      </c>
      <c r="P141" s="5">
        <f t="shared" ca="1" si="50"/>
        <v>0</v>
      </c>
      <c r="Q141" s="5" t="e">
        <f t="shared" ca="1" si="51"/>
        <v>#N/A</v>
      </c>
      <c r="R141" s="5">
        <f t="shared" ca="1" si="56"/>
        <v>0</v>
      </c>
      <c r="S141" s="67" t="e">
        <f t="shared" ca="1" si="57"/>
        <v>#N/A</v>
      </c>
      <c r="T141" s="67">
        <f t="shared" ca="1" si="58"/>
        <v>0</v>
      </c>
      <c r="U141" s="67" t="e">
        <f t="shared" ca="1" si="59"/>
        <v>#N/A</v>
      </c>
      <c r="V141" s="5">
        <f t="shared" ca="1" si="38"/>
        <v>0</v>
      </c>
      <c r="W141" s="5" t="e">
        <f t="shared" ca="1" si="52"/>
        <v>#N/A</v>
      </c>
      <c r="X141" s="67">
        <f t="shared" ca="1" si="53"/>
        <v>0</v>
      </c>
      <c r="Y141" s="67" t="e">
        <f t="shared" ca="1" si="60"/>
        <v>#N/A</v>
      </c>
      <c r="Z141" s="67" t="e">
        <f t="shared" ca="1" si="61"/>
        <v>#N/A</v>
      </c>
      <c r="AA141" s="5" t="str">
        <f>IF(Setup!$I$15="Yes",'Demand background (hide)'!AJ129+'SPC background (hide)'!C141,"")</f>
        <v/>
      </c>
      <c r="AC141" s="5" t="str">
        <f t="shared" ca="1" si="54"/>
        <v/>
      </c>
      <c r="AD141" s="5" t="str">
        <f t="shared" ca="1" si="55"/>
        <v/>
      </c>
    </row>
    <row r="142" spans="1:30" x14ac:dyDescent="0.2">
      <c r="A142" s="67">
        <f>Demand!C139</f>
        <v>0</v>
      </c>
      <c r="B142" s="67">
        <v>127</v>
      </c>
      <c r="C142" s="5">
        <f ca="1">'Demand background (hide)'!Y130</f>
        <v>0</v>
      </c>
      <c r="D142" s="67">
        <f t="shared" si="39"/>
        <v>1</v>
      </c>
      <c r="E142" s="67" t="e">
        <f t="shared" ca="1" si="40"/>
        <v>#N/A</v>
      </c>
      <c r="F142" s="67" t="e">
        <f t="shared" ca="1" si="41"/>
        <v>#N/A</v>
      </c>
      <c r="G142" s="67" t="e">
        <f t="shared" ca="1" si="42"/>
        <v>#N/A</v>
      </c>
      <c r="H142" s="67" t="e">
        <f>IF('Demand background (hide)'!AN130&lt;&gt;"",'SPC background (hide)'!C142,NA())</f>
        <v>#N/A</v>
      </c>
      <c r="I142" s="67">
        <f t="shared" ca="1" si="43"/>
        <v>5</v>
      </c>
      <c r="J142" s="5">
        <f t="shared" ca="1" si="44"/>
        <v>0</v>
      </c>
      <c r="K142" s="5">
        <f t="shared" ca="1" si="45"/>
        <v>0</v>
      </c>
      <c r="L142" s="5">
        <f t="shared" ca="1" si="46"/>
        <v>0</v>
      </c>
      <c r="M142" s="5">
        <f t="shared" ca="1" si="47"/>
        <v>0</v>
      </c>
      <c r="N142" s="5">
        <f t="shared" ca="1" si="48"/>
        <v>0</v>
      </c>
      <c r="O142" s="5">
        <f t="shared" ca="1" si="49"/>
        <v>0</v>
      </c>
      <c r="P142" s="5">
        <f t="shared" ca="1" si="50"/>
        <v>0</v>
      </c>
      <c r="Q142" s="5" t="e">
        <f t="shared" ca="1" si="51"/>
        <v>#N/A</v>
      </c>
      <c r="R142" s="5">
        <f t="shared" ca="1" si="56"/>
        <v>0</v>
      </c>
      <c r="S142" s="67" t="e">
        <f t="shared" ca="1" si="57"/>
        <v>#N/A</v>
      </c>
      <c r="T142" s="67">
        <f t="shared" ca="1" si="58"/>
        <v>0</v>
      </c>
      <c r="U142" s="67" t="e">
        <f t="shared" ca="1" si="59"/>
        <v>#N/A</v>
      </c>
      <c r="V142" s="5">
        <f t="shared" ca="1" si="38"/>
        <v>0</v>
      </c>
      <c r="W142" s="5" t="e">
        <f t="shared" ca="1" si="52"/>
        <v>#N/A</v>
      </c>
      <c r="X142" s="67">
        <f t="shared" ca="1" si="53"/>
        <v>0</v>
      </c>
      <c r="Y142" s="67" t="e">
        <f t="shared" ca="1" si="60"/>
        <v>#N/A</v>
      </c>
      <c r="Z142" s="67" t="e">
        <f t="shared" ca="1" si="61"/>
        <v>#N/A</v>
      </c>
      <c r="AA142" s="5" t="str">
        <f>IF(Setup!$I$15="Yes",'Demand background (hide)'!AJ130+'SPC background (hide)'!C142,"")</f>
        <v/>
      </c>
      <c r="AC142" s="5" t="str">
        <f t="shared" ca="1" si="54"/>
        <v/>
      </c>
      <c r="AD142" s="5" t="str">
        <f t="shared" ca="1" si="55"/>
        <v/>
      </c>
    </row>
    <row r="143" spans="1:30" x14ac:dyDescent="0.2">
      <c r="A143" s="67">
        <f>Demand!C140</f>
        <v>0</v>
      </c>
      <c r="B143" s="67">
        <v>128</v>
      </c>
      <c r="C143" s="5">
        <f ca="1">'Demand background (hide)'!Y131</f>
        <v>0</v>
      </c>
      <c r="D143" s="67">
        <f t="shared" si="39"/>
        <v>1</v>
      </c>
      <c r="E143" s="67" t="e">
        <f t="shared" ca="1" si="40"/>
        <v>#N/A</v>
      </c>
      <c r="F143" s="67" t="e">
        <f t="shared" ca="1" si="41"/>
        <v>#N/A</v>
      </c>
      <c r="G143" s="67" t="e">
        <f t="shared" ca="1" si="42"/>
        <v>#N/A</v>
      </c>
      <c r="H143" s="67" t="e">
        <f>IF('Demand background (hide)'!AN131&lt;&gt;"",'SPC background (hide)'!C143,NA())</f>
        <v>#N/A</v>
      </c>
      <c r="I143" s="67">
        <f t="shared" ca="1" si="43"/>
        <v>5</v>
      </c>
      <c r="J143" s="5">
        <f t="shared" ca="1" si="44"/>
        <v>0</v>
      </c>
      <c r="K143" s="5">
        <f t="shared" ca="1" si="45"/>
        <v>0</v>
      </c>
      <c r="L143" s="5">
        <f t="shared" ca="1" si="46"/>
        <v>0</v>
      </c>
      <c r="M143" s="5">
        <f t="shared" ca="1" si="47"/>
        <v>0</v>
      </c>
      <c r="N143" s="5">
        <f t="shared" ca="1" si="48"/>
        <v>0</v>
      </c>
      <c r="O143" s="5">
        <f t="shared" ca="1" si="49"/>
        <v>0</v>
      </c>
      <c r="P143" s="5">
        <f t="shared" ca="1" si="50"/>
        <v>0</v>
      </c>
      <c r="Q143" s="5" t="e">
        <f t="shared" ca="1" si="51"/>
        <v>#N/A</v>
      </c>
      <c r="R143" s="5">
        <f t="shared" ca="1" si="56"/>
        <v>0</v>
      </c>
      <c r="S143" s="67" t="e">
        <f t="shared" ca="1" si="57"/>
        <v>#N/A</v>
      </c>
      <c r="T143" s="67">
        <f t="shared" ca="1" si="58"/>
        <v>0</v>
      </c>
      <c r="U143" s="67" t="e">
        <f t="shared" ca="1" si="59"/>
        <v>#N/A</v>
      </c>
      <c r="V143" s="5">
        <f t="shared" ca="1" si="38"/>
        <v>0</v>
      </c>
      <c r="W143" s="5" t="e">
        <f t="shared" ca="1" si="52"/>
        <v>#N/A</v>
      </c>
      <c r="X143" s="67">
        <f t="shared" ca="1" si="53"/>
        <v>0</v>
      </c>
      <c r="Y143" s="67" t="e">
        <f t="shared" ca="1" si="60"/>
        <v>#N/A</v>
      </c>
      <c r="Z143" s="67" t="e">
        <f t="shared" ca="1" si="61"/>
        <v>#N/A</v>
      </c>
      <c r="AA143" s="5" t="str">
        <f>IF(Setup!$I$15="Yes",'Demand background (hide)'!AJ131+'SPC background (hide)'!C143,"")</f>
        <v/>
      </c>
      <c r="AC143" s="5" t="str">
        <f t="shared" ca="1" si="54"/>
        <v/>
      </c>
      <c r="AD143" s="5" t="str">
        <f t="shared" ca="1" si="55"/>
        <v/>
      </c>
    </row>
    <row r="144" spans="1:30" x14ac:dyDescent="0.2">
      <c r="A144" s="67">
        <f>Demand!C141</f>
        <v>0</v>
      </c>
      <c r="B144" s="67">
        <v>129</v>
      </c>
      <c r="C144" s="5">
        <f ca="1">'Demand background (hide)'!Y132</f>
        <v>0</v>
      </c>
      <c r="D144" s="67">
        <f t="shared" si="39"/>
        <v>1</v>
      </c>
      <c r="E144" s="67" t="e">
        <f t="shared" ca="1" si="40"/>
        <v>#N/A</v>
      </c>
      <c r="F144" s="67" t="e">
        <f t="shared" ca="1" si="41"/>
        <v>#N/A</v>
      </c>
      <c r="G144" s="67" t="e">
        <f t="shared" ca="1" si="42"/>
        <v>#N/A</v>
      </c>
      <c r="H144" s="67" t="e">
        <f>IF('Demand background (hide)'!AN132&lt;&gt;"",'SPC background (hide)'!C144,NA())</f>
        <v>#N/A</v>
      </c>
      <c r="I144" s="67">
        <f t="shared" ca="1" si="43"/>
        <v>5</v>
      </c>
      <c r="J144" s="5">
        <f t="shared" ca="1" si="44"/>
        <v>0</v>
      </c>
      <c r="K144" s="5">
        <f t="shared" ca="1" si="45"/>
        <v>0</v>
      </c>
      <c r="L144" s="5">
        <f t="shared" ca="1" si="46"/>
        <v>0</v>
      </c>
      <c r="M144" s="5">
        <f t="shared" ca="1" si="47"/>
        <v>0</v>
      </c>
      <c r="N144" s="5">
        <f t="shared" ca="1" si="48"/>
        <v>0</v>
      </c>
      <c r="O144" s="5">
        <f t="shared" ca="1" si="49"/>
        <v>0</v>
      </c>
      <c r="P144" s="5">
        <f t="shared" ca="1" si="50"/>
        <v>0</v>
      </c>
      <c r="Q144" s="5" t="e">
        <f t="shared" ca="1" si="51"/>
        <v>#N/A</v>
      </c>
      <c r="R144" s="5">
        <f t="shared" ca="1" si="56"/>
        <v>0</v>
      </c>
      <c r="S144" s="67" t="e">
        <f t="shared" ca="1" si="57"/>
        <v>#N/A</v>
      </c>
      <c r="T144" s="67">
        <f t="shared" ca="1" si="58"/>
        <v>0</v>
      </c>
      <c r="U144" s="67" t="e">
        <f t="shared" ca="1" si="59"/>
        <v>#N/A</v>
      </c>
      <c r="V144" s="5">
        <f t="shared" ref="V144:V207" ca="1" si="62">IF(C144&lt;M144,-1,IF(C144&gt;M144,1,0))</f>
        <v>0</v>
      </c>
      <c r="W144" s="5" t="e">
        <f t="shared" ca="1" si="52"/>
        <v>#N/A</v>
      </c>
      <c r="X144" s="67">
        <f t="shared" ca="1" si="53"/>
        <v>0</v>
      </c>
      <c r="Y144" s="67" t="e">
        <f t="shared" ca="1" si="60"/>
        <v>#N/A</v>
      </c>
      <c r="Z144" s="67" t="e">
        <f t="shared" ca="1" si="61"/>
        <v>#N/A</v>
      </c>
      <c r="AA144" s="5" t="str">
        <f>IF(Setup!$I$15="Yes",'Demand background (hide)'!AJ132+'SPC background (hide)'!C144,"")</f>
        <v/>
      </c>
      <c r="AC144" s="5" t="str">
        <f t="shared" ca="1" si="54"/>
        <v/>
      </c>
      <c r="AD144" s="5" t="str">
        <f t="shared" ca="1" si="55"/>
        <v/>
      </c>
    </row>
    <row r="145" spans="1:30" x14ac:dyDescent="0.2">
      <c r="A145" s="67">
        <f>Demand!C142</f>
        <v>0</v>
      </c>
      <c r="B145" s="67">
        <v>130</v>
      </c>
      <c r="C145" s="5">
        <f ca="1">'Demand background (hide)'!Y133</f>
        <v>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5</v>
      </c>
      <c r="J145" s="5">
        <f t="shared" ref="J145:J208" ca="1" si="68">VLOOKUP($A145,$AG$2:$AQ$54,COLUMN(E$1),0)</f>
        <v>0</v>
      </c>
      <c r="K145" s="5">
        <f t="shared" ref="K145:K208" ca="1" si="69">VLOOKUP($A145,$AG$2:$AQ$54,COLUMN(F$1),0)</f>
        <v>0</v>
      </c>
      <c r="L145" s="5">
        <f t="shared" ref="L145:L208" ca="1" si="70">VLOOKUP($A145,$AG$2:$AQ$54,COLUMN(G$1),0)</f>
        <v>0</v>
      </c>
      <c r="M145" s="5">
        <f t="shared" ref="M145:M208" ca="1" si="71">VLOOKUP($A145,$AG$2:$AQ$54,COLUMN(H$1),0)</f>
        <v>0</v>
      </c>
      <c r="N145" s="5">
        <f t="shared" ref="N145:N208" ca="1" si="72">VLOOKUP($A145,$AG$2:$AQ$54,COLUMN(I$1),0)</f>
        <v>0</v>
      </c>
      <c r="O145" s="5">
        <f t="shared" ref="O145:O208" ca="1" si="73">VLOOKUP($A145,$AG$2:$AQ$54,COLUMN(J$1),0)</f>
        <v>0</v>
      </c>
      <c r="P145" s="5">
        <f t="shared" ref="P145:P208" ca="1" si="74">VLOOKUP($A145,$AG$2:$AQ$54,COLUMN(K$1),0)</f>
        <v>0</v>
      </c>
      <c r="Q145" s="5" t="e">
        <f t="shared" ref="Q145:Q208" ca="1" si="75">IF(ISNA(H145)=TRUE,IF(OR(C145&gt;P145,C145&lt;J145),C145,NA()),NA())</f>
        <v>#N/A</v>
      </c>
      <c r="R145" s="5">
        <f t="shared" ca="1" si="56"/>
        <v>0</v>
      </c>
      <c r="S145" s="67" t="e">
        <f t="shared" ca="1" si="57"/>
        <v>#N/A</v>
      </c>
      <c r="T145" s="67">
        <f t="shared" ca="1" si="58"/>
        <v>0</v>
      </c>
      <c r="U145" s="67" t="e">
        <f t="shared" ca="1" si="59"/>
        <v>#N/A</v>
      </c>
      <c r="V145" s="5">
        <f t="shared" ca="1" si="62"/>
        <v>0</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str">
        <f t="shared" ref="AC145:AC208" ca="1" si="78">VLOOKUP($A145,$AG$2:$AS$54,12,0)</f>
        <v/>
      </c>
      <c r="AD145" s="5" t="str">
        <f t="shared" ref="AD145:AD208" ca="1" si="79">VLOOKUP($A145,$AG$2:$AS$54,13,0)</f>
        <v/>
      </c>
    </row>
    <row r="146" spans="1:30" x14ac:dyDescent="0.2">
      <c r="A146" s="67">
        <f>Demand!C143</f>
        <v>0</v>
      </c>
      <c r="B146" s="67">
        <v>131</v>
      </c>
      <c r="C146" s="5">
        <f ca="1">'Demand background (hide)'!Y134</f>
        <v>0</v>
      </c>
      <c r="D146" s="67">
        <f t="shared" si="63"/>
        <v>1</v>
      </c>
      <c r="E146" s="67" t="e">
        <f t="shared" ca="1" si="64"/>
        <v>#N/A</v>
      </c>
      <c r="F146" s="67" t="e">
        <f t="shared" ca="1" si="65"/>
        <v>#N/A</v>
      </c>
      <c r="G146" s="67" t="e">
        <f t="shared" ca="1" si="66"/>
        <v>#N/A</v>
      </c>
      <c r="H146" s="67" t="e">
        <f>IF('Demand background (hide)'!AN134&lt;&gt;"",'SPC background (hide)'!C146,NA())</f>
        <v>#N/A</v>
      </c>
      <c r="I146" s="67">
        <f t="shared" ca="1" si="67"/>
        <v>5</v>
      </c>
      <c r="J146" s="5">
        <f t="shared" ca="1" si="68"/>
        <v>0</v>
      </c>
      <c r="K146" s="5">
        <f t="shared" ca="1" si="69"/>
        <v>0</v>
      </c>
      <c r="L146" s="5">
        <f t="shared" ca="1" si="70"/>
        <v>0</v>
      </c>
      <c r="M146" s="5">
        <f t="shared" ca="1" si="71"/>
        <v>0</v>
      </c>
      <c r="N146" s="5">
        <f t="shared" ca="1" si="72"/>
        <v>0</v>
      </c>
      <c r="O146" s="5">
        <f t="shared" ca="1" si="73"/>
        <v>0</v>
      </c>
      <c r="P146" s="5">
        <f t="shared" ca="1" si="74"/>
        <v>0</v>
      </c>
      <c r="Q146" s="5" t="e">
        <f t="shared" ca="1" si="75"/>
        <v>#N/A</v>
      </c>
      <c r="R146" s="5">
        <f t="shared" ref="R146:R209" ca="1" si="80">IF(C146&gt;O146,2,IF(C146&lt;K146,-2,IF(C146&gt;M146,1,IF(C146&lt;M146,-1,0))))</f>
        <v>0</v>
      </c>
      <c r="S146" s="67" t="e">
        <f t="shared" ref="S146:S209" ca="1" si="81">IF(ISNA(H146),IF(ABS(SUM(R146:R148))&gt;=5,C146,NA()),NA())</f>
        <v>#N/A</v>
      </c>
      <c r="T146" s="67">
        <f t="shared" ref="T146:T209" ca="1" si="82">IF(C146&gt;N146,2,IF(C146&lt;L146,-2,IF(C146&gt;M146,1,IF(C146&lt;M146,-1,0))))</f>
        <v>0</v>
      </c>
      <c r="U146" s="67" t="e">
        <f t="shared" ref="U146:U209" ca="1" si="83">IF(ISNA(H146)=TRUE,IF(ABS(SUM(T146:T150))&gt;=9,C146,NA()),NA())</f>
        <v>#N/A</v>
      </c>
      <c r="V146" s="5">
        <f t="shared" ca="1" si="62"/>
        <v>0</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str">
        <f t="shared" ca="1" si="78"/>
        <v/>
      </c>
      <c r="AD146" s="5" t="str">
        <f t="shared" ca="1" si="79"/>
        <v/>
      </c>
    </row>
    <row r="147" spans="1:30" x14ac:dyDescent="0.2">
      <c r="A147" s="67">
        <f>Demand!C144</f>
        <v>0</v>
      </c>
      <c r="B147" s="67">
        <v>132</v>
      </c>
      <c r="C147" s="5">
        <f ca="1">'Demand background (hide)'!Y135</f>
        <v>0</v>
      </c>
      <c r="D147" s="67">
        <f t="shared" si="63"/>
        <v>1</v>
      </c>
      <c r="E147" s="67" t="e">
        <f t="shared" ca="1" si="64"/>
        <v>#N/A</v>
      </c>
      <c r="F147" s="67" t="e">
        <f t="shared" ca="1" si="65"/>
        <v>#N/A</v>
      </c>
      <c r="G147" s="67" t="e">
        <f t="shared" ca="1" si="66"/>
        <v>#N/A</v>
      </c>
      <c r="H147" s="67" t="e">
        <f>IF('Demand background (hide)'!AN135&lt;&gt;"",'SPC background (hide)'!C147,NA())</f>
        <v>#N/A</v>
      </c>
      <c r="I147" s="67">
        <f t="shared" ca="1" si="67"/>
        <v>5</v>
      </c>
      <c r="J147" s="5">
        <f t="shared" ca="1" si="68"/>
        <v>0</v>
      </c>
      <c r="K147" s="5">
        <f t="shared" ca="1" si="69"/>
        <v>0</v>
      </c>
      <c r="L147" s="5">
        <f t="shared" ca="1" si="70"/>
        <v>0</v>
      </c>
      <c r="M147" s="5">
        <f t="shared" ca="1" si="71"/>
        <v>0</v>
      </c>
      <c r="N147" s="5">
        <f t="shared" ca="1" si="72"/>
        <v>0</v>
      </c>
      <c r="O147" s="5">
        <f t="shared" ca="1" si="73"/>
        <v>0</v>
      </c>
      <c r="P147" s="5">
        <f t="shared" ca="1" si="74"/>
        <v>0</v>
      </c>
      <c r="Q147" s="5" t="e">
        <f t="shared" ca="1" si="75"/>
        <v>#N/A</v>
      </c>
      <c r="R147" s="5">
        <f t="shared" ca="1" si="80"/>
        <v>0</v>
      </c>
      <c r="S147" s="67" t="e">
        <f t="shared" ca="1" si="81"/>
        <v>#N/A</v>
      </c>
      <c r="T147" s="67">
        <f t="shared" ca="1" si="82"/>
        <v>0</v>
      </c>
      <c r="U147" s="67" t="e">
        <f t="shared" ca="1" si="83"/>
        <v>#N/A</v>
      </c>
      <c r="V147" s="5">
        <f t="shared" ca="1" si="62"/>
        <v>0</v>
      </c>
      <c r="W147" s="5" t="e">
        <f t="shared" ca="1" si="76"/>
        <v>#N/A</v>
      </c>
      <c r="X147" s="67">
        <f t="shared" ca="1" si="77"/>
        <v>0</v>
      </c>
      <c r="Y147" s="67" t="e">
        <f t="shared" ca="1" si="84"/>
        <v>#N/A</v>
      </c>
      <c r="Z147" s="67" t="e">
        <f t="shared" ca="1" si="85"/>
        <v>#N/A</v>
      </c>
      <c r="AA147" s="5" t="str">
        <f>IF(Setup!$I$15="Yes",'Demand background (hide)'!AJ135+'SPC background (hide)'!C147,"")</f>
        <v/>
      </c>
      <c r="AC147" s="5" t="str">
        <f t="shared" ca="1" si="78"/>
        <v/>
      </c>
      <c r="AD147" s="5" t="str">
        <f t="shared" ca="1" si="79"/>
        <v/>
      </c>
    </row>
    <row r="148" spans="1:30" x14ac:dyDescent="0.2">
      <c r="A148" s="67">
        <f>Demand!C145</f>
        <v>0</v>
      </c>
      <c r="B148" s="67">
        <v>133</v>
      </c>
      <c r="C148" s="5">
        <f ca="1">'Demand background (hide)'!Y136</f>
        <v>0</v>
      </c>
      <c r="D148" s="67">
        <f t="shared" si="63"/>
        <v>1</v>
      </c>
      <c r="E148" s="67" t="e">
        <f t="shared" ca="1" si="64"/>
        <v>#N/A</v>
      </c>
      <c r="F148" s="67" t="e">
        <f t="shared" ca="1" si="65"/>
        <v>#N/A</v>
      </c>
      <c r="G148" s="67" t="e">
        <f t="shared" ca="1" si="66"/>
        <v>#N/A</v>
      </c>
      <c r="H148" s="67" t="e">
        <f>IF('Demand background (hide)'!AN136&lt;&gt;"",'SPC background (hide)'!C148,NA())</f>
        <v>#N/A</v>
      </c>
      <c r="I148" s="67">
        <f t="shared" ca="1" si="67"/>
        <v>5</v>
      </c>
      <c r="J148" s="5">
        <f t="shared" ca="1" si="68"/>
        <v>0</v>
      </c>
      <c r="K148" s="5">
        <f t="shared" ca="1" si="69"/>
        <v>0</v>
      </c>
      <c r="L148" s="5">
        <f t="shared" ca="1" si="70"/>
        <v>0</v>
      </c>
      <c r="M148" s="5">
        <f t="shared" ca="1" si="71"/>
        <v>0</v>
      </c>
      <c r="N148" s="5">
        <f t="shared" ca="1" si="72"/>
        <v>0</v>
      </c>
      <c r="O148" s="5">
        <f t="shared" ca="1" si="73"/>
        <v>0</v>
      </c>
      <c r="P148" s="5">
        <f t="shared" ca="1" si="74"/>
        <v>0</v>
      </c>
      <c r="Q148" s="5" t="e">
        <f t="shared" ca="1" si="75"/>
        <v>#N/A</v>
      </c>
      <c r="R148" s="5">
        <f t="shared" ca="1" si="80"/>
        <v>0</v>
      </c>
      <c r="S148" s="67" t="e">
        <f t="shared" ca="1" si="81"/>
        <v>#N/A</v>
      </c>
      <c r="T148" s="67">
        <f t="shared" ca="1" si="82"/>
        <v>0</v>
      </c>
      <c r="U148" s="67" t="e">
        <f t="shared" ca="1" si="83"/>
        <v>#N/A</v>
      </c>
      <c r="V148" s="5">
        <f t="shared" ca="1" si="62"/>
        <v>0</v>
      </c>
      <c r="W148" s="5" t="e">
        <f t="shared" ca="1" si="76"/>
        <v>#N/A</v>
      </c>
      <c r="X148" s="67">
        <f t="shared" ca="1" si="77"/>
        <v>0</v>
      </c>
      <c r="Y148" s="67" t="e">
        <f t="shared" ca="1" si="84"/>
        <v>#N/A</v>
      </c>
      <c r="Z148" s="67" t="e">
        <f t="shared" ca="1" si="85"/>
        <v>#N/A</v>
      </c>
      <c r="AA148" s="5" t="str">
        <f>IF(Setup!$I$15="Yes",'Demand background (hide)'!AJ136+'SPC background (hide)'!C148,"")</f>
        <v/>
      </c>
      <c r="AC148" s="5" t="str">
        <f t="shared" ca="1" si="78"/>
        <v/>
      </c>
      <c r="AD148" s="5" t="str">
        <f t="shared" ca="1" si="79"/>
        <v/>
      </c>
    </row>
    <row r="149" spans="1:30" x14ac:dyDescent="0.2">
      <c r="A149" s="67">
        <f>Demand!C146</f>
        <v>0</v>
      </c>
      <c r="B149" s="67">
        <v>134</v>
      </c>
      <c r="C149" s="5">
        <f ca="1">'Demand background (hide)'!Y137</f>
        <v>0</v>
      </c>
      <c r="D149" s="67">
        <f t="shared" si="63"/>
        <v>1</v>
      </c>
      <c r="E149" s="67" t="e">
        <f t="shared" ca="1" si="64"/>
        <v>#N/A</v>
      </c>
      <c r="F149" s="67" t="e">
        <f t="shared" ca="1" si="65"/>
        <v>#N/A</v>
      </c>
      <c r="G149" s="67" t="e">
        <f t="shared" ca="1" si="66"/>
        <v>#N/A</v>
      </c>
      <c r="H149" s="67" t="e">
        <f>IF('Demand background (hide)'!AN137&lt;&gt;"",'SPC background (hide)'!C149,NA())</f>
        <v>#N/A</v>
      </c>
      <c r="I149" s="67">
        <f t="shared" ca="1" si="67"/>
        <v>5</v>
      </c>
      <c r="J149" s="5">
        <f t="shared" ca="1" si="68"/>
        <v>0</v>
      </c>
      <c r="K149" s="5">
        <f t="shared" ca="1" si="69"/>
        <v>0</v>
      </c>
      <c r="L149" s="5">
        <f t="shared" ca="1" si="70"/>
        <v>0</v>
      </c>
      <c r="M149" s="5">
        <f t="shared" ca="1" si="71"/>
        <v>0</v>
      </c>
      <c r="N149" s="5">
        <f t="shared" ca="1" si="72"/>
        <v>0</v>
      </c>
      <c r="O149" s="5">
        <f t="shared" ca="1" si="73"/>
        <v>0</v>
      </c>
      <c r="P149" s="5">
        <f t="shared" ca="1" si="74"/>
        <v>0</v>
      </c>
      <c r="Q149" s="5" t="e">
        <f t="shared" ca="1" si="75"/>
        <v>#N/A</v>
      </c>
      <c r="R149" s="5">
        <f t="shared" ca="1" si="80"/>
        <v>0</v>
      </c>
      <c r="S149" s="67" t="e">
        <f t="shared" ca="1" si="81"/>
        <v>#N/A</v>
      </c>
      <c r="T149" s="67">
        <f t="shared" ca="1" si="82"/>
        <v>0</v>
      </c>
      <c r="U149" s="67" t="e">
        <f t="shared" ca="1" si="83"/>
        <v>#N/A</v>
      </c>
      <c r="V149" s="5">
        <f t="shared" ca="1" si="62"/>
        <v>0</v>
      </c>
      <c r="W149" s="5" t="e">
        <f t="shared" ca="1" si="76"/>
        <v>#N/A</v>
      </c>
      <c r="X149" s="67">
        <f t="shared" ca="1" si="77"/>
        <v>0</v>
      </c>
      <c r="Y149" s="67" t="e">
        <f t="shared" ca="1" si="84"/>
        <v>#N/A</v>
      </c>
      <c r="Z149" s="67" t="e">
        <f t="shared" ca="1" si="85"/>
        <v>#N/A</v>
      </c>
      <c r="AA149" s="5" t="str">
        <f>IF(Setup!$I$15="Yes",'Demand background (hide)'!AJ137+'SPC background (hide)'!C149,"")</f>
        <v/>
      </c>
      <c r="AC149" s="5" t="str">
        <f t="shared" ca="1" si="78"/>
        <v/>
      </c>
      <c r="AD149" s="5" t="str">
        <f t="shared" ca="1" si="79"/>
        <v/>
      </c>
    </row>
    <row r="150" spans="1:30" x14ac:dyDescent="0.2">
      <c r="A150" s="67">
        <f>Demand!C147</f>
        <v>0</v>
      </c>
      <c r="B150" s="67">
        <v>135</v>
      </c>
      <c r="C150" s="5">
        <f ca="1">'Demand background (hide)'!Y138</f>
        <v>0</v>
      </c>
      <c r="D150" s="67">
        <f t="shared" si="63"/>
        <v>1</v>
      </c>
      <c r="E150" s="67" t="e">
        <f t="shared" ca="1" si="64"/>
        <v>#N/A</v>
      </c>
      <c r="F150" s="67" t="e">
        <f t="shared" ca="1" si="65"/>
        <v>#N/A</v>
      </c>
      <c r="G150" s="67" t="e">
        <f t="shared" ca="1" si="66"/>
        <v>#N/A</v>
      </c>
      <c r="H150" s="67" t="e">
        <f>IF('Demand background (hide)'!AN138&lt;&gt;"",'SPC background (hide)'!C150,NA())</f>
        <v>#N/A</v>
      </c>
      <c r="I150" s="67">
        <f t="shared" ca="1" si="67"/>
        <v>5</v>
      </c>
      <c r="J150" s="5">
        <f t="shared" ca="1" si="68"/>
        <v>0</v>
      </c>
      <c r="K150" s="5">
        <f t="shared" ca="1" si="69"/>
        <v>0</v>
      </c>
      <c r="L150" s="5">
        <f t="shared" ca="1" si="70"/>
        <v>0</v>
      </c>
      <c r="M150" s="5">
        <f t="shared" ca="1" si="71"/>
        <v>0</v>
      </c>
      <c r="N150" s="5">
        <f t="shared" ca="1" si="72"/>
        <v>0</v>
      </c>
      <c r="O150" s="5">
        <f t="shared" ca="1" si="73"/>
        <v>0</v>
      </c>
      <c r="P150" s="5">
        <f t="shared" ca="1" si="74"/>
        <v>0</v>
      </c>
      <c r="Q150" s="5" t="e">
        <f t="shared" ca="1" si="75"/>
        <v>#N/A</v>
      </c>
      <c r="R150" s="5">
        <f t="shared" ca="1" si="80"/>
        <v>0</v>
      </c>
      <c r="S150" s="67" t="e">
        <f t="shared" ca="1" si="81"/>
        <v>#N/A</v>
      </c>
      <c r="T150" s="67">
        <f t="shared" ca="1" si="82"/>
        <v>0</v>
      </c>
      <c r="U150" s="67" t="e">
        <f t="shared" ca="1" si="83"/>
        <v>#N/A</v>
      </c>
      <c r="V150" s="5">
        <f t="shared" ca="1" si="62"/>
        <v>0</v>
      </c>
      <c r="W150" s="5" t="e">
        <f t="shared" ca="1" si="76"/>
        <v>#N/A</v>
      </c>
      <c r="X150" s="67">
        <f t="shared" ca="1" si="77"/>
        <v>0</v>
      </c>
      <c r="Y150" s="67" t="e">
        <f t="shared" ca="1" si="84"/>
        <v>#N/A</v>
      </c>
      <c r="Z150" s="67" t="e">
        <f t="shared" ca="1" si="85"/>
        <v>#N/A</v>
      </c>
      <c r="AA150" s="5" t="str">
        <f>IF(Setup!$I$15="Yes",'Demand background (hide)'!AJ138+'SPC background (hide)'!C150,"")</f>
        <v/>
      </c>
      <c r="AC150" s="5" t="str">
        <f t="shared" ca="1" si="78"/>
        <v/>
      </c>
      <c r="AD150" s="5" t="str">
        <f t="shared" ca="1" si="79"/>
        <v/>
      </c>
    </row>
    <row r="151" spans="1:30" x14ac:dyDescent="0.2">
      <c r="A151" s="67">
        <f>Demand!C148</f>
        <v>0</v>
      </c>
      <c r="B151" s="67">
        <v>136</v>
      </c>
      <c r="C151" s="5">
        <f ca="1">'Demand background (hide)'!Y139</f>
        <v>0</v>
      </c>
      <c r="D151" s="67">
        <f t="shared" si="63"/>
        <v>1</v>
      </c>
      <c r="E151" s="67" t="e">
        <f t="shared" ca="1" si="64"/>
        <v>#N/A</v>
      </c>
      <c r="F151" s="67" t="e">
        <f t="shared" ca="1" si="65"/>
        <v>#N/A</v>
      </c>
      <c r="G151" s="67" t="e">
        <f t="shared" ca="1" si="66"/>
        <v>#N/A</v>
      </c>
      <c r="H151" s="67" t="e">
        <f>IF('Demand background (hide)'!AN139&lt;&gt;"",'SPC background (hide)'!C151,NA())</f>
        <v>#N/A</v>
      </c>
      <c r="I151" s="67">
        <f t="shared" ca="1" si="67"/>
        <v>5</v>
      </c>
      <c r="J151" s="5">
        <f t="shared" ca="1" si="68"/>
        <v>0</v>
      </c>
      <c r="K151" s="5">
        <f t="shared" ca="1" si="69"/>
        <v>0</v>
      </c>
      <c r="L151" s="5">
        <f t="shared" ca="1" si="70"/>
        <v>0</v>
      </c>
      <c r="M151" s="5">
        <f t="shared" ca="1" si="71"/>
        <v>0</v>
      </c>
      <c r="N151" s="5">
        <f t="shared" ca="1" si="72"/>
        <v>0</v>
      </c>
      <c r="O151" s="5">
        <f t="shared" ca="1" si="73"/>
        <v>0</v>
      </c>
      <c r="P151" s="5">
        <f t="shared" ca="1" si="74"/>
        <v>0</v>
      </c>
      <c r="Q151" s="5" t="e">
        <f t="shared" ca="1" si="75"/>
        <v>#N/A</v>
      </c>
      <c r="R151" s="5">
        <f t="shared" ca="1" si="80"/>
        <v>0</v>
      </c>
      <c r="S151" s="67" t="e">
        <f t="shared" ca="1" si="81"/>
        <v>#N/A</v>
      </c>
      <c r="T151" s="67">
        <f t="shared" ca="1" si="82"/>
        <v>0</v>
      </c>
      <c r="U151" s="67" t="e">
        <f t="shared" ca="1" si="83"/>
        <v>#N/A</v>
      </c>
      <c r="V151" s="5">
        <f t="shared" ca="1" si="62"/>
        <v>0</v>
      </c>
      <c r="W151" s="5" t="e">
        <f t="shared" ca="1" si="76"/>
        <v>#N/A</v>
      </c>
      <c r="X151" s="67">
        <f t="shared" ca="1" si="77"/>
        <v>0</v>
      </c>
      <c r="Y151" s="67" t="e">
        <f t="shared" ca="1" si="84"/>
        <v>#N/A</v>
      </c>
      <c r="Z151" s="67" t="e">
        <f t="shared" ca="1" si="85"/>
        <v>#N/A</v>
      </c>
      <c r="AA151" s="5" t="str">
        <f>IF(Setup!$I$15="Yes",'Demand background (hide)'!AJ139+'SPC background (hide)'!C151,"")</f>
        <v/>
      </c>
      <c r="AC151" s="5" t="str">
        <f t="shared" ca="1" si="78"/>
        <v/>
      </c>
      <c r="AD151" s="5" t="str">
        <f t="shared" ca="1" si="79"/>
        <v/>
      </c>
    </row>
    <row r="152" spans="1:30" x14ac:dyDescent="0.2">
      <c r="A152" s="67">
        <f>Demand!C149</f>
        <v>0</v>
      </c>
      <c r="B152" s="67">
        <v>137</v>
      </c>
      <c r="C152" s="5">
        <f ca="1">'Demand background (hide)'!Y140</f>
        <v>0</v>
      </c>
      <c r="D152" s="67">
        <f t="shared" si="63"/>
        <v>1</v>
      </c>
      <c r="E152" s="67" t="e">
        <f t="shared" ca="1" si="64"/>
        <v>#N/A</v>
      </c>
      <c r="F152" s="67" t="e">
        <f t="shared" ca="1" si="65"/>
        <v>#N/A</v>
      </c>
      <c r="G152" s="67" t="e">
        <f t="shared" ca="1" si="66"/>
        <v>#N/A</v>
      </c>
      <c r="H152" s="67" t="e">
        <f>IF('Demand background (hide)'!AN140&lt;&gt;"",'SPC background (hide)'!C152,NA())</f>
        <v>#N/A</v>
      </c>
      <c r="I152" s="67">
        <f t="shared" ca="1" si="67"/>
        <v>5</v>
      </c>
      <c r="J152" s="5">
        <f t="shared" ca="1" si="68"/>
        <v>0</v>
      </c>
      <c r="K152" s="5">
        <f t="shared" ca="1" si="69"/>
        <v>0</v>
      </c>
      <c r="L152" s="5">
        <f t="shared" ca="1" si="70"/>
        <v>0</v>
      </c>
      <c r="M152" s="5">
        <f t="shared" ca="1" si="71"/>
        <v>0</v>
      </c>
      <c r="N152" s="5">
        <f t="shared" ca="1" si="72"/>
        <v>0</v>
      </c>
      <c r="O152" s="5">
        <f t="shared" ca="1" si="73"/>
        <v>0</v>
      </c>
      <c r="P152" s="5">
        <f t="shared" ca="1" si="74"/>
        <v>0</v>
      </c>
      <c r="Q152" s="5" t="e">
        <f t="shared" ca="1" si="75"/>
        <v>#N/A</v>
      </c>
      <c r="R152" s="5">
        <f t="shared" ca="1" si="80"/>
        <v>0</v>
      </c>
      <c r="S152" s="67" t="e">
        <f t="shared" ca="1" si="81"/>
        <v>#N/A</v>
      </c>
      <c r="T152" s="67">
        <f t="shared" ca="1" si="82"/>
        <v>0</v>
      </c>
      <c r="U152" s="67" t="e">
        <f t="shared" ca="1" si="83"/>
        <v>#N/A</v>
      </c>
      <c r="V152" s="5">
        <f t="shared" ca="1" si="62"/>
        <v>0</v>
      </c>
      <c r="W152" s="5" t="e">
        <f t="shared" ca="1" si="76"/>
        <v>#N/A</v>
      </c>
      <c r="X152" s="67">
        <f t="shared" ca="1" si="77"/>
        <v>0</v>
      </c>
      <c r="Y152" s="67" t="e">
        <f t="shared" ca="1" si="84"/>
        <v>#N/A</v>
      </c>
      <c r="Z152" s="67" t="e">
        <f t="shared" ca="1" si="85"/>
        <v>#N/A</v>
      </c>
      <c r="AA152" s="5" t="str">
        <f>IF(Setup!$I$15="Yes",'Demand background (hide)'!AJ140+'SPC background (hide)'!C152,"")</f>
        <v/>
      </c>
      <c r="AC152" s="5" t="str">
        <f t="shared" ca="1" si="78"/>
        <v/>
      </c>
      <c r="AD152" s="5" t="str">
        <f t="shared" ca="1" si="79"/>
        <v/>
      </c>
    </row>
    <row r="153" spans="1:30" x14ac:dyDescent="0.2">
      <c r="A153" s="67">
        <f>Demand!C150</f>
        <v>0</v>
      </c>
      <c r="B153" s="67">
        <v>138</v>
      </c>
      <c r="C153" s="5">
        <f ca="1">'Demand background (hide)'!Y141</f>
        <v>0</v>
      </c>
      <c r="D153" s="67">
        <f t="shared" si="63"/>
        <v>1</v>
      </c>
      <c r="E153" s="67" t="e">
        <f t="shared" ca="1" si="64"/>
        <v>#N/A</v>
      </c>
      <c r="F153" s="67" t="e">
        <f t="shared" ca="1" si="65"/>
        <v>#N/A</v>
      </c>
      <c r="G153" s="67" t="e">
        <f t="shared" ca="1" si="66"/>
        <v>#N/A</v>
      </c>
      <c r="H153" s="67" t="e">
        <f>IF('Demand background (hide)'!AN141&lt;&gt;"",'SPC background (hide)'!C153,NA())</f>
        <v>#N/A</v>
      </c>
      <c r="I153" s="67">
        <f t="shared" ca="1" si="67"/>
        <v>5</v>
      </c>
      <c r="J153" s="5">
        <f t="shared" ca="1" si="68"/>
        <v>0</v>
      </c>
      <c r="K153" s="5">
        <f t="shared" ca="1" si="69"/>
        <v>0</v>
      </c>
      <c r="L153" s="5">
        <f t="shared" ca="1" si="70"/>
        <v>0</v>
      </c>
      <c r="M153" s="5">
        <f t="shared" ca="1" si="71"/>
        <v>0</v>
      </c>
      <c r="N153" s="5">
        <f t="shared" ca="1" si="72"/>
        <v>0</v>
      </c>
      <c r="O153" s="5">
        <f t="shared" ca="1" si="73"/>
        <v>0</v>
      </c>
      <c r="P153" s="5">
        <f t="shared" ca="1" si="74"/>
        <v>0</v>
      </c>
      <c r="Q153" s="5" t="e">
        <f t="shared" ca="1" si="75"/>
        <v>#N/A</v>
      </c>
      <c r="R153" s="5">
        <f t="shared" ca="1" si="80"/>
        <v>0</v>
      </c>
      <c r="S153" s="67" t="e">
        <f t="shared" ca="1" si="81"/>
        <v>#N/A</v>
      </c>
      <c r="T153" s="67">
        <f t="shared" ca="1" si="82"/>
        <v>0</v>
      </c>
      <c r="U153" s="67" t="e">
        <f t="shared" ca="1" si="83"/>
        <v>#N/A</v>
      </c>
      <c r="V153" s="5">
        <f t="shared" ca="1" si="62"/>
        <v>0</v>
      </c>
      <c r="W153" s="5" t="e">
        <f t="shared" ca="1" si="76"/>
        <v>#N/A</v>
      </c>
      <c r="X153" s="67">
        <f t="shared" ca="1" si="77"/>
        <v>0</v>
      </c>
      <c r="Y153" s="67" t="e">
        <f t="shared" ca="1" si="84"/>
        <v>#N/A</v>
      </c>
      <c r="Z153" s="67" t="e">
        <f t="shared" ca="1" si="85"/>
        <v>#N/A</v>
      </c>
      <c r="AA153" s="5" t="str">
        <f>IF(Setup!$I$15="Yes",'Demand background (hide)'!AJ141+'SPC background (hide)'!C153,"")</f>
        <v/>
      </c>
      <c r="AC153" s="5" t="str">
        <f t="shared" ca="1" si="78"/>
        <v/>
      </c>
      <c r="AD153" s="5" t="str">
        <f t="shared" ca="1" si="79"/>
        <v/>
      </c>
    </row>
    <row r="154" spans="1:30" x14ac:dyDescent="0.2">
      <c r="A154" s="67">
        <f>Demand!C151</f>
        <v>0</v>
      </c>
      <c r="B154" s="67">
        <v>139</v>
      </c>
      <c r="C154" s="5">
        <f ca="1">'Demand background (hide)'!Y142</f>
        <v>0</v>
      </c>
      <c r="D154" s="67">
        <f t="shared" si="63"/>
        <v>1</v>
      </c>
      <c r="E154" s="67" t="e">
        <f t="shared" ca="1" si="64"/>
        <v>#N/A</v>
      </c>
      <c r="F154" s="67" t="e">
        <f t="shared" ca="1" si="65"/>
        <v>#N/A</v>
      </c>
      <c r="G154" s="67" t="e">
        <f t="shared" ca="1" si="66"/>
        <v>#N/A</v>
      </c>
      <c r="H154" s="67" t="e">
        <f>IF('Demand background (hide)'!AN142&lt;&gt;"",'SPC background (hide)'!C154,NA())</f>
        <v>#N/A</v>
      </c>
      <c r="I154" s="67">
        <f t="shared" ca="1" si="67"/>
        <v>5</v>
      </c>
      <c r="J154" s="5">
        <f t="shared" ca="1" si="68"/>
        <v>0</v>
      </c>
      <c r="K154" s="5">
        <f t="shared" ca="1" si="69"/>
        <v>0</v>
      </c>
      <c r="L154" s="5">
        <f t="shared" ca="1" si="70"/>
        <v>0</v>
      </c>
      <c r="M154" s="5">
        <f t="shared" ca="1" si="71"/>
        <v>0</v>
      </c>
      <c r="N154" s="5">
        <f t="shared" ca="1" si="72"/>
        <v>0</v>
      </c>
      <c r="O154" s="5">
        <f t="shared" ca="1" si="73"/>
        <v>0</v>
      </c>
      <c r="P154" s="5">
        <f t="shared" ca="1" si="74"/>
        <v>0</v>
      </c>
      <c r="Q154" s="5" t="e">
        <f t="shared" ca="1" si="75"/>
        <v>#N/A</v>
      </c>
      <c r="R154" s="5">
        <f t="shared" ca="1" si="80"/>
        <v>0</v>
      </c>
      <c r="S154" s="67" t="e">
        <f t="shared" ca="1" si="81"/>
        <v>#N/A</v>
      </c>
      <c r="T154" s="67">
        <f t="shared" ca="1" si="82"/>
        <v>0</v>
      </c>
      <c r="U154" s="67" t="e">
        <f t="shared" ca="1" si="83"/>
        <v>#N/A</v>
      </c>
      <c r="V154" s="5">
        <f t="shared" ca="1" si="62"/>
        <v>0</v>
      </c>
      <c r="W154" s="5" t="e">
        <f t="shared" ca="1" si="76"/>
        <v>#N/A</v>
      </c>
      <c r="X154" s="67">
        <f t="shared" ca="1" si="77"/>
        <v>0</v>
      </c>
      <c r="Y154" s="67" t="e">
        <f t="shared" ca="1" si="84"/>
        <v>#N/A</v>
      </c>
      <c r="Z154" s="67" t="e">
        <f t="shared" ca="1" si="85"/>
        <v>#N/A</v>
      </c>
      <c r="AA154" s="5" t="str">
        <f>IF(Setup!$I$15="Yes",'Demand background (hide)'!AJ142+'SPC background (hide)'!C154,"")</f>
        <v/>
      </c>
      <c r="AC154" s="5" t="str">
        <f t="shared" ca="1" si="78"/>
        <v/>
      </c>
      <c r="AD154" s="5" t="str">
        <f t="shared" ca="1" si="79"/>
        <v/>
      </c>
    </row>
    <row r="155" spans="1:30" x14ac:dyDescent="0.2">
      <c r="A155" s="67">
        <f>Demand!C152</f>
        <v>0</v>
      </c>
      <c r="B155" s="67">
        <v>140</v>
      </c>
      <c r="C155" s="5">
        <f ca="1">'Demand background (hide)'!Y143</f>
        <v>0</v>
      </c>
      <c r="D155" s="67">
        <f t="shared" si="63"/>
        <v>1</v>
      </c>
      <c r="E155" s="67" t="e">
        <f t="shared" ca="1" si="64"/>
        <v>#N/A</v>
      </c>
      <c r="F155" s="67" t="e">
        <f t="shared" ca="1" si="65"/>
        <v>#N/A</v>
      </c>
      <c r="G155" s="67" t="e">
        <f t="shared" ca="1" si="66"/>
        <v>#N/A</v>
      </c>
      <c r="H155" s="67" t="e">
        <f>IF('Demand background (hide)'!AN143&lt;&gt;"",'SPC background (hide)'!C155,NA())</f>
        <v>#N/A</v>
      </c>
      <c r="I155" s="67">
        <f t="shared" ca="1" si="67"/>
        <v>5</v>
      </c>
      <c r="J155" s="5">
        <f t="shared" ca="1" si="68"/>
        <v>0</v>
      </c>
      <c r="K155" s="5">
        <f t="shared" ca="1" si="69"/>
        <v>0</v>
      </c>
      <c r="L155" s="5">
        <f t="shared" ca="1" si="70"/>
        <v>0</v>
      </c>
      <c r="M155" s="5">
        <f t="shared" ca="1" si="71"/>
        <v>0</v>
      </c>
      <c r="N155" s="5">
        <f t="shared" ca="1" si="72"/>
        <v>0</v>
      </c>
      <c r="O155" s="5">
        <f t="shared" ca="1" si="73"/>
        <v>0</v>
      </c>
      <c r="P155" s="5">
        <f t="shared" ca="1" si="74"/>
        <v>0</v>
      </c>
      <c r="Q155" s="5" t="e">
        <f t="shared" ca="1" si="75"/>
        <v>#N/A</v>
      </c>
      <c r="R155" s="5">
        <f t="shared" ca="1" si="80"/>
        <v>0</v>
      </c>
      <c r="S155" s="67" t="e">
        <f t="shared" ca="1" si="81"/>
        <v>#N/A</v>
      </c>
      <c r="T155" s="67">
        <f t="shared" ca="1" si="82"/>
        <v>0</v>
      </c>
      <c r="U155" s="67" t="e">
        <f t="shared" ca="1" si="83"/>
        <v>#N/A</v>
      </c>
      <c r="V155" s="5">
        <f t="shared" ca="1" si="62"/>
        <v>0</v>
      </c>
      <c r="W155" s="5" t="e">
        <f t="shared" ca="1" si="76"/>
        <v>#N/A</v>
      </c>
      <c r="X155" s="67">
        <f t="shared" ca="1" si="77"/>
        <v>0</v>
      </c>
      <c r="Y155" s="67" t="e">
        <f t="shared" ca="1" si="84"/>
        <v>#N/A</v>
      </c>
      <c r="Z155" s="67" t="e">
        <f t="shared" ca="1" si="85"/>
        <v>#N/A</v>
      </c>
      <c r="AA155" s="5" t="str">
        <f>IF(Setup!$I$15="Yes",'Demand background (hide)'!AJ143+'SPC background (hide)'!C155,"")</f>
        <v/>
      </c>
      <c r="AC155" s="5" t="str">
        <f t="shared" ca="1" si="78"/>
        <v/>
      </c>
      <c r="AD155" s="5" t="str">
        <f t="shared" ca="1" si="79"/>
        <v/>
      </c>
    </row>
    <row r="156" spans="1:30" x14ac:dyDescent="0.2">
      <c r="A156" s="67">
        <f>Demand!C153</f>
        <v>0</v>
      </c>
      <c r="B156" s="67">
        <v>141</v>
      </c>
      <c r="C156" s="5">
        <f ca="1">'Demand background (hide)'!Y144</f>
        <v>0</v>
      </c>
      <c r="D156" s="67">
        <f t="shared" si="63"/>
        <v>1</v>
      </c>
      <c r="E156" s="67" t="e">
        <f t="shared" ca="1" si="64"/>
        <v>#N/A</v>
      </c>
      <c r="F156" s="67" t="e">
        <f t="shared" ca="1" si="65"/>
        <v>#N/A</v>
      </c>
      <c r="G156" s="67" t="e">
        <f t="shared" ca="1" si="66"/>
        <v>#N/A</v>
      </c>
      <c r="H156" s="67" t="e">
        <f>IF('Demand background (hide)'!AN144&lt;&gt;"",'SPC background (hide)'!C156,NA())</f>
        <v>#N/A</v>
      </c>
      <c r="I156" s="67">
        <f t="shared" ca="1" si="67"/>
        <v>5</v>
      </c>
      <c r="J156" s="5">
        <f t="shared" ca="1" si="68"/>
        <v>0</v>
      </c>
      <c r="K156" s="5">
        <f t="shared" ca="1" si="69"/>
        <v>0</v>
      </c>
      <c r="L156" s="5">
        <f t="shared" ca="1" si="70"/>
        <v>0</v>
      </c>
      <c r="M156" s="5">
        <f t="shared" ca="1" si="71"/>
        <v>0</v>
      </c>
      <c r="N156" s="5">
        <f t="shared" ca="1" si="72"/>
        <v>0</v>
      </c>
      <c r="O156" s="5">
        <f t="shared" ca="1" si="73"/>
        <v>0</v>
      </c>
      <c r="P156" s="5">
        <f t="shared" ca="1" si="74"/>
        <v>0</v>
      </c>
      <c r="Q156" s="5" t="e">
        <f t="shared" ca="1" si="75"/>
        <v>#N/A</v>
      </c>
      <c r="R156" s="5">
        <f t="shared" ca="1" si="80"/>
        <v>0</v>
      </c>
      <c r="S156" s="67" t="e">
        <f t="shared" ca="1" si="81"/>
        <v>#N/A</v>
      </c>
      <c r="T156" s="67">
        <f t="shared" ca="1" si="82"/>
        <v>0</v>
      </c>
      <c r="U156" s="67" t="e">
        <f t="shared" ca="1" si="83"/>
        <v>#N/A</v>
      </c>
      <c r="V156" s="5">
        <f t="shared" ca="1" si="62"/>
        <v>0</v>
      </c>
      <c r="W156" s="5" t="e">
        <f t="shared" ca="1" si="76"/>
        <v>#N/A</v>
      </c>
      <c r="X156" s="67">
        <f t="shared" ca="1" si="77"/>
        <v>0</v>
      </c>
      <c r="Y156" s="67" t="e">
        <f t="shared" ca="1" si="84"/>
        <v>#N/A</v>
      </c>
      <c r="Z156" s="67" t="e">
        <f t="shared" ca="1" si="85"/>
        <v>#N/A</v>
      </c>
      <c r="AA156" s="5" t="str">
        <f>IF(Setup!$I$15="Yes",'Demand background (hide)'!AJ144+'SPC background (hide)'!C156,"")</f>
        <v/>
      </c>
      <c r="AC156" s="5" t="str">
        <f t="shared" ca="1" si="78"/>
        <v/>
      </c>
      <c r="AD156" s="5" t="str">
        <f t="shared" ca="1" si="79"/>
        <v/>
      </c>
    </row>
    <row r="157" spans="1:30" x14ac:dyDescent="0.2">
      <c r="A157" s="67">
        <f>Demand!C154</f>
        <v>0</v>
      </c>
      <c r="B157" s="67">
        <v>142</v>
      </c>
      <c r="C157" s="5">
        <f ca="1">'Demand background (hide)'!Y145</f>
        <v>0</v>
      </c>
      <c r="D157" s="67">
        <f t="shared" si="63"/>
        <v>1</v>
      </c>
      <c r="E157" s="67" t="e">
        <f t="shared" ca="1" si="64"/>
        <v>#N/A</v>
      </c>
      <c r="F157" s="67" t="e">
        <f t="shared" ca="1" si="65"/>
        <v>#N/A</v>
      </c>
      <c r="G157" s="67" t="e">
        <f t="shared" ca="1" si="66"/>
        <v>#N/A</v>
      </c>
      <c r="H157" s="67" t="e">
        <f>IF('Demand background (hide)'!AN145&lt;&gt;"",'SPC background (hide)'!C157,NA())</f>
        <v>#N/A</v>
      </c>
      <c r="I157" s="67">
        <f t="shared" ca="1" si="67"/>
        <v>5</v>
      </c>
      <c r="J157" s="5">
        <f t="shared" ca="1" si="68"/>
        <v>0</v>
      </c>
      <c r="K157" s="5">
        <f t="shared" ca="1" si="69"/>
        <v>0</v>
      </c>
      <c r="L157" s="5">
        <f t="shared" ca="1" si="70"/>
        <v>0</v>
      </c>
      <c r="M157" s="5">
        <f t="shared" ca="1" si="71"/>
        <v>0</v>
      </c>
      <c r="N157" s="5">
        <f t="shared" ca="1" si="72"/>
        <v>0</v>
      </c>
      <c r="O157" s="5">
        <f t="shared" ca="1" si="73"/>
        <v>0</v>
      </c>
      <c r="P157" s="5">
        <f t="shared" ca="1" si="74"/>
        <v>0</v>
      </c>
      <c r="Q157" s="5" t="e">
        <f t="shared" ca="1" si="75"/>
        <v>#N/A</v>
      </c>
      <c r="R157" s="5">
        <f t="shared" ca="1" si="80"/>
        <v>0</v>
      </c>
      <c r="S157" s="67" t="e">
        <f t="shared" ca="1" si="81"/>
        <v>#N/A</v>
      </c>
      <c r="T157" s="67">
        <f t="shared" ca="1" si="82"/>
        <v>0</v>
      </c>
      <c r="U157" s="67" t="e">
        <f t="shared" ca="1" si="83"/>
        <v>#N/A</v>
      </c>
      <c r="V157" s="5">
        <f t="shared" ca="1" si="62"/>
        <v>0</v>
      </c>
      <c r="W157" s="5" t="e">
        <f t="shared" ca="1" si="76"/>
        <v>#N/A</v>
      </c>
      <c r="X157" s="67">
        <f t="shared" ca="1" si="77"/>
        <v>0</v>
      </c>
      <c r="Y157" s="67" t="e">
        <f t="shared" ca="1" si="84"/>
        <v>#N/A</v>
      </c>
      <c r="Z157" s="67" t="e">
        <f t="shared" ca="1" si="85"/>
        <v>#N/A</v>
      </c>
      <c r="AA157" s="5" t="str">
        <f>IF(Setup!$I$15="Yes",'Demand background (hide)'!AJ145+'SPC background (hide)'!C157,"")</f>
        <v/>
      </c>
      <c r="AC157" s="5" t="str">
        <f t="shared" ca="1" si="78"/>
        <v/>
      </c>
      <c r="AD157" s="5" t="str">
        <f t="shared" ca="1" si="79"/>
        <v/>
      </c>
    </row>
    <row r="158" spans="1:30" x14ac:dyDescent="0.2">
      <c r="A158" s="67">
        <f>Demand!C155</f>
        <v>0</v>
      </c>
      <c r="B158" s="67">
        <v>143</v>
      </c>
      <c r="C158" s="5">
        <f ca="1">'Demand background (hide)'!Y146</f>
        <v>0</v>
      </c>
      <c r="D158" s="67">
        <f t="shared" si="63"/>
        <v>1</v>
      </c>
      <c r="E158" s="67" t="e">
        <f t="shared" ca="1" si="64"/>
        <v>#N/A</v>
      </c>
      <c r="F158" s="67" t="e">
        <f t="shared" ca="1" si="65"/>
        <v>#N/A</v>
      </c>
      <c r="G158" s="67" t="e">
        <f t="shared" ca="1" si="66"/>
        <v>#N/A</v>
      </c>
      <c r="H158" s="67" t="e">
        <f>IF('Demand background (hide)'!AN146&lt;&gt;"",'SPC background (hide)'!C158,NA())</f>
        <v>#N/A</v>
      </c>
      <c r="I158" s="67">
        <f t="shared" ca="1" si="67"/>
        <v>5</v>
      </c>
      <c r="J158" s="5">
        <f t="shared" ca="1" si="68"/>
        <v>0</v>
      </c>
      <c r="K158" s="5">
        <f t="shared" ca="1" si="69"/>
        <v>0</v>
      </c>
      <c r="L158" s="5">
        <f t="shared" ca="1" si="70"/>
        <v>0</v>
      </c>
      <c r="M158" s="5">
        <f t="shared" ca="1" si="71"/>
        <v>0</v>
      </c>
      <c r="N158" s="5">
        <f t="shared" ca="1" si="72"/>
        <v>0</v>
      </c>
      <c r="O158" s="5">
        <f t="shared" ca="1" si="73"/>
        <v>0</v>
      </c>
      <c r="P158" s="5">
        <f t="shared" ca="1" si="74"/>
        <v>0</v>
      </c>
      <c r="Q158" s="5" t="e">
        <f t="shared" ca="1" si="75"/>
        <v>#N/A</v>
      </c>
      <c r="R158" s="5">
        <f t="shared" ca="1" si="80"/>
        <v>0</v>
      </c>
      <c r="S158" s="67" t="e">
        <f t="shared" ca="1" si="81"/>
        <v>#N/A</v>
      </c>
      <c r="T158" s="67">
        <f t="shared" ca="1" si="82"/>
        <v>0</v>
      </c>
      <c r="U158" s="67" t="e">
        <f t="shared" ca="1" si="83"/>
        <v>#N/A</v>
      </c>
      <c r="V158" s="5">
        <f t="shared" ca="1" si="62"/>
        <v>0</v>
      </c>
      <c r="W158" s="5" t="e">
        <f t="shared" ca="1" si="76"/>
        <v>#N/A</v>
      </c>
      <c r="X158" s="67">
        <f t="shared" ca="1" si="77"/>
        <v>0</v>
      </c>
      <c r="Y158" s="67" t="e">
        <f t="shared" ca="1" si="84"/>
        <v>#N/A</v>
      </c>
      <c r="Z158" s="67" t="e">
        <f t="shared" ca="1" si="85"/>
        <v>#N/A</v>
      </c>
      <c r="AA158" s="5" t="str">
        <f>IF(Setup!$I$15="Yes",'Demand background (hide)'!AJ146+'SPC background (hide)'!C158,"")</f>
        <v/>
      </c>
      <c r="AC158" s="5" t="str">
        <f t="shared" ca="1" si="78"/>
        <v/>
      </c>
      <c r="AD158" s="5" t="str">
        <f t="shared" ca="1" si="79"/>
        <v/>
      </c>
    </row>
    <row r="159" spans="1:30" x14ac:dyDescent="0.2">
      <c r="A159" s="67">
        <f>Demand!C156</f>
        <v>0</v>
      </c>
      <c r="B159" s="67">
        <v>144</v>
      </c>
      <c r="C159" s="5">
        <f ca="1">'Demand background (hide)'!Y147</f>
        <v>0</v>
      </c>
      <c r="D159" s="67">
        <f t="shared" si="63"/>
        <v>1</v>
      </c>
      <c r="E159" s="67" t="e">
        <f t="shared" ca="1" si="64"/>
        <v>#N/A</v>
      </c>
      <c r="F159" s="67" t="e">
        <f t="shared" ca="1" si="65"/>
        <v>#N/A</v>
      </c>
      <c r="G159" s="67" t="e">
        <f t="shared" ca="1" si="66"/>
        <v>#N/A</v>
      </c>
      <c r="H159" s="67" t="e">
        <f>IF('Demand background (hide)'!AN147&lt;&gt;"",'SPC background (hide)'!C159,NA())</f>
        <v>#N/A</v>
      </c>
      <c r="I159" s="67">
        <f t="shared" ca="1" si="67"/>
        <v>5</v>
      </c>
      <c r="J159" s="5">
        <f t="shared" ca="1" si="68"/>
        <v>0</v>
      </c>
      <c r="K159" s="5">
        <f t="shared" ca="1" si="69"/>
        <v>0</v>
      </c>
      <c r="L159" s="5">
        <f t="shared" ca="1" si="70"/>
        <v>0</v>
      </c>
      <c r="M159" s="5">
        <f t="shared" ca="1" si="71"/>
        <v>0</v>
      </c>
      <c r="N159" s="5">
        <f t="shared" ca="1" si="72"/>
        <v>0</v>
      </c>
      <c r="O159" s="5">
        <f t="shared" ca="1" si="73"/>
        <v>0</v>
      </c>
      <c r="P159" s="5">
        <f t="shared" ca="1" si="74"/>
        <v>0</v>
      </c>
      <c r="Q159" s="5" t="e">
        <f t="shared" ca="1" si="75"/>
        <v>#N/A</v>
      </c>
      <c r="R159" s="5">
        <f t="shared" ca="1" si="80"/>
        <v>0</v>
      </c>
      <c r="S159" s="67" t="e">
        <f t="shared" ca="1" si="81"/>
        <v>#N/A</v>
      </c>
      <c r="T159" s="67">
        <f t="shared" ca="1" si="82"/>
        <v>0</v>
      </c>
      <c r="U159" s="67" t="e">
        <f t="shared" ca="1" si="83"/>
        <v>#N/A</v>
      </c>
      <c r="V159" s="5">
        <f t="shared" ca="1" si="62"/>
        <v>0</v>
      </c>
      <c r="W159" s="5" t="e">
        <f t="shared" ca="1" si="76"/>
        <v>#N/A</v>
      </c>
      <c r="X159" s="67">
        <f t="shared" ca="1" si="77"/>
        <v>0</v>
      </c>
      <c r="Y159" s="67" t="e">
        <f t="shared" ca="1" si="84"/>
        <v>#N/A</v>
      </c>
      <c r="Z159" s="67" t="e">
        <f t="shared" ca="1" si="85"/>
        <v>#N/A</v>
      </c>
      <c r="AA159" s="5" t="str">
        <f>IF(Setup!$I$15="Yes",'Demand background (hide)'!AJ147+'SPC background (hide)'!C159,"")</f>
        <v/>
      </c>
      <c r="AC159" s="5" t="str">
        <f t="shared" ca="1" si="78"/>
        <v/>
      </c>
      <c r="AD159" s="5" t="str">
        <f t="shared" ca="1" si="79"/>
        <v/>
      </c>
    </row>
    <row r="160" spans="1:30" x14ac:dyDescent="0.2">
      <c r="A160" s="67">
        <f>Demand!C157</f>
        <v>0</v>
      </c>
      <c r="B160" s="67">
        <v>145</v>
      </c>
      <c r="C160" s="5">
        <f ca="1">'Demand background (hide)'!Y148</f>
        <v>0</v>
      </c>
      <c r="D160" s="67">
        <f t="shared" si="63"/>
        <v>1</v>
      </c>
      <c r="E160" s="67" t="e">
        <f t="shared" ca="1" si="64"/>
        <v>#N/A</v>
      </c>
      <c r="F160" s="67" t="e">
        <f t="shared" ca="1" si="65"/>
        <v>#N/A</v>
      </c>
      <c r="G160" s="67" t="e">
        <f t="shared" ca="1" si="66"/>
        <v>#N/A</v>
      </c>
      <c r="H160" s="67" t="e">
        <f>IF('Demand background (hide)'!AN148&lt;&gt;"",'SPC background (hide)'!C160,NA())</f>
        <v>#N/A</v>
      </c>
      <c r="I160" s="67">
        <f t="shared" ca="1" si="67"/>
        <v>5</v>
      </c>
      <c r="J160" s="5">
        <f t="shared" ca="1" si="68"/>
        <v>0</v>
      </c>
      <c r="K160" s="5">
        <f t="shared" ca="1" si="69"/>
        <v>0</v>
      </c>
      <c r="L160" s="5">
        <f t="shared" ca="1" si="70"/>
        <v>0</v>
      </c>
      <c r="M160" s="5">
        <f t="shared" ca="1" si="71"/>
        <v>0</v>
      </c>
      <c r="N160" s="5">
        <f t="shared" ca="1" si="72"/>
        <v>0</v>
      </c>
      <c r="O160" s="5">
        <f t="shared" ca="1" si="73"/>
        <v>0</v>
      </c>
      <c r="P160" s="5">
        <f t="shared" ca="1" si="74"/>
        <v>0</v>
      </c>
      <c r="Q160" s="5" t="e">
        <f t="shared" ca="1" si="75"/>
        <v>#N/A</v>
      </c>
      <c r="R160" s="5">
        <f t="shared" ca="1" si="80"/>
        <v>0</v>
      </c>
      <c r="S160" s="67" t="e">
        <f t="shared" ca="1" si="81"/>
        <v>#N/A</v>
      </c>
      <c r="T160" s="67">
        <f t="shared" ca="1" si="82"/>
        <v>0</v>
      </c>
      <c r="U160" s="67" t="e">
        <f t="shared" ca="1" si="83"/>
        <v>#N/A</v>
      </c>
      <c r="V160" s="5">
        <f t="shared" ca="1" si="62"/>
        <v>0</v>
      </c>
      <c r="W160" s="5" t="e">
        <f t="shared" ca="1" si="76"/>
        <v>#N/A</v>
      </c>
      <c r="X160" s="67">
        <f t="shared" ca="1" si="77"/>
        <v>0</v>
      </c>
      <c r="Y160" s="67" t="e">
        <f t="shared" ca="1" si="84"/>
        <v>#N/A</v>
      </c>
      <c r="Z160" s="67" t="e">
        <f t="shared" ca="1" si="85"/>
        <v>#N/A</v>
      </c>
      <c r="AA160" s="5" t="str">
        <f>IF(Setup!$I$15="Yes",'Demand background (hide)'!AJ148+'SPC background (hide)'!C160,"")</f>
        <v/>
      </c>
      <c r="AC160" s="5" t="str">
        <f t="shared" ca="1" si="78"/>
        <v/>
      </c>
      <c r="AD160" s="5" t="str">
        <f t="shared" ca="1" si="79"/>
        <v/>
      </c>
    </row>
    <row r="161" spans="1:30" x14ac:dyDescent="0.2">
      <c r="A161" s="67">
        <f>Demand!C158</f>
        <v>0</v>
      </c>
      <c r="B161" s="67">
        <v>146</v>
      </c>
      <c r="C161" s="5">
        <f ca="1">'Demand background (hide)'!Y149</f>
        <v>0</v>
      </c>
      <c r="D161" s="67">
        <f t="shared" si="63"/>
        <v>1</v>
      </c>
      <c r="E161" s="67" t="e">
        <f t="shared" ca="1" si="64"/>
        <v>#N/A</v>
      </c>
      <c r="F161" s="67" t="e">
        <f t="shared" ca="1" si="65"/>
        <v>#N/A</v>
      </c>
      <c r="G161" s="67" t="e">
        <f t="shared" ca="1" si="66"/>
        <v>#N/A</v>
      </c>
      <c r="H161" s="67" t="e">
        <f>IF('Demand background (hide)'!AN149&lt;&gt;"",'SPC background (hide)'!C161,NA())</f>
        <v>#N/A</v>
      </c>
      <c r="I161" s="67">
        <f t="shared" ca="1" si="67"/>
        <v>5</v>
      </c>
      <c r="J161" s="5">
        <f t="shared" ca="1" si="68"/>
        <v>0</v>
      </c>
      <c r="K161" s="5">
        <f t="shared" ca="1" si="69"/>
        <v>0</v>
      </c>
      <c r="L161" s="5">
        <f t="shared" ca="1" si="70"/>
        <v>0</v>
      </c>
      <c r="M161" s="5">
        <f t="shared" ca="1" si="71"/>
        <v>0</v>
      </c>
      <c r="N161" s="5">
        <f t="shared" ca="1" si="72"/>
        <v>0</v>
      </c>
      <c r="O161" s="5">
        <f t="shared" ca="1" si="73"/>
        <v>0</v>
      </c>
      <c r="P161" s="5">
        <f t="shared" ca="1" si="74"/>
        <v>0</v>
      </c>
      <c r="Q161" s="5" t="e">
        <f t="shared" ca="1" si="75"/>
        <v>#N/A</v>
      </c>
      <c r="R161" s="5">
        <f t="shared" ca="1" si="80"/>
        <v>0</v>
      </c>
      <c r="S161" s="67" t="e">
        <f t="shared" ca="1" si="81"/>
        <v>#N/A</v>
      </c>
      <c r="T161" s="67">
        <f t="shared" ca="1" si="82"/>
        <v>0</v>
      </c>
      <c r="U161" s="67" t="e">
        <f t="shared" ca="1" si="83"/>
        <v>#N/A</v>
      </c>
      <c r="V161" s="5">
        <f t="shared" ca="1" si="62"/>
        <v>0</v>
      </c>
      <c r="W161" s="5" t="e">
        <f t="shared" ca="1" si="76"/>
        <v>#N/A</v>
      </c>
      <c r="X161" s="67">
        <f t="shared" ca="1" si="77"/>
        <v>0</v>
      </c>
      <c r="Y161" s="67" t="e">
        <f t="shared" ca="1" si="84"/>
        <v>#N/A</v>
      </c>
      <c r="Z161" s="67" t="e">
        <f t="shared" ca="1" si="85"/>
        <v>#N/A</v>
      </c>
      <c r="AA161" s="5" t="str">
        <f>IF(Setup!$I$15="Yes",'Demand background (hide)'!AJ149+'SPC background (hide)'!C161,"")</f>
        <v/>
      </c>
      <c r="AC161" s="5" t="str">
        <f t="shared" ca="1" si="78"/>
        <v/>
      </c>
      <c r="AD161" s="5" t="str">
        <f t="shared" ca="1" si="79"/>
        <v/>
      </c>
    </row>
    <row r="162" spans="1:30" x14ac:dyDescent="0.2">
      <c r="A162" s="67">
        <f>Demand!C159</f>
        <v>0</v>
      </c>
      <c r="B162" s="67">
        <v>147</v>
      </c>
      <c r="C162" s="5">
        <f ca="1">'Demand background (hide)'!Y150</f>
        <v>0</v>
      </c>
      <c r="D162" s="67">
        <f t="shared" si="63"/>
        <v>1</v>
      </c>
      <c r="E162" s="67" t="e">
        <f t="shared" ca="1" si="64"/>
        <v>#N/A</v>
      </c>
      <c r="F162" s="67" t="e">
        <f t="shared" ca="1" si="65"/>
        <v>#N/A</v>
      </c>
      <c r="G162" s="67" t="e">
        <f t="shared" ca="1" si="66"/>
        <v>#N/A</v>
      </c>
      <c r="H162" s="67" t="e">
        <f>IF('Demand background (hide)'!AN150&lt;&gt;"",'SPC background (hide)'!C162,NA())</f>
        <v>#N/A</v>
      </c>
      <c r="I162" s="67">
        <f t="shared" ca="1" si="67"/>
        <v>5</v>
      </c>
      <c r="J162" s="5">
        <f t="shared" ca="1" si="68"/>
        <v>0</v>
      </c>
      <c r="K162" s="5">
        <f t="shared" ca="1" si="69"/>
        <v>0</v>
      </c>
      <c r="L162" s="5">
        <f t="shared" ca="1" si="70"/>
        <v>0</v>
      </c>
      <c r="M162" s="5">
        <f t="shared" ca="1" si="71"/>
        <v>0</v>
      </c>
      <c r="N162" s="5">
        <f t="shared" ca="1" si="72"/>
        <v>0</v>
      </c>
      <c r="O162" s="5">
        <f t="shared" ca="1" si="73"/>
        <v>0</v>
      </c>
      <c r="P162" s="5">
        <f t="shared" ca="1" si="74"/>
        <v>0</v>
      </c>
      <c r="Q162" s="5" t="e">
        <f t="shared" ca="1" si="75"/>
        <v>#N/A</v>
      </c>
      <c r="R162" s="5">
        <f t="shared" ca="1" si="80"/>
        <v>0</v>
      </c>
      <c r="S162" s="67" t="e">
        <f t="shared" ca="1" si="81"/>
        <v>#N/A</v>
      </c>
      <c r="T162" s="67">
        <f t="shared" ca="1" si="82"/>
        <v>0</v>
      </c>
      <c r="U162" s="67" t="e">
        <f t="shared" ca="1" si="83"/>
        <v>#N/A</v>
      </c>
      <c r="V162" s="5">
        <f t="shared" ca="1" si="62"/>
        <v>0</v>
      </c>
      <c r="W162" s="5" t="e">
        <f t="shared" ca="1" si="76"/>
        <v>#N/A</v>
      </c>
      <c r="X162" s="67">
        <f t="shared" ca="1" si="77"/>
        <v>0</v>
      </c>
      <c r="Y162" s="67" t="e">
        <f t="shared" ca="1" si="84"/>
        <v>#N/A</v>
      </c>
      <c r="Z162" s="67" t="e">
        <f t="shared" ca="1" si="85"/>
        <v>#N/A</v>
      </c>
      <c r="AA162" s="5" t="str">
        <f>IF(Setup!$I$15="Yes",'Demand background (hide)'!AJ150+'SPC background (hide)'!C162,"")</f>
        <v/>
      </c>
      <c r="AC162" s="5" t="str">
        <f t="shared" ca="1" si="78"/>
        <v/>
      </c>
      <c r="AD162" s="5" t="str">
        <f t="shared" ca="1" si="79"/>
        <v/>
      </c>
    </row>
    <row r="163" spans="1:30" x14ac:dyDescent="0.2">
      <c r="A163" s="67">
        <f>Demand!C160</f>
        <v>0</v>
      </c>
      <c r="B163" s="67">
        <v>148</v>
      </c>
      <c r="C163" s="5">
        <f ca="1">'Demand background (hide)'!Y151</f>
        <v>0</v>
      </c>
      <c r="D163" s="67">
        <f t="shared" si="63"/>
        <v>1</v>
      </c>
      <c r="E163" s="67" t="e">
        <f t="shared" ca="1" si="64"/>
        <v>#N/A</v>
      </c>
      <c r="F163" s="67" t="e">
        <f t="shared" ca="1" si="65"/>
        <v>#N/A</v>
      </c>
      <c r="G163" s="67" t="e">
        <f t="shared" ca="1" si="66"/>
        <v>#N/A</v>
      </c>
      <c r="H163" s="67" t="e">
        <f>IF('Demand background (hide)'!AN151&lt;&gt;"",'SPC background (hide)'!C163,NA())</f>
        <v>#N/A</v>
      </c>
      <c r="I163" s="67">
        <f t="shared" ca="1" si="67"/>
        <v>5</v>
      </c>
      <c r="J163" s="5">
        <f t="shared" ca="1" si="68"/>
        <v>0</v>
      </c>
      <c r="K163" s="5">
        <f t="shared" ca="1" si="69"/>
        <v>0</v>
      </c>
      <c r="L163" s="5">
        <f t="shared" ca="1" si="70"/>
        <v>0</v>
      </c>
      <c r="M163" s="5">
        <f t="shared" ca="1" si="71"/>
        <v>0</v>
      </c>
      <c r="N163" s="5">
        <f t="shared" ca="1" si="72"/>
        <v>0</v>
      </c>
      <c r="O163" s="5">
        <f t="shared" ca="1" si="73"/>
        <v>0</v>
      </c>
      <c r="P163" s="5">
        <f t="shared" ca="1" si="74"/>
        <v>0</v>
      </c>
      <c r="Q163" s="5" t="e">
        <f t="shared" ca="1" si="75"/>
        <v>#N/A</v>
      </c>
      <c r="R163" s="5">
        <f t="shared" ca="1" si="80"/>
        <v>0</v>
      </c>
      <c r="S163" s="67" t="e">
        <f t="shared" ca="1" si="81"/>
        <v>#N/A</v>
      </c>
      <c r="T163" s="67">
        <f t="shared" ca="1" si="82"/>
        <v>0</v>
      </c>
      <c r="U163" s="67" t="e">
        <f t="shared" ca="1" si="83"/>
        <v>#N/A</v>
      </c>
      <c r="V163" s="5">
        <f t="shared" ca="1" si="62"/>
        <v>0</v>
      </c>
      <c r="W163" s="5" t="e">
        <f t="shared" ca="1" si="76"/>
        <v>#N/A</v>
      </c>
      <c r="X163" s="67">
        <f t="shared" ca="1" si="77"/>
        <v>0</v>
      </c>
      <c r="Y163" s="67" t="e">
        <f t="shared" ca="1" si="84"/>
        <v>#N/A</v>
      </c>
      <c r="Z163" s="67" t="e">
        <f t="shared" ca="1" si="85"/>
        <v>#N/A</v>
      </c>
      <c r="AA163" s="5" t="str">
        <f>IF(Setup!$I$15="Yes",'Demand background (hide)'!AJ151+'SPC background (hide)'!C163,"")</f>
        <v/>
      </c>
      <c r="AC163" s="5" t="str">
        <f t="shared" ca="1" si="78"/>
        <v/>
      </c>
      <c r="AD163" s="5" t="str">
        <f t="shared" ca="1" si="79"/>
        <v/>
      </c>
    </row>
    <row r="164" spans="1:30" x14ac:dyDescent="0.2">
      <c r="A164" s="67">
        <f>Demand!C161</f>
        <v>0</v>
      </c>
      <c r="B164" s="67">
        <v>149</v>
      </c>
      <c r="C164" s="5">
        <f ca="1">'Demand background (hide)'!Y152</f>
        <v>0</v>
      </c>
      <c r="D164" s="67">
        <f t="shared" si="63"/>
        <v>1</v>
      </c>
      <c r="E164" s="67" t="e">
        <f t="shared" ca="1" si="64"/>
        <v>#N/A</v>
      </c>
      <c r="F164" s="67" t="e">
        <f t="shared" ca="1" si="65"/>
        <v>#N/A</v>
      </c>
      <c r="G164" s="67" t="e">
        <f t="shared" ca="1" si="66"/>
        <v>#N/A</v>
      </c>
      <c r="H164" s="67" t="e">
        <f>IF('Demand background (hide)'!AN152&lt;&gt;"",'SPC background (hide)'!C164,NA())</f>
        <v>#N/A</v>
      </c>
      <c r="I164" s="67">
        <f t="shared" ca="1" si="67"/>
        <v>5</v>
      </c>
      <c r="J164" s="5">
        <f t="shared" ca="1" si="68"/>
        <v>0</v>
      </c>
      <c r="K164" s="5">
        <f t="shared" ca="1" si="69"/>
        <v>0</v>
      </c>
      <c r="L164" s="5">
        <f t="shared" ca="1" si="70"/>
        <v>0</v>
      </c>
      <c r="M164" s="5">
        <f t="shared" ca="1" si="71"/>
        <v>0</v>
      </c>
      <c r="N164" s="5">
        <f t="shared" ca="1" si="72"/>
        <v>0</v>
      </c>
      <c r="O164" s="5">
        <f t="shared" ca="1" si="73"/>
        <v>0</v>
      </c>
      <c r="P164" s="5">
        <f t="shared" ca="1" si="74"/>
        <v>0</v>
      </c>
      <c r="Q164" s="5" t="e">
        <f t="shared" ca="1" si="75"/>
        <v>#N/A</v>
      </c>
      <c r="R164" s="5">
        <f t="shared" ca="1" si="80"/>
        <v>0</v>
      </c>
      <c r="S164" s="67" t="e">
        <f t="shared" ca="1" si="81"/>
        <v>#N/A</v>
      </c>
      <c r="T164" s="67">
        <f t="shared" ca="1" si="82"/>
        <v>0</v>
      </c>
      <c r="U164" s="67" t="e">
        <f t="shared" ca="1" si="83"/>
        <v>#N/A</v>
      </c>
      <c r="V164" s="5">
        <f t="shared" ca="1" si="62"/>
        <v>0</v>
      </c>
      <c r="W164" s="5" t="e">
        <f t="shared" ca="1" si="76"/>
        <v>#N/A</v>
      </c>
      <c r="X164" s="67">
        <f t="shared" ca="1" si="77"/>
        <v>0</v>
      </c>
      <c r="Y164" s="67" t="e">
        <f t="shared" ca="1" si="84"/>
        <v>#N/A</v>
      </c>
      <c r="Z164" s="67" t="e">
        <f t="shared" ca="1" si="85"/>
        <v>#N/A</v>
      </c>
      <c r="AA164" s="5" t="str">
        <f>IF(Setup!$I$15="Yes",'Demand background (hide)'!AJ152+'SPC background (hide)'!C164,"")</f>
        <v/>
      </c>
      <c r="AC164" s="5" t="str">
        <f t="shared" ca="1" si="78"/>
        <v/>
      </c>
      <c r="AD164" s="5" t="str">
        <f t="shared" ca="1" si="79"/>
        <v/>
      </c>
    </row>
    <row r="165" spans="1:30" x14ac:dyDescent="0.2">
      <c r="A165" s="67">
        <f>Demand!C162</f>
        <v>0</v>
      </c>
      <c r="B165" s="67">
        <v>150</v>
      </c>
      <c r="C165" s="5">
        <f ca="1">'Demand background (hide)'!Y153</f>
        <v>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0</v>
      </c>
      <c r="K165" s="5">
        <f t="shared" ca="1" si="69"/>
        <v>0</v>
      </c>
      <c r="L165" s="5">
        <f t="shared" ca="1" si="70"/>
        <v>0</v>
      </c>
      <c r="M165" s="5">
        <f t="shared" ca="1" si="71"/>
        <v>0</v>
      </c>
      <c r="N165" s="5">
        <f t="shared" ca="1" si="72"/>
        <v>0</v>
      </c>
      <c r="O165" s="5">
        <f t="shared" ca="1" si="73"/>
        <v>0</v>
      </c>
      <c r="P165" s="5">
        <f t="shared" ca="1" si="74"/>
        <v>0</v>
      </c>
      <c r="Q165" s="5" t="e">
        <f t="shared" ca="1" si="75"/>
        <v>#N/A</v>
      </c>
      <c r="R165" s="5">
        <f t="shared" ca="1" si="80"/>
        <v>0</v>
      </c>
      <c r="S165" s="67" t="e">
        <f t="shared" ca="1" si="81"/>
        <v>#N/A</v>
      </c>
      <c r="T165" s="67">
        <f t="shared" ca="1" si="82"/>
        <v>0</v>
      </c>
      <c r="U165" s="67" t="e">
        <f t="shared" ca="1" si="83"/>
        <v>#N/A</v>
      </c>
      <c r="V165" s="5">
        <f t="shared" ca="1" si="62"/>
        <v>0</v>
      </c>
      <c r="W165" s="5" t="e">
        <f t="shared" ca="1" si="76"/>
        <v>#N/A</v>
      </c>
      <c r="X165" s="67">
        <f t="shared" ca="1" si="77"/>
        <v>0</v>
      </c>
      <c r="Y165" s="67" t="e">
        <f t="shared" ca="1" si="84"/>
        <v>#N/A</v>
      </c>
      <c r="Z165" s="67" t="e">
        <f t="shared" ca="1" si="85"/>
        <v>#N/A</v>
      </c>
      <c r="AA165" s="5" t="str">
        <f>IF(Setup!$I$15="Yes",'Demand background (hide)'!AJ153+'SPC background (hide)'!C165,"")</f>
        <v/>
      </c>
      <c r="AC165" s="5" t="str">
        <f t="shared" ca="1" si="78"/>
        <v/>
      </c>
      <c r="AD165" s="5" t="str">
        <f t="shared" ca="1" si="79"/>
        <v/>
      </c>
    </row>
    <row r="166" spans="1:30" x14ac:dyDescent="0.2">
      <c r="A166" s="67">
        <f>Demand!C163</f>
        <v>0</v>
      </c>
      <c r="B166" s="67">
        <v>151</v>
      </c>
      <c r="C166" s="5">
        <f ca="1">'Demand background (hide)'!Y154</f>
        <v>0</v>
      </c>
      <c r="D166" s="67">
        <f t="shared" si="63"/>
        <v>1</v>
      </c>
      <c r="E166" s="67" t="e">
        <f t="shared" ca="1" si="64"/>
        <v>#N/A</v>
      </c>
      <c r="F166" s="67" t="e">
        <f t="shared" ca="1" si="65"/>
        <v>#N/A</v>
      </c>
      <c r="G166" s="67" t="e">
        <f t="shared" ca="1" si="66"/>
        <v>#N/A</v>
      </c>
      <c r="H166" s="67" t="e">
        <f>IF('Demand background (hide)'!AN154&lt;&gt;"",'SPC background (hide)'!C166,NA())</f>
        <v>#N/A</v>
      </c>
      <c r="I166" s="67">
        <f t="shared" ca="1" si="67"/>
        <v>5</v>
      </c>
      <c r="J166" s="5">
        <f t="shared" ca="1" si="68"/>
        <v>0</v>
      </c>
      <c r="K166" s="5">
        <f t="shared" ca="1" si="69"/>
        <v>0</v>
      </c>
      <c r="L166" s="5">
        <f t="shared" ca="1" si="70"/>
        <v>0</v>
      </c>
      <c r="M166" s="5">
        <f t="shared" ca="1" si="71"/>
        <v>0</v>
      </c>
      <c r="N166" s="5">
        <f t="shared" ca="1" si="72"/>
        <v>0</v>
      </c>
      <c r="O166" s="5">
        <f t="shared" ca="1" si="73"/>
        <v>0</v>
      </c>
      <c r="P166" s="5">
        <f t="shared" ca="1" si="74"/>
        <v>0</v>
      </c>
      <c r="Q166" s="5" t="e">
        <f t="shared" ca="1" si="75"/>
        <v>#N/A</v>
      </c>
      <c r="R166" s="5">
        <f t="shared" ca="1" si="80"/>
        <v>0</v>
      </c>
      <c r="S166" s="67" t="e">
        <f t="shared" ca="1" si="81"/>
        <v>#N/A</v>
      </c>
      <c r="T166" s="67">
        <f t="shared" ca="1" si="82"/>
        <v>0</v>
      </c>
      <c r="U166" s="67" t="e">
        <f t="shared" ca="1" si="83"/>
        <v>#N/A</v>
      </c>
      <c r="V166" s="5">
        <f t="shared" ca="1" si="62"/>
        <v>0</v>
      </c>
      <c r="W166" s="5" t="e">
        <f t="shared" ca="1" si="76"/>
        <v>#N/A</v>
      </c>
      <c r="X166" s="67">
        <f t="shared" ca="1" si="77"/>
        <v>0</v>
      </c>
      <c r="Y166" s="67" t="e">
        <f t="shared" ca="1" si="84"/>
        <v>#N/A</v>
      </c>
      <c r="Z166" s="67" t="e">
        <f t="shared" ca="1" si="85"/>
        <v>#N/A</v>
      </c>
      <c r="AA166" s="5" t="str">
        <f>IF(Setup!$I$15="Yes",'Demand background (hide)'!AJ154+'SPC background (hide)'!C166,"")</f>
        <v/>
      </c>
      <c r="AC166" s="5" t="str">
        <f t="shared" ca="1" si="78"/>
        <v/>
      </c>
      <c r="AD166" s="5" t="str">
        <f t="shared" ca="1" si="79"/>
        <v/>
      </c>
    </row>
    <row r="167" spans="1:30" x14ac:dyDescent="0.2">
      <c r="A167" s="67">
        <f>Demand!C164</f>
        <v>0</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f t="shared" ca="1" si="67"/>
        <v>5</v>
      </c>
      <c r="J167" s="5">
        <f t="shared" ca="1" si="68"/>
        <v>0</v>
      </c>
      <c r="K167" s="5">
        <f t="shared" ca="1" si="69"/>
        <v>0</v>
      </c>
      <c r="L167" s="5">
        <f t="shared" ca="1" si="70"/>
        <v>0</v>
      </c>
      <c r="M167" s="5">
        <f t="shared" ca="1" si="71"/>
        <v>0</v>
      </c>
      <c r="N167" s="5">
        <f t="shared" ca="1" si="72"/>
        <v>0</v>
      </c>
      <c r="O167" s="5">
        <f t="shared" ca="1" si="73"/>
        <v>0</v>
      </c>
      <c r="P167" s="5">
        <f t="shared" ca="1" si="74"/>
        <v>0</v>
      </c>
      <c r="Q167" s="5" t="e">
        <f t="shared" ca="1" si="75"/>
        <v>#N/A</v>
      </c>
      <c r="R167" s="5">
        <f t="shared" ca="1" si="80"/>
        <v>0</v>
      </c>
      <c r="S167" s="67" t="e">
        <f t="shared" ca="1" si="81"/>
        <v>#N/A</v>
      </c>
      <c r="T167" s="67">
        <f t="shared" ca="1" si="82"/>
        <v>0</v>
      </c>
      <c r="U167" s="67" t="e">
        <f t="shared" ca="1" si="83"/>
        <v>#N/A</v>
      </c>
      <c r="V167" s="5">
        <f t="shared" ca="1" si="62"/>
        <v>0</v>
      </c>
      <c r="W167" s="5" t="e">
        <f t="shared" ca="1" si="76"/>
        <v>#N/A</v>
      </c>
      <c r="X167" s="67">
        <f t="shared" ca="1" si="77"/>
        <v>0</v>
      </c>
      <c r="Y167" s="67" t="e">
        <f t="shared" ca="1" si="84"/>
        <v>#N/A</v>
      </c>
      <c r="Z167" s="67" t="e">
        <f t="shared" ca="1" si="85"/>
        <v>#N/A</v>
      </c>
      <c r="AA167" s="5" t="str">
        <f>IF(Setup!$I$15="Yes",'Demand background (hide)'!AJ155+'SPC background (hide)'!C167,"")</f>
        <v/>
      </c>
      <c r="AC167" s="5" t="str">
        <f t="shared" ca="1" si="78"/>
        <v/>
      </c>
      <c r="AD167" s="5" t="str">
        <f t="shared" ca="1" si="79"/>
        <v/>
      </c>
    </row>
    <row r="168" spans="1:30" x14ac:dyDescent="0.2">
      <c r="A168" s="67">
        <f>Demand!C165</f>
        <v>0</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f t="shared" ca="1" si="67"/>
        <v>5</v>
      </c>
      <c r="J168" s="5">
        <f t="shared" ca="1" si="68"/>
        <v>0</v>
      </c>
      <c r="K168" s="5">
        <f t="shared" ca="1" si="69"/>
        <v>0</v>
      </c>
      <c r="L168" s="5">
        <f t="shared" ca="1" si="70"/>
        <v>0</v>
      </c>
      <c r="M168" s="5">
        <f t="shared" ca="1" si="71"/>
        <v>0</v>
      </c>
      <c r="N168" s="5">
        <f t="shared" ca="1" si="72"/>
        <v>0</v>
      </c>
      <c r="O168" s="5">
        <f t="shared" ca="1" si="73"/>
        <v>0</v>
      </c>
      <c r="P168" s="5">
        <f t="shared" ca="1" si="74"/>
        <v>0</v>
      </c>
      <c r="Q168" s="5" t="e">
        <f t="shared" ca="1" si="75"/>
        <v>#N/A</v>
      </c>
      <c r="R168" s="5">
        <f t="shared" ca="1" si="80"/>
        <v>0</v>
      </c>
      <c r="S168" s="67" t="e">
        <f t="shared" ca="1" si="81"/>
        <v>#N/A</v>
      </c>
      <c r="T168" s="67">
        <f t="shared" ca="1" si="82"/>
        <v>0</v>
      </c>
      <c r="U168" s="67" t="e">
        <f t="shared" ca="1" si="83"/>
        <v>#N/A</v>
      </c>
      <c r="V168" s="5">
        <f t="shared" ca="1" si="62"/>
        <v>0</v>
      </c>
      <c r="W168" s="5" t="e">
        <f t="shared" ca="1" si="76"/>
        <v>#N/A</v>
      </c>
      <c r="X168" s="67">
        <f t="shared" ca="1" si="77"/>
        <v>0</v>
      </c>
      <c r="Y168" s="67" t="e">
        <f t="shared" ca="1" si="84"/>
        <v>#N/A</v>
      </c>
      <c r="Z168" s="67" t="e">
        <f t="shared" ca="1" si="85"/>
        <v>#N/A</v>
      </c>
      <c r="AA168" s="5" t="str">
        <f>IF(Setup!$I$15="Yes",'Demand background (hide)'!AJ156+'SPC background (hide)'!C168,"")</f>
        <v/>
      </c>
      <c r="AC168" s="5" t="str">
        <f t="shared" ca="1" si="78"/>
        <v/>
      </c>
      <c r="AD168" s="5" t="str">
        <f t="shared" ca="1" si="79"/>
        <v/>
      </c>
    </row>
    <row r="169" spans="1:30" x14ac:dyDescent="0.2">
      <c r="A169" s="67">
        <f>Demand!C166</f>
        <v>0</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f t="shared" ca="1" si="67"/>
        <v>5</v>
      </c>
      <c r="J169" s="5">
        <f t="shared" ca="1" si="68"/>
        <v>0</v>
      </c>
      <c r="K169" s="5">
        <f t="shared" ca="1" si="69"/>
        <v>0</v>
      </c>
      <c r="L169" s="5">
        <f t="shared" ca="1" si="70"/>
        <v>0</v>
      </c>
      <c r="M169" s="5">
        <f t="shared" ca="1" si="71"/>
        <v>0</v>
      </c>
      <c r="N169" s="5">
        <f t="shared" ca="1" si="72"/>
        <v>0</v>
      </c>
      <c r="O169" s="5">
        <f t="shared" ca="1" si="73"/>
        <v>0</v>
      </c>
      <c r="P169" s="5">
        <f t="shared" ca="1" si="74"/>
        <v>0</v>
      </c>
      <c r="Q169" s="5" t="e">
        <f t="shared" ca="1" si="75"/>
        <v>#N/A</v>
      </c>
      <c r="R169" s="5">
        <f t="shared" ca="1" si="80"/>
        <v>0</v>
      </c>
      <c r="S169" s="67" t="e">
        <f t="shared" ca="1" si="81"/>
        <v>#N/A</v>
      </c>
      <c r="T169" s="67">
        <f t="shared" ca="1" si="82"/>
        <v>0</v>
      </c>
      <c r="U169" s="67" t="e">
        <f t="shared" ca="1" si="83"/>
        <v>#N/A</v>
      </c>
      <c r="V169" s="5">
        <f t="shared" ca="1" si="62"/>
        <v>0</v>
      </c>
      <c r="W169" s="5" t="e">
        <f t="shared" ca="1" si="76"/>
        <v>#N/A</v>
      </c>
      <c r="X169" s="67">
        <f t="shared" ca="1" si="77"/>
        <v>0</v>
      </c>
      <c r="Y169" s="67" t="e">
        <f t="shared" ca="1" si="84"/>
        <v>#N/A</v>
      </c>
      <c r="Z169" s="67" t="e">
        <f t="shared" ca="1" si="85"/>
        <v>#N/A</v>
      </c>
      <c r="AA169" s="5" t="str">
        <f>IF(Setup!$I$15="Yes",'Demand background (hide)'!AJ157+'SPC background (hide)'!C169,"")</f>
        <v/>
      </c>
      <c r="AC169" s="5" t="str">
        <f t="shared" ca="1" si="78"/>
        <v/>
      </c>
      <c r="AD169" s="5" t="str">
        <f t="shared" ca="1" si="79"/>
        <v/>
      </c>
    </row>
    <row r="170" spans="1:30" x14ac:dyDescent="0.2">
      <c r="A170" s="67">
        <f>Demand!C167</f>
        <v>0</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f t="shared" ca="1" si="67"/>
        <v>5</v>
      </c>
      <c r="J170" s="5">
        <f t="shared" ca="1" si="68"/>
        <v>0</v>
      </c>
      <c r="K170" s="5">
        <f t="shared" ca="1" si="69"/>
        <v>0</v>
      </c>
      <c r="L170" s="5">
        <f t="shared" ca="1" si="70"/>
        <v>0</v>
      </c>
      <c r="M170" s="5">
        <f t="shared" ca="1" si="71"/>
        <v>0</v>
      </c>
      <c r="N170" s="5">
        <f t="shared" ca="1" si="72"/>
        <v>0</v>
      </c>
      <c r="O170" s="5">
        <f t="shared" ca="1" si="73"/>
        <v>0</v>
      </c>
      <c r="P170" s="5">
        <f t="shared" ca="1" si="74"/>
        <v>0</v>
      </c>
      <c r="Q170" s="5" t="e">
        <f t="shared" ca="1" si="75"/>
        <v>#N/A</v>
      </c>
      <c r="R170" s="5">
        <f t="shared" ca="1" si="80"/>
        <v>0</v>
      </c>
      <c r="S170" s="67" t="e">
        <f t="shared" ca="1" si="81"/>
        <v>#N/A</v>
      </c>
      <c r="T170" s="67">
        <f t="shared" ca="1" si="82"/>
        <v>0</v>
      </c>
      <c r="U170" s="67" t="e">
        <f t="shared" ca="1" si="83"/>
        <v>#N/A</v>
      </c>
      <c r="V170" s="5">
        <f t="shared" ca="1" si="62"/>
        <v>0</v>
      </c>
      <c r="W170" s="5" t="e">
        <f t="shared" ca="1" si="76"/>
        <v>#N/A</v>
      </c>
      <c r="X170" s="67">
        <f t="shared" ca="1" si="77"/>
        <v>0</v>
      </c>
      <c r="Y170" s="67" t="e">
        <f t="shared" ca="1" si="84"/>
        <v>#N/A</v>
      </c>
      <c r="Z170" s="67" t="e">
        <f t="shared" ca="1" si="85"/>
        <v>#N/A</v>
      </c>
      <c r="AA170" s="5" t="str">
        <f>IF(Setup!$I$15="Yes",'Demand background (hide)'!AJ158+'SPC background (hide)'!C170,"")</f>
        <v/>
      </c>
      <c r="AC170" s="5" t="str">
        <f t="shared" ca="1" si="78"/>
        <v/>
      </c>
      <c r="AD170" s="5" t="str">
        <f t="shared" ca="1" si="79"/>
        <v/>
      </c>
    </row>
    <row r="171" spans="1:30" x14ac:dyDescent="0.2">
      <c r="A171" s="67">
        <f>Demand!C168</f>
        <v>0</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f t="shared" ca="1" si="67"/>
        <v>5</v>
      </c>
      <c r="J171" s="5">
        <f t="shared" ca="1" si="68"/>
        <v>0</v>
      </c>
      <c r="K171" s="5">
        <f t="shared" ca="1" si="69"/>
        <v>0</v>
      </c>
      <c r="L171" s="5">
        <f t="shared" ca="1" si="70"/>
        <v>0</v>
      </c>
      <c r="M171" s="5">
        <f t="shared" ca="1" si="71"/>
        <v>0</v>
      </c>
      <c r="N171" s="5">
        <f t="shared" ca="1" si="72"/>
        <v>0</v>
      </c>
      <c r="O171" s="5">
        <f t="shared" ca="1" si="73"/>
        <v>0</v>
      </c>
      <c r="P171" s="5">
        <f t="shared" ca="1" si="74"/>
        <v>0</v>
      </c>
      <c r="Q171" s="5" t="e">
        <f t="shared" ca="1" si="75"/>
        <v>#N/A</v>
      </c>
      <c r="R171" s="5">
        <f t="shared" ca="1" si="80"/>
        <v>0</v>
      </c>
      <c r="S171" s="67" t="e">
        <f t="shared" ca="1" si="81"/>
        <v>#N/A</v>
      </c>
      <c r="T171" s="67">
        <f t="shared" ca="1" si="82"/>
        <v>0</v>
      </c>
      <c r="U171" s="67" t="e">
        <f t="shared" ca="1" si="83"/>
        <v>#N/A</v>
      </c>
      <c r="V171" s="5">
        <f t="shared" ca="1" si="62"/>
        <v>0</v>
      </c>
      <c r="W171" s="5" t="e">
        <f t="shared" ca="1" si="76"/>
        <v>#N/A</v>
      </c>
      <c r="X171" s="67">
        <f t="shared" ca="1" si="77"/>
        <v>0</v>
      </c>
      <c r="Y171" s="67" t="e">
        <f t="shared" ca="1" si="84"/>
        <v>#N/A</v>
      </c>
      <c r="Z171" s="67" t="e">
        <f t="shared" ca="1" si="85"/>
        <v>#N/A</v>
      </c>
      <c r="AA171" s="5" t="str">
        <f>IF(Setup!$I$15="Yes",'Demand background (hide)'!AJ159+'SPC background (hide)'!C171,"")</f>
        <v/>
      </c>
      <c r="AC171" s="5" t="str">
        <f t="shared" ca="1" si="78"/>
        <v/>
      </c>
      <c r="AD171" s="5" t="str">
        <f t="shared" ca="1" si="79"/>
        <v/>
      </c>
    </row>
    <row r="172" spans="1:30" x14ac:dyDescent="0.2">
      <c r="A172" s="67">
        <f>Demand!C169</f>
        <v>0</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f t="shared" ca="1" si="67"/>
        <v>5</v>
      </c>
      <c r="J172" s="5">
        <f t="shared" ca="1" si="68"/>
        <v>0</v>
      </c>
      <c r="K172" s="5">
        <f t="shared" ca="1" si="69"/>
        <v>0</v>
      </c>
      <c r="L172" s="5">
        <f t="shared" ca="1" si="70"/>
        <v>0</v>
      </c>
      <c r="M172" s="5">
        <f t="shared" ca="1" si="71"/>
        <v>0</v>
      </c>
      <c r="N172" s="5">
        <f t="shared" ca="1" si="72"/>
        <v>0</v>
      </c>
      <c r="O172" s="5">
        <f t="shared" ca="1" si="73"/>
        <v>0</v>
      </c>
      <c r="P172" s="5">
        <f t="shared" ca="1" si="74"/>
        <v>0</v>
      </c>
      <c r="Q172" s="5" t="e">
        <f t="shared" ca="1" si="75"/>
        <v>#N/A</v>
      </c>
      <c r="R172" s="5">
        <f t="shared" ca="1" si="80"/>
        <v>0</v>
      </c>
      <c r="S172" s="67" t="e">
        <f t="shared" ca="1" si="81"/>
        <v>#N/A</v>
      </c>
      <c r="T172" s="67">
        <f t="shared" ca="1" si="82"/>
        <v>0</v>
      </c>
      <c r="U172" s="67" t="e">
        <f t="shared" ca="1" si="83"/>
        <v>#N/A</v>
      </c>
      <c r="V172" s="5">
        <f t="shared" ca="1" si="62"/>
        <v>0</v>
      </c>
      <c r="W172" s="5" t="e">
        <f t="shared" ca="1" si="76"/>
        <v>#N/A</v>
      </c>
      <c r="X172" s="67">
        <f t="shared" ca="1" si="77"/>
        <v>0</v>
      </c>
      <c r="Y172" s="67" t="e">
        <f t="shared" ca="1" si="84"/>
        <v>#N/A</v>
      </c>
      <c r="Z172" s="67" t="e">
        <f t="shared" ca="1" si="85"/>
        <v>#N/A</v>
      </c>
      <c r="AA172" s="5" t="str">
        <f>IF(Setup!$I$15="Yes",'Demand background (hide)'!AJ160+'SPC background (hide)'!C172,"")</f>
        <v/>
      </c>
      <c r="AC172" s="5" t="str">
        <f t="shared" ca="1" si="78"/>
        <v/>
      </c>
      <c r="AD172" s="5" t="str">
        <f t="shared" ca="1" si="79"/>
        <v/>
      </c>
    </row>
    <row r="173" spans="1:30" x14ac:dyDescent="0.2">
      <c r="A173" s="67">
        <f>Demand!C170</f>
        <v>0</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f t="shared" ca="1" si="67"/>
        <v>5</v>
      </c>
      <c r="J173" s="5">
        <f t="shared" ca="1" si="68"/>
        <v>0</v>
      </c>
      <c r="K173" s="5">
        <f t="shared" ca="1" si="69"/>
        <v>0</v>
      </c>
      <c r="L173" s="5">
        <f t="shared" ca="1" si="70"/>
        <v>0</v>
      </c>
      <c r="M173" s="5">
        <f t="shared" ca="1" si="71"/>
        <v>0</v>
      </c>
      <c r="N173" s="5">
        <f t="shared" ca="1" si="72"/>
        <v>0</v>
      </c>
      <c r="O173" s="5">
        <f t="shared" ca="1" si="73"/>
        <v>0</v>
      </c>
      <c r="P173" s="5">
        <f t="shared" ca="1" si="74"/>
        <v>0</v>
      </c>
      <c r="Q173" s="5" t="e">
        <f t="shared" ca="1" si="75"/>
        <v>#N/A</v>
      </c>
      <c r="R173" s="5">
        <f t="shared" ca="1" si="80"/>
        <v>0</v>
      </c>
      <c r="S173" s="67" t="e">
        <f t="shared" ca="1" si="81"/>
        <v>#N/A</v>
      </c>
      <c r="T173" s="67">
        <f t="shared" ca="1" si="82"/>
        <v>0</v>
      </c>
      <c r="U173" s="67" t="e">
        <f t="shared" ca="1" si="83"/>
        <v>#N/A</v>
      </c>
      <c r="V173" s="5">
        <f t="shared" ca="1" si="62"/>
        <v>0</v>
      </c>
      <c r="W173" s="5" t="e">
        <f t="shared" ca="1" si="76"/>
        <v>#N/A</v>
      </c>
      <c r="X173" s="67">
        <f t="shared" ca="1" si="77"/>
        <v>0</v>
      </c>
      <c r="Y173" s="67" t="e">
        <f t="shared" ca="1" si="84"/>
        <v>#N/A</v>
      </c>
      <c r="Z173" s="67" t="e">
        <f t="shared" ca="1" si="85"/>
        <v>#N/A</v>
      </c>
      <c r="AA173" s="5" t="str">
        <f>IF(Setup!$I$15="Yes",'Demand background (hide)'!AJ161+'SPC background (hide)'!C173,"")</f>
        <v/>
      </c>
      <c r="AC173" s="5" t="str">
        <f t="shared" ca="1" si="78"/>
        <v/>
      </c>
      <c r="AD173" s="5" t="str">
        <f t="shared" ca="1" si="79"/>
        <v/>
      </c>
    </row>
    <row r="174" spans="1:30" x14ac:dyDescent="0.2">
      <c r="A174" s="67">
        <f>Demand!C171</f>
        <v>0</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f t="shared" ca="1" si="67"/>
        <v>5</v>
      </c>
      <c r="J174" s="5">
        <f t="shared" ca="1" si="68"/>
        <v>0</v>
      </c>
      <c r="K174" s="5">
        <f t="shared" ca="1" si="69"/>
        <v>0</v>
      </c>
      <c r="L174" s="5">
        <f t="shared" ca="1" si="70"/>
        <v>0</v>
      </c>
      <c r="M174" s="5">
        <f t="shared" ca="1" si="71"/>
        <v>0</v>
      </c>
      <c r="N174" s="5">
        <f t="shared" ca="1" si="72"/>
        <v>0</v>
      </c>
      <c r="O174" s="5">
        <f t="shared" ca="1" si="73"/>
        <v>0</v>
      </c>
      <c r="P174" s="5">
        <f t="shared" ca="1" si="74"/>
        <v>0</v>
      </c>
      <c r="Q174" s="5" t="e">
        <f t="shared" ca="1" si="75"/>
        <v>#N/A</v>
      </c>
      <c r="R174" s="5">
        <f t="shared" ca="1" si="80"/>
        <v>0</v>
      </c>
      <c r="S174" s="67" t="e">
        <f t="shared" ca="1" si="81"/>
        <v>#N/A</v>
      </c>
      <c r="T174" s="67">
        <f t="shared" ca="1" si="82"/>
        <v>0</v>
      </c>
      <c r="U174" s="67" t="e">
        <f t="shared" ca="1" si="83"/>
        <v>#N/A</v>
      </c>
      <c r="V174" s="5">
        <f t="shared" ca="1" si="62"/>
        <v>0</v>
      </c>
      <c r="W174" s="5" t="e">
        <f t="shared" ca="1" si="76"/>
        <v>#N/A</v>
      </c>
      <c r="X174" s="67">
        <f t="shared" ca="1" si="77"/>
        <v>0</v>
      </c>
      <c r="Y174" s="67" t="e">
        <f t="shared" ca="1" si="84"/>
        <v>#N/A</v>
      </c>
      <c r="Z174" s="67" t="e">
        <f t="shared" ca="1" si="85"/>
        <v>#N/A</v>
      </c>
      <c r="AA174" s="5" t="str">
        <f>IF(Setup!$I$15="Yes",'Demand background (hide)'!AJ162+'SPC background (hide)'!C174,"")</f>
        <v/>
      </c>
      <c r="AC174" s="5" t="str">
        <f t="shared" ca="1" si="78"/>
        <v/>
      </c>
      <c r="AD174" s="5" t="str">
        <f t="shared" ca="1" si="79"/>
        <v/>
      </c>
    </row>
    <row r="175" spans="1:30" x14ac:dyDescent="0.2">
      <c r="A175" s="67">
        <f>Demand!C172</f>
        <v>0</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f t="shared" ca="1" si="67"/>
        <v>5</v>
      </c>
      <c r="J175" s="5">
        <f t="shared" ca="1" si="68"/>
        <v>0</v>
      </c>
      <c r="K175" s="5">
        <f t="shared" ca="1" si="69"/>
        <v>0</v>
      </c>
      <c r="L175" s="5">
        <f t="shared" ca="1" si="70"/>
        <v>0</v>
      </c>
      <c r="M175" s="5">
        <f t="shared" ca="1" si="71"/>
        <v>0</v>
      </c>
      <c r="N175" s="5">
        <f t="shared" ca="1" si="72"/>
        <v>0</v>
      </c>
      <c r="O175" s="5">
        <f t="shared" ca="1" si="73"/>
        <v>0</v>
      </c>
      <c r="P175" s="5">
        <f t="shared" ca="1" si="74"/>
        <v>0</v>
      </c>
      <c r="Q175" s="5" t="e">
        <f t="shared" ca="1" si="75"/>
        <v>#N/A</v>
      </c>
      <c r="R175" s="5">
        <f t="shared" ca="1" si="80"/>
        <v>0</v>
      </c>
      <c r="S175" s="67" t="e">
        <f t="shared" ca="1" si="81"/>
        <v>#N/A</v>
      </c>
      <c r="T175" s="67">
        <f t="shared" ca="1" si="82"/>
        <v>0</v>
      </c>
      <c r="U175" s="67" t="e">
        <f t="shared" ca="1" si="83"/>
        <v>#N/A</v>
      </c>
      <c r="V175" s="5">
        <f t="shared" ca="1" si="62"/>
        <v>0</v>
      </c>
      <c r="W175" s="5" t="e">
        <f t="shared" ca="1" si="76"/>
        <v>#N/A</v>
      </c>
      <c r="X175" s="67">
        <f t="shared" ca="1" si="77"/>
        <v>0</v>
      </c>
      <c r="Y175" s="67" t="e">
        <f t="shared" ca="1" si="84"/>
        <v>#N/A</v>
      </c>
      <c r="Z175" s="67" t="e">
        <f t="shared" ca="1" si="85"/>
        <v>#N/A</v>
      </c>
      <c r="AA175" s="5" t="str">
        <f>IF(Setup!$I$15="Yes",'Demand background (hide)'!AJ163+'SPC background (hide)'!C175,"")</f>
        <v/>
      </c>
      <c r="AC175" s="5" t="str">
        <f t="shared" ca="1" si="78"/>
        <v/>
      </c>
      <c r="AD175" s="5" t="str">
        <f t="shared" ca="1" si="79"/>
        <v/>
      </c>
    </row>
    <row r="176" spans="1:30" x14ac:dyDescent="0.2">
      <c r="A176" s="67">
        <f>Demand!C173</f>
        <v>0</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f t="shared" ca="1" si="67"/>
        <v>5</v>
      </c>
      <c r="J176" s="5">
        <f t="shared" ca="1" si="68"/>
        <v>0</v>
      </c>
      <c r="K176" s="5">
        <f t="shared" ca="1" si="69"/>
        <v>0</v>
      </c>
      <c r="L176" s="5">
        <f t="shared" ca="1" si="70"/>
        <v>0</v>
      </c>
      <c r="M176" s="5">
        <f t="shared" ca="1" si="71"/>
        <v>0</v>
      </c>
      <c r="N176" s="5">
        <f t="shared" ca="1" si="72"/>
        <v>0</v>
      </c>
      <c r="O176" s="5">
        <f t="shared" ca="1" si="73"/>
        <v>0</v>
      </c>
      <c r="P176" s="5">
        <f t="shared" ca="1" si="74"/>
        <v>0</v>
      </c>
      <c r="Q176" s="5" t="e">
        <f t="shared" ca="1" si="75"/>
        <v>#N/A</v>
      </c>
      <c r="R176" s="5">
        <f t="shared" ca="1" si="80"/>
        <v>0</v>
      </c>
      <c r="S176" s="67" t="e">
        <f t="shared" ca="1" si="81"/>
        <v>#N/A</v>
      </c>
      <c r="T176" s="67">
        <f t="shared" ca="1" si="82"/>
        <v>0</v>
      </c>
      <c r="U176" s="67" t="e">
        <f t="shared" ca="1" si="83"/>
        <v>#N/A</v>
      </c>
      <c r="V176" s="5">
        <f t="shared" ca="1" si="62"/>
        <v>0</v>
      </c>
      <c r="W176" s="5" t="e">
        <f t="shared" ca="1" si="76"/>
        <v>#N/A</v>
      </c>
      <c r="X176" s="67">
        <f t="shared" ca="1" si="77"/>
        <v>0</v>
      </c>
      <c r="Y176" s="67" t="e">
        <f t="shared" ca="1" si="84"/>
        <v>#N/A</v>
      </c>
      <c r="Z176" s="67" t="e">
        <f t="shared" ca="1" si="85"/>
        <v>#N/A</v>
      </c>
      <c r="AA176" s="5" t="str">
        <f>IF(Setup!$I$15="Yes",'Demand background (hide)'!AJ164+'SPC background (hide)'!C176,"")</f>
        <v/>
      </c>
      <c r="AC176" s="5" t="str">
        <f t="shared" ca="1" si="78"/>
        <v/>
      </c>
      <c r="AD176" s="5" t="str">
        <f t="shared" ca="1" si="79"/>
        <v/>
      </c>
    </row>
    <row r="177" spans="1:30" x14ac:dyDescent="0.2">
      <c r="A177" s="67">
        <f>Demand!C174</f>
        <v>0</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f t="shared" ca="1" si="67"/>
        <v>5</v>
      </c>
      <c r="J177" s="5">
        <f t="shared" ca="1" si="68"/>
        <v>0</v>
      </c>
      <c r="K177" s="5">
        <f t="shared" ca="1" si="69"/>
        <v>0</v>
      </c>
      <c r="L177" s="5">
        <f t="shared" ca="1" si="70"/>
        <v>0</v>
      </c>
      <c r="M177" s="5">
        <f t="shared" ca="1" si="71"/>
        <v>0</v>
      </c>
      <c r="N177" s="5">
        <f t="shared" ca="1" si="72"/>
        <v>0</v>
      </c>
      <c r="O177" s="5">
        <f t="shared" ca="1" si="73"/>
        <v>0</v>
      </c>
      <c r="P177" s="5">
        <f t="shared" ca="1" si="74"/>
        <v>0</v>
      </c>
      <c r="Q177" s="5" t="e">
        <f t="shared" ca="1" si="75"/>
        <v>#N/A</v>
      </c>
      <c r="R177" s="5">
        <f t="shared" ca="1" si="80"/>
        <v>0</v>
      </c>
      <c r="S177" s="67" t="e">
        <f t="shared" ca="1" si="81"/>
        <v>#N/A</v>
      </c>
      <c r="T177" s="67">
        <f t="shared" ca="1" si="82"/>
        <v>0</v>
      </c>
      <c r="U177" s="67" t="e">
        <f t="shared" ca="1" si="83"/>
        <v>#N/A</v>
      </c>
      <c r="V177" s="5">
        <f t="shared" ca="1" si="62"/>
        <v>0</v>
      </c>
      <c r="W177" s="5" t="e">
        <f t="shared" ca="1" si="76"/>
        <v>#N/A</v>
      </c>
      <c r="X177" s="67">
        <f t="shared" ca="1" si="77"/>
        <v>0</v>
      </c>
      <c r="Y177" s="67" t="e">
        <f t="shared" ca="1" si="84"/>
        <v>#N/A</v>
      </c>
      <c r="Z177" s="67" t="e">
        <f t="shared" ca="1" si="85"/>
        <v>#N/A</v>
      </c>
      <c r="AA177" s="5" t="str">
        <f>IF(Setup!$I$15="Yes",'Demand background (hide)'!AJ165+'SPC background (hide)'!C177,"")</f>
        <v/>
      </c>
      <c r="AC177" s="5" t="str">
        <f t="shared" ca="1" si="78"/>
        <v/>
      </c>
      <c r="AD177" s="5" t="str">
        <f t="shared" ca="1" si="79"/>
        <v/>
      </c>
    </row>
    <row r="178" spans="1:30" x14ac:dyDescent="0.2">
      <c r="A178" s="67">
        <f>Demand!C175</f>
        <v>0</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f t="shared" ca="1" si="67"/>
        <v>5</v>
      </c>
      <c r="J178" s="5">
        <f t="shared" ca="1" si="68"/>
        <v>0</v>
      </c>
      <c r="K178" s="5">
        <f t="shared" ca="1" si="69"/>
        <v>0</v>
      </c>
      <c r="L178" s="5">
        <f t="shared" ca="1" si="70"/>
        <v>0</v>
      </c>
      <c r="M178" s="5">
        <f t="shared" ca="1" si="71"/>
        <v>0</v>
      </c>
      <c r="N178" s="5">
        <f t="shared" ca="1" si="72"/>
        <v>0</v>
      </c>
      <c r="O178" s="5">
        <f t="shared" ca="1" si="73"/>
        <v>0</v>
      </c>
      <c r="P178" s="5">
        <f t="shared" ca="1" si="74"/>
        <v>0</v>
      </c>
      <c r="Q178" s="5" t="e">
        <f t="shared" ca="1" si="75"/>
        <v>#N/A</v>
      </c>
      <c r="R178" s="5">
        <f t="shared" ca="1" si="80"/>
        <v>0</v>
      </c>
      <c r="S178" s="67" t="e">
        <f t="shared" ca="1" si="81"/>
        <v>#N/A</v>
      </c>
      <c r="T178" s="67">
        <f t="shared" ca="1" si="82"/>
        <v>0</v>
      </c>
      <c r="U178" s="67" t="e">
        <f t="shared" ca="1" si="83"/>
        <v>#N/A</v>
      </c>
      <c r="V178" s="5">
        <f t="shared" ca="1" si="62"/>
        <v>0</v>
      </c>
      <c r="W178" s="5" t="e">
        <f t="shared" ca="1" si="76"/>
        <v>#N/A</v>
      </c>
      <c r="X178" s="67">
        <f t="shared" ca="1" si="77"/>
        <v>0</v>
      </c>
      <c r="Y178" s="67" t="e">
        <f t="shared" ca="1" si="84"/>
        <v>#N/A</v>
      </c>
      <c r="Z178" s="67" t="e">
        <f t="shared" ca="1" si="85"/>
        <v>#N/A</v>
      </c>
      <c r="AA178" s="5" t="str">
        <f>IF(Setup!$I$15="Yes",'Demand background (hide)'!AJ166+'SPC background (hide)'!C178,"")</f>
        <v/>
      </c>
      <c r="AC178" s="5" t="str">
        <f t="shared" ca="1" si="78"/>
        <v/>
      </c>
      <c r="AD178" s="5" t="str">
        <f t="shared" ca="1" si="79"/>
        <v/>
      </c>
    </row>
    <row r="179" spans="1:30" x14ac:dyDescent="0.2">
      <c r="A179" s="67">
        <f>Demand!C176</f>
        <v>0</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f t="shared" ca="1" si="67"/>
        <v>5</v>
      </c>
      <c r="J179" s="5">
        <f t="shared" ca="1" si="68"/>
        <v>0</v>
      </c>
      <c r="K179" s="5">
        <f t="shared" ca="1" si="69"/>
        <v>0</v>
      </c>
      <c r="L179" s="5">
        <f t="shared" ca="1" si="70"/>
        <v>0</v>
      </c>
      <c r="M179" s="5">
        <f t="shared" ca="1" si="71"/>
        <v>0</v>
      </c>
      <c r="N179" s="5">
        <f t="shared" ca="1" si="72"/>
        <v>0</v>
      </c>
      <c r="O179" s="5">
        <f t="shared" ca="1" si="73"/>
        <v>0</v>
      </c>
      <c r="P179" s="5">
        <f t="shared" ca="1" si="74"/>
        <v>0</v>
      </c>
      <c r="Q179" s="5" t="e">
        <f t="shared" ca="1" si="75"/>
        <v>#N/A</v>
      </c>
      <c r="R179" s="5">
        <f t="shared" ca="1" si="80"/>
        <v>0</v>
      </c>
      <c r="S179" s="67" t="e">
        <f t="shared" ca="1" si="81"/>
        <v>#N/A</v>
      </c>
      <c r="T179" s="67">
        <f t="shared" ca="1" si="82"/>
        <v>0</v>
      </c>
      <c r="U179" s="67" t="e">
        <f t="shared" ca="1" si="83"/>
        <v>#N/A</v>
      </c>
      <c r="V179" s="5">
        <f t="shared" ca="1" si="62"/>
        <v>0</v>
      </c>
      <c r="W179" s="5" t="e">
        <f t="shared" ca="1" si="76"/>
        <v>#N/A</v>
      </c>
      <c r="X179" s="67">
        <f t="shared" ca="1" si="77"/>
        <v>0</v>
      </c>
      <c r="Y179" s="67" t="e">
        <f t="shared" ca="1" si="84"/>
        <v>#N/A</v>
      </c>
      <c r="Z179" s="67" t="e">
        <f t="shared" ca="1" si="85"/>
        <v>#N/A</v>
      </c>
      <c r="AA179" s="5" t="str">
        <f>IF(Setup!$I$15="Yes",'Demand background (hide)'!AJ167+'SPC background (hide)'!C179,"")</f>
        <v/>
      </c>
      <c r="AC179" s="5" t="str">
        <f t="shared" ca="1" si="78"/>
        <v/>
      </c>
      <c r="AD179" s="5" t="str">
        <f t="shared" ca="1" si="79"/>
        <v/>
      </c>
    </row>
    <row r="180" spans="1:30" x14ac:dyDescent="0.2">
      <c r="A180" s="67">
        <f>Demand!C177</f>
        <v>0</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f t="shared" ca="1" si="67"/>
        <v>5</v>
      </c>
      <c r="J180" s="5">
        <f t="shared" ca="1" si="68"/>
        <v>0</v>
      </c>
      <c r="K180" s="5">
        <f t="shared" ca="1" si="69"/>
        <v>0</v>
      </c>
      <c r="L180" s="5">
        <f t="shared" ca="1" si="70"/>
        <v>0</v>
      </c>
      <c r="M180" s="5">
        <f t="shared" ca="1" si="71"/>
        <v>0</v>
      </c>
      <c r="N180" s="5">
        <f t="shared" ca="1" si="72"/>
        <v>0</v>
      </c>
      <c r="O180" s="5">
        <f t="shared" ca="1" si="73"/>
        <v>0</v>
      </c>
      <c r="P180" s="5">
        <f t="shared" ca="1" si="74"/>
        <v>0</v>
      </c>
      <c r="Q180" s="5" t="e">
        <f t="shared" ca="1" si="75"/>
        <v>#N/A</v>
      </c>
      <c r="R180" s="5">
        <f t="shared" ca="1" si="80"/>
        <v>0</v>
      </c>
      <c r="S180" s="67" t="e">
        <f t="shared" ca="1" si="81"/>
        <v>#N/A</v>
      </c>
      <c r="T180" s="67">
        <f t="shared" ca="1" si="82"/>
        <v>0</v>
      </c>
      <c r="U180" s="67" t="e">
        <f t="shared" ca="1" si="83"/>
        <v>#N/A</v>
      </c>
      <c r="V180" s="5">
        <f t="shared" ca="1" si="62"/>
        <v>0</v>
      </c>
      <c r="W180" s="5" t="e">
        <f t="shared" ca="1" si="76"/>
        <v>#N/A</v>
      </c>
      <c r="X180" s="67">
        <f t="shared" ca="1" si="77"/>
        <v>0</v>
      </c>
      <c r="Y180" s="67" t="e">
        <f t="shared" ca="1" si="84"/>
        <v>#N/A</v>
      </c>
      <c r="Z180" s="67" t="e">
        <f t="shared" ca="1" si="85"/>
        <v>#N/A</v>
      </c>
      <c r="AA180" s="5" t="str">
        <f>IF(Setup!$I$15="Yes",'Demand background (hide)'!AJ168+'SPC background (hide)'!C180,"")</f>
        <v/>
      </c>
      <c r="AC180" s="5" t="str">
        <f t="shared" ca="1" si="78"/>
        <v/>
      </c>
      <c r="AD180" s="5" t="str">
        <f t="shared" ca="1" si="79"/>
        <v/>
      </c>
    </row>
    <row r="181" spans="1:30" x14ac:dyDescent="0.2">
      <c r="A181" s="67">
        <f>Demand!C178</f>
        <v>0</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f t="shared" ca="1" si="67"/>
        <v>5</v>
      </c>
      <c r="J181" s="5">
        <f t="shared" ca="1" si="68"/>
        <v>0</v>
      </c>
      <c r="K181" s="5">
        <f t="shared" ca="1" si="69"/>
        <v>0</v>
      </c>
      <c r="L181" s="5">
        <f t="shared" ca="1" si="70"/>
        <v>0</v>
      </c>
      <c r="M181" s="5">
        <f t="shared" ca="1" si="71"/>
        <v>0</v>
      </c>
      <c r="N181" s="5">
        <f t="shared" ca="1" si="72"/>
        <v>0</v>
      </c>
      <c r="O181" s="5">
        <f t="shared" ca="1" si="73"/>
        <v>0</v>
      </c>
      <c r="P181" s="5">
        <f t="shared" ca="1" si="74"/>
        <v>0</v>
      </c>
      <c r="Q181" s="5" t="e">
        <f t="shared" ca="1" si="75"/>
        <v>#N/A</v>
      </c>
      <c r="R181" s="5">
        <f t="shared" ca="1" si="80"/>
        <v>0</v>
      </c>
      <c r="S181" s="67" t="e">
        <f t="shared" ca="1" si="81"/>
        <v>#N/A</v>
      </c>
      <c r="T181" s="67">
        <f t="shared" ca="1" si="82"/>
        <v>0</v>
      </c>
      <c r="U181" s="67" t="e">
        <f t="shared" ca="1" si="83"/>
        <v>#N/A</v>
      </c>
      <c r="V181" s="5">
        <f t="shared" ca="1" si="62"/>
        <v>0</v>
      </c>
      <c r="W181" s="5" t="e">
        <f t="shared" ca="1" si="76"/>
        <v>#N/A</v>
      </c>
      <c r="X181" s="67">
        <f t="shared" ca="1" si="77"/>
        <v>0</v>
      </c>
      <c r="Y181" s="67" t="e">
        <f t="shared" ca="1" si="84"/>
        <v>#N/A</v>
      </c>
      <c r="Z181" s="67" t="e">
        <f t="shared" ca="1" si="85"/>
        <v>#N/A</v>
      </c>
      <c r="AA181" s="5" t="str">
        <f>IF(Setup!$I$15="Yes",'Demand background (hide)'!AJ169+'SPC background (hide)'!C181,"")</f>
        <v/>
      </c>
      <c r="AC181" s="5" t="str">
        <f t="shared" ca="1" si="78"/>
        <v/>
      </c>
      <c r="AD181" s="5" t="str">
        <f t="shared" ca="1" si="79"/>
        <v/>
      </c>
    </row>
    <row r="182" spans="1:30" x14ac:dyDescent="0.2">
      <c r="A182" s="67">
        <f>Demand!C179</f>
        <v>0</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f t="shared" ca="1" si="67"/>
        <v>5</v>
      </c>
      <c r="J182" s="5">
        <f t="shared" ca="1" si="68"/>
        <v>0</v>
      </c>
      <c r="K182" s="5">
        <f t="shared" ca="1" si="69"/>
        <v>0</v>
      </c>
      <c r="L182" s="5">
        <f t="shared" ca="1" si="70"/>
        <v>0</v>
      </c>
      <c r="M182" s="5">
        <f t="shared" ca="1" si="71"/>
        <v>0</v>
      </c>
      <c r="N182" s="5">
        <f t="shared" ca="1" si="72"/>
        <v>0</v>
      </c>
      <c r="O182" s="5">
        <f t="shared" ca="1" si="73"/>
        <v>0</v>
      </c>
      <c r="P182" s="5">
        <f t="shared" ca="1" si="74"/>
        <v>0</v>
      </c>
      <c r="Q182" s="5" t="e">
        <f t="shared" ca="1" si="75"/>
        <v>#N/A</v>
      </c>
      <c r="R182" s="5">
        <f t="shared" ca="1" si="80"/>
        <v>0</v>
      </c>
      <c r="S182" s="67" t="e">
        <f t="shared" ca="1" si="81"/>
        <v>#N/A</v>
      </c>
      <c r="T182" s="67">
        <f t="shared" ca="1" si="82"/>
        <v>0</v>
      </c>
      <c r="U182" s="67" t="e">
        <f t="shared" ca="1" si="83"/>
        <v>#N/A</v>
      </c>
      <c r="V182" s="5">
        <f t="shared" ca="1" si="62"/>
        <v>0</v>
      </c>
      <c r="W182" s="5" t="e">
        <f t="shared" ca="1" si="76"/>
        <v>#N/A</v>
      </c>
      <c r="X182" s="67">
        <f t="shared" ca="1" si="77"/>
        <v>0</v>
      </c>
      <c r="Y182" s="67" t="e">
        <f t="shared" ca="1" si="84"/>
        <v>#N/A</v>
      </c>
      <c r="Z182" s="67" t="e">
        <f t="shared" ca="1" si="85"/>
        <v>#N/A</v>
      </c>
      <c r="AA182" s="5" t="str">
        <f>IF(Setup!$I$15="Yes",'Demand background (hide)'!AJ170+'SPC background (hide)'!C182,"")</f>
        <v/>
      </c>
      <c r="AC182" s="5" t="str">
        <f t="shared" ca="1" si="78"/>
        <v/>
      </c>
      <c r="AD182" s="5" t="str">
        <f t="shared" ca="1" si="79"/>
        <v/>
      </c>
    </row>
    <row r="183" spans="1:30" x14ac:dyDescent="0.2">
      <c r="A183" s="67">
        <f>Demand!C180</f>
        <v>0</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f t="shared" ca="1" si="67"/>
        <v>5</v>
      </c>
      <c r="J183" s="5">
        <f t="shared" ca="1" si="68"/>
        <v>0</v>
      </c>
      <c r="K183" s="5">
        <f t="shared" ca="1" si="69"/>
        <v>0</v>
      </c>
      <c r="L183" s="5">
        <f t="shared" ca="1" si="70"/>
        <v>0</v>
      </c>
      <c r="M183" s="5">
        <f t="shared" ca="1" si="71"/>
        <v>0</v>
      </c>
      <c r="N183" s="5">
        <f t="shared" ca="1" si="72"/>
        <v>0</v>
      </c>
      <c r="O183" s="5">
        <f t="shared" ca="1" si="73"/>
        <v>0</v>
      </c>
      <c r="P183" s="5">
        <f t="shared" ca="1" si="74"/>
        <v>0</v>
      </c>
      <c r="Q183" s="5" t="e">
        <f t="shared" ca="1" si="75"/>
        <v>#N/A</v>
      </c>
      <c r="R183" s="5">
        <f t="shared" ca="1" si="80"/>
        <v>0</v>
      </c>
      <c r="S183" s="67" t="e">
        <f t="shared" ca="1" si="81"/>
        <v>#N/A</v>
      </c>
      <c r="T183" s="67">
        <f t="shared" ca="1" si="82"/>
        <v>0</v>
      </c>
      <c r="U183" s="67" t="e">
        <f t="shared" ca="1" si="83"/>
        <v>#N/A</v>
      </c>
      <c r="V183" s="5">
        <f t="shared" ca="1" si="62"/>
        <v>0</v>
      </c>
      <c r="W183" s="5" t="e">
        <f t="shared" ca="1" si="76"/>
        <v>#N/A</v>
      </c>
      <c r="X183" s="67">
        <f t="shared" ca="1" si="77"/>
        <v>0</v>
      </c>
      <c r="Y183" s="67" t="e">
        <f t="shared" ca="1" si="84"/>
        <v>#N/A</v>
      </c>
      <c r="Z183" s="67" t="e">
        <f t="shared" ca="1" si="85"/>
        <v>#N/A</v>
      </c>
      <c r="AA183" s="5" t="str">
        <f>IF(Setup!$I$15="Yes",'Demand background (hide)'!AJ171+'SPC background (hide)'!C183,"")</f>
        <v/>
      </c>
      <c r="AC183" s="5" t="str">
        <f t="shared" ca="1" si="78"/>
        <v/>
      </c>
      <c r="AD183" s="5" t="str">
        <f t="shared" ca="1" si="79"/>
        <v/>
      </c>
    </row>
    <row r="184" spans="1:30" x14ac:dyDescent="0.2">
      <c r="A184" s="67">
        <f>Demand!C181</f>
        <v>0</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f t="shared" ca="1" si="67"/>
        <v>5</v>
      </c>
      <c r="J184" s="5">
        <f t="shared" ca="1" si="68"/>
        <v>0</v>
      </c>
      <c r="K184" s="5">
        <f t="shared" ca="1" si="69"/>
        <v>0</v>
      </c>
      <c r="L184" s="5">
        <f t="shared" ca="1" si="70"/>
        <v>0</v>
      </c>
      <c r="M184" s="5">
        <f t="shared" ca="1" si="71"/>
        <v>0</v>
      </c>
      <c r="N184" s="5">
        <f t="shared" ca="1" si="72"/>
        <v>0</v>
      </c>
      <c r="O184" s="5">
        <f t="shared" ca="1" si="73"/>
        <v>0</v>
      </c>
      <c r="P184" s="5">
        <f t="shared" ca="1" si="74"/>
        <v>0</v>
      </c>
      <c r="Q184" s="5" t="e">
        <f t="shared" ca="1" si="75"/>
        <v>#N/A</v>
      </c>
      <c r="R184" s="5">
        <f t="shared" ca="1" si="80"/>
        <v>0</v>
      </c>
      <c r="S184" s="67" t="e">
        <f t="shared" ca="1" si="81"/>
        <v>#N/A</v>
      </c>
      <c r="T184" s="67">
        <f t="shared" ca="1" si="82"/>
        <v>0</v>
      </c>
      <c r="U184" s="67" t="e">
        <f t="shared" ca="1" si="83"/>
        <v>#N/A</v>
      </c>
      <c r="V184" s="5">
        <f t="shared" ca="1" si="62"/>
        <v>0</v>
      </c>
      <c r="W184" s="5" t="e">
        <f t="shared" ca="1" si="76"/>
        <v>#N/A</v>
      </c>
      <c r="X184" s="67">
        <f t="shared" ca="1" si="77"/>
        <v>0</v>
      </c>
      <c r="Y184" s="67" t="e">
        <f t="shared" ca="1" si="84"/>
        <v>#N/A</v>
      </c>
      <c r="Z184" s="67" t="e">
        <f t="shared" ca="1" si="85"/>
        <v>#N/A</v>
      </c>
      <c r="AA184" s="5" t="str">
        <f>IF(Setup!$I$15="Yes",'Demand background (hide)'!AJ172+'SPC background (hide)'!C184,"")</f>
        <v/>
      </c>
      <c r="AC184" s="5" t="str">
        <f t="shared" ca="1" si="78"/>
        <v/>
      </c>
      <c r="AD184" s="5" t="str">
        <f t="shared" ca="1" si="79"/>
        <v/>
      </c>
    </row>
    <row r="185" spans="1:30" x14ac:dyDescent="0.2">
      <c r="A185" s="67">
        <f>Demand!C182</f>
        <v>0</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f t="shared" ca="1" si="67"/>
        <v>5</v>
      </c>
      <c r="J185" s="5">
        <f t="shared" ca="1" si="68"/>
        <v>0</v>
      </c>
      <c r="K185" s="5">
        <f t="shared" ca="1" si="69"/>
        <v>0</v>
      </c>
      <c r="L185" s="5">
        <f t="shared" ca="1" si="70"/>
        <v>0</v>
      </c>
      <c r="M185" s="5">
        <f t="shared" ca="1" si="71"/>
        <v>0</v>
      </c>
      <c r="N185" s="5">
        <f t="shared" ca="1" si="72"/>
        <v>0</v>
      </c>
      <c r="O185" s="5">
        <f t="shared" ca="1" si="73"/>
        <v>0</v>
      </c>
      <c r="P185" s="5">
        <f t="shared" ca="1" si="74"/>
        <v>0</v>
      </c>
      <c r="Q185" s="5" t="e">
        <f t="shared" ca="1" si="75"/>
        <v>#N/A</v>
      </c>
      <c r="R185" s="5">
        <f t="shared" ca="1" si="80"/>
        <v>0</v>
      </c>
      <c r="S185" s="67" t="e">
        <f t="shared" ca="1" si="81"/>
        <v>#N/A</v>
      </c>
      <c r="T185" s="67">
        <f t="shared" ca="1" si="82"/>
        <v>0</v>
      </c>
      <c r="U185" s="67" t="e">
        <f t="shared" ca="1" si="83"/>
        <v>#N/A</v>
      </c>
      <c r="V185" s="5">
        <f t="shared" ca="1" si="62"/>
        <v>0</v>
      </c>
      <c r="W185" s="5" t="e">
        <f t="shared" ca="1" si="76"/>
        <v>#N/A</v>
      </c>
      <c r="X185" s="67">
        <f t="shared" ca="1" si="77"/>
        <v>0</v>
      </c>
      <c r="Y185" s="67" t="e">
        <f t="shared" ca="1" si="84"/>
        <v>#N/A</v>
      </c>
      <c r="Z185" s="67" t="e">
        <f t="shared" ca="1" si="85"/>
        <v>#N/A</v>
      </c>
      <c r="AA185" s="5" t="str">
        <f>IF(Setup!$I$15="Yes",'Demand background (hide)'!AJ173+'SPC background (hide)'!C185,"")</f>
        <v/>
      </c>
      <c r="AC185" s="5" t="str">
        <f t="shared" ca="1" si="78"/>
        <v/>
      </c>
      <c r="AD185" s="5" t="str">
        <f t="shared" ca="1" si="79"/>
        <v/>
      </c>
    </row>
    <row r="186" spans="1:30" x14ac:dyDescent="0.2">
      <c r="A186" s="67">
        <f>Demand!C183</f>
        <v>0</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f t="shared" ca="1" si="67"/>
        <v>5</v>
      </c>
      <c r="J186" s="5">
        <f t="shared" ca="1" si="68"/>
        <v>0</v>
      </c>
      <c r="K186" s="5">
        <f t="shared" ca="1" si="69"/>
        <v>0</v>
      </c>
      <c r="L186" s="5">
        <f t="shared" ca="1" si="70"/>
        <v>0</v>
      </c>
      <c r="M186" s="5">
        <f t="shared" ca="1" si="71"/>
        <v>0</v>
      </c>
      <c r="N186" s="5">
        <f t="shared" ca="1" si="72"/>
        <v>0</v>
      </c>
      <c r="O186" s="5">
        <f t="shared" ca="1" si="73"/>
        <v>0</v>
      </c>
      <c r="P186" s="5">
        <f t="shared" ca="1" si="74"/>
        <v>0</v>
      </c>
      <c r="Q186" s="5" t="e">
        <f t="shared" ca="1" si="75"/>
        <v>#N/A</v>
      </c>
      <c r="R186" s="5">
        <f t="shared" ca="1" si="80"/>
        <v>0</v>
      </c>
      <c r="S186" s="67" t="e">
        <f t="shared" ca="1" si="81"/>
        <v>#N/A</v>
      </c>
      <c r="T186" s="67">
        <f t="shared" ca="1" si="82"/>
        <v>0</v>
      </c>
      <c r="U186" s="67" t="e">
        <f t="shared" ca="1" si="83"/>
        <v>#N/A</v>
      </c>
      <c r="V186" s="5">
        <f t="shared" ca="1" si="62"/>
        <v>0</v>
      </c>
      <c r="W186" s="5" t="e">
        <f t="shared" ca="1" si="76"/>
        <v>#N/A</v>
      </c>
      <c r="X186" s="67">
        <f t="shared" ca="1" si="77"/>
        <v>0</v>
      </c>
      <c r="Y186" s="67" t="e">
        <f t="shared" ca="1" si="84"/>
        <v>#N/A</v>
      </c>
      <c r="Z186" s="67" t="e">
        <f t="shared" ca="1" si="85"/>
        <v>#N/A</v>
      </c>
      <c r="AA186" s="5" t="str">
        <f>IF(Setup!$I$15="Yes",'Demand background (hide)'!AJ174+'SPC background (hide)'!C186,"")</f>
        <v/>
      </c>
      <c r="AC186" s="5" t="str">
        <f t="shared" ca="1" si="78"/>
        <v/>
      </c>
      <c r="AD186" s="5" t="str">
        <f t="shared" ca="1" si="79"/>
        <v/>
      </c>
    </row>
    <row r="187" spans="1:30" x14ac:dyDescent="0.2">
      <c r="A187" s="67">
        <f>Demand!C184</f>
        <v>0</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f t="shared" ca="1" si="67"/>
        <v>5</v>
      </c>
      <c r="J187" s="5">
        <f t="shared" ca="1" si="68"/>
        <v>0</v>
      </c>
      <c r="K187" s="5">
        <f t="shared" ca="1" si="69"/>
        <v>0</v>
      </c>
      <c r="L187" s="5">
        <f t="shared" ca="1" si="70"/>
        <v>0</v>
      </c>
      <c r="M187" s="5">
        <f t="shared" ca="1" si="71"/>
        <v>0</v>
      </c>
      <c r="N187" s="5">
        <f t="shared" ca="1" si="72"/>
        <v>0</v>
      </c>
      <c r="O187" s="5">
        <f t="shared" ca="1" si="73"/>
        <v>0</v>
      </c>
      <c r="P187" s="5">
        <f t="shared" ca="1" si="74"/>
        <v>0</v>
      </c>
      <c r="Q187" s="5" t="e">
        <f t="shared" ca="1" si="75"/>
        <v>#N/A</v>
      </c>
      <c r="R187" s="5">
        <f t="shared" ca="1" si="80"/>
        <v>0</v>
      </c>
      <c r="S187" s="67" t="e">
        <f t="shared" ca="1" si="81"/>
        <v>#N/A</v>
      </c>
      <c r="T187" s="67">
        <f t="shared" ca="1" si="82"/>
        <v>0</v>
      </c>
      <c r="U187" s="67" t="e">
        <f t="shared" ca="1" si="83"/>
        <v>#N/A</v>
      </c>
      <c r="V187" s="5">
        <f t="shared" ca="1" si="62"/>
        <v>0</v>
      </c>
      <c r="W187" s="5" t="e">
        <f t="shared" ca="1" si="76"/>
        <v>#N/A</v>
      </c>
      <c r="X187" s="67">
        <f t="shared" ca="1" si="77"/>
        <v>0</v>
      </c>
      <c r="Y187" s="67" t="e">
        <f t="shared" ca="1" si="84"/>
        <v>#N/A</v>
      </c>
      <c r="Z187" s="67" t="e">
        <f t="shared" ca="1" si="85"/>
        <v>#N/A</v>
      </c>
      <c r="AA187" s="5" t="str">
        <f>IF(Setup!$I$15="Yes",'Demand background (hide)'!AJ175+'SPC background (hide)'!C187,"")</f>
        <v/>
      </c>
      <c r="AC187" s="5" t="str">
        <f t="shared" ca="1" si="78"/>
        <v/>
      </c>
      <c r="AD187" s="5" t="str">
        <f t="shared" ca="1" si="79"/>
        <v/>
      </c>
    </row>
    <row r="188" spans="1:30" x14ac:dyDescent="0.2">
      <c r="A188" s="67">
        <f>Demand!C185</f>
        <v>0</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f t="shared" ca="1" si="67"/>
        <v>5</v>
      </c>
      <c r="J188" s="5">
        <f t="shared" ca="1" si="68"/>
        <v>0</v>
      </c>
      <c r="K188" s="5">
        <f t="shared" ca="1" si="69"/>
        <v>0</v>
      </c>
      <c r="L188" s="5">
        <f t="shared" ca="1" si="70"/>
        <v>0</v>
      </c>
      <c r="M188" s="5">
        <f t="shared" ca="1" si="71"/>
        <v>0</v>
      </c>
      <c r="N188" s="5">
        <f t="shared" ca="1" si="72"/>
        <v>0</v>
      </c>
      <c r="O188" s="5">
        <f t="shared" ca="1" si="73"/>
        <v>0</v>
      </c>
      <c r="P188" s="5">
        <f t="shared" ca="1" si="74"/>
        <v>0</v>
      </c>
      <c r="Q188" s="5" t="e">
        <f t="shared" ca="1" si="75"/>
        <v>#N/A</v>
      </c>
      <c r="R188" s="5">
        <f t="shared" ca="1" si="80"/>
        <v>0</v>
      </c>
      <c r="S188" s="67" t="e">
        <f t="shared" ca="1" si="81"/>
        <v>#N/A</v>
      </c>
      <c r="T188" s="67">
        <f t="shared" ca="1" si="82"/>
        <v>0</v>
      </c>
      <c r="U188" s="67" t="e">
        <f t="shared" ca="1" si="83"/>
        <v>#N/A</v>
      </c>
      <c r="V188" s="5">
        <f t="shared" ca="1" si="62"/>
        <v>0</v>
      </c>
      <c r="W188" s="5" t="e">
        <f t="shared" ca="1" si="76"/>
        <v>#N/A</v>
      </c>
      <c r="X188" s="67">
        <f t="shared" ca="1" si="77"/>
        <v>0</v>
      </c>
      <c r="Y188" s="67" t="e">
        <f t="shared" ca="1" si="84"/>
        <v>#N/A</v>
      </c>
      <c r="Z188" s="67" t="e">
        <f t="shared" ca="1" si="85"/>
        <v>#N/A</v>
      </c>
      <c r="AA188" s="5" t="str">
        <f>IF(Setup!$I$15="Yes",'Demand background (hide)'!AJ176+'SPC background (hide)'!C188,"")</f>
        <v/>
      </c>
      <c r="AC188" s="5" t="str">
        <f t="shared" ca="1" si="78"/>
        <v/>
      </c>
      <c r="AD188" s="5" t="str">
        <f t="shared" ca="1" si="79"/>
        <v/>
      </c>
    </row>
    <row r="189" spans="1:30" x14ac:dyDescent="0.2">
      <c r="A189" s="67">
        <f>Demand!C186</f>
        <v>0</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f t="shared" ca="1" si="67"/>
        <v>5</v>
      </c>
      <c r="J189" s="5">
        <f t="shared" ca="1" si="68"/>
        <v>0</v>
      </c>
      <c r="K189" s="5">
        <f t="shared" ca="1" si="69"/>
        <v>0</v>
      </c>
      <c r="L189" s="5">
        <f t="shared" ca="1" si="70"/>
        <v>0</v>
      </c>
      <c r="M189" s="5">
        <f t="shared" ca="1" si="71"/>
        <v>0</v>
      </c>
      <c r="N189" s="5">
        <f t="shared" ca="1" si="72"/>
        <v>0</v>
      </c>
      <c r="O189" s="5">
        <f t="shared" ca="1" si="73"/>
        <v>0</v>
      </c>
      <c r="P189" s="5">
        <f t="shared" ca="1" si="74"/>
        <v>0</v>
      </c>
      <c r="Q189" s="5" t="e">
        <f t="shared" ca="1" si="75"/>
        <v>#N/A</v>
      </c>
      <c r="R189" s="5">
        <f t="shared" ca="1" si="80"/>
        <v>0</v>
      </c>
      <c r="S189" s="67" t="e">
        <f t="shared" ca="1" si="81"/>
        <v>#N/A</v>
      </c>
      <c r="T189" s="67">
        <f t="shared" ca="1" si="82"/>
        <v>0</v>
      </c>
      <c r="U189" s="67" t="e">
        <f t="shared" ca="1" si="83"/>
        <v>#N/A</v>
      </c>
      <c r="V189" s="5">
        <f t="shared" ca="1" si="62"/>
        <v>0</v>
      </c>
      <c r="W189" s="5" t="e">
        <f t="shared" ca="1" si="76"/>
        <v>#N/A</v>
      </c>
      <c r="X189" s="67">
        <f t="shared" ca="1" si="77"/>
        <v>0</v>
      </c>
      <c r="Y189" s="67" t="e">
        <f t="shared" ca="1" si="84"/>
        <v>#N/A</v>
      </c>
      <c r="Z189" s="67" t="e">
        <f t="shared" ca="1" si="85"/>
        <v>#N/A</v>
      </c>
      <c r="AA189" s="5" t="str">
        <f>IF(Setup!$I$15="Yes",'Demand background (hide)'!AJ177+'SPC background (hide)'!C189,"")</f>
        <v/>
      </c>
      <c r="AC189" s="5" t="str">
        <f t="shared" ca="1" si="78"/>
        <v/>
      </c>
      <c r="AD189" s="5" t="str">
        <f t="shared" ca="1" si="79"/>
        <v/>
      </c>
    </row>
    <row r="190" spans="1:30" x14ac:dyDescent="0.2">
      <c r="A190" s="67">
        <f>Demand!C187</f>
        <v>0</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f t="shared" ca="1" si="67"/>
        <v>5</v>
      </c>
      <c r="J190" s="5">
        <f t="shared" ca="1" si="68"/>
        <v>0</v>
      </c>
      <c r="K190" s="5">
        <f t="shared" ca="1" si="69"/>
        <v>0</v>
      </c>
      <c r="L190" s="5">
        <f t="shared" ca="1" si="70"/>
        <v>0</v>
      </c>
      <c r="M190" s="5">
        <f t="shared" ca="1" si="71"/>
        <v>0</v>
      </c>
      <c r="N190" s="5">
        <f t="shared" ca="1" si="72"/>
        <v>0</v>
      </c>
      <c r="O190" s="5">
        <f t="shared" ca="1" si="73"/>
        <v>0</v>
      </c>
      <c r="P190" s="5">
        <f t="shared" ca="1" si="74"/>
        <v>0</v>
      </c>
      <c r="Q190" s="5" t="e">
        <f t="shared" ca="1" si="75"/>
        <v>#N/A</v>
      </c>
      <c r="R190" s="5">
        <f t="shared" ca="1" si="80"/>
        <v>0</v>
      </c>
      <c r="S190" s="67" t="e">
        <f t="shared" ca="1" si="81"/>
        <v>#N/A</v>
      </c>
      <c r="T190" s="67">
        <f t="shared" ca="1" si="82"/>
        <v>0</v>
      </c>
      <c r="U190" s="67" t="e">
        <f t="shared" ca="1" si="83"/>
        <v>#N/A</v>
      </c>
      <c r="V190" s="5">
        <f t="shared" ca="1" si="62"/>
        <v>0</v>
      </c>
      <c r="W190" s="5" t="e">
        <f t="shared" ca="1" si="76"/>
        <v>#N/A</v>
      </c>
      <c r="X190" s="67">
        <f t="shared" ca="1" si="77"/>
        <v>0</v>
      </c>
      <c r="Y190" s="67" t="e">
        <f t="shared" ca="1" si="84"/>
        <v>#N/A</v>
      </c>
      <c r="Z190" s="67" t="e">
        <f t="shared" ca="1" si="85"/>
        <v>#N/A</v>
      </c>
      <c r="AA190" s="5" t="str">
        <f>IF(Setup!$I$15="Yes",'Demand background (hide)'!AJ178+'SPC background (hide)'!C190,"")</f>
        <v/>
      </c>
      <c r="AC190" s="5" t="str">
        <f t="shared" ca="1" si="78"/>
        <v/>
      </c>
      <c r="AD190" s="5" t="str">
        <f t="shared" ca="1" si="79"/>
        <v/>
      </c>
    </row>
    <row r="191" spans="1:30" x14ac:dyDescent="0.2">
      <c r="A191" s="67">
        <f>Demand!C188</f>
        <v>0</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f t="shared" ca="1" si="67"/>
        <v>5</v>
      </c>
      <c r="J191" s="5">
        <f t="shared" ca="1" si="68"/>
        <v>0</v>
      </c>
      <c r="K191" s="5">
        <f t="shared" ca="1" si="69"/>
        <v>0</v>
      </c>
      <c r="L191" s="5">
        <f t="shared" ca="1" si="70"/>
        <v>0</v>
      </c>
      <c r="M191" s="5">
        <f t="shared" ca="1" si="71"/>
        <v>0</v>
      </c>
      <c r="N191" s="5">
        <f t="shared" ca="1" si="72"/>
        <v>0</v>
      </c>
      <c r="O191" s="5">
        <f t="shared" ca="1" si="73"/>
        <v>0</v>
      </c>
      <c r="P191" s="5">
        <f t="shared" ca="1" si="74"/>
        <v>0</v>
      </c>
      <c r="Q191" s="5" t="e">
        <f t="shared" ca="1" si="75"/>
        <v>#N/A</v>
      </c>
      <c r="R191" s="5">
        <f t="shared" ca="1" si="80"/>
        <v>0</v>
      </c>
      <c r="S191" s="67" t="e">
        <f t="shared" ca="1" si="81"/>
        <v>#N/A</v>
      </c>
      <c r="T191" s="67">
        <f t="shared" ca="1" si="82"/>
        <v>0</v>
      </c>
      <c r="U191" s="67" t="e">
        <f t="shared" ca="1" si="83"/>
        <v>#N/A</v>
      </c>
      <c r="V191" s="5">
        <f t="shared" ca="1" si="62"/>
        <v>0</v>
      </c>
      <c r="W191" s="5" t="e">
        <f t="shared" ca="1" si="76"/>
        <v>#N/A</v>
      </c>
      <c r="X191" s="67">
        <f t="shared" ca="1" si="77"/>
        <v>0</v>
      </c>
      <c r="Y191" s="67" t="e">
        <f t="shared" ca="1" si="84"/>
        <v>#N/A</v>
      </c>
      <c r="Z191" s="67" t="e">
        <f t="shared" ca="1" si="85"/>
        <v>#N/A</v>
      </c>
      <c r="AA191" s="5" t="str">
        <f>IF(Setup!$I$15="Yes",'Demand background (hide)'!AJ179+'SPC background (hide)'!C191,"")</f>
        <v/>
      </c>
      <c r="AC191" s="5" t="str">
        <f t="shared" ca="1" si="78"/>
        <v/>
      </c>
      <c r="AD191" s="5" t="str">
        <f t="shared" ca="1" si="79"/>
        <v/>
      </c>
    </row>
    <row r="192" spans="1:30" x14ac:dyDescent="0.2">
      <c r="A192" s="67">
        <f>Demand!C189</f>
        <v>0</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f t="shared" ca="1" si="67"/>
        <v>5</v>
      </c>
      <c r="J192" s="5">
        <f t="shared" ca="1" si="68"/>
        <v>0</v>
      </c>
      <c r="K192" s="5">
        <f t="shared" ca="1" si="69"/>
        <v>0</v>
      </c>
      <c r="L192" s="5">
        <f t="shared" ca="1" si="70"/>
        <v>0</v>
      </c>
      <c r="M192" s="5">
        <f t="shared" ca="1" si="71"/>
        <v>0</v>
      </c>
      <c r="N192" s="5">
        <f t="shared" ca="1" si="72"/>
        <v>0</v>
      </c>
      <c r="O192" s="5">
        <f t="shared" ca="1" si="73"/>
        <v>0</v>
      </c>
      <c r="P192" s="5">
        <f t="shared" ca="1" si="74"/>
        <v>0</v>
      </c>
      <c r="Q192" s="5" t="e">
        <f t="shared" ca="1" si="75"/>
        <v>#N/A</v>
      </c>
      <c r="R192" s="5">
        <f t="shared" ca="1" si="80"/>
        <v>0</v>
      </c>
      <c r="S192" s="67" t="e">
        <f t="shared" ca="1" si="81"/>
        <v>#N/A</v>
      </c>
      <c r="T192" s="67">
        <f t="shared" ca="1" si="82"/>
        <v>0</v>
      </c>
      <c r="U192" s="67" t="e">
        <f t="shared" ca="1" si="83"/>
        <v>#N/A</v>
      </c>
      <c r="V192" s="5">
        <f t="shared" ca="1" si="62"/>
        <v>0</v>
      </c>
      <c r="W192" s="5" t="e">
        <f t="shared" ca="1" si="76"/>
        <v>#N/A</v>
      </c>
      <c r="X192" s="67">
        <f t="shared" ca="1" si="77"/>
        <v>0</v>
      </c>
      <c r="Y192" s="67" t="e">
        <f t="shared" ca="1" si="84"/>
        <v>#N/A</v>
      </c>
      <c r="Z192" s="67" t="e">
        <f t="shared" ca="1" si="85"/>
        <v>#N/A</v>
      </c>
      <c r="AA192" s="5" t="str">
        <f>IF(Setup!$I$15="Yes",'Demand background (hide)'!AJ180+'SPC background (hide)'!C192,"")</f>
        <v/>
      </c>
      <c r="AC192" s="5" t="str">
        <f t="shared" ca="1" si="78"/>
        <v/>
      </c>
      <c r="AD192" s="5" t="str">
        <f t="shared" ca="1" si="79"/>
        <v/>
      </c>
    </row>
    <row r="193" spans="1:30" x14ac:dyDescent="0.2">
      <c r="A193" s="67">
        <f>Demand!C190</f>
        <v>0</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f t="shared" ca="1" si="67"/>
        <v>5</v>
      </c>
      <c r="J193" s="5">
        <f t="shared" ca="1" si="68"/>
        <v>0</v>
      </c>
      <c r="K193" s="5">
        <f t="shared" ca="1" si="69"/>
        <v>0</v>
      </c>
      <c r="L193" s="5">
        <f t="shared" ca="1" si="70"/>
        <v>0</v>
      </c>
      <c r="M193" s="5">
        <f t="shared" ca="1" si="71"/>
        <v>0</v>
      </c>
      <c r="N193" s="5">
        <f t="shared" ca="1" si="72"/>
        <v>0</v>
      </c>
      <c r="O193" s="5">
        <f t="shared" ca="1" si="73"/>
        <v>0</v>
      </c>
      <c r="P193" s="5">
        <f t="shared" ca="1" si="74"/>
        <v>0</v>
      </c>
      <c r="Q193" s="5" t="e">
        <f t="shared" ca="1" si="75"/>
        <v>#N/A</v>
      </c>
      <c r="R193" s="5">
        <f t="shared" ca="1" si="80"/>
        <v>0</v>
      </c>
      <c r="S193" s="67" t="e">
        <f t="shared" ca="1" si="81"/>
        <v>#N/A</v>
      </c>
      <c r="T193" s="67">
        <f t="shared" ca="1" si="82"/>
        <v>0</v>
      </c>
      <c r="U193" s="67" t="e">
        <f t="shared" ca="1" si="83"/>
        <v>#N/A</v>
      </c>
      <c r="V193" s="5">
        <f t="shared" ca="1" si="62"/>
        <v>0</v>
      </c>
      <c r="W193" s="5" t="e">
        <f t="shared" ca="1" si="76"/>
        <v>#N/A</v>
      </c>
      <c r="X193" s="67">
        <f t="shared" ca="1" si="77"/>
        <v>0</v>
      </c>
      <c r="Y193" s="67" t="e">
        <f t="shared" ca="1" si="84"/>
        <v>#N/A</v>
      </c>
      <c r="Z193" s="67" t="e">
        <f t="shared" ca="1" si="85"/>
        <v>#N/A</v>
      </c>
      <c r="AA193" s="5" t="str">
        <f>IF(Setup!$I$15="Yes",'Demand background (hide)'!AJ181+'SPC background (hide)'!C193,"")</f>
        <v/>
      </c>
      <c r="AC193" s="5" t="str">
        <f t="shared" ca="1" si="78"/>
        <v/>
      </c>
      <c r="AD193" s="5" t="str">
        <f t="shared" ca="1" si="79"/>
        <v/>
      </c>
    </row>
    <row r="194" spans="1:30" x14ac:dyDescent="0.2">
      <c r="A194" s="67">
        <f>Demand!C191</f>
        <v>0</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f t="shared" ca="1" si="67"/>
        <v>5</v>
      </c>
      <c r="J194" s="5">
        <f t="shared" ca="1" si="68"/>
        <v>0</v>
      </c>
      <c r="K194" s="5">
        <f t="shared" ca="1" si="69"/>
        <v>0</v>
      </c>
      <c r="L194" s="5">
        <f t="shared" ca="1" si="70"/>
        <v>0</v>
      </c>
      <c r="M194" s="5">
        <f t="shared" ca="1" si="71"/>
        <v>0</v>
      </c>
      <c r="N194" s="5">
        <f t="shared" ca="1" si="72"/>
        <v>0</v>
      </c>
      <c r="O194" s="5">
        <f t="shared" ca="1" si="73"/>
        <v>0</v>
      </c>
      <c r="P194" s="5">
        <f t="shared" ca="1" si="74"/>
        <v>0</v>
      </c>
      <c r="Q194" s="5" t="e">
        <f t="shared" ca="1" si="75"/>
        <v>#N/A</v>
      </c>
      <c r="R194" s="5">
        <f t="shared" ca="1" si="80"/>
        <v>0</v>
      </c>
      <c r="S194" s="67" t="e">
        <f t="shared" ca="1" si="81"/>
        <v>#N/A</v>
      </c>
      <c r="T194" s="67">
        <f t="shared" ca="1" si="82"/>
        <v>0</v>
      </c>
      <c r="U194" s="67" t="e">
        <f t="shared" ca="1" si="83"/>
        <v>#N/A</v>
      </c>
      <c r="V194" s="5">
        <f t="shared" ca="1" si="62"/>
        <v>0</v>
      </c>
      <c r="W194" s="5" t="e">
        <f t="shared" ca="1" si="76"/>
        <v>#N/A</v>
      </c>
      <c r="X194" s="67">
        <f t="shared" ca="1" si="77"/>
        <v>0</v>
      </c>
      <c r="Y194" s="67" t="e">
        <f t="shared" ca="1" si="84"/>
        <v>#N/A</v>
      </c>
      <c r="Z194" s="67" t="e">
        <f t="shared" ca="1" si="85"/>
        <v>#N/A</v>
      </c>
      <c r="AA194" s="5" t="str">
        <f>IF(Setup!$I$15="Yes",'Demand background (hide)'!AJ182+'SPC background (hide)'!C194,"")</f>
        <v/>
      </c>
      <c r="AC194" s="5" t="str">
        <f t="shared" ca="1" si="78"/>
        <v/>
      </c>
      <c r="AD194" s="5" t="str">
        <f t="shared" ca="1" si="79"/>
        <v/>
      </c>
    </row>
    <row r="195" spans="1:30" x14ac:dyDescent="0.2">
      <c r="A195" s="67">
        <f>Demand!C192</f>
        <v>0</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f t="shared" ca="1" si="67"/>
        <v>5</v>
      </c>
      <c r="J195" s="5">
        <f t="shared" ca="1" si="68"/>
        <v>0</v>
      </c>
      <c r="K195" s="5">
        <f t="shared" ca="1" si="69"/>
        <v>0</v>
      </c>
      <c r="L195" s="5">
        <f t="shared" ca="1" si="70"/>
        <v>0</v>
      </c>
      <c r="M195" s="5">
        <f t="shared" ca="1" si="71"/>
        <v>0</v>
      </c>
      <c r="N195" s="5">
        <f t="shared" ca="1" si="72"/>
        <v>0</v>
      </c>
      <c r="O195" s="5">
        <f t="shared" ca="1" si="73"/>
        <v>0</v>
      </c>
      <c r="P195" s="5">
        <f t="shared" ca="1" si="74"/>
        <v>0</v>
      </c>
      <c r="Q195" s="5" t="e">
        <f t="shared" ca="1" si="75"/>
        <v>#N/A</v>
      </c>
      <c r="R195" s="5">
        <f t="shared" ca="1" si="80"/>
        <v>0</v>
      </c>
      <c r="S195" s="67" t="e">
        <f t="shared" ca="1" si="81"/>
        <v>#N/A</v>
      </c>
      <c r="T195" s="67">
        <f t="shared" ca="1" si="82"/>
        <v>0</v>
      </c>
      <c r="U195" s="67" t="e">
        <f t="shared" ca="1" si="83"/>
        <v>#N/A</v>
      </c>
      <c r="V195" s="5">
        <f t="shared" ca="1" si="62"/>
        <v>0</v>
      </c>
      <c r="W195" s="5" t="e">
        <f t="shared" ca="1" si="76"/>
        <v>#N/A</v>
      </c>
      <c r="X195" s="67">
        <f t="shared" ca="1" si="77"/>
        <v>0</v>
      </c>
      <c r="Y195" s="67" t="e">
        <f t="shared" ca="1" si="84"/>
        <v>#N/A</v>
      </c>
      <c r="Z195" s="67" t="e">
        <f t="shared" ca="1" si="85"/>
        <v>#N/A</v>
      </c>
      <c r="AA195" s="5" t="str">
        <f>IF(Setup!$I$15="Yes",'Demand background (hide)'!AJ183+'SPC background (hide)'!C195,"")</f>
        <v/>
      </c>
      <c r="AC195" s="5" t="str">
        <f t="shared" ca="1" si="78"/>
        <v/>
      </c>
      <c r="AD195" s="5" t="str">
        <f t="shared" ca="1" si="79"/>
        <v/>
      </c>
    </row>
    <row r="196" spans="1:30" x14ac:dyDescent="0.2">
      <c r="A196" s="67">
        <f>Demand!C193</f>
        <v>0</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f t="shared" ca="1" si="67"/>
        <v>5</v>
      </c>
      <c r="J196" s="5">
        <f t="shared" ca="1" si="68"/>
        <v>0</v>
      </c>
      <c r="K196" s="5">
        <f t="shared" ca="1" si="69"/>
        <v>0</v>
      </c>
      <c r="L196" s="5">
        <f t="shared" ca="1" si="70"/>
        <v>0</v>
      </c>
      <c r="M196" s="5">
        <f t="shared" ca="1" si="71"/>
        <v>0</v>
      </c>
      <c r="N196" s="5">
        <f t="shared" ca="1" si="72"/>
        <v>0</v>
      </c>
      <c r="O196" s="5">
        <f t="shared" ca="1" si="73"/>
        <v>0</v>
      </c>
      <c r="P196" s="5">
        <f t="shared" ca="1" si="74"/>
        <v>0</v>
      </c>
      <c r="Q196" s="5" t="e">
        <f t="shared" ca="1" si="75"/>
        <v>#N/A</v>
      </c>
      <c r="R196" s="5">
        <f t="shared" ca="1" si="80"/>
        <v>0</v>
      </c>
      <c r="S196" s="67" t="e">
        <f t="shared" ca="1" si="81"/>
        <v>#N/A</v>
      </c>
      <c r="T196" s="67">
        <f t="shared" ca="1" si="82"/>
        <v>0</v>
      </c>
      <c r="U196" s="67" t="e">
        <f t="shared" ca="1" si="83"/>
        <v>#N/A</v>
      </c>
      <c r="V196" s="5">
        <f t="shared" ca="1" si="62"/>
        <v>0</v>
      </c>
      <c r="W196" s="5" t="e">
        <f t="shared" ca="1" si="76"/>
        <v>#N/A</v>
      </c>
      <c r="X196" s="67">
        <f t="shared" ca="1" si="77"/>
        <v>0</v>
      </c>
      <c r="Y196" s="67" t="e">
        <f t="shared" ca="1" si="84"/>
        <v>#N/A</v>
      </c>
      <c r="Z196" s="67" t="e">
        <f t="shared" ca="1" si="85"/>
        <v>#N/A</v>
      </c>
      <c r="AA196" s="5" t="str">
        <f>IF(Setup!$I$15="Yes",'Demand background (hide)'!AJ184+'SPC background (hide)'!C196,"")</f>
        <v/>
      </c>
      <c r="AC196" s="5" t="str">
        <f t="shared" ca="1" si="78"/>
        <v/>
      </c>
      <c r="AD196" s="5" t="str">
        <f t="shared" ca="1" si="79"/>
        <v/>
      </c>
    </row>
    <row r="197" spans="1:30" x14ac:dyDescent="0.2">
      <c r="A197" s="67">
        <f>Demand!C194</f>
        <v>0</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f t="shared" ca="1" si="67"/>
        <v>5</v>
      </c>
      <c r="J197" s="5">
        <f t="shared" ca="1" si="68"/>
        <v>0</v>
      </c>
      <c r="K197" s="5">
        <f t="shared" ca="1" si="69"/>
        <v>0</v>
      </c>
      <c r="L197" s="5">
        <f t="shared" ca="1" si="70"/>
        <v>0</v>
      </c>
      <c r="M197" s="5">
        <f t="shared" ca="1" si="71"/>
        <v>0</v>
      </c>
      <c r="N197" s="5">
        <f t="shared" ca="1" si="72"/>
        <v>0</v>
      </c>
      <c r="O197" s="5">
        <f t="shared" ca="1" si="73"/>
        <v>0</v>
      </c>
      <c r="P197" s="5">
        <f t="shared" ca="1" si="74"/>
        <v>0</v>
      </c>
      <c r="Q197" s="5" t="e">
        <f t="shared" ca="1" si="75"/>
        <v>#N/A</v>
      </c>
      <c r="R197" s="5">
        <f t="shared" ca="1" si="80"/>
        <v>0</v>
      </c>
      <c r="S197" s="67" t="e">
        <f t="shared" ca="1" si="81"/>
        <v>#N/A</v>
      </c>
      <c r="T197" s="67">
        <f t="shared" ca="1" si="82"/>
        <v>0</v>
      </c>
      <c r="U197" s="67" t="e">
        <f t="shared" ca="1" si="83"/>
        <v>#N/A</v>
      </c>
      <c r="V197" s="5">
        <f t="shared" ca="1" si="62"/>
        <v>0</v>
      </c>
      <c r="W197" s="5" t="e">
        <f t="shared" ca="1" si="76"/>
        <v>#N/A</v>
      </c>
      <c r="X197" s="67">
        <f t="shared" ca="1" si="77"/>
        <v>0</v>
      </c>
      <c r="Y197" s="67" t="e">
        <f t="shared" ca="1" si="84"/>
        <v>#N/A</v>
      </c>
      <c r="Z197" s="67" t="e">
        <f t="shared" ca="1" si="85"/>
        <v>#N/A</v>
      </c>
      <c r="AA197" s="5" t="str">
        <f>IF(Setup!$I$15="Yes",'Demand background (hide)'!AJ185+'SPC background (hide)'!C197,"")</f>
        <v/>
      </c>
      <c r="AC197" s="5" t="str">
        <f t="shared" ca="1" si="78"/>
        <v/>
      </c>
      <c r="AD197" s="5" t="str">
        <f t="shared" ca="1" si="79"/>
        <v/>
      </c>
    </row>
    <row r="198" spans="1:30" x14ac:dyDescent="0.2">
      <c r="A198" s="67">
        <f>Demand!C195</f>
        <v>0</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f t="shared" ca="1" si="67"/>
        <v>5</v>
      </c>
      <c r="J198" s="5">
        <f t="shared" ca="1" si="68"/>
        <v>0</v>
      </c>
      <c r="K198" s="5">
        <f t="shared" ca="1" si="69"/>
        <v>0</v>
      </c>
      <c r="L198" s="5">
        <f t="shared" ca="1" si="70"/>
        <v>0</v>
      </c>
      <c r="M198" s="5">
        <f t="shared" ca="1" si="71"/>
        <v>0</v>
      </c>
      <c r="N198" s="5">
        <f t="shared" ca="1" si="72"/>
        <v>0</v>
      </c>
      <c r="O198" s="5">
        <f t="shared" ca="1" si="73"/>
        <v>0</v>
      </c>
      <c r="P198" s="5">
        <f t="shared" ca="1" si="74"/>
        <v>0</v>
      </c>
      <c r="Q198" s="5" t="e">
        <f t="shared" ca="1" si="75"/>
        <v>#N/A</v>
      </c>
      <c r="R198" s="5">
        <f t="shared" ca="1" si="80"/>
        <v>0</v>
      </c>
      <c r="S198" s="67" t="e">
        <f t="shared" ca="1" si="81"/>
        <v>#N/A</v>
      </c>
      <c r="T198" s="67">
        <f t="shared" ca="1" si="82"/>
        <v>0</v>
      </c>
      <c r="U198" s="67" t="e">
        <f t="shared" ca="1" si="83"/>
        <v>#N/A</v>
      </c>
      <c r="V198" s="5">
        <f t="shared" ca="1" si="62"/>
        <v>0</v>
      </c>
      <c r="W198" s="5" t="e">
        <f t="shared" ca="1" si="76"/>
        <v>#N/A</v>
      </c>
      <c r="X198" s="67">
        <f t="shared" ca="1" si="77"/>
        <v>0</v>
      </c>
      <c r="Y198" s="67" t="e">
        <f t="shared" ca="1" si="84"/>
        <v>#N/A</v>
      </c>
      <c r="Z198" s="67" t="e">
        <f t="shared" ca="1" si="85"/>
        <v>#N/A</v>
      </c>
      <c r="AA198" s="5" t="str">
        <f>IF(Setup!$I$15="Yes",'Demand background (hide)'!AJ186+'SPC background (hide)'!C198,"")</f>
        <v/>
      </c>
      <c r="AC198" s="5" t="str">
        <f t="shared" ca="1" si="78"/>
        <v/>
      </c>
      <c r="AD198" s="5" t="str">
        <f t="shared" ca="1" si="79"/>
        <v/>
      </c>
    </row>
    <row r="199" spans="1:30" x14ac:dyDescent="0.2">
      <c r="A199" s="67">
        <f>Demand!C196</f>
        <v>0</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f t="shared" ca="1" si="67"/>
        <v>5</v>
      </c>
      <c r="J199" s="5">
        <f t="shared" ca="1" si="68"/>
        <v>0</v>
      </c>
      <c r="K199" s="5">
        <f t="shared" ca="1" si="69"/>
        <v>0</v>
      </c>
      <c r="L199" s="5">
        <f t="shared" ca="1" si="70"/>
        <v>0</v>
      </c>
      <c r="M199" s="5">
        <f t="shared" ca="1" si="71"/>
        <v>0</v>
      </c>
      <c r="N199" s="5">
        <f t="shared" ca="1" si="72"/>
        <v>0</v>
      </c>
      <c r="O199" s="5">
        <f t="shared" ca="1" si="73"/>
        <v>0</v>
      </c>
      <c r="P199" s="5">
        <f t="shared" ca="1" si="74"/>
        <v>0</v>
      </c>
      <c r="Q199" s="5" t="e">
        <f t="shared" ca="1" si="75"/>
        <v>#N/A</v>
      </c>
      <c r="R199" s="5">
        <f t="shared" ca="1" si="80"/>
        <v>0</v>
      </c>
      <c r="S199" s="67" t="e">
        <f t="shared" ca="1" si="81"/>
        <v>#N/A</v>
      </c>
      <c r="T199" s="67">
        <f t="shared" ca="1" si="82"/>
        <v>0</v>
      </c>
      <c r="U199" s="67" t="e">
        <f t="shared" ca="1" si="83"/>
        <v>#N/A</v>
      </c>
      <c r="V199" s="5">
        <f t="shared" ca="1" si="62"/>
        <v>0</v>
      </c>
      <c r="W199" s="5" t="e">
        <f t="shared" ca="1" si="76"/>
        <v>#N/A</v>
      </c>
      <c r="X199" s="67">
        <f t="shared" ca="1" si="77"/>
        <v>0</v>
      </c>
      <c r="Y199" s="67" t="e">
        <f t="shared" ca="1" si="84"/>
        <v>#N/A</v>
      </c>
      <c r="Z199" s="67" t="e">
        <f t="shared" ca="1" si="85"/>
        <v>#N/A</v>
      </c>
      <c r="AA199" s="5" t="str">
        <f>IF(Setup!$I$15="Yes",'Demand background (hide)'!AJ187+'SPC background (hide)'!C199,"")</f>
        <v/>
      </c>
      <c r="AC199" s="5" t="str">
        <f t="shared" ca="1" si="78"/>
        <v/>
      </c>
      <c r="AD199" s="5" t="str">
        <f t="shared" ca="1" si="79"/>
        <v/>
      </c>
    </row>
    <row r="200" spans="1:30" x14ac:dyDescent="0.2">
      <c r="A200" s="67">
        <f>Demand!C197</f>
        <v>0</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f t="shared" ca="1" si="67"/>
        <v>5</v>
      </c>
      <c r="J200" s="5">
        <f t="shared" ca="1" si="68"/>
        <v>0</v>
      </c>
      <c r="K200" s="5">
        <f t="shared" ca="1" si="69"/>
        <v>0</v>
      </c>
      <c r="L200" s="5">
        <f t="shared" ca="1" si="70"/>
        <v>0</v>
      </c>
      <c r="M200" s="5">
        <f t="shared" ca="1" si="71"/>
        <v>0</v>
      </c>
      <c r="N200" s="5">
        <f t="shared" ca="1" si="72"/>
        <v>0</v>
      </c>
      <c r="O200" s="5">
        <f t="shared" ca="1" si="73"/>
        <v>0</v>
      </c>
      <c r="P200" s="5">
        <f t="shared" ca="1" si="74"/>
        <v>0</v>
      </c>
      <c r="Q200" s="5" t="e">
        <f t="shared" ca="1" si="75"/>
        <v>#N/A</v>
      </c>
      <c r="R200" s="5">
        <f t="shared" ca="1" si="80"/>
        <v>0</v>
      </c>
      <c r="S200" s="67" t="e">
        <f t="shared" ca="1" si="81"/>
        <v>#N/A</v>
      </c>
      <c r="T200" s="67">
        <f t="shared" ca="1" si="82"/>
        <v>0</v>
      </c>
      <c r="U200" s="67" t="e">
        <f t="shared" ca="1" si="83"/>
        <v>#N/A</v>
      </c>
      <c r="V200" s="5">
        <f t="shared" ca="1" si="62"/>
        <v>0</v>
      </c>
      <c r="W200" s="5" t="e">
        <f t="shared" ca="1" si="76"/>
        <v>#N/A</v>
      </c>
      <c r="X200" s="67">
        <f t="shared" ca="1" si="77"/>
        <v>0</v>
      </c>
      <c r="Y200" s="67" t="e">
        <f t="shared" ca="1" si="84"/>
        <v>#N/A</v>
      </c>
      <c r="Z200" s="67" t="e">
        <f t="shared" ca="1" si="85"/>
        <v>#N/A</v>
      </c>
      <c r="AA200" s="5" t="str">
        <f>IF(Setup!$I$15="Yes",'Demand background (hide)'!AJ188+'SPC background (hide)'!C200,"")</f>
        <v/>
      </c>
      <c r="AC200" s="5" t="str">
        <f t="shared" ca="1" si="78"/>
        <v/>
      </c>
      <c r="AD200" s="5" t="str">
        <f t="shared" ca="1" si="79"/>
        <v/>
      </c>
    </row>
    <row r="201" spans="1:30" x14ac:dyDescent="0.2">
      <c r="A201" s="67">
        <f>Demand!C198</f>
        <v>0</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f t="shared" ca="1" si="67"/>
        <v>5</v>
      </c>
      <c r="J201" s="5">
        <f t="shared" ca="1" si="68"/>
        <v>0</v>
      </c>
      <c r="K201" s="5">
        <f t="shared" ca="1" si="69"/>
        <v>0</v>
      </c>
      <c r="L201" s="5">
        <f t="shared" ca="1" si="70"/>
        <v>0</v>
      </c>
      <c r="M201" s="5">
        <f t="shared" ca="1" si="71"/>
        <v>0</v>
      </c>
      <c r="N201" s="5">
        <f t="shared" ca="1" si="72"/>
        <v>0</v>
      </c>
      <c r="O201" s="5">
        <f t="shared" ca="1" si="73"/>
        <v>0</v>
      </c>
      <c r="P201" s="5">
        <f t="shared" ca="1" si="74"/>
        <v>0</v>
      </c>
      <c r="Q201" s="5" t="e">
        <f t="shared" ca="1" si="75"/>
        <v>#N/A</v>
      </c>
      <c r="R201" s="5">
        <f t="shared" ca="1" si="80"/>
        <v>0</v>
      </c>
      <c r="S201" s="67" t="e">
        <f t="shared" ca="1" si="81"/>
        <v>#N/A</v>
      </c>
      <c r="T201" s="67">
        <f t="shared" ca="1" si="82"/>
        <v>0</v>
      </c>
      <c r="U201" s="67" t="e">
        <f t="shared" ca="1" si="83"/>
        <v>#N/A</v>
      </c>
      <c r="V201" s="5">
        <f t="shared" ca="1" si="62"/>
        <v>0</v>
      </c>
      <c r="W201" s="5" t="e">
        <f t="shared" ca="1" si="76"/>
        <v>#N/A</v>
      </c>
      <c r="X201" s="67">
        <f t="shared" ca="1" si="77"/>
        <v>0</v>
      </c>
      <c r="Y201" s="67" t="e">
        <f t="shared" ca="1" si="84"/>
        <v>#N/A</v>
      </c>
      <c r="Z201" s="67" t="e">
        <f t="shared" ca="1" si="85"/>
        <v>#N/A</v>
      </c>
      <c r="AA201" s="5" t="str">
        <f>IF(Setup!$I$15="Yes",'Demand background (hide)'!AJ189+'SPC background (hide)'!C201,"")</f>
        <v/>
      </c>
      <c r="AC201" s="5" t="str">
        <f t="shared" ca="1" si="78"/>
        <v/>
      </c>
      <c r="AD201" s="5" t="str">
        <f t="shared" ca="1" si="79"/>
        <v/>
      </c>
    </row>
    <row r="202" spans="1:30" x14ac:dyDescent="0.2">
      <c r="A202" s="67">
        <f>Demand!C199</f>
        <v>0</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f t="shared" ca="1" si="67"/>
        <v>5</v>
      </c>
      <c r="J202" s="5">
        <f t="shared" ca="1" si="68"/>
        <v>0</v>
      </c>
      <c r="K202" s="5">
        <f t="shared" ca="1" si="69"/>
        <v>0</v>
      </c>
      <c r="L202" s="5">
        <f t="shared" ca="1" si="70"/>
        <v>0</v>
      </c>
      <c r="M202" s="5">
        <f t="shared" ca="1" si="71"/>
        <v>0</v>
      </c>
      <c r="N202" s="5">
        <f t="shared" ca="1" si="72"/>
        <v>0</v>
      </c>
      <c r="O202" s="5">
        <f t="shared" ca="1" si="73"/>
        <v>0</v>
      </c>
      <c r="P202" s="5">
        <f t="shared" ca="1" si="74"/>
        <v>0</v>
      </c>
      <c r="Q202" s="5" t="e">
        <f t="shared" ca="1" si="75"/>
        <v>#N/A</v>
      </c>
      <c r="R202" s="5">
        <f t="shared" ca="1" si="80"/>
        <v>0</v>
      </c>
      <c r="S202" s="67" t="e">
        <f t="shared" ca="1" si="81"/>
        <v>#N/A</v>
      </c>
      <c r="T202" s="67">
        <f t="shared" ca="1" si="82"/>
        <v>0</v>
      </c>
      <c r="U202" s="67" t="e">
        <f t="shared" ca="1" si="83"/>
        <v>#N/A</v>
      </c>
      <c r="V202" s="5">
        <f t="shared" ca="1" si="62"/>
        <v>0</v>
      </c>
      <c r="W202" s="5" t="e">
        <f t="shared" ca="1" si="76"/>
        <v>#N/A</v>
      </c>
      <c r="X202" s="67">
        <f t="shared" ca="1" si="77"/>
        <v>0</v>
      </c>
      <c r="Y202" s="67" t="e">
        <f t="shared" ca="1" si="84"/>
        <v>#N/A</v>
      </c>
      <c r="Z202" s="67" t="e">
        <f t="shared" ca="1" si="85"/>
        <v>#N/A</v>
      </c>
      <c r="AA202" s="5" t="str">
        <f>IF(Setup!$I$15="Yes",'Demand background (hide)'!AJ190+'SPC background (hide)'!C202,"")</f>
        <v/>
      </c>
      <c r="AC202" s="5" t="str">
        <f t="shared" ca="1" si="78"/>
        <v/>
      </c>
      <c r="AD202" s="5" t="str">
        <f t="shared" ca="1" si="79"/>
        <v/>
      </c>
    </row>
    <row r="203" spans="1:30" x14ac:dyDescent="0.2">
      <c r="A203" s="67">
        <f>Demand!C200</f>
        <v>0</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f t="shared" ca="1" si="67"/>
        <v>5</v>
      </c>
      <c r="J203" s="5">
        <f t="shared" ca="1" si="68"/>
        <v>0</v>
      </c>
      <c r="K203" s="5">
        <f t="shared" ca="1" si="69"/>
        <v>0</v>
      </c>
      <c r="L203" s="5">
        <f t="shared" ca="1" si="70"/>
        <v>0</v>
      </c>
      <c r="M203" s="5">
        <f t="shared" ca="1" si="71"/>
        <v>0</v>
      </c>
      <c r="N203" s="5">
        <f t="shared" ca="1" si="72"/>
        <v>0</v>
      </c>
      <c r="O203" s="5">
        <f t="shared" ca="1" si="73"/>
        <v>0</v>
      </c>
      <c r="P203" s="5">
        <f t="shared" ca="1" si="74"/>
        <v>0</v>
      </c>
      <c r="Q203" s="5" t="e">
        <f t="shared" ca="1" si="75"/>
        <v>#N/A</v>
      </c>
      <c r="R203" s="5">
        <f t="shared" ca="1" si="80"/>
        <v>0</v>
      </c>
      <c r="S203" s="67" t="e">
        <f t="shared" ca="1" si="81"/>
        <v>#N/A</v>
      </c>
      <c r="T203" s="67">
        <f t="shared" ca="1" si="82"/>
        <v>0</v>
      </c>
      <c r="U203" s="67" t="e">
        <f t="shared" ca="1" si="83"/>
        <v>#N/A</v>
      </c>
      <c r="V203" s="5">
        <f t="shared" ca="1" si="62"/>
        <v>0</v>
      </c>
      <c r="W203" s="5" t="e">
        <f t="shared" ca="1" si="76"/>
        <v>#N/A</v>
      </c>
      <c r="X203" s="67">
        <f t="shared" ca="1" si="77"/>
        <v>0</v>
      </c>
      <c r="Y203" s="67" t="e">
        <f t="shared" ca="1" si="84"/>
        <v>#N/A</v>
      </c>
      <c r="Z203" s="67" t="e">
        <f t="shared" ca="1" si="85"/>
        <v>#N/A</v>
      </c>
      <c r="AA203" s="5" t="str">
        <f>IF(Setup!$I$15="Yes",'Demand background (hide)'!AJ191+'SPC background (hide)'!C203,"")</f>
        <v/>
      </c>
      <c r="AC203" s="5" t="str">
        <f t="shared" ca="1" si="78"/>
        <v/>
      </c>
      <c r="AD203" s="5" t="str">
        <f t="shared" ca="1" si="79"/>
        <v/>
      </c>
    </row>
    <row r="204" spans="1:30" x14ac:dyDescent="0.2">
      <c r="A204" s="67">
        <f>Demand!C201</f>
        <v>0</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f t="shared" ca="1" si="67"/>
        <v>5</v>
      </c>
      <c r="J204" s="5">
        <f t="shared" ca="1" si="68"/>
        <v>0</v>
      </c>
      <c r="K204" s="5">
        <f t="shared" ca="1" si="69"/>
        <v>0</v>
      </c>
      <c r="L204" s="5">
        <f t="shared" ca="1" si="70"/>
        <v>0</v>
      </c>
      <c r="M204" s="5">
        <f t="shared" ca="1" si="71"/>
        <v>0</v>
      </c>
      <c r="N204" s="5">
        <f t="shared" ca="1" si="72"/>
        <v>0</v>
      </c>
      <c r="O204" s="5">
        <f t="shared" ca="1" si="73"/>
        <v>0</v>
      </c>
      <c r="P204" s="5">
        <f t="shared" ca="1" si="74"/>
        <v>0</v>
      </c>
      <c r="Q204" s="5" t="e">
        <f t="shared" ca="1" si="75"/>
        <v>#N/A</v>
      </c>
      <c r="R204" s="5">
        <f t="shared" ca="1" si="80"/>
        <v>0</v>
      </c>
      <c r="S204" s="67" t="e">
        <f t="shared" ca="1" si="81"/>
        <v>#N/A</v>
      </c>
      <c r="T204" s="67">
        <f t="shared" ca="1" si="82"/>
        <v>0</v>
      </c>
      <c r="U204" s="67" t="e">
        <f t="shared" ca="1" si="83"/>
        <v>#N/A</v>
      </c>
      <c r="V204" s="5">
        <f t="shared" ca="1" si="62"/>
        <v>0</v>
      </c>
      <c r="W204" s="5" t="e">
        <f t="shared" ca="1" si="76"/>
        <v>#N/A</v>
      </c>
      <c r="X204" s="67">
        <f t="shared" ca="1" si="77"/>
        <v>0</v>
      </c>
      <c r="Y204" s="67" t="e">
        <f t="shared" ca="1" si="84"/>
        <v>#N/A</v>
      </c>
      <c r="Z204" s="67" t="e">
        <f t="shared" ca="1" si="85"/>
        <v>#N/A</v>
      </c>
      <c r="AA204" s="5" t="str">
        <f>IF(Setup!$I$15="Yes",'Demand background (hide)'!AJ192+'SPC background (hide)'!C204,"")</f>
        <v/>
      </c>
      <c r="AC204" s="5" t="str">
        <f t="shared" ca="1" si="78"/>
        <v/>
      </c>
      <c r="AD204" s="5" t="str">
        <f t="shared" ca="1" si="79"/>
        <v/>
      </c>
    </row>
    <row r="205" spans="1:30" x14ac:dyDescent="0.2">
      <c r="A205" s="67">
        <f>Demand!C202</f>
        <v>0</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f t="shared" ca="1" si="67"/>
        <v>5</v>
      </c>
      <c r="J205" s="5">
        <f t="shared" ca="1" si="68"/>
        <v>0</v>
      </c>
      <c r="K205" s="5">
        <f t="shared" ca="1" si="69"/>
        <v>0</v>
      </c>
      <c r="L205" s="5">
        <f t="shared" ca="1" si="70"/>
        <v>0</v>
      </c>
      <c r="M205" s="5">
        <f t="shared" ca="1" si="71"/>
        <v>0</v>
      </c>
      <c r="N205" s="5">
        <f t="shared" ca="1" si="72"/>
        <v>0</v>
      </c>
      <c r="O205" s="5">
        <f t="shared" ca="1" si="73"/>
        <v>0</v>
      </c>
      <c r="P205" s="5">
        <f t="shared" ca="1" si="74"/>
        <v>0</v>
      </c>
      <c r="Q205" s="5" t="e">
        <f t="shared" ca="1" si="75"/>
        <v>#N/A</v>
      </c>
      <c r="R205" s="5">
        <f t="shared" ca="1" si="80"/>
        <v>0</v>
      </c>
      <c r="S205" s="67" t="e">
        <f t="shared" ca="1" si="81"/>
        <v>#N/A</v>
      </c>
      <c r="T205" s="67">
        <f t="shared" ca="1" si="82"/>
        <v>0</v>
      </c>
      <c r="U205" s="67" t="e">
        <f t="shared" ca="1" si="83"/>
        <v>#N/A</v>
      </c>
      <c r="V205" s="5">
        <f t="shared" ca="1" si="62"/>
        <v>0</v>
      </c>
      <c r="W205" s="5" t="e">
        <f t="shared" ca="1" si="76"/>
        <v>#N/A</v>
      </c>
      <c r="X205" s="67">
        <f t="shared" ca="1" si="77"/>
        <v>0</v>
      </c>
      <c r="Y205" s="67" t="e">
        <f t="shared" ca="1" si="84"/>
        <v>#N/A</v>
      </c>
      <c r="Z205" s="67" t="e">
        <f t="shared" ca="1" si="85"/>
        <v>#N/A</v>
      </c>
      <c r="AA205" s="5" t="str">
        <f>IF(Setup!$I$15="Yes",'Demand background (hide)'!AJ193+'SPC background (hide)'!C205,"")</f>
        <v/>
      </c>
      <c r="AC205" s="5" t="str">
        <f t="shared" ca="1" si="78"/>
        <v/>
      </c>
      <c r="AD205" s="5" t="str">
        <f t="shared" ca="1" si="79"/>
        <v/>
      </c>
    </row>
    <row r="206" spans="1:30" x14ac:dyDescent="0.2">
      <c r="A206" s="67">
        <f>Demand!C203</f>
        <v>0</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f t="shared" ca="1" si="67"/>
        <v>5</v>
      </c>
      <c r="J206" s="5">
        <f t="shared" ca="1" si="68"/>
        <v>0</v>
      </c>
      <c r="K206" s="5">
        <f t="shared" ca="1" si="69"/>
        <v>0</v>
      </c>
      <c r="L206" s="5">
        <f t="shared" ca="1" si="70"/>
        <v>0</v>
      </c>
      <c r="M206" s="5">
        <f t="shared" ca="1" si="71"/>
        <v>0</v>
      </c>
      <c r="N206" s="5">
        <f t="shared" ca="1" si="72"/>
        <v>0</v>
      </c>
      <c r="O206" s="5">
        <f t="shared" ca="1" si="73"/>
        <v>0</v>
      </c>
      <c r="P206" s="5">
        <f t="shared" ca="1" si="74"/>
        <v>0</v>
      </c>
      <c r="Q206" s="5" t="e">
        <f t="shared" ca="1" si="75"/>
        <v>#N/A</v>
      </c>
      <c r="R206" s="5">
        <f t="shared" ca="1" si="80"/>
        <v>0</v>
      </c>
      <c r="S206" s="67" t="e">
        <f t="shared" ca="1" si="81"/>
        <v>#N/A</v>
      </c>
      <c r="T206" s="67">
        <f t="shared" ca="1" si="82"/>
        <v>0</v>
      </c>
      <c r="U206" s="67" t="e">
        <f t="shared" ca="1" si="83"/>
        <v>#N/A</v>
      </c>
      <c r="V206" s="5">
        <f t="shared" ca="1" si="62"/>
        <v>0</v>
      </c>
      <c r="W206" s="5" t="e">
        <f t="shared" ca="1" si="76"/>
        <v>#N/A</v>
      </c>
      <c r="X206" s="67">
        <f t="shared" ca="1" si="77"/>
        <v>0</v>
      </c>
      <c r="Y206" s="67" t="e">
        <f t="shared" ca="1" si="84"/>
        <v>#N/A</v>
      </c>
      <c r="Z206" s="67" t="e">
        <f t="shared" ca="1" si="85"/>
        <v>#N/A</v>
      </c>
      <c r="AA206" s="5" t="str">
        <f>IF(Setup!$I$15="Yes",'Demand background (hide)'!AJ194+'SPC background (hide)'!C206,"")</f>
        <v/>
      </c>
      <c r="AC206" s="5" t="str">
        <f t="shared" ca="1" si="78"/>
        <v/>
      </c>
      <c r="AD206" s="5" t="str">
        <f t="shared" ca="1" si="79"/>
        <v/>
      </c>
    </row>
    <row r="207" spans="1:30" x14ac:dyDescent="0.2">
      <c r="A207" s="67">
        <f>Demand!C204</f>
        <v>0</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f t="shared" ca="1" si="67"/>
        <v>5</v>
      </c>
      <c r="J207" s="5">
        <f t="shared" ca="1" si="68"/>
        <v>0</v>
      </c>
      <c r="K207" s="5">
        <f t="shared" ca="1" si="69"/>
        <v>0</v>
      </c>
      <c r="L207" s="5">
        <f t="shared" ca="1" si="70"/>
        <v>0</v>
      </c>
      <c r="M207" s="5">
        <f t="shared" ca="1" si="71"/>
        <v>0</v>
      </c>
      <c r="N207" s="5">
        <f t="shared" ca="1" si="72"/>
        <v>0</v>
      </c>
      <c r="O207" s="5">
        <f t="shared" ca="1" si="73"/>
        <v>0</v>
      </c>
      <c r="P207" s="5">
        <f t="shared" ca="1" si="74"/>
        <v>0</v>
      </c>
      <c r="Q207" s="5" t="e">
        <f t="shared" ca="1" si="75"/>
        <v>#N/A</v>
      </c>
      <c r="R207" s="5">
        <f t="shared" ca="1" si="80"/>
        <v>0</v>
      </c>
      <c r="S207" s="67" t="e">
        <f t="shared" ca="1" si="81"/>
        <v>#N/A</v>
      </c>
      <c r="T207" s="67">
        <f t="shared" ca="1" si="82"/>
        <v>0</v>
      </c>
      <c r="U207" s="67" t="e">
        <f t="shared" ca="1" si="83"/>
        <v>#N/A</v>
      </c>
      <c r="V207" s="5">
        <f t="shared" ca="1" si="62"/>
        <v>0</v>
      </c>
      <c r="W207" s="5" t="e">
        <f t="shared" ca="1" si="76"/>
        <v>#N/A</v>
      </c>
      <c r="X207" s="67">
        <f t="shared" ca="1" si="77"/>
        <v>0</v>
      </c>
      <c r="Y207" s="67" t="e">
        <f t="shared" ca="1" si="84"/>
        <v>#N/A</v>
      </c>
      <c r="Z207" s="67" t="e">
        <f t="shared" ca="1" si="85"/>
        <v>#N/A</v>
      </c>
      <c r="AA207" s="5" t="str">
        <f>IF(Setup!$I$15="Yes",'Demand background (hide)'!AJ195+'SPC background (hide)'!C207,"")</f>
        <v/>
      </c>
      <c r="AC207" s="5" t="str">
        <f t="shared" ca="1" si="78"/>
        <v/>
      </c>
      <c r="AD207" s="5" t="str">
        <f t="shared" ca="1" si="79"/>
        <v/>
      </c>
    </row>
    <row r="208" spans="1:30" x14ac:dyDescent="0.2">
      <c r="A208" s="67">
        <f>Demand!C205</f>
        <v>0</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f t="shared" ca="1" si="67"/>
        <v>5</v>
      </c>
      <c r="J208" s="5">
        <f t="shared" ca="1" si="68"/>
        <v>0</v>
      </c>
      <c r="K208" s="5">
        <f t="shared" ca="1" si="69"/>
        <v>0</v>
      </c>
      <c r="L208" s="5">
        <f t="shared" ca="1" si="70"/>
        <v>0</v>
      </c>
      <c r="M208" s="5">
        <f t="shared" ca="1" si="71"/>
        <v>0</v>
      </c>
      <c r="N208" s="5">
        <f t="shared" ca="1" si="72"/>
        <v>0</v>
      </c>
      <c r="O208" s="5">
        <f t="shared" ca="1" si="73"/>
        <v>0</v>
      </c>
      <c r="P208" s="5">
        <f t="shared" ca="1" si="74"/>
        <v>0</v>
      </c>
      <c r="Q208" s="5" t="e">
        <f t="shared" ca="1" si="75"/>
        <v>#N/A</v>
      </c>
      <c r="R208" s="5">
        <f t="shared" ca="1" si="80"/>
        <v>0</v>
      </c>
      <c r="S208" s="67" t="e">
        <f t="shared" ca="1" si="81"/>
        <v>#N/A</v>
      </c>
      <c r="T208" s="67">
        <f t="shared" ca="1" si="82"/>
        <v>0</v>
      </c>
      <c r="U208" s="67" t="e">
        <f t="shared" ca="1" si="83"/>
        <v>#N/A</v>
      </c>
      <c r="V208" s="5">
        <f t="shared" ref="V208:V275" ca="1" si="86">IF(C208&lt;M208,-1,IF(C208&gt;M208,1,0))</f>
        <v>0</v>
      </c>
      <c r="W208" s="5" t="e">
        <f t="shared" ca="1" si="76"/>
        <v>#N/A</v>
      </c>
      <c r="X208" s="67">
        <f t="shared" ca="1" si="77"/>
        <v>0</v>
      </c>
      <c r="Y208" s="67" t="e">
        <f t="shared" ca="1" si="84"/>
        <v>#N/A</v>
      </c>
      <c r="Z208" s="67" t="e">
        <f t="shared" ca="1" si="85"/>
        <v>#N/A</v>
      </c>
      <c r="AA208" s="5" t="str">
        <f>IF(Setup!$I$15="Yes",'Demand background (hide)'!AJ196+'SPC background (hide)'!C208,"")</f>
        <v/>
      </c>
      <c r="AC208" s="5" t="str">
        <f t="shared" ca="1" si="78"/>
        <v/>
      </c>
      <c r="AD208" s="5" t="str">
        <f t="shared" ca="1" si="79"/>
        <v/>
      </c>
    </row>
    <row r="209" spans="1:30" x14ac:dyDescent="0.2">
      <c r="A209" s="67">
        <f>Demand!C206</f>
        <v>0</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f t="shared" ref="I209:I272" ca="1" si="91">VLOOKUP(A209,$AG$2:$AI$54,3,0)</f>
        <v>5</v>
      </c>
      <c r="J209" s="5">
        <f t="shared" ref="J209:J272" ca="1" si="92">VLOOKUP($A209,$AG$2:$AQ$54,COLUMN(E$1),0)</f>
        <v>0</v>
      </c>
      <c r="K209" s="5">
        <f t="shared" ref="K209:K272" ca="1" si="93">VLOOKUP($A209,$AG$2:$AQ$54,COLUMN(F$1),0)</f>
        <v>0</v>
      </c>
      <c r="L209" s="5">
        <f t="shared" ref="L209:L272" ca="1" si="94">VLOOKUP($A209,$AG$2:$AQ$54,COLUMN(G$1),0)</f>
        <v>0</v>
      </c>
      <c r="M209" s="5">
        <f t="shared" ref="M209:M272" ca="1" si="95">VLOOKUP($A209,$AG$2:$AQ$54,COLUMN(H$1),0)</f>
        <v>0</v>
      </c>
      <c r="N209" s="5">
        <f t="shared" ref="N209:N272" ca="1" si="96">VLOOKUP($A209,$AG$2:$AQ$54,COLUMN(I$1),0)</f>
        <v>0</v>
      </c>
      <c r="O209" s="5">
        <f t="shared" ref="O209:O272" ca="1" si="97">VLOOKUP($A209,$AG$2:$AQ$54,COLUMN(J$1),0)</f>
        <v>0</v>
      </c>
      <c r="P209" s="5">
        <f t="shared" ref="P209:P272" ca="1" si="98">VLOOKUP($A209,$AG$2:$AQ$54,COLUMN(K$1),0)</f>
        <v>0</v>
      </c>
      <c r="Q209" s="5" t="e">
        <f t="shared" ref="Q209:Q272" ca="1" si="99">IF(ISNA(H209)=TRUE,IF(OR(C209&gt;P209,C209&lt;J209),C209,NA()),NA())</f>
        <v>#N/A</v>
      </c>
      <c r="R209" s="5">
        <f t="shared" ca="1" si="80"/>
        <v>0</v>
      </c>
      <c r="S209" s="67" t="e">
        <f t="shared" ca="1" si="81"/>
        <v>#N/A</v>
      </c>
      <c r="T209" s="67">
        <f t="shared" ca="1" si="82"/>
        <v>0</v>
      </c>
      <c r="U209" s="67" t="e">
        <f t="shared" ca="1" si="83"/>
        <v>#N/A</v>
      </c>
      <c r="V209" s="5">
        <f t="shared" ca="1" si="86"/>
        <v>0</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str">
        <f t="shared" ref="AC209:AC272" ca="1" si="102">VLOOKUP($A209,$AG$2:$AS$54,12,0)</f>
        <v/>
      </c>
      <c r="AD209" s="5" t="str">
        <f t="shared" ref="AD209:AD272" ca="1" si="103">VLOOKUP($A209,$AG$2:$AS$54,13,0)</f>
        <v/>
      </c>
    </row>
    <row r="210" spans="1:30" x14ac:dyDescent="0.2">
      <c r="A210" s="67">
        <f>Demand!C207</f>
        <v>0</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f t="shared" ca="1" si="91"/>
        <v>5</v>
      </c>
      <c r="J210" s="5">
        <f t="shared" ca="1" si="92"/>
        <v>0</v>
      </c>
      <c r="K210" s="5">
        <f t="shared" ca="1" si="93"/>
        <v>0</v>
      </c>
      <c r="L210" s="5">
        <f t="shared" ca="1" si="94"/>
        <v>0</v>
      </c>
      <c r="M210" s="5">
        <f t="shared" ca="1" si="95"/>
        <v>0</v>
      </c>
      <c r="N210" s="5">
        <f t="shared" ca="1" si="96"/>
        <v>0</v>
      </c>
      <c r="O210" s="5">
        <f t="shared" ca="1" si="97"/>
        <v>0</v>
      </c>
      <c r="P210" s="5">
        <f t="shared" ca="1" si="98"/>
        <v>0</v>
      </c>
      <c r="Q210" s="5" t="e">
        <f t="shared" ca="1" si="99"/>
        <v>#N/A</v>
      </c>
      <c r="R210" s="5">
        <f t="shared" ref="R210:R273" ca="1" si="104">IF(C210&gt;O210,2,IF(C210&lt;K210,-2,IF(C210&gt;M210,1,IF(C210&lt;M210,-1,0))))</f>
        <v>0</v>
      </c>
      <c r="S210" s="67" t="e">
        <f t="shared" ref="S210:S273" ca="1" si="105">IF(ISNA(H210),IF(ABS(SUM(R210:R212))&gt;=5,C210,NA()),NA())</f>
        <v>#N/A</v>
      </c>
      <c r="T210" s="67">
        <f t="shared" ref="T210:T273" ca="1" si="106">IF(C210&gt;N210,2,IF(C210&lt;L210,-2,IF(C210&gt;M210,1,IF(C210&lt;M210,-1,0))))</f>
        <v>0</v>
      </c>
      <c r="U210" s="67" t="e">
        <f t="shared" ref="U210:U273" ca="1" si="107">IF(ISNA(H210)=TRUE,IF(ABS(SUM(T210:T214))&gt;=9,C210,NA()),NA())</f>
        <v>#N/A</v>
      </c>
      <c r="V210" s="5">
        <f t="shared" ca="1" si="86"/>
        <v>0</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str">
        <f t="shared" ca="1" si="102"/>
        <v/>
      </c>
      <c r="AD210" s="5" t="str">
        <f t="shared" ca="1" si="103"/>
        <v/>
      </c>
    </row>
    <row r="211" spans="1:30" x14ac:dyDescent="0.2">
      <c r="A211" s="67">
        <f>Demand!C208</f>
        <v>0</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f t="shared" ca="1" si="91"/>
        <v>5</v>
      </c>
      <c r="J211" s="5">
        <f t="shared" ca="1" si="92"/>
        <v>0</v>
      </c>
      <c r="K211" s="5">
        <f t="shared" ca="1" si="93"/>
        <v>0</v>
      </c>
      <c r="L211" s="5">
        <f t="shared" ca="1" si="94"/>
        <v>0</v>
      </c>
      <c r="M211" s="5">
        <f t="shared" ca="1" si="95"/>
        <v>0</v>
      </c>
      <c r="N211" s="5">
        <f t="shared" ca="1" si="96"/>
        <v>0</v>
      </c>
      <c r="O211" s="5">
        <f t="shared" ca="1" si="97"/>
        <v>0</v>
      </c>
      <c r="P211" s="5">
        <f t="shared" ca="1" si="98"/>
        <v>0</v>
      </c>
      <c r="Q211" s="5" t="e">
        <f t="shared" ca="1" si="99"/>
        <v>#N/A</v>
      </c>
      <c r="R211" s="5">
        <f t="shared" ca="1" si="104"/>
        <v>0</v>
      </c>
      <c r="S211" s="67" t="e">
        <f t="shared" ca="1" si="105"/>
        <v>#N/A</v>
      </c>
      <c r="T211" s="67">
        <f t="shared" ca="1" si="106"/>
        <v>0</v>
      </c>
      <c r="U211" s="67" t="e">
        <f t="shared" ca="1" si="107"/>
        <v>#N/A</v>
      </c>
      <c r="V211" s="5">
        <f t="shared" ca="1" si="86"/>
        <v>0</v>
      </c>
      <c r="W211" s="5" t="e">
        <f t="shared" ca="1" si="100"/>
        <v>#N/A</v>
      </c>
      <c r="X211" s="67">
        <f t="shared" ca="1" si="101"/>
        <v>0</v>
      </c>
      <c r="Y211" s="67" t="e">
        <f t="shared" ca="1" si="108"/>
        <v>#N/A</v>
      </c>
      <c r="Z211" s="67" t="e">
        <f t="shared" ca="1" si="109"/>
        <v>#N/A</v>
      </c>
      <c r="AA211" s="5" t="str">
        <f>IF(Setup!$I$15="Yes",'Demand background (hide)'!AJ199+'SPC background (hide)'!C211,"")</f>
        <v/>
      </c>
      <c r="AC211" s="5" t="str">
        <f t="shared" ca="1" si="102"/>
        <v/>
      </c>
      <c r="AD211" s="5" t="str">
        <f t="shared" ca="1" si="103"/>
        <v/>
      </c>
    </row>
    <row r="212" spans="1:30" x14ac:dyDescent="0.2">
      <c r="A212" s="67">
        <f>Demand!C209</f>
        <v>0</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f t="shared" ca="1" si="91"/>
        <v>5</v>
      </c>
      <c r="J212" s="5">
        <f t="shared" ca="1" si="92"/>
        <v>0</v>
      </c>
      <c r="K212" s="5">
        <f t="shared" ca="1" si="93"/>
        <v>0</v>
      </c>
      <c r="L212" s="5">
        <f t="shared" ca="1" si="94"/>
        <v>0</v>
      </c>
      <c r="M212" s="5">
        <f t="shared" ca="1" si="95"/>
        <v>0</v>
      </c>
      <c r="N212" s="5">
        <f t="shared" ca="1" si="96"/>
        <v>0</v>
      </c>
      <c r="O212" s="5">
        <f t="shared" ca="1" si="97"/>
        <v>0</v>
      </c>
      <c r="P212" s="5">
        <f t="shared" ca="1" si="98"/>
        <v>0</v>
      </c>
      <c r="Q212" s="5" t="e">
        <f t="shared" ca="1" si="99"/>
        <v>#N/A</v>
      </c>
      <c r="R212" s="5">
        <f t="shared" ca="1" si="104"/>
        <v>0</v>
      </c>
      <c r="S212" s="67" t="e">
        <f t="shared" ca="1" si="105"/>
        <v>#N/A</v>
      </c>
      <c r="T212" s="67">
        <f t="shared" ca="1" si="106"/>
        <v>0</v>
      </c>
      <c r="U212" s="67" t="e">
        <f t="shared" ca="1" si="107"/>
        <v>#N/A</v>
      </c>
      <c r="V212" s="5">
        <f t="shared" ca="1" si="86"/>
        <v>0</v>
      </c>
      <c r="W212" s="5" t="e">
        <f t="shared" ca="1" si="100"/>
        <v>#N/A</v>
      </c>
      <c r="X212" s="67">
        <f t="shared" ca="1" si="101"/>
        <v>0</v>
      </c>
      <c r="Y212" s="67" t="e">
        <f t="shared" ca="1" si="108"/>
        <v>#N/A</v>
      </c>
      <c r="Z212" s="67" t="e">
        <f t="shared" ca="1" si="109"/>
        <v>#N/A</v>
      </c>
      <c r="AA212" s="5" t="str">
        <f>IF(Setup!$I$15="Yes",'Demand background (hide)'!AJ200+'SPC background (hide)'!C212,"")</f>
        <v/>
      </c>
      <c r="AC212" s="5" t="str">
        <f t="shared" ca="1" si="102"/>
        <v/>
      </c>
      <c r="AD212" s="5" t="str">
        <f t="shared" ca="1" si="103"/>
        <v/>
      </c>
    </row>
    <row r="213" spans="1:30" x14ac:dyDescent="0.2">
      <c r="A213" s="67">
        <f>Demand!C210</f>
        <v>0</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f t="shared" ca="1" si="91"/>
        <v>5</v>
      </c>
      <c r="J213" s="5">
        <f t="shared" ca="1" si="92"/>
        <v>0</v>
      </c>
      <c r="K213" s="5">
        <f t="shared" ca="1" si="93"/>
        <v>0</v>
      </c>
      <c r="L213" s="5">
        <f t="shared" ca="1" si="94"/>
        <v>0</v>
      </c>
      <c r="M213" s="5">
        <f t="shared" ca="1" si="95"/>
        <v>0</v>
      </c>
      <c r="N213" s="5">
        <f t="shared" ca="1" si="96"/>
        <v>0</v>
      </c>
      <c r="O213" s="5">
        <f t="shared" ca="1" si="97"/>
        <v>0</v>
      </c>
      <c r="P213" s="5">
        <f t="shared" ca="1" si="98"/>
        <v>0</v>
      </c>
      <c r="Q213" s="5" t="e">
        <f t="shared" ca="1" si="99"/>
        <v>#N/A</v>
      </c>
      <c r="R213" s="5">
        <f t="shared" ca="1" si="104"/>
        <v>0</v>
      </c>
      <c r="S213" s="67" t="e">
        <f t="shared" ca="1" si="105"/>
        <v>#N/A</v>
      </c>
      <c r="T213" s="67">
        <f t="shared" ca="1" si="106"/>
        <v>0</v>
      </c>
      <c r="U213" s="67" t="e">
        <f t="shared" ca="1" si="107"/>
        <v>#N/A</v>
      </c>
      <c r="V213" s="5">
        <f t="shared" ca="1" si="86"/>
        <v>0</v>
      </c>
      <c r="W213" s="5" t="e">
        <f t="shared" ca="1" si="100"/>
        <v>#N/A</v>
      </c>
      <c r="X213" s="67">
        <f t="shared" ca="1" si="101"/>
        <v>0</v>
      </c>
      <c r="Y213" s="67" t="e">
        <f t="shared" ca="1" si="108"/>
        <v>#N/A</v>
      </c>
      <c r="Z213" s="67" t="e">
        <f t="shared" ca="1" si="109"/>
        <v>#N/A</v>
      </c>
      <c r="AA213" s="5" t="str">
        <f>IF(Setup!$I$15="Yes",'Demand background (hide)'!AJ201+'SPC background (hide)'!C213,"")</f>
        <v/>
      </c>
      <c r="AC213" s="5" t="str">
        <f t="shared" ca="1" si="102"/>
        <v/>
      </c>
      <c r="AD213" s="5" t="str">
        <f t="shared" ca="1" si="103"/>
        <v/>
      </c>
    </row>
    <row r="214" spans="1:30" x14ac:dyDescent="0.2">
      <c r="A214" s="67">
        <f>Demand!C211</f>
        <v>0</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f t="shared" ca="1" si="91"/>
        <v>5</v>
      </c>
      <c r="J214" s="5">
        <f t="shared" ca="1" si="92"/>
        <v>0</v>
      </c>
      <c r="K214" s="5">
        <f t="shared" ca="1" si="93"/>
        <v>0</v>
      </c>
      <c r="L214" s="5">
        <f t="shared" ca="1" si="94"/>
        <v>0</v>
      </c>
      <c r="M214" s="5">
        <f t="shared" ca="1" si="95"/>
        <v>0</v>
      </c>
      <c r="N214" s="5">
        <f t="shared" ca="1" si="96"/>
        <v>0</v>
      </c>
      <c r="O214" s="5">
        <f t="shared" ca="1" si="97"/>
        <v>0</v>
      </c>
      <c r="P214" s="5">
        <f t="shared" ca="1" si="98"/>
        <v>0</v>
      </c>
      <c r="Q214" s="5" t="e">
        <f t="shared" ca="1" si="99"/>
        <v>#N/A</v>
      </c>
      <c r="R214" s="5">
        <f t="shared" ca="1" si="104"/>
        <v>0</v>
      </c>
      <c r="S214" s="67" t="e">
        <f t="shared" ca="1" si="105"/>
        <v>#N/A</v>
      </c>
      <c r="T214" s="67">
        <f t="shared" ca="1" si="106"/>
        <v>0</v>
      </c>
      <c r="U214" s="67" t="e">
        <f t="shared" ca="1" si="107"/>
        <v>#N/A</v>
      </c>
      <c r="V214" s="5">
        <f t="shared" ca="1" si="86"/>
        <v>0</v>
      </c>
      <c r="W214" s="5" t="e">
        <f t="shared" ca="1" si="100"/>
        <v>#N/A</v>
      </c>
      <c r="X214" s="67">
        <f t="shared" ca="1" si="101"/>
        <v>0</v>
      </c>
      <c r="Y214" s="67" t="e">
        <f t="shared" ca="1" si="108"/>
        <v>#N/A</v>
      </c>
      <c r="Z214" s="67" t="e">
        <f t="shared" ca="1" si="109"/>
        <v>#N/A</v>
      </c>
      <c r="AA214" s="5" t="str">
        <f>IF(Setup!$I$15="Yes",'Demand background (hide)'!AJ202+'SPC background (hide)'!C214,"")</f>
        <v/>
      </c>
      <c r="AC214" s="5" t="str">
        <f t="shared" ca="1" si="102"/>
        <v/>
      </c>
      <c r="AD214" s="5" t="str">
        <f t="shared" ca="1" si="103"/>
        <v/>
      </c>
    </row>
    <row r="215" spans="1:30" x14ac:dyDescent="0.2">
      <c r="A215" s="67">
        <f>Demand!C212</f>
        <v>0</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f t="shared" ca="1" si="91"/>
        <v>5</v>
      </c>
      <c r="J215" s="5">
        <f t="shared" ca="1" si="92"/>
        <v>0</v>
      </c>
      <c r="K215" s="5">
        <f t="shared" ca="1" si="93"/>
        <v>0</v>
      </c>
      <c r="L215" s="5">
        <f t="shared" ca="1" si="94"/>
        <v>0</v>
      </c>
      <c r="M215" s="5">
        <f t="shared" ca="1" si="95"/>
        <v>0</v>
      </c>
      <c r="N215" s="5">
        <f t="shared" ca="1" si="96"/>
        <v>0</v>
      </c>
      <c r="O215" s="5">
        <f t="shared" ca="1" si="97"/>
        <v>0</v>
      </c>
      <c r="P215" s="5">
        <f t="shared" ca="1" si="98"/>
        <v>0</v>
      </c>
      <c r="Q215" s="5" t="e">
        <f t="shared" ca="1" si="99"/>
        <v>#N/A</v>
      </c>
      <c r="R215" s="5">
        <f t="shared" ca="1" si="104"/>
        <v>0</v>
      </c>
      <c r="S215" s="67" t="e">
        <f t="shared" ca="1" si="105"/>
        <v>#N/A</v>
      </c>
      <c r="T215" s="67">
        <f t="shared" ca="1" si="106"/>
        <v>0</v>
      </c>
      <c r="U215" s="67" t="e">
        <f t="shared" ca="1" si="107"/>
        <v>#N/A</v>
      </c>
      <c r="V215" s="5">
        <f t="shared" ca="1" si="86"/>
        <v>0</v>
      </c>
      <c r="W215" s="5" t="e">
        <f t="shared" ca="1" si="100"/>
        <v>#N/A</v>
      </c>
      <c r="X215" s="67">
        <f t="shared" ca="1" si="101"/>
        <v>0</v>
      </c>
      <c r="Y215" s="67" t="e">
        <f t="shared" ca="1" si="108"/>
        <v>#N/A</v>
      </c>
      <c r="Z215" s="67" t="e">
        <f t="shared" ca="1" si="109"/>
        <v>#N/A</v>
      </c>
      <c r="AA215" s="5" t="str">
        <f>IF(Setup!$I$15="Yes",'Demand background (hide)'!AJ203+'SPC background (hide)'!C215,"")</f>
        <v/>
      </c>
      <c r="AC215" s="5" t="str">
        <f t="shared" ca="1" si="102"/>
        <v/>
      </c>
      <c r="AD215" s="5" t="str">
        <f t="shared" ca="1" si="103"/>
        <v/>
      </c>
    </row>
    <row r="216" spans="1:30" x14ac:dyDescent="0.2">
      <c r="A216" s="67">
        <f>Demand!C213</f>
        <v>0</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f t="shared" ca="1" si="91"/>
        <v>5</v>
      </c>
      <c r="J216" s="5">
        <f t="shared" ca="1" si="92"/>
        <v>0</v>
      </c>
      <c r="K216" s="5">
        <f t="shared" ca="1" si="93"/>
        <v>0</v>
      </c>
      <c r="L216" s="5">
        <f t="shared" ca="1" si="94"/>
        <v>0</v>
      </c>
      <c r="M216" s="5">
        <f t="shared" ca="1" si="95"/>
        <v>0</v>
      </c>
      <c r="N216" s="5">
        <f t="shared" ca="1" si="96"/>
        <v>0</v>
      </c>
      <c r="O216" s="5">
        <f t="shared" ca="1" si="97"/>
        <v>0</v>
      </c>
      <c r="P216" s="5">
        <f t="shared" ca="1" si="98"/>
        <v>0</v>
      </c>
      <c r="Q216" s="5" t="e">
        <f t="shared" ca="1" si="99"/>
        <v>#N/A</v>
      </c>
      <c r="R216" s="5">
        <f t="shared" ca="1" si="104"/>
        <v>0</v>
      </c>
      <c r="S216" s="67" t="e">
        <f t="shared" ca="1" si="105"/>
        <v>#N/A</v>
      </c>
      <c r="T216" s="67">
        <f t="shared" ca="1" si="106"/>
        <v>0</v>
      </c>
      <c r="U216" s="67" t="e">
        <f t="shared" ca="1" si="107"/>
        <v>#N/A</v>
      </c>
      <c r="V216" s="5">
        <f t="shared" ca="1" si="86"/>
        <v>0</v>
      </c>
      <c r="W216" s="5" t="e">
        <f t="shared" ca="1" si="100"/>
        <v>#N/A</v>
      </c>
      <c r="X216" s="67">
        <f t="shared" ca="1" si="101"/>
        <v>0</v>
      </c>
      <c r="Y216" s="67" t="e">
        <f t="shared" ca="1" si="108"/>
        <v>#N/A</v>
      </c>
      <c r="Z216" s="67" t="e">
        <f t="shared" ca="1" si="109"/>
        <v>#N/A</v>
      </c>
      <c r="AA216" s="5" t="str">
        <f>IF(Setup!$I$15="Yes",'Demand background (hide)'!AJ204+'SPC background (hide)'!C216,"")</f>
        <v/>
      </c>
      <c r="AC216" s="5" t="str">
        <f t="shared" ca="1" si="102"/>
        <v/>
      </c>
      <c r="AD216" s="5" t="str">
        <f t="shared" ca="1" si="103"/>
        <v/>
      </c>
    </row>
    <row r="217" spans="1:30" x14ac:dyDescent="0.2">
      <c r="A217" s="67">
        <f>Demand!C214</f>
        <v>0</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f t="shared" ca="1" si="91"/>
        <v>5</v>
      </c>
      <c r="J217" s="5">
        <f t="shared" ca="1" si="92"/>
        <v>0</v>
      </c>
      <c r="K217" s="5">
        <f t="shared" ca="1" si="93"/>
        <v>0</v>
      </c>
      <c r="L217" s="5">
        <f t="shared" ca="1" si="94"/>
        <v>0</v>
      </c>
      <c r="M217" s="5">
        <f t="shared" ca="1" si="95"/>
        <v>0</v>
      </c>
      <c r="N217" s="5">
        <f t="shared" ca="1" si="96"/>
        <v>0</v>
      </c>
      <c r="O217" s="5">
        <f t="shared" ca="1" si="97"/>
        <v>0</v>
      </c>
      <c r="P217" s="5">
        <f t="shared" ca="1" si="98"/>
        <v>0</v>
      </c>
      <c r="Q217" s="5" t="e">
        <f t="shared" ca="1" si="99"/>
        <v>#N/A</v>
      </c>
      <c r="R217" s="5">
        <f t="shared" ca="1" si="104"/>
        <v>0</v>
      </c>
      <c r="S217" s="67" t="e">
        <f t="shared" ca="1" si="105"/>
        <v>#N/A</v>
      </c>
      <c r="T217" s="67">
        <f t="shared" ca="1" si="106"/>
        <v>0</v>
      </c>
      <c r="U217" s="67" t="e">
        <f t="shared" ca="1" si="107"/>
        <v>#N/A</v>
      </c>
      <c r="V217" s="5">
        <f t="shared" ca="1" si="86"/>
        <v>0</v>
      </c>
      <c r="W217" s="5" t="e">
        <f t="shared" ca="1" si="100"/>
        <v>#N/A</v>
      </c>
      <c r="X217" s="67">
        <f t="shared" ca="1" si="101"/>
        <v>0</v>
      </c>
      <c r="Y217" s="67" t="e">
        <f t="shared" ca="1" si="108"/>
        <v>#N/A</v>
      </c>
      <c r="Z217" s="67" t="e">
        <f t="shared" ca="1" si="109"/>
        <v>#N/A</v>
      </c>
      <c r="AA217" s="5" t="str">
        <f>IF(Setup!$I$15="Yes",'Demand background (hide)'!AJ205+'SPC background (hide)'!C217,"")</f>
        <v/>
      </c>
      <c r="AC217" s="5" t="str">
        <f t="shared" ca="1" si="102"/>
        <v/>
      </c>
      <c r="AD217" s="5" t="str">
        <f t="shared" ca="1" si="103"/>
        <v/>
      </c>
    </row>
    <row r="218" spans="1:30" x14ac:dyDescent="0.2">
      <c r="A218" s="67">
        <f>Demand!C215</f>
        <v>0</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f t="shared" ca="1" si="91"/>
        <v>5</v>
      </c>
      <c r="J218" s="5">
        <f t="shared" ca="1" si="92"/>
        <v>0</v>
      </c>
      <c r="K218" s="5">
        <f t="shared" ca="1" si="93"/>
        <v>0</v>
      </c>
      <c r="L218" s="5">
        <f t="shared" ca="1" si="94"/>
        <v>0</v>
      </c>
      <c r="M218" s="5">
        <f t="shared" ca="1" si="95"/>
        <v>0</v>
      </c>
      <c r="N218" s="5">
        <f t="shared" ca="1" si="96"/>
        <v>0</v>
      </c>
      <c r="O218" s="5">
        <f t="shared" ca="1" si="97"/>
        <v>0</v>
      </c>
      <c r="P218" s="5">
        <f t="shared" ca="1" si="98"/>
        <v>0</v>
      </c>
      <c r="Q218" s="5" t="e">
        <f t="shared" ca="1" si="99"/>
        <v>#N/A</v>
      </c>
      <c r="R218" s="5">
        <f t="shared" ca="1" si="104"/>
        <v>0</v>
      </c>
      <c r="S218" s="67" t="e">
        <f t="shared" ca="1" si="105"/>
        <v>#N/A</v>
      </c>
      <c r="T218" s="67">
        <f t="shared" ca="1" si="106"/>
        <v>0</v>
      </c>
      <c r="U218" s="67" t="e">
        <f t="shared" ca="1" si="107"/>
        <v>#N/A</v>
      </c>
      <c r="V218" s="5">
        <f t="shared" ca="1" si="86"/>
        <v>0</v>
      </c>
      <c r="W218" s="5" t="e">
        <f t="shared" ca="1" si="100"/>
        <v>#N/A</v>
      </c>
      <c r="X218" s="67">
        <f t="shared" ca="1" si="101"/>
        <v>0</v>
      </c>
      <c r="Y218" s="67" t="e">
        <f t="shared" ca="1" si="108"/>
        <v>#N/A</v>
      </c>
      <c r="Z218" s="67" t="e">
        <f t="shared" ca="1" si="109"/>
        <v>#N/A</v>
      </c>
      <c r="AA218" s="5" t="str">
        <f>IF(Setup!$I$15="Yes",'Demand background (hide)'!AJ206+'SPC background (hide)'!C218,"")</f>
        <v/>
      </c>
      <c r="AC218" s="5" t="str">
        <f t="shared" ca="1" si="102"/>
        <v/>
      </c>
      <c r="AD218" s="5" t="str">
        <f t="shared" ca="1" si="103"/>
        <v/>
      </c>
    </row>
    <row r="219" spans="1:30" x14ac:dyDescent="0.2">
      <c r="A219" s="67">
        <f>Demand!C216</f>
        <v>0</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f t="shared" ca="1" si="91"/>
        <v>5</v>
      </c>
      <c r="J219" s="5">
        <f t="shared" ca="1" si="92"/>
        <v>0</v>
      </c>
      <c r="K219" s="5">
        <f t="shared" ca="1" si="93"/>
        <v>0</v>
      </c>
      <c r="L219" s="5">
        <f t="shared" ca="1" si="94"/>
        <v>0</v>
      </c>
      <c r="M219" s="5">
        <f t="shared" ca="1" si="95"/>
        <v>0</v>
      </c>
      <c r="N219" s="5">
        <f t="shared" ca="1" si="96"/>
        <v>0</v>
      </c>
      <c r="O219" s="5">
        <f t="shared" ca="1" si="97"/>
        <v>0</v>
      </c>
      <c r="P219" s="5">
        <f t="shared" ca="1" si="98"/>
        <v>0</v>
      </c>
      <c r="Q219" s="5" t="e">
        <f t="shared" ca="1" si="99"/>
        <v>#N/A</v>
      </c>
      <c r="R219" s="5">
        <f t="shared" ca="1" si="104"/>
        <v>0</v>
      </c>
      <c r="S219" s="67" t="e">
        <f t="shared" ca="1" si="105"/>
        <v>#N/A</v>
      </c>
      <c r="T219" s="67">
        <f t="shared" ca="1" si="106"/>
        <v>0</v>
      </c>
      <c r="U219" s="67" t="e">
        <f t="shared" ca="1" si="107"/>
        <v>#N/A</v>
      </c>
      <c r="V219" s="5">
        <f t="shared" ca="1" si="86"/>
        <v>0</v>
      </c>
      <c r="W219" s="5" t="e">
        <f t="shared" ca="1" si="100"/>
        <v>#N/A</v>
      </c>
      <c r="X219" s="67">
        <f t="shared" ca="1" si="101"/>
        <v>0</v>
      </c>
      <c r="Y219" s="67" t="e">
        <f t="shared" ca="1" si="108"/>
        <v>#N/A</v>
      </c>
      <c r="Z219" s="67" t="e">
        <f t="shared" ca="1" si="109"/>
        <v>#N/A</v>
      </c>
      <c r="AA219" s="5" t="str">
        <f>IF(Setup!$I$15="Yes",'Demand background (hide)'!AJ207+'SPC background (hide)'!C219,"")</f>
        <v/>
      </c>
      <c r="AC219" s="5" t="str">
        <f t="shared" ca="1" si="102"/>
        <v/>
      </c>
      <c r="AD219" s="5" t="str">
        <f t="shared" ca="1" si="103"/>
        <v/>
      </c>
    </row>
    <row r="220" spans="1:30" x14ac:dyDescent="0.2">
      <c r="A220" s="67">
        <f>Demand!C217</f>
        <v>0</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f t="shared" ca="1" si="91"/>
        <v>5</v>
      </c>
      <c r="J220" s="5">
        <f t="shared" ca="1" si="92"/>
        <v>0</v>
      </c>
      <c r="K220" s="5">
        <f t="shared" ca="1" si="93"/>
        <v>0</v>
      </c>
      <c r="L220" s="5">
        <f t="shared" ca="1" si="94"/>
        <v>0</v>
      </c>
      <c r="M220" s="5">
        <f t="shared" ca="1" si="95"/>
        <v>0</v>
      </c>
      <c r="N220" s="5">
        <f t="shared" ca="1" si="96"/>
        <v>0</v>
      </c>
      <c r="O220" s="5">
        <f t="shared" ca="1" si="97"/>
        <v>0</v>
      </c>
      <c r="P220" s="5">
        <f t="shared" ca="1" si="98"/>
        <v>0</v>
      </c>
      <c r="Q220" s="5" t="e">
        <f t="shared" ca="1" si="99"/>
        <v>#N/A</v>
      </c>
      <c r="R220" s="5">
        <f t="shared" ca="1" si="104"/>
        <v>0</v>
      </c>
      <c r="S220" s="67" t="e">
        <f t="shared" ca="1" si="105"/>
        <v>#N/A</v>
      </c>
      <c r="T220" s="67">
        <f t="shared" ca="1" si="106"/>
        <v>0</v>
      </c>
      <c r="U220" s="67" t="e">
        <f t="shared" ca="1" si="107"/>
        <v>#N/A</v>
      </c>
      <c r="V220" s="5">
        <f t="shared" ca="1" si="86"/>
        <v>0</v>
      </c>
      <c r="W220" s="5" t="e">
        <f t="shared" ca="1" si="100"/>
        <v>#N/A</v>
      </c>
      <c r="X220" s="67">
        <f t="shared" ca="1" si="101"/>
        <v>0</v>
      </c>
      <c r="Y220" s="67" t="e">
        <f t="shared" ca="1" si="108"/>
        <v>#N/A</v>
      </c>
      <c r="Z220" s="67" t="e">
        <f t="shared" ca="1" si="109"/>
        <v>#N/A</v>
      </c>
      <c r="AA220" s="5" t="str">
        <f>IF(Setup!$I$15="Yes",'Demand background (hide)'!AJ208+'SPC background (hide)'!C220,"")</f>
        <v/>
      </c>
      <c r="AC220" s="5" t="str">
        <f t="shared" ca="1" si="102"/>
        <v/>
      </c>
      <c r="AD220" s="5" t="str">
        <f t="shared" ca="1" si="103"/>
        <v/>
      </c>
    </row>
    <row r="221" spans="1:30" x14ac:dyDescent="0.2">
      <c r="A221" s="67">
        <f>Demand!C218</f>
        <v>0</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f t="shared" ca="1" si="91"/>
        <v>5</v>
      </c>
      <c r="J221" s="5">
        <f t="shared" ca="1" si="92"/>
        <v>0</v>
      </c>
      <c r="K221" s="5">
        <f t="shared" ca="1" si="93"/>
        <v>0</v>
      </c>
      <c r="L221" s="5">
        <f t="shared" ca="1" si="94"/>
        <v>0</v>
      </c>
      <c r="M221" s="5">
        <f t="shared" ca="1" si="95"/>
        <v>0</v>
      </c>
      <c r="N221" s="5">
        <f t="shared" ca="1" si="96"/>
        <v>0</v>
      </c>
      <c r="O221" s="5">
        <f t="shared" ca="1" si="97"/>
        <v>0</v>
      </c>
      <c r="P221" s="5">
        <f t="shared" ca="1" si="98"/>
        <v>0</v>
      </c>
      <c r="Q221" s="5" t="e">
        <f t="shared" ca="1" si="99"/>
        <v>#N/A</v>
      </c>
      <c r="R221" s="5">
        <f t="shared" ca="1" si="104"/>
        <v>0</v>
      </c>
      <c r="S221" s="67" t="e">
        <f t="shared" ca="1" si="105"/>
        <v>#N/A</v>
      </c>
      <c r="T221" s="67">
        <f t="shared" ca="1" si="106"/>
        <v>0</v>
      </c>
      <c r="U221" s="67" t="e">
        <f t="shared" ca="1" si="107"/>
        <v>#N/A</v>
      </c>
      <c r="V221" s="5">
        <f t="shared" ca="1" si="86"/>
        <v>0</v>
      </c>
      <c r="W221" s="5" t="e">
        <f t="shared" ca="1" si="100"/>
        <v>#N/A</v>
      </c>
      <c r="X221" s="67">
        <f t="shared" ca="1" si="101"/>
        <v>0</v>
      </c>
      <c r="Y221" s="67" t="e">
        <f t="shared" ca="1" si="108"/>
        <v>#N/A</v>
      </c>
      <c r="Z221" s="67" t="e">
        <f t="shared" ca="1" si="109"/>
        <v>#N/A</v>
      </c>
      <c r="AA221" s="5" t="str">
        <f>IF(Setup!$I$15="Yes",'Demand background (hide)'!AJ209+'SPC background (hide)'!C221,"")</f>
        <v/>
      </c>
      <c r="AC221" s="5" t="str">
        <f t="shared" ca="1" si="102"/>
        <v/>
      </c>
      <c r="AD221" s="5" t="str">
        <f t="shared" ca="1" si="103"/>
        <v/>
      </c>
    </row>
    <row r="222" spans="1:30" x14ac:dyDescent="0.2">
      <c r="A222" s="67">
        <f>Demand!C219</f>
        <v>0</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f t="shared" ca="1" si="91"/>
        <v>5</v>
      </c>
      <c r="J222" s="5">
        <f t="shared" ca="1" si="92"/>
        <v>0</v>
      </c>
      <c r="K222" s="5">
        <f t="shared" ca="1" si="93"/>
        <v>0</v>
      </c>
      <c r="L222" s="5">
        <f t="shared" ca="1" si="94"/>
        <v>0</v>
      </c>
      <c r="M222" s="5">
        <f t="shared" ca="1" si="95"/>
        <v>0</v>
      </c>
      <c r="N222" s="5">
        <f t="shared" ca="1" si="96"/>
        <v>0</v>
      </c>
      <c r="O222" s="5">
        <f t="shared" ca="1" si="97"/>
        <v>0</v>
      </c>
      <c r="P222" s="5">
        <f t="shared" ca="1" si="98"/>
        <v>0</v>
      </c>
      <c r="Q222" s="5" t="e">
        <f t="shared" ca="1" si="99"/>
        <v>#N/A</v>
      </c>
      <c r="R222" s="5">
        <f t="shared" ca="1" si="104"/>
        <v>0</v>
      </c>
      <c r="S222" s="67" t="e">
        <f t="shared" ca="1" si="105"/>
        <v>#N/A</v>
      </c>
      <c r="T222" s="67">
        <f t="shared" ca="1" si="106"/>
        <v>0</v>
      </c>
      <c r="U222" s="67" t="e">
        <f t="shared" ca="1" si="107"/>
        <v>#N/A</v>
      </c>
      <c r="V222" s="5">
        <f t="shared" ca="1" si="86"/>
        <v>0</v>
      </c>
      <c r="W222" s="5" t="e">
        <f t="shared" ca="1" si="100"/>
        <v>#N/A</v>
      </c>
      <c r="X222" s="67">
        <f t="shared" ca="1" si="101"/>
        <v>0</v>
      </c>
      <c r="Y222" s="67" t="e">
        <f t="shared" ca="1" si="108"/>
        <v>#N/A</v>
      </c>
      <c r="Z222" s="67" t="e">
        <f t="shared" ca="1" si="109"/>
        <v>#N/A</v>
      </c>
      <c r="AA222" s="5" t="str">
        <f>IF(Setup!$I$15="Yes",'Demand background (hide)'!AJ210+'SPC background (hide)'!C222,"")</f>
        <v/>
      </c>
      <c r="AC222" s="5" t="str">
        <f t="shared" ca="1" si="102"/>
        <v/>
      </c>
      <c r="AD222" s="5" t="str">
        <f t="shared" ca="1" si="103"/>
        <v/>
      </c>
    </row>
    <row r="223" spans="1:30" x14ac:dyDescent="0.2">
      <c r="A223" s="67">
        <f>Demand!C220</f>
        <v>0</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f t="shared" ca="1" si="91"/>
        <v>5</v>
      </c>
      <c r="J223" s="5">
        <f t="shared" ca="1" si="92"/>
        <v>0</v>
      </c>
      <c r="K223" s="5">
        <f t="shared" ca="1" si="93"/>
        <v>0</v>
      </c>
      <c r="L223" s="5">
        <f t="shared" ca="1" si="94"/>
        <v>0</v>
      </c>
      <c r="M223" s="5">
        <f t="shared" ca="1" si="95"/>
        <v>0</v>
      </c>
      <c r="N223" s="5">
        <f t="shared" ca="1" si="96"/>
        <v>0</v>
      </c>
      <c r="O223" s="5">
        <f t="shared" ca="1" si="97"/>
        <v>0</v>
      </c>
      <c r="P223" s="5">
        <f t="shared" ca="1" si="98"/>
        <v>0</v>
      </c>
      <c r="Q223" s="5" t="e">
        <f t="shared" ca="1" si="99"/>
        <v>#N/A</v>
      </c>
      <c r="R223" s="5">
        <f t="shared" ca="1" si="104"/>
        <v>0</v>
      </c>
      <c r="S223" s="67" t="e">
        <f t="shared" ca="1" si="105"/>
        <v>#N/A</v>
      </c>
      <c r="T223" s="67">
        <f t="shared" ca="1" si="106"/>
        <v>0</v>
      </c>
      <c r="U223" s="67" t="e">
        <f t="shared" ca="1" si="107"/>
        <v>#N/A</v>
      </c>
      <c r="V223" s="5">
        <f t="shared" ca="1" si="86"/>
        <v>0</v>
      </c>
      <c r="W223" s="5" t="e">
        <f t="shared" ca="1" si="100"/>
        <v>#N/A</v>
      </c>
      <c r="X223" s="67">
        <f t="shared" ca="1" si="101"/>
        <v>0</v>
      </c>
      <c r="Y223" s="67" t="e">
        <f t="shared" ca="1" si="108"/>
        <v>#N/A</v>
      </c>
      <c r="Z223" s="67" t="e">
        <f t="shared" ca="1" si="109"/>
        <v>#N/A</v>
      </c>
      <c r="AA223" s="5" t="str">
        <f>IF(Setup!$I$15="Yes",'Demand background (hide)'!AJ211+'SPC background (hide)'!C223,"")</f>
        <v/>
      </c>
      <c r="AC223" s="5" t="str">
        <f t="shared" ca="1" si="102"/>
        <v/>
      </c>
      <c r="AD223" s="5" t="str">
        <f t="shared" ca="1" si="103"/>
        <v/>
      </c>
    </row>
    <row r="224" spans="1:30" x14ac:dyDescent="0.2">
      <c r="A224" s="67">
        <f>Demand!C221</f>
        <v>0</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f t="shared" ca="1" si="91"/>
        <v>5</v>
      </c>
      <c r="J224" s="5">
        <f t="shared" ca="1" si="92"/>
        <v>0</v>
      </c>
      <c r="K224" s="5">
        <f t="shared" ca="1" si="93"/>
        <v>0</v>
      </c>
      <c r="L224" s="5">
        <f t="shared" ca="1" si="94"/>
        <v>0</v>
      </c>
      <c r="M224" s="5">
        <f t="shared" ca="1" si="95"/>
        <v>0</v>
      </c>
      <c r="N224" s="5">
        <f t="shared" ca="1" si="96"/>
        <v>0</v>
      </c>
      <c r="O224" s="5">
        <f t="shared" ca="1" si="97"/>
        <v>0</v>
      </c>
      <c r="P224" s="5">
        <f t="shared" ca="1" si="98"/>
        <v>0</v>
      </c>
      <c r="Q224" s="5" t="e">
        <f t="shared" ca="1" si="99"/>
        <v>#N/A</v>
      </c>
      <c r="R224" s="5">
        <f t="shared" ca="1" si="104"/>
        <v>0</v>
      </c>
      <c r="S224" s="67" t="e">
        <f t="shared" ca="1" si="105"/>
        <v>#N/A</v>
      </c>
      <c r="T224" s="67">
        <f t="shared" ca="1" si="106"/>
        <v>0</v>
      </c>
      <c r="U224" s="67" t="e">
        <f t="shared" ca="1" si="107"/>
        <v>#N/A</v>
      </c>
      <c r="V224" s="5">
        <f t="shared" ca="1" si="86"/>
        <v>0</v>
      </c>
      <c r="W224" s="5" t="e">
        <f t="shared" ca="1" si="100"/>
        <v>#N/A</v>
      </c>
      <c r="X224" s="67">
        <f t="shared" ca="1" si="101"/>
        <v>0</v>
      </c>
      <c r="Y224" s="67" t="e">
        <f t="shared" ca="1" si="108"/>
        <v>#N/A</v>
      </c>
      <c r="Z224" s="67" t="e">
        <f t="shared" ca="1" si="109"/>
        <v>#N/A</v>
      </c>
      <c r="AA224" s="5" t="str">
        <f>IF(Setup!$I$15="Yes",'Demand background (hide)'!AJ212+'SPC background (hide)'!C224,"")</f>
        <v/>
      </c>
      <c r="AC224" s="5" t="str">
        <f t="shared" ca="1" si="102"/>
        <v/>
      </c>
      <c r="AD224" s="5" t="str">
        <f t="shared" ca="1" si="103"/>
        <v/>
      </c>
    </row>
    <row r="225" spans="1:30" x14ac:dyDescent="0.2">
      <c r="A225" s="67">
        <f>Demand!C222</f>
        <v>0</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f t="shared" ca="1" si="91"/>
        <v>5</v>
      </c>
      <c r="J225" s="5">
        <f t="shared" ca="1" si="92"/>
        <v>0</v>
      </c>
      <c r="K225" s="5">
        <f t="shared" ca="1" si="93"/>
        <v>0</v>
      </c>
      <c r="L225" s="5">
        <f t="shared" ca="1" si="94"/>
        <v>0</v>
      </c>
      <c r="M225" s="5">
        <f t="shared" ca="1" si="95"/>
        <v>0</v>
      </c>
      <c r="N225" s="5">
        <f t="shared" ca="1" si="96"/>
        <v>0</v>
      </c>
      <c r="O225" s="5">
        <f t="shared" ca="1" si="97"/>
        <v>0</v>
      </c>
      <c r="P225" s="5">
        <f t="shared" ca="1" si="98"/>
        <v>0</v>
      </c>
      <c r="Q225" s="5" t="e">
        <f t="shared" ca="1" si="99"/>
        <v>#N/A</v>
      </c>
      <c r="R225" s="5">
        <f t="shared" ca="1" si="104"/>
        <v>0</v>
      </c>
      <c r="S225" s="67" t="e">
        <f t="shared" ca="1" si="105"/>
        <v>#N/A</v>
      </c>
      <c r="T225" s="67">
        <f t="shared" ca="1" si="106"/>
        <v>0</v>
      </c>
      <c r="U225" s="67" t="e">
        <f t="shared" ca="1" si="107"/>
        <v>#N/A</v>
      </c>
      <c r="V225" s="5">
        <f t="shared" ca="1" si="86"/>
        <v>0</v>
      </c>
      <c r="W225" s="5" t="e">
        <f t="shared" ca="1" si="100"/>
        <v>#N/A</v>
      </c>
      <c r="X225" s="67">
        <f t="shared" ca="1" si="101"/>
        <v>0</v>
      </c>
      <c r="Y225" s="67" t="e">
        <f t="shared" ca="1" si="108"/>
        <v>#N/A</v>
      </c>
      <c r="Z225" s="67" t="e">
        <f t="shared" ca="1" si="109"/>
        <v>#N/A</v>
      </c>
      <c r="AA225" s="5" t="str">
        <f>IF(Setup!$I$15="Yes",'Demand background (hide)'!AJ213+'SPC background (hide)'!C225,"")</f>
        <v/>
      </c>
      <c r="AC225" s="5" t="str">
        <f t="shared" ca="1" si="102"/>
        <v/>
      </c>
      <c r="AD225" s="5" t="str">
        <f t="shared" ca="1" si="103"/>
        <v/>
      </c>
    </row>
    <row r="226" spans="1:30" x14ac:dyDescent="0.2">
      <c r="A226" s="67">
        <f>Demand!C223</f>
        <v>0</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f t="shared" ca="1" si="91"/>
        <v>5</v>
      </c>
      <c r="J226" s="5">
        <f t="shared" ca="1" si="92"/>
        <v>0</v>
      </c>
      <c r="K226" s="5">
        <f t="shared" ca="1" si="93"/>
        <v>0</v>
      </c>
      <c r="L226" s="5">
        <f t="shared" ca="1" si="94"/>
        <v>0</v>
      </c>
      <c r="M226" s="5">
        <f t="shared" ca="1" si="95"/>
        <v>0</v>
      </c>
      <c r="N226" s="5">
        <f t="shared" ca="1" si="96"/>
        <v>0</v>
      </c>
      <c r="O226" s="5">
        <f t="shared" ca="1" si="97"/>
        <v>0</v>
      </c>
      <c r="P226" s="5">
        <f t="shared" ca="1" si="98"/>
        <v>0</v>
      </c>
      <c r="Q226" s="5" t="e">
        <f t="shared" ca="1" si="99"/>
        <v>#N/A</v>
      </c>
      <c r="R226" s="5">
        <f t="shared" ca="1" si="104"/>
        <v>0</v>
      </c>
      <c r="S226" s="67" t="e">
        <f t="shared" ca="1" si="105"/>
        <v>#N/A</v>
      </c>
      <c r="T226" s="67">
        <f t="shared" ca="1" si="106"/>
        <v>0</v>
      </c>
      <c r="U226" s="67" t="e">
        <f t="shared" ca="1" si="107"/>
        <v>#N/A</v>
      </c>
      <c r="V226" s="5">
        <f t="shared" ca="1" si="86"/>
        <v>0</v>
      </c>
      <c r="W226" s="5" t="e">
        <f t="shared" ca="1" si="100"/>
        <v>#N/A</v>
      </c>
      <c r="X226" s="67">
        <f t="shared" ca="1" si="101"/>
        <v>0</v>
      </c>
      <c r="Y226" s="67" t="e">
        <f t="shared" ca="1" si="108"/>
        <v>#N/A</v>
      </c>
      <c r="Z226" s="67" t="e">
        <f t="shared" ca="1" si="109"/>
        <v>#N/A</v>
      </c>
      <c r="AA226" s="5" t="str">
        <f>IF(Setup!$I$15="Yes",'Demand background (hide)'!AJ214+'SPC background (hide)'!C226,"")</f>
        <v/>
      </c>
      <c r="AC226" s="5" t="str">
        <f t="shared" ca="1" si="102"/>
        <v/>
      </c>
      <c r="AD226" s="5" t="str">
        <f t="shared" ca="1" si="103"/>
        <v/>
      </c>
    </row>
    <row r="227" spans="1:30" x14ac:dyDescent="0.2">
      <c r="A227" s="67">
        <f>Demand!C224</f>
        <v>0</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f t="shared" ca="1" si="91"/>
        <v>5</v>
      </c>
      <c r="J227" s="5">
        <f t="shared" ca="1" si="92"/>
        <v>0</v>
      </c>
      <c r="K227" s="5">
        <f t="shared" ca="1" si="93"/>
        <v>0</v>
      </c>
      <c r="L227" s="5">
        <f t="shared" ca="1" si="94"/>
        <v>0</v>
      </c>
      <c r="M227" s="5">
        <f t="shared" ca="1" si="95"/>
        <v>0</v>
      </c>
      <c r="N227" s="5">
        <f t="shared" ca="1" si="96"/>
        <v>0</v>
      </c>
      <c r="O227" s="5">
        <f t="shared" ca="1" si="97"/>
        <v>0</v>
      </c>
      <c r="P227" s="5">
        <f t="shared" ca="1" si="98"/>
        <v>0</v>
      </c>
      <c r="Q227" s="5" t="e">
        <f t="shared" ca="1" si="99"/>
        <v>#N/A</v>
      </c>
      <c r="R227" s="5">
        <f t="shared" ca="1" si="104"/>
        <v>0</v>
      </c>
      <c r="S227" s="67" t="e">
        <f t="shared" ca="1" si="105"/>
        <v>#N/A</v>
      </c>
      <c r="T227" s="67">
        <f t="shared" ca="1" si="106"/>
        <v>0</v>
      </c>
      <c r="U227" s="67" t="e">
        <f t="shared" ca="1" si="107"/>
        <v>#N/A</v>
      </c>
      <c r="V227" s="5">
        <f t="shared" ca="1" si="86"/>
        <v>0</v>
      </c>
      <c r="W227" s="5" t="e">
        <f t="shared" ca="1" si="100"/>
        <v>#N/A</v>
      </c>
      <c r="X227" s="67">
        <f t="shared" ca="1" si="101"/>
        <v>0</v>
      </c>
      <c r="Y227" s="67" t="e">
        <f t="shared" ca="1" si="108"/>
        <v>#N/A</v>
      </c>
      <c r="Z227" s="67" t="e">
        <f t="shared" ca="1" si="109"/>
        <v>#N/A</v>
      </c>
      <c r="AA227" s="5" t="str">
        <f>IF(Setup!$I$15="Yes",'Demand background (hide)'!AJ215+'SPC background (hide)'!C227,"")</f>
        <v/>
      </c>
      <c r="AC227" s="5" t="str">
        <f t="shared" ca="1" si="102"/>
        <v/>
      </c>
      <c r="AD227" s="5" t="str">
        <f t="shared" ca="1" si="103"/>
        <v/>
      </c>
    </row>
    <row r="228" spans="1:30" x14ac:dyDescent="0.2">
      <c r="A228" s="67">
        <f>Demand!C225</f>
        <v>0</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f t="shared" ca="1" si="91"/>
        <v>5</v>
      </c>
      <c r="J228" s="5">
        <f t="shared" ca="1" si="92"/>
        <v>0</v>
      </c>
      <c r="K228" s="5">
        <f t="shared" ca="1" si="93"/>
        <v>0</v>
      </c>
      <c r="L228" s="5">
        <f t="shared" ca="1" si="94"/>
        <v>0</v>
      </c>
      <c r="M228" s="5">
        <f t="shared" ca="1" si="95"/>
        <v>0</v>
      </c>
      <c r="N228" s="5">
        <f t="shared" ca="1" si="96"/>
        <v>0</v>
      </c>
      <c r="O228" s="5">
        <f t="shared" ca="1" si="97"/>
        <v>0</v>
      </c>
      <c r="P228" s="5">
        <f t="shared" ca="1" si="98"/>
        <v>0</v>
      </c>
      <c r="Q228" s="5" t="e">
        <f t="shared" ca="1" si="99"/>
        <v>#N/A</v>
      </c>
      <c r="R228" s="5">
        <f t="shared" ca="1" si="104"/>
        <v>0</v>
      </c>
      <c r="S228" s="67" t="e">
        <f t="shared" ca="1" si="105"/>
        <v>#N/A</v>
      </c>
      <c r="T228" s="67">
        <f t="shared" ca="1" si="106"/>
        <v>0</v>
      </c>
      <c r="U228" s="67" t="e">
        <f t="shared" ca="1" si="107"/>
        <v>#N/A</v>
      </c>
      <c r="V228" s="5">
        <f t="shared" ca="1" si="86"/>
        <v>0</v>
      </c>
      <c r="W228" s="5" t="e">
        <f t="shared" ca="1" si="100"/>
        <v>#N/A</v>
      </c>
      <c r="X228" s="67">
        <f t="shared" ca="1" si="101"/>
        <v>0</v>
      </c>
      <c r="Y228" s="67" t="e">
        <f t="shared" ca="1" si="108"/>
        <v>#N/A</v>
      </c>
      <c r="Z228" s="67" t="e">
        <f t="shared" ca="1" si="109"/>
        <v>#N/A</v>
      </c>
      <c r="AA228" s="5" t="str">
        <f>IF(Setup!$I$15="Yes",'Demand background (hide)'!AJ216+'SPC background (hide)'!C228,"")</f>
        <v/>
      </c>
      <c r="AC228" s="5" t="str">
        <f t="shared" ca="1" si="102"/>
        <v/>
      </c>
      <c r="AD228" s="5" t="str">
        <f t="shared" ca="1" si="103"/>
        <v/>
      </c>
    </row>
    <row r="229" spans="1:30" x14ac:dyDescent="0.2">
      <c r="A229" s="67">
        <f>Demand!C226</f>
        <v>0</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f t="shared" ca="1" si="91"/>
        <v>5</v>
      </c>
      <c r="J229" s="5">
        <f t="shared" ca="1" si="92"/>
        <v>0</v>
      </c>
      <c r="K229" s="5">
        <f t="shared" ca="1" si="93"/>
        <v>0</v>
      </c>
      <c r="L229" s="5">
        <f t="shared" ca="1" si="94"/>
        <v>0</v>
      </c>
      <c r="M229" s="5">
        <f t="shared" ca="1" si="95"/>
        <v>0</v>
      </c>
      <c r="N229" s="5">
        <f t="shared" ca="1" si="96"/>
        <v>0</v>
      </c>
      <c r="O229" s="5">
        <f t="shared" ca="1" si="97"/>
        <v>0</v>
      </c>
      <c r="P229" s="5">
        <f t="shared" ca="1" si="98"/>
        <v>0</v>
      </c>
      <c r="Q229" s="5" t="e">
        <f t="shared" ca="1" si="99"/>
        <v>#N/A</v>
      </c>
      <c r="R229" s="5">
        <f t="shared" ca="1" si="104"/>
        <v>0</v>
      </c>
      <c r="S229" s="67" t="e">
        <f t="shared" ca="1" si="105"/>
        <v>#N/A</v>
      </c>
      <c r="T229" s="67">
        <f t="shared" ca="1" si="106"/>
        <v>0</v>
      </c>
      <c r="U229" s="67" t="e">
        <f t="shared" ca="1" si="107"/>
        <v>#N/A</v>
      </c>
      <c r="V229" s="5">
        <f t="shared" ca="1" si="86"/>
        <v>0</v>
      </c>
      <c r="W229" s="5" t="e">
        <f t="shared" ca="1" si="100"/>
        <v>#N/A</v>
      </c>
      <c r="X229" s="67">
        <f t="shared" ca="1" si="101"/>
        <v>0</v>
      </c>
      <c r="Y229" s="67" t="e">
        <f t="shared" ca="1" si="108"/>
        <v>#N/A</v>
      </c>
      <c r="Z229" s="67" t="e">
        <f t="shared" ca="1" si="109"/>
        <v>#N/A</v>
      </c>
      <c r="AA229" s="5" t="str">
        <f>IF(Setup!$I$15="Yes",'Demand background (hide)'!AJ217+'SPC background (hide)'!C229,"")</f>
        <v/>
      </c>
      <c r="AC229" s="5" t="str">
        <f t="shared" ca="1" si="102"/>
        <v/>
      </c>
      <c r="AD229" s="5" t="str">
        <f t="shared" ca="1" si="103"/>
        <v/>
      </c>
    </row>
    <row r="230" spans="1:30" x14ac:dyDescent="0.2">
      <c r="A230" s="67">
        <f>Demand!C227</f>
        <v>0</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f t="shared" ca="1" si="91"/>
        <v>5</v>
      </c>
      <c r="J230" s="5">
        <f t="shared" ca="1" si="92"/>
        <v>0</v>
      </c>
      <c r="K230" s="5">
        <f t="shared" ca="1" si="93"/>
        <v>0</v>
      </c>
      <c r="L230" s="5">
        <f t="shared" ca="1" si="94"/>
        <v>0</v>
      </c>
      <c r="M230" s="5">
        <f t="shared" ca="1" si="95"/>
        <v>0</v>
      </c>
      <c r="N230" s="5">
        <f t="shared" ca="1" si="96"/>
        <v>0</v>
      </c>
      <c r="O230" s="5">
        <f t="shared" ca="1" si="97"/>
        <v>0</v>
      </c>
      <c r="P230" s="5">
        <f t="shared" ca="1" si="98"/>
        <v>0</v>
      </c>
      <c r="Q230" s="5" t="e">
        <f t="shared" ca="1" si="99"/>
        <v>#N/A</v>
      </c>
      <c r="R230" s="5">
        <f t="shared" ca="1" si="104"/>
        <v>0</v>
      </c>
      <c r="S230" s="67" t="e">
        <f t="shared" ca="1" si="105"/>
        <v>#N/A</v>
      </c>
      <c r="T230" s="67">
        <f t="shared" ca="1" si="106"/>
        <v>0</v>
      </c>
      <c r="U230" s="67" t="e">
        <f t="shared" ca="1" si="107"/>
        <v>#N/A</v>
      </c>
      <c r="V230" s="5">
        <f t="shared" ca="1" si="86"/>
        <v>0</v>
      </c>
      <c r="W230" s="5" t="e">
        <f t="shared" ca="1" si="100"/>
        <v>#N/A</v>
      </c>
      <c r="X230" s="67">
        <f t="shared" ca="1" si="101"/>
        <v>0</v>
      </c>
      <c r="Y230" s="67" t="e">
        <f t="shared" ca="1" si="108"/>
        <v>#N/A</v>
      </c>
      <c r="Z230" s="67" t="e">
        <f t="shared" ca="1" si="109"/>
        <v>#N/A</v>
      </c>
      <c r="AA230" s="5" t="str">
        <f>IF(Setup!$I$15="Yes",'Demand background (hide)'!AJ218+'SPC background (hide)'!C230,"")</f>
        <v/>
      </c>
      <c r="AC230" s="5" t="str">
        <f t="shared" ca="1" si="102"/>
        <v/>
      </c>
      <c r="AD230" s="5" t="str">
        <f t="shared" ca="1" si="103"/>
        <v/>
      </c>
    </row>
    <row r="231" spans="1:30" x14ac:dyDescent="0.2">
      <c r="A231" s="67">
        <f>Demand!C228</f>
        <v>0</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f t="shared" ca="1" si="91"/>
        <v>5</v>
      </c>
      <c r="J231" s="5">
        <f t="shared" ca="1" si="92"/>
        <v>0</v>
      </c>
      <c r="K231" s="5">
        <f t="shared" ca="1" si="93"/>
        <v>0</v>
      </c>
      <c r="L231" s="5">
        <f t="shared" ca="1" si="94"/>
        <v>0</v>
      </c>
      <c r="M231" s="5">
        <f t="shared" ca="1" si="95"/>
        <v>0</v>
      </c>
      <c r="N231" s="5">
        <f t="shared" ca="1" si="96"/>
        <v>0</v>
      </c>
      <c r="O231" s="5">
        <f t="shared" ca="1" si="97"/>
        <v>0</v>
      </c>
      <c r="P231" s="5">
        <f t="shared" ca="1" si="98"/>
        <v>0</v>
      </c>
      <c r="Q231" s="5" t="e">
        <f t="shared" ca="1" si="99"/>
        <v>#N/A</v>
      </c>
      <c r="R231" s="5">
        <f t="shared" ca="1" si="104"/>
        <v>0</v>
      </c>
      <c r="S231" s="67" t="e">
        <f t="shared" ca="1" si="105"/>
        <v>#N/A</v>
      </c>
      <c r="T231" s="67">
        <f t="shared" ca="1" si="106"/>
        <v>0</v>
      </c>
      <c r="U231" s="67" t="e">
        <f t="shared" ca="1" si="107"/>
        <v>#N/A</v>
      </c>
      <c r="V231" s="5">
        <f t="shared" ca="1" si="86"/>
        <v>0</v>
      </c>
      <c r="W231" s="5" t="e">
        <f t="shared" ca="1" si="100"/>
        <v>#N/A</v>
      </c>
      <c r="X231" s="67">
        <f t="shared" ca="1" si="101"/>
        <v>0</v>
      </c>
      <c r="Y231" s="67" t="e">
        <f t="shared" ca="1" si="108"/>
        <v>#N/A</v>
      </c>
      <c r="Z231" s="67" t="e">
        <f t="shared" ca="1" si="109"/>
        <v>#N/A</v>
      </c>
      <c r="AA231" s="5" t="str">
        <f>IF(Setup!$I$15="Yes",'Demand background (hide)'!AJ219+'SPC background (hide)'!C231,"")</f>
        <v/>
      </c>
      <c r="AC231" s="5" t="str">
        <f t="shared" ca="1" si="102"/>
        <v/>
      </c>
      <c r="AD231" s="5" t="str">
        <f t="shared" ca="1" si="103"/>
        <v/>
      </c>
    </row>
    <row r="232" spans="1:30" x14ac:dyDescent="0.2">
      <c r="A232" s="67">
        <f>Demand!C229</f>
        <v>0</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f t="shared" ca="1" si="91"/>
        <v>5</v>
      </c>
      <c r="J232" s="5">
        <f t="shared" ca="1" si="92"/>
        <v>0</v>
      </c>
      <c r="K232" s="5">
        <f t="shared" ca="1" si="93"/>
        <v>0</v>
      </c>
      <c r="L232" s="5">
        <f t="shared" ca="1" si="94"/>
        <v>0</v>
      </c>
      <c r="M232" s="5">
        <f t="shared" ca="1" si="95"/>
        <v>0</v>
      </c>
      <c r="N232" s="5">
        <f t="shared" ca="1" si="96"/>
        <v>0</v>
      </c>
      <c r="O232" s="5">
        <f t="shared" ca="1" si="97"/>
        <v>0</v>
      </c>
      <c r="P232" s="5">
        <f t="shared" ca="1" si="98"/>
        <v>0</v>
      </c>
      <c r="Q232" s="5" t="e">
        <f t="shared" ca="1" si="99"/>
        <v>#N/A</v>
      </c>
      <c r="R232" s="5">
        <f t="shared" ca="1" si="104"/>
        <v>0</v>
      </c>
      <c r="S232" s="67" t="e">
        <f t="shared" ca="1" si="105"/>
        <v>#N/A</v>
      </c>
      <c r="T232" s="67">
        <f t="shared" ca="1" si="106"/>
        <v>0</v>
      </c>
      <c r="U232" s="67" t="e">
        <f t="shared" ca="1" si="107"/>
        <v>#N/A</v>
      </c>
      <c r="V232" s="5">
        <f t="shared" ca="1" si="86"/>
        <v>0</v>
      </c>
      <c r="W232" s="5" t="e">
        <f t="shared" ca="1" si="100"/>
        <v>#N/A</v>
      </c>
      <c r="X232" s="67">
        <f t="shared" ca="1" si="101"/>
        <v>0</v>
      </c>
      <c r="Y232" s="67" t="e">
        <f t="shared" ca="1" si="108"/>
        <v>#N/A</v>
      </c>
      <c r="Z232" s="67" t="e">
        <f t="shared" ca="1" si="109"/>
        <v>#N/A</v>
      </c>
      <c r="AA232" s="5" t="str">
        <f>IF(Setup!$I$15="Yes",'Demand background (hide)'!AJ220+'SPC background (hide)'!C232,"")</f>
        <v/>
      </c>
      <c r="AC232" s="5" t="str">
        <f t="shared" ca="1" si="102"/>
        <v/>
      </c>
      <c r="AD232" s="5" t="str">
        <f t="shared" ca="1" si="103"/>
        <v/>
      </c>
    </row>
    <row r="233" spans="1:30" x14ac:dyDescent="0.2">
      <c r="A233" s="67">
        <f>Demand!C230</f>
        <v>0</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f t="shared" ca="1" si="91"/>
        <v>5</v>
      </c>
      <c r="J233" s="5">
        <f t="shared" ca="1" si="92"/>
        <v>0</v>
      </c>
      <c r="K233" s="5">
        <f t="shared" ca="1" si="93"/>
        <v>0</v>
      </c>
      <c r="L233" s="5">
        <f t="shared" ca="1" si="94"/>
        <v>0</v>
      </c>
      <c r="M233" s="5">
        <f t="shared" ca="1" si="95"/>
        <v>0</v>
      </c>
      <c r="N233" s="5">
        <f t="shared" ca="1" si="96"/>
        <v>0</v>
      </c>
      <c r="O233" s="5">
        <f t="shared" ca="1" si="97"/>
        <v>0</v>
      </c>
      <c r="P233" s="5">
        <f t="shared" ca="1" si="98"/>
        <v>0</v>
      </c>
      <c r="Q233" s="5" t="e">
        <f t="shared" ca="1" si="99"/>
        <v>#N/A</v>
      </c>
      <c r="R233" s="5">
        <f t="shared" ca="1" si="104"/>
        <v>0</v>
      </c>
      <c r="S233" s="67" t="e">
        <f t="shared" ca="1" si="105"/>
        <v>#N/A</v>
      </c>
      <c r="T233" s="67">
        <f t="shared" ca="1" si="106"/>
        <v>0</v>
      </c>
      <c r="U233" s="67" t="e">
        <f t="shared" ca="1" si="107"/>
        <v>#N/A</v>
      </c>
      <c r="V233" s="5">
        <f t="shared" ca="1" si="86"/>
        <v>0</v>
      </c>
      <c r="W233" s="5" t="e">
        <f t="shared" ca="1" si="100"/>
        <v>#N/A</v>
      </c>
      <c r="X233" s="67">
        <f t="shared" ca="1" si="101"/>
        <v>0</v>
      </c>
      <c r="Y233" s="67" t="e">
        <f t="shared" ca="1" si="108"/>
        <v>#N/A</v>
      </c>
      <c r="Z233" s="67" t="e">
        <f t="shared" ca="1" si="109"/>
        <v>#N/A</v>
      </c>
      <c r="AA233" s="5" t="str">
        <f>IF(Setup!$I$15="Yes",'Demand background (hide)'!AJ221+'SPC background (hide)'!C233,"")</f>
        <v/>
      </c>
      <c r="AC233" s="5" t="str">
        <f t="shared" ca="1" si="102"/>
        <v/>
      </c>
      <c r="AD233" s="5" t="str">
        <f t="shared" ca="1" si="103"/>
        <v/>
      </c>
    </row>
    <row r="234" spans="1:30" x14ac:dyDescent="0.2">
      <c r="A234" s="67">
        <f>Demand!C231</f>
        <v>0</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f t="shared" ca="1" si="91"/>
        <v>5</v>
      </c>
      <c r="J234" s="5">
        <f t="shared" ca="1" si="92"/>
        <v>0</v>
      </c>
      <c r="K234" s="5">
        <f t="shared" ca="1" si="93"/>
        <v>0</v>
      </c>
      <c r="L234" s="5">
        <f t="shared" ca="1" si="94"/>
        <v>0</v>
      </c>
      <c r="M234" s="5">
        <f t="shared" ca="1" si="95"/>
        <v>0</v>
      </c>
      <c r="N234" s="5">
        <f t="shared" ca="1" si="96"/>
        <v>0</v>
      </c>
      <c r="O234" s="5">
        <f t="shared" ca="1" si="97"/>
        <v>0</v>
      </c>
      <c r="P234" s="5">
        <f t="shared" ca="1" si="98"/>
        <v>0</v>
      </c>
      <c r="Q234" s="5" t="e">
        <f t="shared" ca="1" si="99"/>
        <v>#N/A</v>
      </c>
      <c r="R234" s="5">
        <f t="shared" ca="1" si="104"/>
        <v>0</v>
      </c>
      <c r="S234" s="67" t="e">
        <f t="shared" ca="1" si="105"/>
        <v>#N/A</v>
      </c>
      <c r="T234" s="67">
        <f t="shared" ca="1" si="106"/>
        <v>0</v>
      </c>
      <c r="U234" s="67" t="e">
        <f t="shared" ca="1" si="107"/>
        <v>#N/A</v>
      </c>
      <c r="V234" s="5">
        <f t="shared" ca="1" si="86"/>
        <v>0</v>
      </c>
      <c r="W234" s="5" t="e">
        <f t="shared" ca="1" si="100"/>
        <v>#N/A</v>
      </c>
      <c r="X234" s="67">
        <f t="shared" ca="1" si="101"/>
        <v>0</v>
      </c>
      <c r="Y234" s="67" t="e">
        <f t="shared" ca="1" si="108"/>
        <v>#N/A</v>
      </c>
      <c r="Z234" s="67" t="e">
        <f t="shared" ca="1" si="109"/>
        <v>#N/A</v>
      </c>
      <c r="AA234" s="5" t="str">
        <f>IF(Setup!$I$15="Yes",'Demand background (hide)'!AJ222+'SPC background (hide)'!C234,"")</f>
        <v/>
      </c>
      <c r="AC234" s="5" t="str">
        <f t="shared" ca="1" si="102"/>
        <v/>
      </c>
      <c r="AD234" s="5" t="str">
        <f t="shared" ca="1" si="103"/>
        <v/>
      </c>
    </row>
    <row r="235" spans="1:30" x14ac:dyDescent="0.2">
      <c r="A235" s="67">
        <f>Demand!C232</f>
        <v>0</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f t="shared" ca="1" si="91"/>
        <v>5</v>
      </c>
      <c r="J235" s="5">
        <f t="shared" ca="1" si="92"/>
        <v>0</v>
      </c>
      <c r="K235" s="5">
        <f t="shared" ca="1" si="93"/>
        <v>0</v>
      </c>
      <c r="L235" s="5">
        <f t="shared" ca="1" si="94"/>
        <v>0</v>
      </c>
      <c r="M235" s="5">
        <f t="shared" ca="1" si="95"/>
        <v>0</v>
      </c>
      <c r="N235" s="5">
        <f t="shared" ca="1" si="96"/>
        <v>0</v>
      </c>
      <c r="O235" s="5">
        <f t="shared" ca="1" si="97"/>
        <v>0</v>
      </c>
      <c r="P235" s="5">
        <f t="shared" ca="1" si="98"/>
        <v>0</v>
      </c>
      <c r="Q235" s="5" t="e">
        <f t="shared" ca="1" si="99"/>
        <v>#N/A</v>
      </c>
      <c r="R235" s="5">
        <f t="shared" ca="1" si="104"/>
        <v>0</v>
      </c>
      <c r="S235" s="67" t="e">
        <f t="shared" ca="1" si="105"/>
        <v>#N/A</v>
      </c>
      <c r="T235" s="67">
        <f t="shared" ca="1" si="106"/>
        <v>0</v>
      </c>
      <c r="U235" s="67" t="e">
        <f t="shared" ca="1" si="107"/>
        <v>#N/A</v>
      </c>
      <c r="V235" s="5">
        <f t="shared" ca="1" si="86"/>
        <v>0</v>
      </c>
      <c r="W235" s="5" t="e">
        <f t="shared" ca="1" si="100"/>
        <v>#N/A</v>
      </c>
      <c r="X235" s="67">
        <f t="shared" ca="1" si="101"/>
        <v>0</v>
      </c>
      <c r="Y235" s="67" t="e">
        <f t="shared" ca="1" si="108"/>
        <v>#N/A</v>
      </c>
      <c r="Z235" s="67" t="e">
        <f t="shared" ca="1" si="109"/>
        <v>#N/A</v>
      </c>
      <c r="AA235" s="5" t="str">
        <f>IF(Setup!$I$15="Yes",'Demand background (hide)'!AJ223+'SPC background (hide)'!C235,"")</f>
        <v/>
      </c>
      <c r="AC235" s="5" t="str">
        <f t="shared" ca="1" si="102"/>
        <v/>
      </c>
      <c r="AD235" s="5" t="str">
        <f t="shared" ca="1" si="103"/>
        <v/>
      </c>
    </row>
    <row r="236" spans="1:30" x14ac:dyDescent="0.2">
      <c r="A236" s="67">
        <f>Demand!C233</f>
        <v>0</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f t="shared" ca="1" si="91"/>
        <v>5</v>
      </c>
      <c r="J236" s="5">
        <f t="shared" ca="1" si="92"/>
        <v>0</v>
      </c>
      <c r="K236" s="5">
        <f t="shared" ca="1" si="93"/>
        <v>0</v>
      </c>
      <c r="L236" s="5">
        <f t="shared" ca="1" si="94"/>
        <v>0</v>
      </c>
      <c r="M236" s="5">
        <f t="shared" ca="1" si="95"/>
        <v>0</v>
      </c>
      <c r="N236" s="5">
        <f t="shared" ca="1" si="96"/>
        <v>0</v>
      </c>
      <c r="O236" s="5">
        <f t="shared" ca="1" si="97"/>
        <v>0</v>
      </c>
      <c r="P236" s="5">
        <f t="shared" ca="1" si="98"/>
        <v>0</v>
      </c>
      <c r="Q236" s="5" t="e">
        <f t="shared" ca="1" si="99"/>
        <v>#N/A</v>
      </c>
      <c r="R236" s="5">
        <f t="shared" ca="1" si="104"/>
        <v>0</v>
      </c>
      <c r="S236" s="67" t="e">
        <f t="shared" ca="1" si="105"/>
        <v>#N/A</v>
      </c>
      <c r="T236" s="67">
        <f t="shared" ca="1" si="106"/>
        <v>0</v>
      </c>
      <c r="U236" s="67" t="e">
        <f t="shared" ca="1" si="107"/>
        <v>#N/A</v>
      </c>
      <c r="V236" s="5">
        <f t="shared" ca="1" si="86"/>
        <v>0</v>
      </c>
      <c r="W236" s="5" t="e">
        <f t="shared" ca="1" si="100"/>
        <v>#N/A</v>
      </c>
      <c r="X236" s="67">
        <f t="shared" ca="1" si="101"/>
        <v>0</v>
      </c>
      <c r="Y236" s="67" t="e">
        <f t="shared" ca="1" si="108"/>
        <v>#N/A</v>
      </c>
      <c r="Z236" s="67" t="e">
        <f t="shared" ca="1" si="109"/>
        <v>#N/A</v>
      </c>
      <c r="AA236" s="5" t="str">
        <f>IF(Setup!$I$15="Yes",'Demand background (hide)'!AJ224+'SPC background (hide)'!C236,"")</f>
        <v/>
      </c>
      <c r="AC236" s="5" t="str">
        <f t="shared" ca="1" si="102"/>
        <v/>
      </c>
      <c r="AD236" s="5" t="str">
        <f t="shared" ca="1" si="103"/>
        <v/>
      </c>
    </row>
    <row r="237" spans="1:30" x14ac:dyDescent="0.2">
      <c r="A237" s="67">
        <f>Demand!C234</f>
        <v>0</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f t="shared" ca="1" si="91"/>
        <v>5</v>
      </c>
      <c r="J237" s="5">
        <f t="shared" ca="1" si="92"/>
        <v>0</v>
      </c>
      <c r="K237" s="5">
        <f t="shared" ca="1" si="93"/>
        <v>0</v>
      </c>
      <c r="L237" s="5">
        <f t="shared" ca="1" si="94"/>
        <v>0</v>
      </c>
      <c r="M237" s="5">
        <f t="shared" ca="1" si="95"/>
        <v>0</v>
      </c>
      <c r="N237" s="5">
        <f t="shared" ca="1" si="96"/>
        <v>0</v>
      </c>
      <c r="O237" s="5">
        <f t="shared" ca="1" si="97"/>
        <v>0</v>
      </c>
      <c r="P237" s="5">
        <f t="shared" ca="1" si="98"/>
        <v>0</v>
      </c>
      <c r="Q237" s="5" t="e">
        <f t="shared" ca="1" si="99"/>
        <v>#N/A</v>
      </c>
      <c r="R237" s="5">
        <f t="shared" ca="1" si="104"/>
        <v>0</v>
      </c>
      <c r="S237" s="67" t="e">
        <f t="shared" ca="1" si="105"/>
        <v>#N/A</v>
      </c>
      <c r="T237" s="67">
        <f t="shared" ca="1" si="106"/>
        <v>0</v>
      </c>
      <c r="U237" s="67" t="e">
        <f t="shared" ca="1" si="107"/>
        <v>#N/A</v>
      </c>
      <c r="V237" s="5">
        <f t="shared" ca="1" si="86"/>
        <v>0</v>
      </c>
      <c r="W237" s="5" t="e">
        <f t="shared" ca="1" si="100"/>
        <v>#N/A</v>
      </c>
      <c r="X237" s="67">
        <f t="shared" ca="1" si="101"/>
        <v>0</v>
      </c>
      <c r="Y237" s="67" t="e">
        <f t="shared" ca="1" si="108"/>
        <v>#N/A</v>
      </c>
      <c r="Z237" s="67" t="e">
        <f t="shared" ca="1" si="109"/>
        <v>#N/A</v>
      </c>
      <c r="AA237" s="5" t="str">
        <f>IF(Setup!$I$15="Yes",'Demand background (hide)'!AJ225+'SPC background (hide)'!C237,"")</f>
        <v/>
      </c>
      <c r="AC237" s="5" t="str">
        <f t="shared" ca="1" si="102"/>
        <v/>
      </c>
      <c r="AD237" s="5" t="str">
        <f t="shared" ca="1" si="103"/>
        <v/>
      </c>
    </row>
    <row r="238" spans="1:30" x14ac:dyDescent="0.2">
      <c r="A238" s="67">
        <f>Demand!C235</f>
        <v>0</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f t="shared" ca="1" si="91"/>
        <v>5</v>
      </c>
      <c r="J238" s="5">
        <f t="shared" ca="1" si="92"/>
        <v>0</v>
      </c>
      <c r="K238" s="5">
        <f t="shared" ca="1" si="93"/>
        <v>0</v>
      </c>
      <c r="L238" s="5">
        <f t="shared" ca="1" si="94"/>
        <v>0</v>
      </c>
      <c r="M238" s="5">
        <f t="shared" ca="1" si="95"/>
        <v>0</v>
      </c>
      <c r="N238" s="5">
        <f t="shared" ca="1" si="96"/>
        <v>0</v>
      </c>
      <c r="O238" s="5">
        <f t="shared" ca="1" si="97"/>
        <v>0</v>
      </c>
      <c r="P238" s="5">
        <f t="shared" ca="1" si="98"/>
        <v>0</v>
      </c>
      <c r="Q238" s="5" t="e">
        <f t="shared" ca="1" si="99"/>
        <v>#N/A</v>
      </c>
      <c r="R238" s="5">
        <f t="shared" ca="1" si="104"/>
        <v>0</v>
      </c>
      <c r="S238" s="67" t="e">
        <f t="shared" ca="1" si="105"/>
        <v>#N/A</v>
      </c>
      <c r="T238" s="67">
        <f t="shared" ca="1" si="106"/>
        <v>0</v>
      </c>
      <c r="U238" s="67" t="e">
        <f t="shared" ca="1" si="107"/>
        <v>#N/A</v>
      </c>
      <c r="V238" s="5">
        <f t="shared" ca="1" si="86"/>
        <v>0</v>
      </c>
      <c r="W238" s="5" t="e">
        <f t="shared" ca="1" si="100"/>
        <v>#N/A</v>
      </c>
      <c r="X238" s="67">
        <f t="shared" ca="1" si="101"/>
        <v>0</v>
      </c>
      <c r="Y238" s="67" t="e">
        <f t="shared" ca="1" si="108"/>
        <v>#N/A</v>
      </c>
      <c r="Z238" s="67" t="e">
        <f t="shared" ca="1" si="109"/>
        <v>#N/A</v>
      </c>
      <c r="AA238" s="5" t="str">
        <f>IF(Setup!$I$15="Yes",'Demand background (hide)'!AJ226+'SPC background (hide)'!C238,"")</f>
        <v/>
      </c>
      <c r="AC238" s="5" t="str">
        <f t="shared" ca="1" si="102"/>
        <v/>
      </c>
      <c r="AD238" s="5" t="str">
        <f t="shared" ca="1" si="103"/>
        <v/>
      </c>
    </row>
    <row r="239" spans="1:30" x14ac:dyDescent="0.2">
      <c r="A239" s="67">
        <f>Demand!C236</f>
        <v>0</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f t="shared" ca="1" si="91"/>
        <v>5</v>
      </c>
      <c r="J239" s="5">
        <f t="shared" ca="1" si="92"/>
        <v>0</v>
      </c>
      <c r="K239" s="5">
        <f t="shared" ca="1" si="93"/>
        <v>0</v>
      </c>
      <c r="L239" s="5">
        <f t="shared" ca="1" si="94"/>
        <v>0</v>
      </c>
      <c r="M239" s="5">
        <f t="shared" ca="1" si="95"/>
        <v>0</v>
      </c>
      <c r="N239" s="5">
        <f t="shared" ca="1" si="96"/>
        <v>0</v>
      </c>
      <c r="O239" s="5">
        <f t="shared" ca="1" si="97"/>
        <v>0</v>
      </c>
      <c r="P239" s="5">
        <f t="shared" ca="1" si="98"/>
        <v>0</v>
      </c>
      <c r="Q239" s="5" t="e">
        <f t="shared" ca="1" si="99"/>
        <v>#N/A</v>
      </c>
      <c r="R239" s="5">
        <f t="shared" ca="1" si="104"/>
        <v>0</v>
      </c>
      <c r="S239" s="67" t="e">
        <f t="shared" ca="1" si="105"/>
        <v>#N/A</v>
      </c>
      <c r="T239" s="67">
        <f t="shared" ca="1" si="106"/>
        <v>0</v>
      </c>
      <c r="U239" s="67" t="e">
        <f t="shared" ca="1" si="107"/>
        <v>#N/A</v>
      </c>
      <c r="V239" s="5">
        <f t="shared" ca="1" si="86"/>
        <v>0</v>
      </c>
      <c r="W239" s="5" t="e">
        <f t="shared" ca="1" si="100"/>
        <v>#N/A</v>
      </c>
      <c r="X239" s="67">
        <f t="shared" ca="1" si="101"/>
        <v>0</v>
      </c>
      <c r="Y239" s="67" t="e">
        <f t="shared" ca="1" si="108"/>
        <v>#N/A</v>
      </c>
      <c r="Z239" s="67" t="e">
        <f t="shared" ca="1" si="109"/>
        <v>#N/A</v>
      </c>
      <c r="AA239" s="5" t="str">
        <f>IF(Setup!$I$15="Yes",'Demand background (hide)'!AJ227+'SPC background (hide)'!C239,"")</f>
        <v/>
      </c>
      <c r="AC239" s="5" t="str">
        <f t="shared" ca="1" si="102"/>
        <v/>
      </c>
      <c r="AD239" s="5" t="str">
        <f t="shared" ca="1" si="103"/>
        <v/>
      </c>
    </row>
    <row r="240" spans="1:30" x14ac:dyDescent="0.2">
      <c r="A240" s="67">
        <f>Demand!C237</f>
        <v>0</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f t="shared" ca="1" si="91"/>
        <v>5</v>
      </c>
      <c r="J240" s="5">
        <f t="shared" ca="1" si="92"/>
        <v>0</v>
      </c>
      <c r="K240" s="5">
        <f t="shared" ca="1" si="93"/>
        <v>0</v>
      </c>
      <c r="L240" s="5">
        <f t="shared" ca="1" si="94"/>
        <v>0</v>
      </c>
      <c r="M240" s="5">
        <f t="shared" ca="1" si="95"/>
        <v>0</v>
      </c>
      <c r="N240" s="5">
        <f t="shared" ca="1" si="96"/>
        <v>0</v>
      </c>
      <c r="O240" s="5">
        <f t="shared" ca="1" si="97"/>
        <v>0</v>
      </c>
      <c r="P240" s="5">
        <f t="shared" ca="1" si="98"/>
        <v>0</v>
      </c>
      <c r="Q240" s="5" t="e">
        <f t="shared" ca="1" si="99"/>
        <v>#N/A</v>
      </c>
      <c r="R240" s="5">
        <f t="shared" ca="1" si="104"/>
        <v>0</v>
      </c>
      <c r="S240" s="67" t="e">
        <f t="shared" ca="1" si="105"/>
        <v>#N/A</v>
      </c>
      <c r="T240" s="67">
        <f t="shared" ca="1" si="106"/>
        <v>0</v>
      </c>
      <c r="U240" s="67" t="e">
        <f t="shared" ca="1" si="107"/>
        <v>#N/A</v>
      </c>
      <c r="V240" s="5">
        <f t="shared" ca="1" si="86"/>
        <v>0</v>
      </c>
      <c r="W240" s="5" t="e">
        <f t="shared" ca="1" si="100"/>
        <v>#N/A</v>
      </c>
      <c r="X240" s="67">
        <f t="shared" ca="1" si="101"/>
        <v>0</v>
      </c>
      <c r="Y240" s="67" t="e">
        <f t="shared" ca="1" si="108"/>
        <v>#N/A</v>
      </c>
      <c r="Z240" s="67" t="e">
        <f t="shared" ca="1" si="109"/>
        <v>#N/A</v>
      </c>
      <c r="AA240" s="5" t="str">
        <f>IF(Setup!$I$15="Yes",'Demand background (hide)'!AJ228+'SPC background (hide)'!C240,"")</f>
        <v/>
      </c>
      <c r="AC240" s="5" t="str">
        <f t="shared" ca="1" si="102"/>
        <v/>
      </c>
      <c r="AD240" s="5" t="str">
        <f t="shared" ca="1" si="103"/>
        <v/>
      </c>
    </row>
    <row r="241" spans="1:30" x14ac:dyDescent="0.2">
      <c r="A241" s="67">
        <f>Demand!C238</f>
        <v>0</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f t="shared" ca="1" si="91"/>
        <v>5</v>
      </c>
      <c r="J241" s="5">
        <f t="shared" ca="1" si="92"/>
        <v>0</v>
      </c>
      <c r="K241" s="5">
        <f t="shared" ca="1" si="93"/>
        <v>0</v>
      </c>
      <c r="L241" s="5">
        <f t="shared" ca="1" si="94"/>
        <v>0</v>
      </c>
      <c r="M241" s="5">
        <f t="shared" ca="1" si="95"/>
        <v>0</v>
      </c>
      <c r="N241" s="5">
        <f t="shared" ca="1" si="96"/>
        <v>0</v>
      </c>
      <c r="O241" s="5">
        <f t="shared" ca="1" si="97"/>
        <v>0</v>
      </c>
      <c r="P241" s="5">
        <f t="shared" ca="1" si="98"/>
        <v>0</v>
      </c>
      <c r="Q241" s="5" t="e">
        <f t="shared" ca="1" si="99"/>
        <v>#N/A</v>
      </c>
      <c r="R241" s="5">
        <f t="shared" ca="1" si="104"/>
        <v>0</v>
      </c>
      <c r="S241" s="67" t="e">
        <f t="shared" ca="1" si="105"/>
        <v>#N/A</v>
      </c>
      <c r="T241" s="67">
        <f t="shared" ca="1" si="106"/>
        <v>0</v>
      </c>
      <c r="U241" s="67" t="e">
        <f t="shared" ca="1" si="107"/>
        <v>#N/A</v>
      </c>
      <c r="V241" s="5">
        <f t="shared" ca="1" si="86"/>
        <v>0</v>
      </c>
      <c r="W241" s="5" t="e">
        <f t="shared" ca="1" si="100"/>
        <v>#N/A</v>
      </c>
      <c r="X241" s="67">
        <f t="shared" ca="1" si="101"/>
        <v>0</v>
      </c>
      <c r="Y241" s="67" t="e">
        <f t="shared" ca="1" si="108"/>
        <v>#N/A</v>
      </c>
      <c r="Z241" s="67" t="e">
        <f t="shared" ca="1" si="109"/>
        <v>#N/A</v>
      </c>
      <c r="AA241" s="5" t="str">
        <f>IF(Setup!$I$15="Yes",'Demand background (hide)'!AJ229+'SPC background (hide)'!C241,"")</f>
        <v/>
      </c>
      <c r="AC241" s="5" t="str">
        <f t="shared" ca="1" si="102"/>
        <v/>
      </c>
      <c r="AD241" s="5" t="str">
        <f t="shared" ca="1" si="103"/>
        <v/>
      </c>
    </row>
    <row r="242" spans="1:30" x14ac:dyDescent="0.2">
      <c r="A242" s="67">
        <f>Demand!C239</f>
        <v>0</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f t="shared" ca="1" si="91"/>
        <v>5</v>
      </c>
      <c r="J242" s="5">
        <f t="shared" ca="1" si="92"/>
        <v>0</v>
      </c>
      <c r="K242" s="5">
        <f t="shared" ca="1" si="93"/>
        <v>0</v>
      </c>
      <c r="L242" s="5">
        <f t="shared" ca="1" si="94"/>
        <v>0</v>
      </c>
      <c r="M242" s="5">
        <f t="shared" ca="1" si="95"/>
        <v>0</v>
      </c>
      <c r="N242" s="5">
        <f t="shared" ca="1" si="96"/>
        <v>0</v>
      </c>
      <c r="O242" s="5">
        <f t="shared" ca="1" si="97"/>
        <v>0</v>
      </c>
      <c r="P242" s="5">
        <f t="shared" ca="1" si="98"/>
        <v>0</v>
      </c>
      <c r="Q242" s="5" t="e">
        <f t="shared" ca="1" si="99"/>
        <v>#N/A</v>
      </c>
      <c r="R242" s="5">
        <f t="shared" ca="1" si="104"/>
        <v>0</v>
      </c>
      <c r="S242" s="67" t="e">
        <f t="shared" ca="1" si="105"/>
        <v>#N/A</v>
      </c>
      <c r="T242" s="67">
        <f t="shared" ca="1" si="106"/>
        <v>0</v>
      </c>
      <c r="U242" s="67" t="e">
        <f t="shared" ca="1" si="107"/>
        <v>#N/A</v>
      </c>
      <c r="V242" s="5">
        <f t="shared" ca="1" si="86"/>
        <v>0</v>
      </c>
      <c r="W242" s="5" t="e">
        <f t="shared" ca="1" si="100"/>
        <v>#N/A</v>
      </c>
      <c r="X242" s="67">
        <f t="shared" ca="1" si="101"/>
        <v>0</v>
      </c>
      <c r="Y242" s="67" t="e">
        <f t="shared" ca="1" si="108"/>
        <v>#N/A</v>
      </c>
      <c r="Z242" s="67" t="e">
        <f t="shared" ca="1" si="109"/>
        <v>#N/A</v>
      </c>
      <c r="AA242" s="5" t="str">
        <f>IF(Setup!$I$15="Yes",'Demand background (hide)'!AJ230+'SPC background (hide)'!C242,"")</f>
        <v/>
      </c>
      <c r="AC242" s="5" t="str">
        <f t="shared" ca="1" si="102"/>
        <v/>
      </c>
      <c r="AD242" s="5" t="str">
        <f t="shared" ca="1" si="103"/>
        <v/>
      </c>
    </row>
    <row r="243" spans="1:30" x14ac:dyDescent="0.2">
      <c r="A243" s="67">
        <f>Demand!C240</f>
        <v>0</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f t="shared" ca="1" si="91"/>
        <v>5</v>
      </c>
      <c r="J243" s="5">
        <f t="shared" ca="1" si="92"/>
        <v>0</v>
      </c>
      <c r="K243" s="5">
        <f t="shared" ca="1" si="93"/>
        <v>0</v>
      </c>
      <c r="L243" s="5">
        <f t="shared" ca="1" si="94"/>
        <v>0</v>
      </c>
      <c r="M243" s="5">
        <f t="shared" ca="1" si="95"/>
        <v>0</v>
      </c>
      <c r="N243" s="5">
        <f t="shared" ca="1" si="96"/>
        <v>0</v>
      </c>
      <c r="O243" s="5">
        <f t="shared" ca="1" si="97"/>
        <v>0</v>
      </c>
      <c r="P243" s="5">
        <f t="shared" ca="1" si="98"/>
        <v>0</v>
      </c>
      <c r="Q243" s="5" t="e">
        <f t="shared" ca="1" si="99"/>
        <v>#N/A</v>
      </c>
      <c r="R243" s="5">
        <f t="shared" ca="1" si="104"/>
        <v>0</v>
      </c>
      <c r="S243" s="67" t="e">
        <f t="shared" ca="1" si="105"/>
        <v>#N/A</v>
      </c>
      <c r="T243" s="67">
        <f t="shared" ca="1" si="106"/>
        <v>0</v>
      </c>
      <c r="U243" s="67" t="e">
        <f t="shared" ca="1" si="107"/>
        <v>#N/A</v>
      </c>
      <c r="V243" s="5">
        <f t="shared" ca="1" si="86"/>
        <v>0</v>
      </c>
      <c r="W243" s="5" t="e">
        <f t="shared" ca="1" si="100"/>
        <v>#N/A</v>
      </c>
      <c r="X243" s="67">
        <f t="shared" ca="1" si="101"/>
        <v>0</v>
      </c>
      <c r="Y243" s="67" t="e">
        <f t="shared" ca="1" si="108"/>
        <v>#N/A</v>
      </c>
      <c r="Z243" s="67" t="e">
        <f t="shared" ca="1" si="109"/>
        <v>#N/A</v>
      </c>
      <c r="AA243" s="5" t="str">
        <f>IF(Setup!$I$15="Yes",'Demand background (hide)'!AJ231+'SPC background (hide)'!C243,"")</f>
        <v/>
      </c>
      <c r="AC243" s="5" t="str">
        <f t="shared" ca="1" si="102"/>
        <v/>
      </c>
      <c r="AD243" s="5" t="str">
        <f t="shared" ca="1" si="103"/>
        <v/>
      </c>
    </row>
    <row r="244" spans="1:30" x14ac:dyDescent="0.2">
      <c r="A244" s="67">
        <f>Demand!C241</f>
        <v>0</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f t="shared" ca="1" si="91"/>
        <v>5</v>
      </c>
      <c r="J244" s="5">
        <f t="shared" ca="1" si="92"/>
        <v>0</v>
      </c>
      <c r="K244" s="5">
        <f t="shared" ca="1" si="93"/>
        <v>0</v>
      </c>
      <c r="L244" s="5">
        <f t="shared" ca="1" si="94"/>
        <v>0</v>
      </c>
      <c r="M244" s="5">
        <f t="shared" ca="1" si="95"/>
        <v>0</v>
      </c>
      <c r="N244" s="5">
        <f t="shared" ca="1" si="96"/>
        <v>0</v>
      </c>
      <c r="O244" s="5">
        <f t="shared" ca="1" si="97"/>
        <v>0</v>
      </c>
      <c r="P244" s="5">
        <f t="shared" ca="1" si="98"/>
        <v>0</v>
      </c>
      <c r="Q244" s="5" t="e">
        <f t="shared" ca="1" si="99"/>
        <v>#N/A</v>
      </c>
      <c r="R244" s="5">
        <f t="shared" ca="1" si="104"/>
        <v>0</v>
      </c>
      <c r="S244" s="67" t="e">
        <f t="shared" ca="1" si="105"/>
        <v>#N/A</v>
      </c>
      <c r="T244" s="67">
        <f t="shared" ca="1" si="106"/>
        <v>0</v>
      </c>
      <c r="U244" s="67" t="e">
        <f t="shared" ca="1" si="107"/>
        <v>#N/A</v>
      </c>
      <c r="V244" s="5">
        <f t="shared" ca="1" si="86"/>
        <v>0</v>
      </c>
      <c r="W244" s="5" t="e">
        <f t="shared" ca="1" si="100"/>
        <v>#N/A</v>
      </c>
      <c r="X244" s="67">
        <f t="shared" ca="1" si="101"/>
        <v>0</v>
      </c>
      <c r="Y244" s="67" t="e">
        <f t="shared" ca="1" si="108"/>
        <v>#N/A</v>
      </c>
      <c r="Z244" s="67" t="e">
        <f t="shared" ca="1" si="109"/>
        <v>#N/A</v>
      </c>
      <c r="AA244" s="5" t="str">
        <f>IF(Setup!$I$15="Yes",'Demand background (hide)'!AJ232+'SPC background (hide)'!C244,"")</f>
        <v/>
      </c>
      <c r="AC244" s="5" t="str">
        <f t="shared" ca="1" si="102"/>
        <v/>
      </c>
      <c r="AD244" s="5" t="str">
        <f t="shared" ca="1" si="103"/>
        <v/>
      </c>
    </row>
    <row r="245" spans="1:30" x14ac:dyDescent="0.2">
      <c r="A245" s="67">
        <f>Demand!C242</f>
        <v>0</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f t="shared" ca="1" si="91"/>
        <v>5</v>
      </c>
      <c r="J245" s="5">
        <f t="shared" ca="1" si="92"/>
        <v>0</v>
      </c>
      <c r="K245" s="5">
        <f t="shared" ca="1" si="93"/>
        <v>0</v>
      </c>
      <c r="L245" s="5">
        <f t="shared" ca="1" si="94"/>
        <v>0</v>
      </c>
      <c r="M245" s="5">
        <f t="shared" ca="1" si="95"/>
        <v>0</v>
      </c>
      <c r="N245" s="5">
        <f t="shared" ca="1" si="96"/>
        <v>0</v>
      </c>
      <c r="O245" s="5">
        <f t="shared" ca="1" si="97"/>
        <v>0</v>
      </c>
      <c r="P245" s="5">
        <f t="shared" ca="1" si="98"/>
        <v>0</v>
      </c>
      <c r="Q245" s="5" t="e">
        <f t="shared" ca="1" si="99"/>
        <v>#N/A</v>
      </c>
      <c r="R245" s="5">
        <f t="shared" ca="1" si="104"/>
        <v>0</v>
      </c>
      <c r="S245" s="67" t="e">
        <f t="shared" ca="1" si="105"/>
        <v>#N/A</v>
      </c>
      <c r="T245" s="67">
        <f t="shared" ca="1" si="106"/>
        <v>0</v>
      </c>
      <c r="U245" s="67" t="e">
        <f t="shared" ca="1" si="107"/>
        <v>#N/A</v>
      </c>
      <c r="V245" s="5">
        <f t="shared" ca="1" si="86"/>
        <v>0</v>
      </c>
      <c r="W245" s="5" t="e">
        <f t="shared" ca="1" si="100"/>
        <v>#N/A</v>
      </c>
      <c r="X245" s="67">
        <f t="shared" ca="1" si="101"/>
        <v>0</v>
      </c>
      <c r="Y245" s="67" t="e">
        <f t="shared" ca="1" si="108"/>
        <v>#N/A</v>
      </c>
      <c r="Z245" s="67" t="e">
        <f t="shared" ca="1" si="109"/>
        <v>#N/A</v>
      </c>
      <c r="AA245" s="5" t="str">
        <f>IF(Setup!$I$15="Yes",'Demand background (hide)'!AJ233+'SPC background (hide)'!C245,"")</f>
        <v/>
      </c>
      <c r="AC245" s="5" t="str">
        <f t="shared" ca="1" si="102"/>
        <v/>
      </c>
      <c r="AD245" s="5" t="str">
        <f t="shared" ca="1" si="103"/>
        <v/>
      </c>
    </row>
    <row r="246" spans="1:30" x14ac:dyDescent="0.2">
      <c r="A246" s="67">
        <f>Demand!C243</f>
        <v>0</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f t="shared" ca="1" si="91"/>
        <v>5</v>
      </c>
      <c r="J246" s="5">
        <f t="shared" ca="1" si="92"/>
        <v>0</v>
      </c>
      <c r="K246" s="5">
        <f t="shared" ca="1" si="93"/>
        <v>0</v>
      </c>
      <c r="L246" s="5">
        <f t="shared" ca="1" si="94"/>
        <v>0</v>
      </c>
      <c r="M246" s="5">
        <f t="shared" ca="1" si="95"/>
        <v>0</v>
      </c>
      <c r="N246" s="5">
        <f t="shared" ca="1" si="96"/>
        <v>0</v>
      </c>
      <c r="O246" s="5">
        <f t="shared" ca="1" si="97"/>
        <v>0</v>
      </c>
      <c r="P246" s="5">
        <f t="shared" ca="1" si="98"/>
        <v>0</v>
      </c>
      <c r="Q246" s="5" t="e">
        <f t="shared" ca="1" si="99"/>
        <v>#N/A</v>
      </c>
      <c r="R246" s="5">
        <f t="shared" ca="1" si="104"/>
        <v>0</v>
      </c>
      <c r="S246" s="67" t="e">
        <f t="shared" ca="1" si="105"/>
        <v>#N/A</v>
      </c>
      <c r="T246" s="67">
        <f t="shared" ca="1" si="106"/>
        <v>0</v>
      </c>
      <c r="U246" s="67" t="e">
        <f t="shared" ca="1" si="107"/>
        <v>#N/A</v>
      </c>
      <c r="V246" s="5">
        <f t="shared" ca="1" si="86"/>
        <v>0</v>
      </c>
      <c r="W246" s="5" t="e">
        <f t="shared" ca="1" si="100"/>
        <v>#N/A</v>
      </c>
      <c r="X246" s="67">
        <f t="shared" ca="1" si="101"/>
        <v>0</v>
      </c>
      <c r="Y246" s="67" t="e">
        <f t="shared" ca="1" si="108"/>
        <v>#N/A</v>
      </c>
      <c r="Z246" s="67" t="e">
        <f t="shared" ca="1" si="109"/>
        <v>#N/A</v>
      </c>
      <c r="AA246" s="5" t="str">
        <f>IF(Setup!$I$15="Yes",'Demand background (hide)'!AJ234+'SPC background (hide)'!C246,"")</f>
        <v/>
      </c>
      <c r="AC246" s="5" t="str">
        <f t="shared" ca="1" si="102"/>
        <v/>
      </c>
      <c r="AD246" s="5" t="str">
        <f t="shared" ca="1" si="103"/>
        <v/>
      </c>
    </row>
    <row r="247" spans="1:30" x14ac:dyDescent="0.2">
      <c r="A247" s="67">
        <f>Demand!C244</f>
        <v>0</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f t="shared" ca="1" si="91"/>
        <v>5</v>
      </c>
      <c r="J247" s="5">
        <f t="shared" ca="1" si="92"/>
        <v>0</v>
      </c>
      <c r="K247" s="5">
        <f t="shared" ca="1" si="93"/>
        <v>0</v>
      </c>
      <c r="L247" s="5">
        <f t="shared" ca="1" si="94"/>
        <v>0</v>
      </c>
      <c r="M247" s="5">
        <f t="shared" ca="1" si="95"/>
        <v>0</v>
      </c>
      <c r="N247" s="5">
        <f t="shared" ca="1" si="96"/>
        <v>0</v>
      </c>
      <c r="O247" s="5">
        <f t="shared" ca="1" si="97"/>
        <v>0</v>
      </c>
      <c r="P247" s="5">
        <f t="shared" ca="1" si="98"/>
        <v>0</v>
      </c>
      <c r="Q247" s="5" t="e">
        <f t="shared" ca="1" si="99"/>
        <v>#N/A</v>
      </c>
      <c r="R247" s="5">
        <f t="shared" ca="1" si="104"/>
        <v>0</v>
      </c>
      <c r="S247" s="67" t="e">
        <f t="shared" ca="1" si="105"/>
        <v>#N/A</v>
      </c>
      <c r="T247" s="67">
        <f t="shared" ca="1" si="106"/>
        <v>0</v>
      </c>
      <c r="U247" s="67" t="e">
        <f t="shared" ca="1" si="107"/>
        <v>#N/A</v>
      </c>
      <c r="V247" s="5">
        <f t="shared" ca="1" si="86"/>
        <v>0</v>
      </c>
      <c r="W247" s="5" t="e">
        <f t="shared" ca="1" si="100"/>
        <v>#N/A</v>
      </c>
      <c r="X247" s="67">
        <f t="shared" ca="1" si="101"/>
        <v>0</v>
      </c>
      <c r="Y247" s="67" t="e">
        <f t="shared" ca="1" si="108"/>
        <v>#N/A</v>
      </c>
      <c r="Z247" s="67" t="e">
        <f t="shared" ca="1" si="109"/>
        <v>#N/A</v>
      </c>
      <c r="AA247" s="5" t="str">
        <f>IF(Setup!$I$15="Yes",'Demand background (hide)'!AJ235+'SPC background (hide)'!C247,"")</f>
        <v/>
      </c>
      <c r="AC247" s="5" t="str">
        <f t="shared" ca="1" si="102"/>
        <v/>
      </c>
      <c r="AD247" s="5" t="str">
        <f t="shared" ca="1" si="103"/>
        <v/>
      </c>
    </row>
    <row r="248" spans="1:30" x14ac:dyDescent="0.2">
      <c r="A248" s="67">
        <f>Demand!C245</f>
        <v>0</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f t="shared" ca="1" si="91"/>
        <v>5</v>
      </c>
      <c r="J248" s="5">
        <f t="shared" ca="1" si="92"/>
        <v>0</v>
      </c>
      <c r="K248" s="5">
        <f t="shared" ca="1" si="93"/>
        <v>0</v>
      </c>
      <c r="L248" s="5">
        <f t="shared" ca="1" si="94"/>
        <v>0</v>
      </c>
      <c r="M248" s="5">
        <f t="shared" ca="1" si="95"/>
        <v>0</v>
      </c>
      <c r="N248" s="5">
        <f t="shared" ca="1" si="96"/>
        <v>0</v>
      </c>
      <c r="O248" s="5">
        <f t="shared" ca="1" si="97"/>
        <v>0</v>
      </c>
      <c r="P248" s="5">
        <f t="shared" ca="1" si="98"/>
        <v>0</v>
      </c>
      <c r="Q248" s="5" t="e">
        <f t="shared" ca="1" si="99"/>
        <v>#N/A</v>
      </c>
      <c r="R248" s="5">
        <f t="shared" ca="1" si="104"/>
        <v>0</v>
      </c>
      <c r="S248" s="67" t="e">
        <f t="shared" ca="1" si="105"/>
        <v>#N/A</v>
      </c>
      <c r="T248" s="67">
        <f t="shared" ca="1" si="106"/>
        <v>0</v>
      </c>
      <c r="U248" s="67" t="e">
        <f t="shared" ca="1" si="107"/>
        <v>#N/A</v>
      </c>
      <c r="V248" s="5">
        <f t="shared" ca="1" si="86"/>
        <v>0</v>
      </c>
      <c r="W248" s="5" t="e">
        <f t="shared" ca="1" si="100"/>
        <v>#N/A</v>
      </c>
      <c r="X248" s="67">
        <f t="shared" ca="1" si="101"/>
        <v>0</v>
      </c>
      <c r="Y248" s="67" t="e">
        <f t="shared" ca="1" si="108"/>
        <v>#N/A</v>
      </c>
      <c r="Z248" s="67" t="e">
        <f t="shared" ca="1" si="109"/>
        <v>#N/A</v>
      </c>
      <c r="AA248" s="5" t="str">
        <f>IF(Setup!$I$15="Yes",'Demand background (hide)'!AJ236+'SPC background (hide)'!C248,"")</f>
        <v/>
      </c>
      <c r="AC248" s="5" t="str">
        <f t="shared" ca="1" si="102"/>
        <v/>
      </c>
      <c r="AD248" s="5" t="str">
        <f t="shared" ca="1" si="103"/>
        <v/>
      </c>
    </row>
    <row r="249" spans="1:30" x14ac:dyDescent="0.2">
      <c r="A249" s="67">
        <f>Demand!C246</f>
        <v>0</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f t="shared" ca="1" si="91"/>
        <v>5</v>
      </c>
      <c r="J249" s="5">
        <f t="shared" ca="1" si="92"/>
        <v>0</v>
      </c>
      <c r="K249" s="5">
        <f t="shared" ca="1" si="93"/>
        <v>0</v>
      </c>
      <c r="L249" s="5">
        <f t="shared" ca="1" si="94"/>
        <v>0</v>
      </c>
      <c r="M249" s="5">
        <f t="shared" ca="1" si="95"/>
        <v>0</v>
      </c>
      <c r="N249" s="5">
        <f t="shared" ca="1" si="96"/>
        <v>0</v>
      </c>
      <c r="O249" s="5">
        <f t="shared" ca="1" si="97"/>
        <v>0</v>
      </c>
      <c r="P249" s="5">
        <f t="shared" ca="1" si="98"/>
        <v>0</v>
      </c>
      <c r="Q249" s="5" t="e">
        <f t="shared" ca="1" si="99"/>
        <v>#N/A</v>
      </c>
      <c r="R249" s="5">
        <f t="shared" ca="1" si="104"/>
        <v>0</v>
      </c>
      <c r="S249" s="67" t="e">
        <f t="shared" ca="1" si="105"/>
        <v>#N/A</v>
      </c>
      <c r="T249" s="67">
        <f t="shared" ca="1" si="106"/>
        <v>0</v>
      </c>
      <c r="U249" s="67" t="e">
        <f t="shared" ca="1" si="107"/>
        <v>#N/A</v>
      </c>
      <c r="V249" s="5">
        <f t="shared" ca="1" si="86"/>
        <v>0</v>
      </c>
      <c r="W249" s="5" t="e">
        <f t="shared" ca="1" si="100"/>
        <v>#N/A</v>
      </c>
      <c r="X249" s="67">
        <f t="shared" ca="1" si="101"/>
        <v>0</v>
      </c>
      <c r="Y249" s="67" t="e">
        <f t="shared" ca="1" si="108"/>
        <v>#N/A</v>
      </c>
      <c r="Z249" s="67" t="e">
        <f t="shared" ca="1" si="109"/>
        <v>#N/A</v>
      </c>
      <c r="AA249" s="5" t="str">
        <f>IF(Setup!$I$15="Yes",'Demand background (hide)'!AJ237+'SPC background (hide)'!C249,"")</f>
        <v/>
      </c>
      <c r="AC249" s="5" t="str">
        <f t="shared" ca="1" si="102"/>
        <v/>
      </c>
      <c r="AD249" s="5" t="str">
        <f t="shared" ca="1" si="103"/>
        <v/>
      </c>
    </row>
    <row r="250" spans="1:30" x14ac:dyDescent="0.2">
      <c r="A250" s="67">
        <f>Demand!C247</f>
        <v>0</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f t="shared" ca="1" si="91"/>
        <v>5</v>
      </c>
      <c r="J250" s="5">
        <f t="shared" ca="1" si="92"/>
        <v>0</v>
      </c>
      <c r="K250" s="5">
        <f t="shared" ca="1" si="93"/>
        <v>0</v>
      </c>
      <c r="L250" s="5">
        <f t="shared" ca="1" si="94"/>
        <v>0</v>
      </c>
      <c r="M250" s="5">
        <f t="shared" ca="1" si="95"/>
        <v>0</v>
      </c>
      <c r="N250" s="5">
        <f t="shared" ca="1" si="96"/>
        <v>0</v>
      </c>
      <c r="O250" s="5">
        <f t="shared" ca="1" si="97"/>
        <v>0</v>
      </c>
      <c r="P250" s="5">
        <f t="shared" ca="1" si="98"/>
        <v>0</v>
      </c>
      <c r="Q250" s="5" t="e">
        <f t="shared" ca="1" si="99"/>
        <v>#N/A</v>
      </c>
      <c r="R250" s="5">
        <f t="shared" ca="1" si="104"/>
        <v>0</v>
      </c>
      <c r="S250" s="67" t="e">
        <f t="shared" ca="1" si="105"/>
        <v>#N/A</v>
      </c>
      <c r="T250" s="67">
        <f t="shared" ca="1" si="106"/>
        <v>0</v>
      </c>
      <c r="U250" s="67" t="e">
        <f t="shared" ca="1" si="107"/>
        <v>#N/A</v>
      </c>
      <c r="V250" s="5">
        <f t="shared" ca="1" si="86"/>
        <v>0</v>
      </c>
      <c r="W250" s="5" t="e">
        <f t="shared" ca="1" si="100"/>
        <v>#N/A</v>
      </c>
      <c r="X250" s="67">
        <f t="shared" ca="1" si="101"/>
        <v>0</v>
      </c>
      <c r="Y250" s="67" t="e">
        <f t="shared" ca="1" si="108"/>
        <v>#N/A</v>
      </c>
      <c r="Z250" s="67" t="e">
        <f t="shared" ca="1" si="109"/>
        <v>#N/A</v>
      </c>
      <c r="AA250" s="5" t="str">
        <f>IF(Setup!$I$15="Yes",'Demand background (hide)'!AJ238+'SPC background (hide)'!C250,"")</f>
        <v/>
      </c>
      <c r="AC250" s="5" t="str">
        <f t="shared" ca="1" si="102"/>
        <v/>
      </c>
      <c r="AD250" s="5" t="str">
        <f t="shared" ca="1" si="103"/>
        <v/>
      </c>
    </row>
    <row r="251" spans="1:30" x14ac:dyDescent="0.2">
      <c r="A251" s="67">
        <f>Demand!C248</f>
        <v>0</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f t="shared" ca="1" si="91"/>
        <v>5</v>
      </c>
      <c r="J251" s="5">
        <f t="shared" ca="1" si="92"/>
        <v>0</v>
      </c>
      <c r="K251" s="5">
        <f t="shared" ca="1" si="93"/>
        <v>0</v>
      </c>
      <c r="L251" s="5">
        <f t="shared" ca="1" si="94"/>
        <v>0</v>
      </c>
      <c r="M251" s="5">
        <f t="shared" ca="1" si="95"/>
        <v>0</v>
      </c>
      <c r="N251" s="5">
        <f t="shared" ca="1" si="96"/>
        <v>0</v>
      </c>
      <c r="O251" s="5">
        <f t="shared" ca="1" si="97"/>
        <v>0</v>
      </c>
      <c r="P251" s="5">
        <f t="shared" ca="1" si="98"/>
        <v>0</v>
      </c>
      <c r="Q251" s="5" t="e">
        <f t="shared" ca="1" si="99"/>
        <v>#N/A</v>
      </c>
      <c r="R251" s="5">
        <f t="shared" ca="1" si="104"/>
        <v>0</v>
      </c>
      <c r="S251" s="67" t="e">
        <f t="shared" ca="1" si="105"/>
        <v>#N/A</v>
      </c>
      <c r="T251" s="67">
        <f t="shared" ca="1" si="106"/>
        <v>0</v>
      </c>
      <c r="U251" s="67" t="e">
        <f t="shared" ca="1" si="107"/>
        <v>#N/A</v>
      </c>
      <c r="V251" s="5">
        <f t="shared" ca="1" si="86"/>
        <v>0</v>
      </c>
      <c r="W251" s="5" t="e">
        <f t="shared" ca="1" si="100"/>
        <v>#N/A</v>
      </c>
      <c r="X251" s="67">
        <f t="shared" ca="1" si="101"/>
        <v>0</v>
      </c>
      <c r="Y251" s="67" t="e">
        <f t="shared" ca="1" si="108"/>
        <v>#N/A</v>
      </c>
      <c r="Z251" s="67" t="e">
        <f t="shared" ca="1" si="109"/>
        <v>#N/A</v>
      </c>
      <c r="AA251" s="5" t="str">
        <f>IF(Setup!$I$15="Yes",'Demand background (hide)'!AJ239+'SPC background (hide)'!C251,"")</f>
        <v/>
      </c>
      <c r="AC251" s="5" t="str">
        <f t="shared" ca="1" si="102"/>
        <v/>
      </c>
      <c r="AD251" s="5" t="str">
        <f t="shared" ca="1" si="103"/>
        <v/>
      </c>
    </row>
    <row r="252" spans="1:30" x14ac:dyDescent="0.2">
      <c r="A252" s="67">
        <f>Demand!C249</f>
        <v>0</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f t="shared" ca="1" si="91"/>
        <v>5</v>
      </c>
      <c r="J252" s="5">
        <f t="shared" ca="1" si="92"/>
        <v>0</v>
      </c>
      <c r="K252" s="5">
        <f t="shared" ca="1" si="93"/>
        <v>0</v>
      </c>
      <c r="L252" s="5">
        <f t="shared" ca="1" si="94"/>
        <v>0</v>
      </c>
      <c r="M252" s="5">
        <f t="shared" ca="1" si="95"/>
        <v>0</v>
      </c>
      <c r="N252" s="5">
        <f t="shared" ca="1" si="96"/>
        <v>0</v>
      </c>
      <c r="O252" s="5">
        <f t="shared" ca="1" si="97"/>
        <v>0</v>
      </c>
      <c r="P252" s="5">
        <f t="shared" ca="1" si="98"/>
        <v>0</v>
      </c>
      <c r="Q252" s="5" t="e">
        <f t="shared" ca="1" si="99"/>
        <v>#N/A</v>
      </c>
      <c r="R252" s="5">
        <f t="shared" ca="1" si="104"/>
        <v>0</v>
      </c>
      <c r="S252" s="67" t="e">
        <f t="shared" ca="1" si="105"/>
        <v>#N/A</v>
      </c>
      <c r="T252" s="67">
        <f t="shared" ca="1" si="106"/>
        <v>0</v>
      </c>
      <c r="U252" s="67" t="e">
        <f t="shared" ca="1" si="107"/>
        <v>#N/A</v>
      </c>
      <c r="V252" s="5">
        <f t="shared" ca="1" si="86"/>
        <v>0</v>
      </c>
      <c r="W252" s="5" t="e">
        <f t="shared" ca="1" si="100"/>
        <v>#N/A</v>
      </c>
      <c r="X252" s="67">
        <f t="shared" ca="1" si="101"/>
        <v>0</v>
      </c>
      <c r="Y252" s="67" t="e">
        <f t="shared" ca="1" si="108"/>
        <v>#N/A</v>
      </c>
      <c r="Z252" s="67" t="e">
        <f t="shared" ca="1" si="109"/>
        <v>#N/A</v>
      </c>
      <c r="AA252" s="5" t="str">
        <f>IF(Setup!$I$15="Yes",'Demand background (hide)'!AJ240+'SPC background (hide)'!C252,"")</f>
        <v/>
      </c>
      <c r="AC252" s="5" t="str">
        <f t="shared" ca="1" si="102"/>
        <v/>
      </c>
      <c r="AD252" s="5" t="str">
        <f t="shared" ca="1" si="103"/>
        <v/>
      </c>
    </row>
    <row r="253" spans="1:30" x14ac:dyDescent="0.2">
      <c r="A253" s="67">
        <f>Demand!C250</f>
        <v>0</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f t="shared" ca="1" si="91"/>
        <v>5</v>
      </c>
      <c r="J253" s="5">
        <f t="shared" ca="1" si="92"/>
        <v>0</v>
      </c>
      <c r="K253" s="5">
        <f t="shared" ca="1" si="93"/>
        <v>0</v>
      </c>
      <c r="L253" s="5">
        <f t="shared" ca="1" si="94"/>
        <v>0</v>
      </c>
      <c r="M253" s="5">
        <f t="shared" ca="1" si="95"/>
        <v>0</v>
      </c>
      <c r="N253" s="5">
        <f t="shared" ca="1" si="96"/>
        <v>0</v>
      </c>
      <c r="O253" s="5">
        <f t="shared" ca="1" si="97"/>
        <v>0</v>
      </c>
      <c r="P253" s="5">
        <f t="shared" ca="1" si="98"/>
        <v>0</v>
      </c>
      <c r="Q253" s="5" t="e">
        <f t="shared" ca="1" si="99"/>
        <v>#N/A</v>
      </c>
      <c r="R253" s="5">
        <f t="shared" ca="1" si="104"/>
        <v>0</v>
      </c>
      <c r="S253" s="67" t="e">
        <f t="shared" ca="1" si="105"/>
        <v>#N/A</v>
      </c>
      <c r="T253" s="67">
        <f t="shared" ca="1" si="106"/>
        <v>0</v>
      </c>
      <c r="U253" s="67" t="e">
        <f t="shared" ca="1" si="107"/>
        <v>#N/A</v>
      </c>
      <c r="V253" s="5">
        <f t="shared" ca="1" si="86"/>
        <v>0</v>
      </c>
      <c r="W253" s="5" t="e">
        <f t="shared" ca="1" si="100"/>
        <v>#N/A</v>
      </c>
      <c r="X253" s="67">
        <f t="shared" ca="1" si="101"/>
        <v>0</v>
      </c>
      <c r="Y253" s="67" t="e">
        <f t="shared" ca="1" si="108"/>
        <v>#N/A</v>
      </c>
      <c r="Z253" s="67" t="e">
        <f t="shared" ca="1" si="109"/>
        <v>#N/A</v>
      </c>
      <c r="AA253" s="5" t="str">
        <f>IF(Setup!$I$15="Yes",'Demand background (hide)'!AJ241+'SPC background (hide)'!C253,"")</f>
        <v/>
      </c>
      <c r="AC253" s="5" t="str">
        <f t="shared" ca="1" si="102"/>
        <v/>
      </c>
      <c r="AD253" s="5" t="str">
        <f t="shared" ca="1" si="103"/>
        <v/>
      </c>
    </row>
    <row r="254" spans="1:30" x14ac:dyDescent="0.2">
      <c r="A254" s="67">
        <f>Demand!C251</f>
        <v>0</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f t="shared" ca="1" si="91"/>
        <v>5</v>
      </c>
      <c r="J254" s="5">
        <f t="shared" ca="1" si="92"/>
        <v>0</v>
      </c>
      <c r="K254" s="5">
        <f t="shared" ca="1" si="93"/>
        <v>0</v>
      </c>
      <c r="L254" s="5">
        <f t="shared" ca="1" si="94"/>
        <v>0</v>
      </c>
      <c r="M254" s="5">
        <f t="shared" ca="1" si="95"/>
        <v>0</v>
      </c>
      <c r="N254" s="5">
        <f t="shared" ca="1" si="96"/>
        <v>0</v>
      </c>
      <c r="O254" s="5">
        <f t="shared" ca="1" si="97"/>
        <v>0</v>
      </c>
      <c r="P254" s="5">
        <f t="shared" ca="1" si="98"/>
        <v>0</v>
      </c>
      <c r="Q254" s="5" t="e">
        <f t="shared" ca="1" si="99"/>
        <v>#N/A</v>
      </c>
      <c r="R254" s="5">
        <f t="shared" ca="1" si="104"/>
        <v>0</v>
      </c>
      <c r="S254" s="67" t="e">
        <f t="shared" ca="1" si="105"/>
        <v>#N/A</v>
      </c>
      <c r="T254" s="67">
        <f t="shared" ca="1" si="106"/>
        <v>0</v>
      </c>
      <c r="U254" s="67" t="e">
        <f t="shared" ca="1" si="107"/>
        <v>#N/A</v>
      </c>
      <c r="V254" s="5">
        <f t="shared" ca="1" si="86"/>
        <v>0</v>
      </c>
      <c r="W254" s="5" t="e">
        <f t="shared" ca="1" si="100"/>
        <v>#N/A</v>
      </c>
      <c r="X254" s="67">
        <f t="shared" ca="1" si="101"/>
        <v>0</v>
      </c>
      <c r="Y254" s="67" t="e">
        <f t="shared" ca="1" si="108"/>
        <v>#N/A</v>
      </c>
      <c r="Z254" s="67" t="e">
        <f t="shared" ca="1" si="109"/>
        <v>#N/A</v>
      </c>
      <c r="AA254" s="5" t="str">
        <f>IF(Setup!$I$15="Yes",'Demand background (hide)'!AJ242+'SPC background (hide)'!C254,"")</f>
        <v/>
      </c>
      <c r="AC254" s="5" t="str">
        <f t="shared" ca="1" si="102"/>
        <v/>
      </c>
      <c r="AD254" s="5" t="str">
        <f t="shared" ca="1" si="103"/>
        <v/>
      </c>
    </row>
    <row r="255" spans="1:30" x14ac:dyDescent="0.2">
      <c r="A255" s="67">
        <f>Demand!C252</f>
        <v>0</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f t="shared" ca="1" si="91"/>
        <v>5</v>
      </c>
      <c r="J255" s="5">
        <f t="shared" ca="1" si="92"/>
        <v>0</v>
      </c>
      <c r="K255" s="5">
        <f t="shared" ca="1" si="93"/>
        <v>0</v>
      </c>
      <c r="L255" s="5">
        <f t="shared" ca="1" si="94"/>
        <v>0</v>
      </c>
      <c r="M255" s="5">
        <f t="shared" ca="1" si="95"/>
        <v>0</v>
      </c>
      <c r="N255" s="5">
        <f t="shared" ca="1" si="96"/>
        <v>0</v>
      </c>
      <c r="O255" s="5">
        <f t="shared" ca="1" si="97"/>
        <v>0</v>
      </c>
      <c r="P255" s="5">
        <f t="shared" ca="1" si="98"/>
        <v>0</v>
      </c>
      <c r="Q255" s="5" t="e">
        <f t="shared" ca="1" si="99"/>
        <v>#N/A</v>
      </c>
      <c r="R255" s="5">
        <f t="shared" ca="1" si="104"/>
        <v>0</v>
      </c>
      <c r="S255" s="67" t="e">
        <f t="shared" ca="1" si="105"/>
        <v>#N/A</v>
      </c>
      <c r="T255" s="67">
        <f t="shared" ca="1" si="106"/>
        <v>0</v>
      </c>
      <c r="U255" s="67" t="e">
        <f t="shared" ca="1" si="107"/>
        <v>#N/A</v>
      </c>
      <c r="V255" s="5">
        <f t="shared" ca="1" si="86"/>
        <v>0</v>
      </c>
      <c r="W255" s="5" t="e">
        <f t="shared" ca="1" si="100"/>
        <v>#N/A</v>
      </c>
      <c r="X255" s="67">
        <f t="shared" ca="1" si="101"/>
        <v>0</v>
      </c>
      <c r="Y255" s="67" t="e">
        <f t="shared" ca="1" si="108"/>
        <v>#N/A</v>
      </c>
      <c r="Z255" s="67" t="e">
        <f t="shared" ca="1" si="109"/>
        <v>#N/A</v>
      </c>
      <c r="AA255" s="5" t="str">
        <f>IF(Setup!$I$15="Yes",'Demand background (hide)'!AJ243+'SPC background (hide)'!C255,"")</f>
        <v/>
      </c>
      <c r="AC255" s="5" t="str">
        <f t="shared" ca="1" si="102"/>
        <v/>
      </c>
      <c r="AD255" s="5" t="str">
        <f t="shared" ca="1" si="103"/>
        <v/>
      </c>
    </row>
    <row r="256" spans="1:30" x14ac:dyDescent="0.2">
      <c r="A256" s="67">
        <f>Demand!C253</f>
        <v>0</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f t="shared" ca="1" si="91"/>
        <v>5</v>
      </c>
      <c r="J256" s="5">
        <f t="shared" ca="1" si="92"/>
        <v>0</v>
      </c>
      <c r="K256" s="5">
        <f t="shared" ca="1" si="93"/>
        <v>0</v>
      </c>
      <c r="L256" s="5">
        <f t="shared" ca="1" si="94"/>
        <v>0</v>
      </c>
      <c r="M256" s="5">
        <f t="shared" ca="1" si="95"/>
        <v>0</v>
      </c>
      <c r="N256" s="5">
        <f t="shared" ca="1" si="96"/>
        <v>0</v>
      </c>
      <c r="O256" s="5">
        <f t="shared" ca="1" si="97"/>
        <v>0</v>
      </c>
      <c r="P256" s="5">
        <f t="shared" ca="1" si="98"/>
        <v>0</v>
      </c>
      <c r="Q256" s="5" t="e">
        <f t="shared" ca="1" si="99"/>
        <v>#N/A</v>
      </c>
      <c r="R256" s="5">
        <f t="shared" ca="1" si="104"/>
        <v>0</v>
      </c>
      <c r="S256" s="67" t="e">
        <f t="shared" ca="1" si="105"/>
        <v>#N/A</v>
      </c>
      <c r="T256" s="67">
        <f t="shared" ca="1" si="106"/>
        <v>0</v>
      </c>
      <c r="U256" s="67" t="e">
        <f t="shared" ca="1" si="107"/>
        <v>#N/A</v>
      </c>
      <c r="V256" s="5">
        <f t="shared" ca="1" si="86"/>
        <v>0</v>
      </c>
      <c r="W256" s="5" t="e">
        <f t="shared" ca="1" si="100"/>
        <v>#N/A</v>
      </c>
      <c r="X256" s="67">
        <f t="shared" ca="1" si="101"/>
        <v>0</v>
      </c>
      <c r="Y256" s="67" t="e">
        <f t="shared" ca="1" si="108"/>
        <v>#N/A</v>
      </c>
      <c r="Z256" s="67" t="e">
        <f t="shared" ca="1" si="109"/>
        <v>#N/A</v>
      </c>
      <c r="AA256" s="5" t="str">
        <f>IF(Setup!$I$15="Yes",'Demand background (hide)'!AJ244+'SPC background (hide)'!C256,"")</f>
        <v/>
      </c>
      <c r="AC256" s="5" t="str">
        <f t="shared" ca="1" si="102"/>
        <v/>
      </c>
      <c r="AD256" s="5" t="str">
        <f t="shared" ca="1" si="103"/>
        <v/>
      </c>
    </row>
    <row r="257" spans="1:30" x14ac:dyDescent="0.2">
      <c r="A257" s="67">
        <f>Demand!C254</f>
        <v>0</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f t="shared" ca="1" si="91"/>
        <v>5</v>
      </c>
      <c r="J257" s="5">
        <f t="shared" ca="1" si="92"/>
        <v>0</v>
      </c>
      <c r="K257" s="5">
        <f t="shared" ca="1" si="93"/>
        <v>0</v>
      </c>
      <c r="L257" s="5">
        <f t="shared" ca="1" si="94"/>
        <v>0</v>
      </c>
      <c r="M257" s="5">
        <f t="shared" ca="1" si="95"/>
        <v>0</v>
      </c>
      <c r="N257" s="5">
        <f t="shared" ca="1" si="96"/>
        <v>0</v>
      </c>
      <c r="O257" s="5">
        <f t="shared" ca="1" si="97"/>
        <v>0</v>
      </c>
      <c r="P257" s="5">
        <f t="shared" ca="1" si="98"/>
        <v>0</v>
      </c>
      <c r="Q257" s="5" t="e">
        <f t="shared" ca="1" si="99"/>
        <v>#N/A</v>
      </c>
      <c r="R257" s="5">
        <f t="shared" ca="1" si="104"/>
        <v>0</v>
      </c>
      <c r="S257" s="67" t="e">
        <f t="shared" ca="1" si="105"/>
        <v>#N/A</v>
      </c>
      <c r="T257" s="67">
        <f t="shared" ca="1" si="106"/>
        <v>0</v>
      </c>
      <c r="U257" s="67" t="e">
        <f t="shared" ca="1" si="107"/>
        <v>#N/A</v>
      </c>
      <c r="V257" s="5">
        <f t="shared" ca="1" si="86"/>
        <v>0</v>
      </c>
      <c r="W257" s="5" t="e">
        <f t="shared" ca="1" si="100"/>
        <v>#N/A</v>
      </c>
      <c r="X257" s="67">
        <f t="shared" ca="1" si="101"/>
        <v>0</v>
      </c>
      <c r="Y257" s="67" t="e">
        <f t="shared" ca="1" si="108"/>
        <v>#N/A</v>
      </c>
      <c r="Z257" s="67" t="e">
        <f t="shared" ca="1" si="109"/>
        <v>#N/A</v>
      </c>
      <c r="AA257" s="5" t="str">
        <f>IF(Setup!$I$15="Yes",'Demand background (hide)'!AJ245+'SPC background (hide)'!C257,"")</f>
        <v/>
      </c>
      <c r="AC257" s="5" t="str">
        <f t="shared" ca="1" si="102"/>
        <v/>
      </c>
      <c r="AD257" s="5" t="str">
        <f t="shared" ca="1" si="103"/>
        <v/>
      </c>
    </row>
    <row r="258" spans="1:30" x14ac:dyDescent="0.2">
      <c r="A258" s="67">
        <f>Demand!C255</f>
        <v>0</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f t="shared" ca="1" si="91"/>
        <v>5</v>
      </c>
      <c r="J258" s="5">
        <f t="shared" ca="1" si="92"/>
        <v>0</v>
      </c>
      <c r="K258" s="5">
        <f t="shared" ca="1" si="93"/>
        <v>0</v>
      </c>
      <c r="L258" s="5">
        <f t="shared" ca="1" si="94"/>
        <v>0</v>
      </c>
      <c r="M258" s="5">
        <f t="shared" ca="1" si="95"/>
        <v>0</v>
      </c>
      <c r="N258" s="5">
        <f t="shared" ca="1" si="96"/>
        <v>0</v>
      </c>
      <c r="O258" s="5">
        <f t="shared" ca="1" si="97"/>
        <v>0</v>
      </c>
      <c r="P258" s="5">
        <f t="shared" ca="1" si="98"/>
        <v>0</v>
      </c>
      <c r="Q258" s="5" t="e">
        <f t="shared" ca="1" si="99"/>
        <v>#N/A</v>
      </c>
      <c r="R258" s="5">
        <f t="shared" ca="1" si="104"/>
        <v>0</v>
      </c>
      <c r="S258" s="67" t="e">
        <f t="shared" ca="1" si="105"/>
        <v>#N/A</v>
      </c>
      <c r="T258" s="67">
        <f t="shared" ca="1" si="106"/>
        <v>0</v>
      </c>
      <c r="U258" s="67" t="e">
        <f t="shared" ca="1" si="107"/>
        <v>#N/A</v>
      </c>
      <c r="V258" s="5">
        <f t="shared" ca="1" si="86"/>
        <v>0</v>
      </c>
      <c r="W258" s="5" t="e">
        <f t="shared" ca="1" si="100"/>
        <v>#N/A</v>
      </c>
      <c r="X258" s="67">
        <f t="shared" ca="1" si="101"/>
        <v>0</v>
      </c>
      <c r="Y258" s="67" t="e">
        <f t="shared" ca="1" si="108"/>
        <v>#N/A</v>
      </c>
      <c r="Z258" s="67" t="e">
        <f t="shared" ca="1" si="109"/>
        <v>#N/A</v>
      </c>
      <c r="AA258" s="5" t="str">
        <f>IF(Setup!$I$15="Yes",'Demand background (hide)'!AJ246+'SPC background (hide)'!C258,"")</f>
        <v/>
      </c>
      <c r="AC258" s="5" t="str">
        <f t="shared" ca="1" si="102"/>
        <v/>
      </c>
      <c r="AD258" s="5" t="str">
        <f t="shared" ca="1" si="103"/>
        <v/>
      </c>
    </row>
    <row r="259" spans="1:30" x14ac:dyDescent="0.2">
      <c r="A259" s="67">
        <f>Demand!C256</f>
        <v>0</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f t="shared" ca="1" si="91"/>
        <v>5</v>
      </c>
      <c r="J259" s="5">
        <f t="shared" ca="1" si="92"/>
        <v>0</v>
      </c>
      <c r="K259" s="5">
        <f t="shared" ca="1" si="93"/>
        <v>0</v>
      </c>
      <c r="L259" s="5">
        <f t="shared" ca="1" si="94"/>
        <v>0</v>
      </c>
      <c r="M259" s="5">
        <f t="shared" ca="1" si="95"/>
        <v>0</v>
      </c>
      <c r="N259" s="5">
        <f t="shared" ca="1" si="96"/>
        <v>0</v>
      </c>
      <c r="O259" s="5">
        <f t="shared" ca="1" si="97"/>
        <v>0</v>
      </c>
      <c r="P259" s="5">
        <f t="shared" ca="1" si="98"/>
        <v>0</v>
      </c>
      <c r="Q259" s="5" t="e">
        <f t="shared" ca="1" si="99"/>
        <v>#N/A</v>
      </c>
      <c r="R259" s="5">
        <f t="shared" ca="1" si="104"/>
        <v>0</v>
      </c>
      <c r="S259" s="67" t="e">
        <f t="shared" ca="1" si="105"/>
        <v>#N/A</v>
      </c>
      <c r="T259" s="67">
        <f t="shared" ca="1" si="106"/>
        <v>0</v>
      </c>
      <c r="U259" s="67" t="e">
        <f t="shared" ca="1" si="107"/>
        <v>#N/A</v>
      </c>
      <c r="V259" s="5">
        <f t="shared" ca="1" si="86"/>
        <v>0</v>
      </c>
      <c r="W259" s="5" t="e">
        <f t="shared" ca="1" si="100"/>
        <v>#N/A</v>
      </c>
      <c r="X259" s="67">
        <f t="shared" ca="1" si="101"/>
        <v>0</v>
      </c>
      <c r="Y259" s="67" t="e">
        <f t="shared" ca="1" si="108"/>
        <v>#N/A</v>
      </c>
      <c r="Z259" s="67" t="e">
        <f t="shared" ca="1" si="109"/>
        <v>#N/A</v>
      </c>
      <c r="AA259" s="5" t="str">
        <f>IF(Setup!$I$15="Yes",'Demand background (hide)'!AJ247+'SPC background (hide)'!C259,"")</f>
        <v/>
      </c>
      <c r="AC259" s="5" t="str">
        <f t="shared" ca="1" si="102"/>
        <v/>
      </c>
      <c r="AD259" s="5" t="str">
        <f t="shared" ca="1" si="103"/>
        <v/>
      </c>
    </row>
    <row r="260" spans="1:30" x14ac:dyDescent="0.2">
      <c r="A260" s="67">
        <f>Demand!C257</f>
        <v>0</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f t="shared" ca="1" si="91"/>
        <v>5</v>
      </c>
      <c r="J260" s="5">
        <f t="shared" ca="1" si="92"/>
        <v>0</v>
      </c>
      <c r="K260" s="5">
        <f t="shared" ca="1" si="93"/>
        <v>0</v>
      </c>
      <c r="L260" s="5">
        <f t="shared" ca="1" si="94"/>
        <v>0</v>
      </c>
      <c r="M260" s="5">
        <f t="shared" ca="1" si="95"/>
        <v>0</v>
      </c>
      <c r="N260" s="5">
        <f t="shared" ca="1" si="96"/>
        <v>0</v>
      </c>
      <c r="O260" s="5">
        <f t="shared" ca="1" si="97"/>
        <v>0</v>
      </c>
      <c r="P260" s="5">
        <f t="shared" ca="1" si="98"/>
        <v>0</v>
      </c>
      <c r="Q260" s="5" t="e">
        <f t="shared" ca="1" si="99"/>
        <v>#N/A</v>
      </c>
      <c r="R260" s="5">
        <f t="shared" ca="1" si="104"/>
        <v>0</v>
      </c>
      <c r="S260" s="67" t="e">
        <f t="shared" ca="1" si="105"/>
        <v>#N/A</v>
      </c>
      <c r="T260" s="67">
        <f t="shared" ca="1" si="106"/>
        <v>0</v>
      </c>
      <c r="U260" s="67" t="e">
        <f t="shared" ca="1" si="107"/>
        <v>#N/A</v>
      </c>
      <c r="V260" s="5">
        <f t="shared" ca="1" si="86"/>
        <v>0</v>
      </c>
      <c r="W260" s="5" t="e">
        <f t="shared" ca="1" si="100"/>
        <v>#N/A</v>
      </c>
      <c r="X260" s="67">
        <f t="shared" ca="1" si="101"/>
        <v>0</v>
      </c>
      <c r="Y260" s="67" t="e">
        <f t="shared" ca="1" si="108"/>
        <v>#N/A</v>
      </c>
      <c r="Z260" s="67" t="e">
        <f t="shared" ca="1" si="109"/>
        <v>#N/A</v>
      </c>
      <c r="AA260" s="5" t="str">
        <f>IF(Setup!$I$15="Yes",'Demand background (hide)'!AJ248+'SPC background (hide)'!C260,"")</f>
        <v/>
      </c>
      <c r="AC260" s="5" t="str">
        <f t="shared" ca="1" si="102"/>
        <v/>
      </c>
      <c r="AD260" s="5" t="str">
        <f t="shared" ca="1" si="103"/>
        <v/>
      </c>
    </row>
    <row r="261" spans="1:30" x14ac:dyDescent="0.2">
      <c r="A261" s="67">
        <f>Demand!C258</f>
        <v>0</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f t="shared" ca="1" si="91"/>
        <v>5</v>
      </c>
      <c r="J261" s="5">
        <f t="shared" ca="1" si="92"/>
        <v>0</v>
      </c>
      <c r="K261" s="5">
        <f t="shared" ca="1" si="93"/>
        <v>0</v>
      </c>
      <c r="L261" s="5">
        <f t="shared" ca="1" si="94"/>
        <v>0</v>
      </c>
      <c r="M261" s="5">
        <f t="shared" ca="1" si="95"/>
        <v>0</v>
      </c>
      <c r="N261" s="5">
        <f t="shared" ca="1" si="96"/>
        <v>0</v>
      </c>
      <c r="O261" s="5">
        <f t="shared" ca="1" si="97"/>
        <v>0</v>
      </c>
      <c r="P261" s="5">
        <f t="shared" ca="1" si="98"/>
        <v>0</v>
      </c>
      <c r="Q261" s="5" t="e">
        <f t="shared" ca="1" si="99"/>
        <v>#N/A</v>
      </c>
      <c r="R261" s="5">
        <f t="shared" ca="1" si="104"/>
        <v>0</v>
      </c>
      <c r="S261" s="67" t="e">
        <f t="shared" ca="1" si="105"/>
        <v>#N/A</v>
      </c>
      <c r="T261" s="67">
        <f t="shared" ca="1" si="106"/>
        <v>0</v>
      </c>
      <c r="U261" s="67" t="e">
        <f t="shared" ca="1" si="107"/>
        <v>#N/A</v>
      </c>
      <c r="V261" s="5">
        <f t="shared" ca="1" si="86"/>
        <v>0</v>
      </c>
      <c r="W261" s="5" t="e">
        <f t="shared" ca="1" si="100"/>
        <v>#N/A</v>
      </c>
      <c r="X261" s="67">
        <f t="shared" ca="1" si="101"/>
        <v>0</v>
      </c>
      <c r="Y261" s="67" t="e">
        <f t="shared" ca="1" si="108"/>
        <v>#N/A</v>
      </c>
      <c r="Z261" s="67" t="e">
        <f t="shared" ca="1" si="109"/>
        <v>#N/A</v>
      </c>
      <c r="AA261" s="5" t="str">
        <f>IF(Setup!$I$15="Yes",'Demand background (hide)'!AJ249+'SPC background (hide)'!C261,"")</f>
        <v/>
      </c>
      <c r="AC261" s="5" t="str">
        <f t="shared" ca="1" si="102"/>
        <v/>
      </c>
      <c r="AD261" s="5" t="str">
        <f t="shared" ca="1" si="103"/>
        <v/>
      </c>
    </row>
    <row r="262" spans="1:30" x14ac:dyDescent="0.2">
      <c r="A262" s="67">
        <f>Demand!C259</f>
        <v>0</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f t="shared" ca="1" si="91"/>
        <v>5</v>
      </c>
      <c r="J262" s="5">
        <f t="shared" ca="1" si="92"/>
        <v>0</v>
      </c>
      <c r="K262" s="5">
        <f t="shared" ca="1" si="93"/>
        <v>0</v>
      </c>
      <c r="L262" s="5">
        <f t="shared" ca="1" si="94"/>
        <v>0</v>
      </c>
      <c r="M262" s="5">
        <f t="shared" ca="1" si="95"/>
        <v>0</v>
      </c>
      <c r="N262" s="5">
        <f t="shared" ca="1" si="96"/>
        <v>0</v>
      </c>
      <c r="O262" s="5">
        <f t="shared" ca="1" si="97"/>
        <v>0</v>
      </c>
      <c r="P262" s="5">
        <f t="shared" ca="1" si="98"/>
        <v>0</v>
      </c>
      <c r="Q262" s="5" t="e">
        <f t="shared" ca="1" si="99"/>
        <v>#N/A</v>
      </c>
      <c r="R262" s="5">
        <f t="shared" ca="1" si="104"/>
        <v>0</v>
      </c>
      <c r="S262" s="67" t="e">
        <f t="shared" ca="1" si="105"/>
        <v>#N/A</v>
      </c>
      <c r="T262" s="67">
        <f t="shared" ca="1" si="106"/>
        <v>0</v>
      </c>
      <c r="U262" s="67" t="e">
        <f t="shared" ca="1" si="107"/>
        <v>#N/A</v>
      </c>
      <c r="V262" s="5">
        <f t="shared" ca="1" si="86"/>
        <v>0</v>
      </c>
      <c r="W262" s="5" t="e">
        <f t="shared" ca="1" si="100"/>
        <v>#N/A</v>
      </c>
      <c r="X262" s="67">
        <f t="shared" ca="1" si="101"/>
        <v>0</v>
      </c>
      <c r="Y262" s="67" t="e">
        <f t="shared" ca="1" si="108"/>
        <v>#N/A</v>
      </c>
      <c r="Z262" s="67" t="e">
        <f t="shared" ca="1" si="109"/>
        <v>#N/A</v>
      </c>
      <c r="AA262" s="5" t="str">
        <f>IF(Setup!$I$15="Yes",'Demand background (hide)'!AJ250+'SPC background (hide)'!C262,"")</f>
        <v/>
      </c>
      <c r="AC262" s="5" t="str">
        <f t="shared" ca="1" si="102"/>
        <v/>
      </c>
      <c r="AD262" s="5" t="str">
        <f t="shared" ca="1" si="103"/>
        <v/>
      </c>
    </row>
    <row r="263" spans="1:30" x14ac:dyDescent="0.2">
      <c r="A263" s="67">
        <f>Demand!C260</f>
        <v>0</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f t="shared" ca="1" si="91"/>
        <v>5</v>
      </c>
      <c r="J263" s="5">
        <f t="shared" ca="1" si="92"/>
        <v>0</v>
      </c>
      <c r="K263" s="5">
        <f t="shared" ca="1" si="93"/>
        <v>0</v>
      </c>
      <c r="L263" s="5">
        <f t="shared" ca="1" si="94"/>
        <v>0</v>
      </c>
      <c r="M263" s="5">
        <f t="shared" ca="1" si="95"/>
        <v>0</v>
      </c>
      <c r="N263" s="5">
        <f t="shared" ca="1" si="96"/>
        <v>0</v>
      </c>
      <c r="O263" s="5">
        <f t="shared" ca="1" si="97"/>
        <v>0</v>
      </c>
      <c r="P263" s="5">
        <f t="shared" ca="1" si="98"/>
        <v>0</v>
      </c>
      <c r="Q263" s="5" t="e">
        <f t="shared" ca="1" si="99"/>
        <v>#N/A</v>
      </c>
      <c r="R263" s="5">
        <f t="shared" ca="1" si="104"/>
        <v>0</v>
      </c>
      <c r="S263" s="67" t="e">
        <f t="shared" ca="1" si="105"/>
        <v>#N/A</v>
      </c>
      <c r="T263" s="67">
        <f t="shared" ca="1" si="106"/>
        <v>0</v>
      </c>
      <c r="U263" s="67" t="e">
        <f t="shared" ca="1" si="107"/>
        <v>#N/A</v>
      </c>
      <c r="V263" s="5">
        <f t="shared" ca="1" si="86"/>
        <v>0</v>
      </c>
      <c r="W263" s="5" t="e">
        <f t="shared" ca="1" si="100"/>
        <v>#N/A</v>
      </c>
      <c r="X263" s="67">
        <f t="shared" ca="1" si="101"/>
        <v>0</v>
      </c>
      <c r="Y263" s="67" t="e">
        <f t="shared" ca="1" si="108"/>
        <v>#N/A</v>
      </c>
      <c r="Z263" s="67" t="e">
        <f t="shared" ca="1" si="109"/>
        <v>#N/A</v>
      </c>
      <c r="AA263" s="5" t="str">
        <f>IF(Setup!$I$15="Yes",'Demand background (hide)'!AJ251+'SPC background (hide)'!C263,"")</f>
        <v/>
      </c>
      <c r="AC263" s="5" t="str">
        <f t="shared" ca="1" si="102"/>
        <v/>
      </c>
      <c r="AD263" s="5" t="str">
        <f t="shared" ca="1" si="103"/>
        <v/>
      </c>
    </row>
    <row r="264" spans="1:30" x14ac:dyDescent="0.2">
      <c r="A264" s="67">
        <f>Demand!C261</f>
        <v>0</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f t="shared" ca="1" si="91"/>
        <v>5</v>
      </c>
      <c r="J264" s="5">
        <f t="shared" ca="1" si="92"/>
        <v>0</v>
      </c>
      <c r="K264" s="5">
        <f t="shared" ca="1" si="93"/>
        <v>0</v>
      </c>
      <c r="L264" s="5">
        <f t="shared" ca="1" si="94"/>
        <v>0</v>
      </c>
      <c r="M264" s="5">
        <f t="shared" ca="1" si="95"/>
        <v>0</v>
      </c>
      <c r="N264" s="5">
        <f t="shared" ca="1" si="96"/>
        <v>0</v>
      </c>
      <c r="O264" s="5">
        <f t="shared" ca="1" si="97"/>
        <v>0</v>
      </c>
      <c r="P264" s="5">
        <f t="shared" ca="1" si="98"/>
        <v>0</v>
      </c>
      <c r="Q264" s="5" t="e">
        <f t="shared" ca="1" si="99"/>
        <v>#N/A</v>
      </c>
      <c r="R264" s="5">
        <f t="shared" ca="1" si="104"/>
        <v>0</v>
      </c>
      <c r="S264" s="67" t="e">
        <f t="shared" ca="1" si="105"/>
        <v>#N/A</v>
      </c>
      <c r="T264" s="67">
        <f t="shared" ca="1" si="106"/>
        <v>0</v>
      </c>
      <c r="U264" s="67" t="e">
        <f t="shared" ca="1" si="107"/>
        <v>#N/A</v>
      </c>
      <c r="V264" s="5">
        <f t="shared" ca="1" si="86"/>
        <v>0</v>
      </c>
      <c r="W264" s="5" t="e">
        <f t="shared" ca="1" si="100"/>
        <v>#N/A</v>
      </c>
      <c r="X264" s="67">
        <f t="shared" ca="1" si="101"/>
        <v>0</v>
      </c>
      <c r="Y264" s="67" t="e">
        <f t="shared" ca="1" si="108"/>
        <v>#N/A</v>
      </c>
      <c r="Z264" s="67" t="e">
        <f t="shared" ca="1" si="109"/>
        <v>#N/A</v>
      </c>
      <c r="AA264" s="5" t="str">
        <f>IF(Setup!$I$15="Yes",'Demand background (hide)'!AJ252+'SPC background (hide)'!C264,"")</f>
        <v/>
      </c>
      <c r="AC264" s="5" t="str">
        <f t="shared" ca="1" si="102"/>
        <v/>
      </c>
      <c r="AD264" s="5" t="str">
        <f t="shared" ca="1" si="103"/>
        <v/>
      </c>
    </row>
    <row r="265" spans="1:30" x14ac:dyDescent="0.2">
      <c r="A265" s="67">
        <f>Demand!C262</f>
        <v>0</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f t="shared" ca="1" si="91"/>
        <v>5</v>
      </c>
      <c r="J265" s="5">
        <f t="shared" ca="1" si="92"/>
        <v>0</v>
      </c>
      <c r="K265" s="5">
        <f t="shared" ca="1" si="93"/>
        <v>0</v>
      </c>
      <c r="L265" s="5">
        <f t="shared" ca="1" si="94"/>
        <v>0</v>
      </c>
      <c r="M265" s="5">
        <f t="shared" ca="1" si="95"/>
        <v>0</v>
      </c>
      <c r="N265" s="5">
        <f t="shared" ca="1" si="96"/>
        <v>0</v>
      </c>
      <c r="O265" s="5">
        <f t="shared" ca="1" si="97"/>
        <v>0</v>
      </c>
      <c r="P265" s="5">
        <f t="shared" ca="1" si="98"/>
        <v>0</v>
      </c>
      <c r="Q265" s="5" t="e">
        <f t="shared" ca="1" si="99"/>
        <v>#N/A</v>
      </c>
      <c r="R265" s="5">
        <f t="shared" ca="1" si="104"/>
        <v>0</v>
      </c>
      <c r="S265" s="67" t="e">
        <f t="shared" ca="1" si="105"/>
        <v>#N/A</v>
      </c>
      <c r="T265" s="67">
        <f t="shared" ca="1" si="106"/>
        <v>0</v>
      </c>
      <c r="U265" s="67" t="e">
        <f t="shared" ca="1" si="107"/>
        <v>#N/A</v>
      </c>
      <c r="V265" s="5">
        <f t="shared" ca="1" si="86"/>
        <v>0</v>
      </c>
      <c r="W265" s="5" t="e">
        <f t="shared" ca="1" si="100"/>
        <v>#N/A</v>
      </c>
      <c r="X265" s="67">
        <f t="shared" ca="1" si="101"/>
        <v>0</v>
      </c>
      <c r="Y265" s="67" t="e">
        <f t="shared" ca="1" si="108"/>
        <v>#N/A</v>
      </c>
      <c r="Z265" s="67" t="e">
        <f t="shared" ca="1" si="109"/>
        <v>#N/A</v>
      </c>
      <c r="AA265" s="5" t="str">
        <f>IF(Setup!$I$15="Yes",'Demand background (hide)'!AJ253+'SPC background (hide)'!C265,"")</f>
        <v/>
      </c>
      <c r="AC265" s="5" t="str">
        <f t="shared" ca="1" si="102"/>
        <v/>
      </c>
      <c r="AD265" s="5" t="str">
        <f t="shared" ca="1" si="103"/>
        <v/>
      </c>
    </row>
    <row r="266" spans="1:30" x14ac:dyDescent="0.2">
      <c r="A266" s="67">
        <f>Demand!C263</f>
        <v>0</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f t="shared" ca="1" si="91"/>
        <v>5</v>
      </c>
      <c r="J266" s="5">
        <f t="shared" ca="1" si="92"/>
        <v>0</v>
      </c>
      <c r="K266" s="5">
        <f t="shared" ca="1" si="93"/>
        <v>0</v>
      </c>
      <c r="L266" s="5">
        <f t="shared" ca="1" si="94"/>
        <v>0</v>
      </c>
      <c r="M266" s="5">
        <f t="shared" ca="1" si="95"/>
        <v>0</v>
      </c>
      <c r="N266" s="5">
        <f t="shared" ca="1" si="96"/>
        <v>0</v>
      </c>
      <c r="O266" s="5">
        <f t="shared" ca="1" si="97"/>
        <v>0</v>
      </c>
      <c r="P266" s="5">
        <f t="shared" ca="1" si="98"/>
        <v>0</v>
      </c>
      <c r="Q266" s="5" t="e">
        <f t="shared" ca="1" si="99"/>
        <v>#N/A</v>
      </c>
      <c r="R266" s="5">
        <f t="shared" ca="1" si="104"/>
        <v>0</v>
      </c>
      <c r="S266" s="67" t="e">
        <f t="shared" ca="1" si="105"/>
        <v>#N/A</v>
      </c>
      <c r="T266" s="67">
        <f t="shared" ca="1" si="106"/>
        <v>0</v>
      </c>
      <c r="U266" s="67" t="e">
        <f t="shared" ca="1" si="107"/>
        <v>#N/A</v>
      </c>
      <c r="V266" s="5">
        <f t="shared" ca="1" si="86"/>
        <v>0</v>
      </c>
      <c r="W266" s="5" t="e">
        <f t="shared" ca="1" si="100"/>
        <v>#N/A</v>
      </c>
      <c r="X266" s="67">
        <f t="shared" ca="1" si="101"/>
        <v>0</v>
      </c>
      <c r="Y266" s="67" t="e">
        <f t="shared" ca="1" si="108"/>
        <v>#N/A</v>
      </c>
      <c r="Z266" s="67" t="e">
        <f t="shared" ca="1" si="109"/>
        <v>#N/A</v>
      </c>
      <c r="AA266" s="5" t="str">
        <f>IF(Setup!$I$15="Yes",'Demand background (hide)'!AJ254+'SPC background (hide)'!C266,"")</f>
        <v/>
      </c>
      <c r="AC266" s="5" t="str">
        <f t="shared" ca="1" si="102"/>
        <v/>
      </c>
      <c r="AD266" s="5" t="str">
        <f t="shared" ca="1" si="103"/>
        <v/>
      </c>
    </row>
    <row r="267" spans="1:30" x14ac:dyDescent="0.2">
      <c r="A267" s="67">
        <f>Demand!C264</f>
        <v>0</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f t="shared" ca="1" si="91"/>
        <v>5</v>
      </c>
      <c r="J267" s="5">
        <f t="shared" ca="1" si="92"/>
        <v>0</v>
      </c>
      <c r="K267" s="5">
        <f t="shared" ca="1" si="93"/>
        <v>0</v>
      </c>
      <c r="L267" s="5">
        <f t="shared" ca="1" si="94"/>
        <v>0</v>
      </c>
      <c r="M267" s="5">
        <f t="shared" ca="1" si="95"/>
        <v>0</v>
      </c>
      <c r="N267" s="5">
        <f t="shared" ca="1" si="96"/>
        <v>0</v>
      </c>
      <c r="O267" s="5">
        <f t="shared" ca="1" si="97"/>
        <v>0</v>
      </c>
      <c r="P267" s="5">
        <f t="shared" ca="1" si="98"/>
        <v>0</v>
      </c>
      <c r="Q267" s="5" t="e">
        <f t="shared" ca="1" si="99"/>
        <v>#N/A</v>
      </c>
      <c r="R267" s="5">
        <f t="shared" ca="1" si="104"/>
        <v>0</v>
      </c>
      <c r="S267" s="67" t="e">
        <f t="shared" ca="1" si="105"/>
        <v>#N/A</v>
      </c>
      <c r="T267" s="67">
        <f t="shared" ca="1" si="106"/>
        <v>0</v>
      </c>
      <c r="U267" s="67" t="e">
        <f t="shared" ca="1" si="107"/>
        <v>#N/A</v>
      </c>
      <c r="V267" s="5">
        <f t="shared" ca="1" si="86"/>
        <v>0</v>
      </c>
      <c r="W267" s="5" t="e">
        <f t="shared" ca="1" si="100"/>
        <v>#N/A</v>
      </c>
      <c r="X267" s="67">
        <f t="shared" ca="1" si="101"/>
        <v>0</v>
      </c>
      <c r="Y267" s="67" t="e">
        <f t="shared" ca="1" si="108"/>
        <v>#N/A</v>
      </c>
      <c r="Z267" s="67" t="e">
        <f t="shared" ca="1" si="109"/>
        <v>#N/A</v>
      </c>
      <c r="AA267" s="5" t="str">
        <f>IF(Setup!$I$15="Yes",'Demand background (hide)'!AJ255+'SPC background (hide)'!C267,"")</f>
        <v/>
      </c>
      <c r="AC267" s="5" t="str">
        <f t="shared" ca="1" si="102"/>
        <v/>
      </c>
      <c r="AD267" s="5" t="str">
        <f t="shared" ca="1" si="103"/>
        <v/>
      </c>
    </row>
    <row r="268" spans="1:30" x14ac:dyDescent="0.2">
      <c r="A268" s="67">
        <f>Demand!C265</f>
        <v>0</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f t="shared" ca="1" si="91"/>
        <v>5</v>
      </c>
      <c r="J268" s="5">
        <f t="shared" ca="1" si="92"/>
        <v>0</v>
      </c>
      <c r="K268" s="5">
        <f t="shared" ca="1" si="93"/>
        <v>0</v>
      </c>
      <c r="L268" s="5">
        <f t="shared" ca="1" si="94"/>
        <v>0</v>
      </c>
      <c r="M268" s="5">
        <f t="shared" ca="1" si="95"/>
        <v>0</v>
      </c>
      <c r="N268" s="5">
        <f t="shared" ca="1" si="96"/>
        <v>0</v>
      </c>
      <c r="O268" s="5">
        <f t="shared" ca="1" si="97"/>
        <v>0</v>
      </c>
      <c r="P268" s="5">
        <f t="shared" ca="1" si="98"/>
        <v>0</v>
      </c>
      <c r="Q268" s="5" t="e">
        <f t="shared" ca="1" si="99"/>
        <v>#N/A</v>
      </c>
      <c r="R268" s="5">
        <f t="shared" ca="1" si="104"/>
        <v>0</v>
      </c>
      <c r="S268" s="67" t="e">
        <f t="shared" ca="1" si="105"/>
        <v>#N/A</v>
      </c>
      <c r="T268" s="67">
        <f t="shared" ca="1" si="106"/>
        <v>0</v>
      </c>
      <c r="U268" s="67" t="e">
        <f t="shared" ca="1" si="107"/>
        <v>#N/A</v>
      </c>
      <c r="V268" s="5">
        <f t="shared" ca="1" si="86"/>
        <v>0</v>
      </c>
      <c r="W268" s="5" t="e">
        <f t="shared" ca="1" si="100"/>
        <v>#N/A</v>
      </c>
      <c r="X268" s="67">
        <f t="shared" ca="1" si="101"/>
        <v>0</v>
      </c>
      <c r="Y268" s="67" t="e">
        <f t="shared" ca="1" si="108"/>
        <v>#N/A</v>
      </c>
      <c r="Z268" s="67" t="e">
        <f t="shared" ca="1" si="109"/>
        <v>#N/A</v>
      </c>
      <c r="AA268" s="5" t="str">
        <f>IF(Setup!$I$15="Yes",'Demand background (hide)'!AJ256+'SPC background (hide)'!C268,"")</f>
        <v/>
      </c>
      <c r="AC268" s="5" t="str">
        <f t="shared" ca="1" si="102"/>
        <v/>
      </c>
      <c r="AD268" s="5" t="str">
        <f t="shared" ca="1" si="103"/>
        <v/>
      </c>
    </row>
    <row r="269" spans="1:30" x14ac:dyDescent="0.2">
      <c r="A269" s="67">
        <f>Demand!C266</f>
        <v>0</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f t="shared" ca="1" si="91"/>
        <v>5</v>
      </c>
      <c r="J269" s="5">
        <f t="shared" ca="1" si="92"/>
        <v>0</v>
      </c>
      <c r="K269" s="5">
        <f t="shared" ca="1" si="93"/>
        <v>0</v>
      </c>
      <c r="L269" s="5">
        <f t="shared" ca="1" si="94"/>
        <v>0</v>
      </c>
      <c r="M269" s="5">
        <f t="shared" ca="1" si="95"/>
        <v>0</v>
      </c>
      <c r="N269" s="5">
        <f t="shared" ca="1" si="96"/>
        <v>0</v>
      </c>
      <c r="O269" s="5">
        <f t="shared" ca="1" si="97"/>
        <v>0</v>
      </c>
      <c r="P269" s="5">
        <f t="shared" ca="1" si="98"/>
        <v>0</v>
      </c>
      <c r="Q269" s="5" t="e">
        <f t="shared" ca="1" si="99"/>
        <v>#N/A</v>
      </c>
      <c r="R269" s="5">
        <f t="shared" ca="1" si="104"/>
        <v>0</v>
      </c>
      <c r="S269" s="67" t="e">
        <f t="shared" ca="1" si="105"/>
        <v>#N/A</v>
      </c>
      <c r="T269" s="67">
        <f t="shared" ca="1" si="106"/>
        <v>0</v>
      </c>
      <c r="U269" s="67" t="e">
        <f t="shared" ca="1" si="107"/>
        <v>#N/A</v>
      </c>
      <c r="V269" s="5">
        <f t="shared" ca="1" si="86"/>
        <v>0</v>
      </c>
      <c r="W269" s="5" t="e">
        <f t="shared" ca="1" si="100"/>
        <v>#N/A</v>
      </c>
      <c r="X269" s="67">
        <f t="shared" ca="1" si="101"/>
        <v>0</v>
      </c>
      <c r="Y269" s="67" t="e">
        <f t="shared" ca="1" si="108"/>
        <v>#N/A</v>
      </c>
      <c r="Z269" s="67" t="e">
        <f t="shared" ca="1" si="109"/>
        <v>#N/A</v>
      </c>
      <c r="AA269" s="5" t="str">
        <f>IF(Setup!$I$15="Yes",'Demand background (hide)'!AJ257+'SPC background (hide)'!C269,"")</f>
        <v/>
      </c>
      <c r="AC269" s="5" t="str">
        <f t="shared" ca="1" si="102"/>
        <v/>
      </c>
      <c r="AD269" s="5" t="str">
        <f t="shared" ca="1" si="103"/>
        <v/>
      </c>
    </row>
    <row r="270" spans="1:30" x14ac:dyDescent="0.2">
      <c r="A270" s="67">
        <f>Demand!C267</f>
        <v>0</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f t="shared" ca="1" si="91"/>
        <v>5</v>
      </c>
      <c r="J270" s="5">
        <f t="shared" ca="1" si="92"/>
        <v>0</v>
      </c>
      <c r="K270" s="5">
        <f t="shared" ca="1" si="93"/>
        <v>0</v>
      </c>
      <c r="L270" s="5">
        <f t="shared" ca="1" si="94"/>
        <v>0</v>
      </c>
      <c r="M270" s="5">
        <f t="shared" ca="1" si="95"/>
        <v>0</v>
      </c>
      <c r="N270" s="5">
        <f t="shared" ca="1" si="96"/>
        <v>0</v>
      </c>
      <c r="O270" s="5">
        <f t="shared" ca="1" si="97"/>
        <v>0</v>
      </c>
      <c r="P270" s="5">
        <f t="shared" ca="1" si="98"/>
        <v>0</v>
      </c>
      <c r="Q270" s="5" t="e">
        <f t="shared" ca="1" si="99"/>
        <v>#N/A</v>
      </c>
      <c r="R270" s="5">
        <f t="shared" ca="1" si="104"/>
        <v>0</v>
      </c>
      <c r="S270" s="67" t="e">
        <f t="shared" ca="1" si="105"/>
        <v>#N/A</v>
      </c>
      <c r="T270" s="67">
        <f t="shared" ca="1" si="106"/>
        <v>0</v>
      </c>
      <c r="U270" s="67" t="e">
        <f t="shared" ca="1" si="107"/>
        <v>#N/A</v>
      </c>
      <c r="V270" s="5">
        <f t="shared" ca="1" si="86"/>
        <v>0</v>
      </c>
      <c r="W270" s="5" t="e">
        <f t="shared" ca="1" si="100"/>
        <v>#N/A</v>
      </c>
      <c r="X270" s="67">
        <f t="shared" ca="1" si="101"/>
        <v>0</v>
      </c>
      <c r="Y270" s="67" t="e">
        <f t="shared" ca="1" si="108"/>
        <v>#N/A</v>
      </c>
      <c r="Z270" s="67" t="e">
        <f t="shared" ca="1" si="109"/>
        <v>#N/A</v>
      </c>
      <c r="AA270" s="5" t="str">
        <f>IF(Setup!$I$15="Yes",'Demand background (hide)'!AJ258+'SPC background (hide)'!C270,"")</f>
        <v/>
      </c>
      <c r="AC270" s="5" t="str">
        <f t="shared" ca="1" si="102"/>
        <v/>
      </c>
      <c r="AD270" s="5" t="str">
        <f t="shared" ca="1" si="103"/>
        <v/>
      </c>
    </row>
    <row r="271" spans="1:30" x14ac:dyDescent="0.2">
      <c r="A271" s="67">
        <f>Demand!C268</f>
        <v>0</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f t="shared" ca="1" si="91"/>
        <v>5</v>
      </c>
      <c r="J271" s="5">
        <f t="shared" ca="1" si="92"/>
        <v>0</v>
      </c>
      <c r="K271" s="5">
        <f t="shared" ca="1" si="93"/>
        <v>0</v>
      </c>
      <c r="L271" s="5">
        <f t="shared" ca="1" si="94"/>
        <v>0</v>
      </c>
      <c r="M271" s="5">
        <f t="shared" ca="1" si="95"/>
        <v>0</v>
      </c>
      <c r="N271" s="5">
        <f t="shared" ca="1" si="96"/>
        <v>0</v>
      </c>
      <c r="O271" s="5">
        <f t="shared" ca="1" si="97"/>
        <v>0</v>
      </c>
      <c r="P271" s="5">
        <f t="shared" ca="1" si="98"/>
        <v>0</v>
      </c>
      <c r="Q271" s="5" t="e">
        <f t="shared" ca="1" si="99"/>
        <v>#N/A</v>
      </c>
      <c r="R271" s="5">
        <f t="shared" ca="1" si="104"/>
        <v>0</v>
      </c>
      <c r="S271" s="67" t="e">
        <f t="shared" ca="1" si="105"/>
        <v>#N/A</v>
      </c>
      <c r="T271" s="67">
        <f t="shared" ca="1" si="106"/>
        <v>0</v>
      </c>
      <c r="U271" s="67" t="e">
        <f t="shared" ca="1" si="107"/>
        <v>#N/A</v>
      </c>
      <c r="V271" s="5">
        <f t="shared" ca="1" si="86"/>
        <v>0</v>
      </c>
      <c r="W271" s="5" t="e">
        <f t="shared" ca="1" si="100"/>
        <v>#N/A</v>
      </c>
      <c r="X271" s="67">
        <f t="shared" ca="1" si="101"/>
        <v>0</v>
      </c>
      <c r="Y271" s="67" t="e">
        <f t="shared" ca="1" si="108"/>
        <v>#N/A</v>
      </c>
      <c r="Z271" s="67" t="e">
        <f t="shared" ca="1" si="109"/>
        <v>#N/A</v>
      </c>
      <c r="AA271" s="5" t="str">
        <f>IF(Setup!$I$15="Yes",'Demand background (hide)'!AJ259+'SPC background (hide)'!C271,"")</f>
        <v/>
      </c>
      <c r="AC271" s="5" t="str">
        <f t="shared" ca="1" si="102"/>
        <v/>
      </c>
      <c r="AD271" s="5" t="str">
        <f t="shared" ca="1" si="103"/>
        <v/>
      </c>
    </row>
    <row r="272" spans="1:30" x14ac:dyDescent="0.2">
      <c r="A272" s="67">
        <f>Demand!C269</f>
        <v>0</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f t="shared" ca="1" si="91"/>
        <v>5</v>
      </c>
      <c r="J272" s="5">
        <f t="shared" ca="1" si="92"/>
        <v>0</v>
      </c>
      <c r="K272" s="5">
        <f t="shared" ca="1" si="93"/>
        <v>0</v>
      </c>
      <c r="L272" s="5">
        <f t="shared" ca="1" si="94"/>
        <v>0</v>
      </c>
      <c r="M272" s="5">
        <f t="shared" ca="1" si="95"/>
        <v>0</v>
      </c>
      <c r="N272" s="5">
        <f t="shared" ca="1" si="96"/>
        <v>0</v>
      </c>
      <c r="O272" s="5">
        <f t="shared" ca="1" si="97"/>
        <v>0</v>
      </c>
      <c r="P272" s="5">
        <f t="shared" ca="1" si="98"/>
        <v>0</v>
      </c>
      <c r="Q272" s="5" t="e">
        <f t="shared" ca="1" si="99"/>
        <v>#N/A</v>
      </c>
      <c r="R272" s="5">
        <f t="shared" ca="1" si="104"/>
        <v>0</v>
      </c>
      <c r="S272" s="67" t="e">
        <f t="shared" ca="1" si="105"/>
        <v>#N/A</v>
      </c>
      <c r="T272" s="67">
        <f t="shared" ca="1" si="106"/>
        <v>0</v>
      </c>
      <c r="U272" s="67" t="e">
        <f t="shared" ca="1" si="107"/>
        <v>#N/A</v>
      </c>
      <c r="V272" s="5">
        <f t="shared" ca="1" si="86"/>
        <v>0</v>
      </c>
      <c r="W272" s="5" t="e">
        <f t="shared" ca="1" si="100"/>
        <v>#N/A</v>
      </c>
      <c r="X272" s="67">
        <f t="shared" ca="1" si="101"/>
        <v>0</v>
      </c>
      <c r="Y272" s="67" t="e">
        <f t="shared" ca="1" si="108"/>
        <v>#N/A</v>
      </c>
      <c r="Z272" s="67" t="e">
        <f t="shared" ca="1" si="109"/>
        <v>#N/A</v>
      </c>
      <c r="AA272" s="5" t="str">
        <f>IF(Setup!$I$15="Yes",'Demand background (hide)'!AJ260+'SPC background (hide)'!C272,"")</f>
        <v/>
      </c>
      <c r="AC272" s="5" t="str">
        <f t="shared" ca="1" si="102"/>
        <v/>
      </c>
      <c r="AD272" s="5" t="str">
        <f t="shared" ca="1" si="103"/>
        <v/>
      </c>
    </row>
    <row r="273" spans="1:30" x14ac:dyDescent="0.2">
      <c r="A273" s="67">
        <f>Demand!C270</f>
        <v>0</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f t="shared" ref="I273:I275" ca="1" si="114">VLOOKUP(A273,$AG$2:$AI$54,3,0)</f>
        <v>5</v>
      </c>
      <c r="J273" s="5">
        <f t="shared" ref="J273:J275" ca="1" si="115">VLOOKUP($A273,$AG$2:$AQ$54,COLUMN(E$1),0)</f>
        <v>0</v>
      </c>
      <c r="K273" s="5">
        <f t="shared" ref="K273:K275" ca="1" si="116">VLOOKUP($A273,$AG$2:$AQ$54,COLUMN(F$1),0)</f>
        <v>0</v>
      </c>
      <c r="L273" s="5">
        <f t="shared" ref="L273:L275" ca="1" si="117">VLOOKUP($A273,$AG$2:$AQ$54,COLUMN(G$1),0)</f>
        <v>0</v>
      </c>
      <c r="M273" s="5">
        <f t="shared" ref="M273:M275" ca="1" si="118">VLOOKUP($A273,$AG$2:$AQ$54,COLUMN(H$1),0)</f>
        <v>0</v>
      </c>
      <c r="N273" s="5">
        <f t="shared" ref="N273:N275" ca="1" si="119">VLOOKUP($A273,$AG$2:$AQ$54,COLUMN(I$1),0)</f>
        <v>0</v>
      </c>
      <c r="O273" s="5">
        <f t="shared" ref="O273:O275" ca="1" si="120">VLOOKUP($A273,$AG$2:$AQ$54,COLUMN(J$1),0)</f>
        <v>0</v>
      </c>
      <c r="P273" s="5">
        <f t="shared" ref="P273:P275" ca="1" si="121">VLOOKUP($A273,$AG$2:$AQ$54,COLUMN(K$1),0)</f>
        <v>0</v>
      </c>
      <c r="Q273" s="5" t="e">
        <f t="shared" ref="Q273:Q275" ca="1" si="122">IF(ISNA(H273)=TRUE,IF(OR(C273&gt;P273,C273&lt;J273),C273,NA()),NA())</f>
        <v>#N/A</v>
      </c>
      <c r="R273" s="5">
        <f t="shared" ca="1" si="104"/>
        <v>0</v>
      </c>
      <c r="S273" s="67" t="e">
        <f t="shared" ca="1" si="105"/>
        <v>#N/A</v>
      </c>
      <c r="T273" s="67">
        <f t="shared" ca="1" si="106"/>
        <v>0</v>
      </c>
      <c r="U273" s="67" t="e">
        <f t="shared" ca="1" si="107"/>
        <v>#N/A</v>
      </c>
      <c r="V273" s="5">
        <f t="shared" ca="1" si="86"/>
        <v>0</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str">
        <f t="shared" ref="AC273:AC275" ca="1" si="124">VLOOKUP($A273,$AG$2:$AS$54,12,0)</f>
        <v/>
      </c>
      <c r="AD273" s="5" t="str">
        <f t="shared" ref="AD273:AD275" ca="1" si="125">VLOOKUP($A273,$AG$2:$AS$54,13,0)</f>
        <v/>
      </c>
    </row>
    <row r="274" spans="1:30" x14ac:dyDescent="0.2">
      <c r="A274" s="67">
        <f>Demand!C271</f>
        <v>0</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f t="shared" ca="1" si="114"/>
        <v>5</v>
      </c>
      <c r="J274" s="5">
        <f t="shared" ca="1" si="115"/>
        <v>0</v>
      </c>
      <c r="K274" s="5">
        <f t="shared" ca="1" si="116"/>
        <v>0</v>
      </c>
      <c r="L274" s="5">
        <f t="shared" ca="1" si="117"/>
        <v>0</v>
      </c>
      <c r="M274" s="5">
        <f t="shared" ca="1" si="118"/>
        <v>0</v>
      </c>
      <c r="N274" s="5">
        <f t="shared" ca="1" si="119"/>
        <v>0</v>
      </c>
      <c r="O274" s="5">
        <f t="shared" ca="1" si="120"/>
        <v>0</v>
      </c>
      <c r="P274" s="5">
        <f t="shared" ca="1" si="121"/>
        <v>0</v>
      </c>
      <c r="Q274" s="5" t="e">
        <f t="shared" ca="1" si="122"/>
        <v>#N/A</v>
      </c>
      <c r="R274" s="5">
        <f t="shared" ref="R274:R275" ca="1" si="126">IF(C274&gt;O274,2,IF(C274&lt;K274,-2,IF(C274&gt;M274,1,IF(C274&lt;M274,-1,0))))</f>
        <v>0</v>
      </c>
      <c r="S274" s="67" t="e">
        <f t="shared" ref="S274:S275" ca="1" si="127">IF(ISNA(H274),IF(ABS(SUM(R274:R276))&gt;=5,C274,NA()),NA())</f>
        <v>#N/A</v>
      </c>
      <c r="T274" s="67">
        <f t="shared" ref="T274:T275" ca="1" si="128">IF(C274&gt;N274,2,IF(C274&lt;L274,-2,IF(C274&gt;M274,1,IF(C274&lt;M274,-1,0))))</f>
        <v>0</v>
      </c>
      <c r="U274" s="67" t="e">
        <f t="shared" ref="U274:U275" ca="1" si="129">IF(ISNA(H274)=TRUE,IF(ABS(SUM(T274:T278))&gt;=9,C274,NA()),NA())</f>
        <v>#N/A</v>
      </c>
      <c r="V274" s="5">
        <f t="shared" ca="1" si="86"/>
        <v>0</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str">
        <f t="shared" ca="1" si="124"/>
        <v/>
      </c>
      <c r="AD274" s="5" t="str">
        <f t="shared" ca="1" si="125"/>
        <v/>
      </c>
    </row>
    <row r="275" spans="1:30" x14ac:dyDescent="0.2">
      <c r="A275" s="67">
        <f>Demand!C272</f>
        <v>0</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f t="shared" ca="1" si="114"/>
        <v>5</v>
      </c>
      <c r="J275" s="5">
        <f t="shared" ca="1" si="115"/>
        <v>0</v>
      </c>
      <c r="K275" s="5">
        <f t="shared" ca="1" si="116"/>
        <v>0</v>
      </c>
      <c r="L275" s="5">
        <f t="shared" ca="1" si="117"/>
        <v>0</v>
      </c>
      <c r="M275" s="5">
        <f t="shared" ca="1" si="118"/>
        <v>0</v>
      </c>
      <c r="N275" s="5">
        <f t="shared" ca="1" si="119"/>
        <v>0</v>
      </c>
      <c r="O275" s="5">
        <f t="shared" ca="1" si="120"/>
        <v>0</v>
      </c>
      <c r="P275" s="5">
        <f t="shared" ca="1" si="121"/>
        <v>0</v>
      </c>
      <c r="Q275" s="5" t="e">
        <f t="shared" ca="1" si="122"/>
        <v>#N/A</v>
      </c>
      <c r="R275" s="5">
        <f t="shared" ca="1" si="126"/>
        <v>0</v>
      </c>
      <c r="S275" s="67" t="e">
        <f t="shared" ca="1" si="127"/>
        <v>#N/A</v>
      </c>
      <c r="T275" s="67">
        <f t="shared" ca="1" si="128"/>
        <v>0</v>
      </c>
      <c r="U275" s="67" t="e">
        <f t="shared" ca="1" si="129"/>
        <v>#N/A</v>
      </c>
      <c r="V275" s="5">
        <f t="shared" ca="1" si="86"/>
        <v>0</v>
      </c>
      <c r="W275" s="5" t="e">
        <f t="shared" ca="1" si="123"/>
        <v>#N/A</v>
      </c>
      <c r="X275" s="67">
        <f t="shared" ca="1" si="101"/>
        <v>0</v>
      </c>
      <c r="Y275" s="67" t="e">
        <f t="shared" ca="1" si="130"/>
        <v>#N/A</v>
      </c>
      <c r="Z275" s="67" t="e">
        <f t="shared" ca="1" si="131"/>
        <v>#N/A</v>
      </c>
      <c r="AA275" s="5" t="str">
        <f>IF(Setup!$I$15="Yes",'Demand background (hide)'!AJ263+'SPC background (hide)'!C275,"")</f>
        <v/>
      </c>
      <c r="AC275" s="5" t="str">
        <f t="shared" ca="1" si="124"/>
        <v/>
      </c>
      <c r="AD275" s="5" t="str">
        <f t="shared" ca="1" si="125"/>
        <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4.25" x14ac:dyDescent="0.2"/>
  <cols>
    <col min="1" max="1" width="9" hidden="1" customWidth="1"/>
    <col min="2" max="2" width="12.625" bestFit="1" customWidth="1"/>
    <col min="3" max="3" width="13" customWidth="1"/>
    <col min="4" max="4" width="9.75" hidden="1" customWidth="1"/>
    <col min="5" max="14" width="13.125" hidden="1" customWidth="1"/>
    <col min="15" max="15" width="18.75" customWidth="1"/>
    <col min="17" max="18" width="9" customWidth="1"/>
    <col min="20" max="20" width="9.75" bestFit="1" customWidth="1"/>
  </cols>
  <sheetData>
    <row r="1" spans="1:20" x14ac:dyDescent="0.2">
      <c r="A1" t="s">
        <v>53</v>
      </c>
    </row>
    <row r="2" spans="1:20" x14ac:dyDescent="0.2">
      <c r="B2" t="s">
        <v>224</v>
      </c>
    </row>
    <row r="3" spans="1:20" x14ac:dyDescent="0.2">
      <c r="A3" t="s">
        <v>55</v>
      </c>
      <c r="B3" t="s">
        <v>225</v>
      </c>
    </row>
    <row r="5" spans="1:20" x14ac:dyDescent="0.2">
      <c r="A5" t="s">
        <v>54</v>
      </c>
    </row>
    <row r="6" spans="1:20" x14ac:dyDescent="0.2">
      <c r="A6">
        <f ca="1">MAX(A13:A272)</f>
        <v>7</v>
      </c>
      <c r="B6" t="s">
        <v>217</v>
      </c>
      <c r="C6" s="397" t="s">
        <v>24</v>
      </c>
      <c r="D6" s="399"/>
    </row>
    <row r="8" spans="1:20" x14ac:dyDescent="0.2">
      <c r="B8" t="s">
        <v>218</v>
      </c>
      <c r="C8" s="210"/>
    </row>
    <row r="10" spans="1:20" ht="13.9" customHeight="1" x14ac:dyDescent="0.2">
      <c r="B10" s="413" t="s">
        <v>128</v>
      </c>
      <c r="C10" s="413" t="s">
        <v>56</v>
      </c>
      <c r="D10" s="413" t="s">
        <v>1</v>
      </c>
      <c r="E10" s="266" t="str">
        <f ca="1">OFFSET('Control sheet (hide)'!$AA$3,COLUMN(A1)-1,0,1,1)</f>
        <v>Modality 1</v>
      </c>
      <c r="F10" s="266" t="str">
        <f ca="1">OFFSET('Control sheet (hide)'!$AA$3,COLUMN(B1)-1,0,1,1)</f>
        <v>Modality 2</v>
      </c>
      <c r="G10" s="266" t="str">
        <f ca="1">OFFSET('Control sheet (hide)'!$AA$3,COLUMN(C1)-1,0,1,1)</f>
        <v>Modality 3</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0" t="s">
        <v>222</v>
      </c>
      <c r="Q10" s="410" t="str">
        <f>"Total "&amp;"("&amp;Setup!$I$17&amp;")"</f>
        <v>Total (Minutes)</v>
      </c>
      <c r="R10" s="410" t="s">
        <v>111</v>
      </c>
    </row>
    <row r="11" spans="1:20" x14ac:dyDescent="0.2">
      <c r="B11" s="413"/>
      <c r="C11" s="413"/>
      <c r="D11" s="413"/>
      <c r="E11" s="266" t="str">
        <f ca="1">IF(Setup!$I$17&lt;&gt;"Patients",Setup!$I$17&amp;": "&amp;OFFSET('Demand background (hide)'!$BN$6,COLUMN(A1)-1,0,1,1),"")</f>
        <v>Minutes: 0</v>
      </c>
      <c r="F11" s="266" t="str">
        <f ca="1">IF(Setup!$I$17&lt;&gt;"Patients",Setup!$I$17&amp;": "&amp;OFFSET('Demand background (hide)'!$BN$6,COLUMN(B1)-1,0,1,1),"")</f>
        <v>Minutes: 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1</v>
      </c>
      <c r="P11" s="410"/>
      <c r="Q11" s="410"/>
      <c r="R11" s="410"/>
    </row>
    <row r="12" spans="1:20" x14ac:dyDescent="0.2">
      <c r="B12" s="413"/>
      <c r="C12" s="413"/>
      <c r="D12" s="413"/>
      <c r="E12" s="6"/>
      <c r="F12" s="6"/>
      <c r="G12" s="6"/>
      <c r="H12" s="6"/>
      <c r="I12" s="6"/>
      <c r="J12" s="6"/>
      <c r="K12" s="6"/>
      <c r="L12" s="6"/>
      <c r="M12" s="6"/>
      <c r="N12" s="6"/>
      <c r="O12" s="6"/>
      <c r="P12" s="410"/>
      <c r="Q12" s="410"/>
      <c r="R12" s="410"/>
    </row>
    <row r="13" spans="1:20" x14ac:dyDescent="0.2">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4</v>
      </c>
      <c r="R13" s="152"/>
      <c r="T13" s="36"/>
    </row>
    <row r="14" spans="1:20" x14ac:dyDescent="0.2">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5</v>
      </c>
      <c r="R14" s="152"/>
      <c r="T14" s="36"/>
    </row>
    <row r="15" spans="1:20" x14ac:dyDescent="0.2">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2</v>
      </c>
      <c r="R15" s="152"/>
      <c r="T15" s="36"/>
    </row>
    <row r="16" spans="1:20" x14ac:dyDescent="0.2">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3</v>
      </c>
      <c r="R16" s="152"/>
      <c r="T16" s="36"/>
    </row>
    <row r="17" spans="1:20" x14ac:dyDescent="0.2">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5</v>
      </c>
      <c r="R17" s="152"/>
      <c r="T17" s="36"/>
    </row>
    <row r="18" spans="1:20" x14ac:dyDescent="0.2">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3</v>
      </c>
      <c r="R18" s="152"/>
      <c r="T18" s="36"/>
    </row>
    <row r="19" spans="1:20" x14ac:dyDescent="0.2">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4</v>
      </c>
      <c r="R19" s="152"/>
      <c r="T19" s="36"/>
    </row>
    <row r="20" spans="1:20" x14ac:dyDescent="0.2">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
      <c r="B65" s="48"/>
      <c r="D65" s="36"/>
    </row>
    <row r="66" spans="2:4" x14ac:dyDescent="0.2">
      <c r="B66" s="48"/>
      <c r="D66" s="36"/>
    </row>
    <row r="67" spans="2:4" x14ac:dyDescent="0.2">
      <c r="B67" s="48"/>
      <c r="D67" s="36"/>
    </row>
    <row r="68" spans="2:4" x14ac:dyDescent="0.2">
      <c r="B68" s="48"/>
      <c r="D68" s="36"/>
    </row>
    <row r="69" spans="2:4" x14ac:dyDescent="0.2">
      <c r="B69" s="48"/>
      <c r="D69" s="36"/>
    </row>
    <row r="70" spans="2:4" x14ac:dyDescent="0.2">
      <c r="B70" s="48"/>
      <c r="D70" s="36"/>
    </row>
    <row r="71" spans="2:4" x14ac:dyDescent="0.2">
      <c r="B71" s="48"/>
      <c r="D71" s="36"/>
    </row>
    <row r="72" spans="2:4" x14ac:dyDescent="0.2">
      <c r="B72" s="48"/>
      <c r="D72" s="36"/>
    </row>
    <row r="73" spans="2:4" x14ac:dyDescent="0.2">
      <c r="B73" s="48"/>
      <c r="D73" s="36"/>
    </row>
    <row r="74" spans="2:4" x14ac:dyDescent="0.2">
      <c r="B74" s="48"/>
      <c r="D74" s="36"/>
    </row>
    <row r="75" spans="2:4" x14ac:dyDescent="0.2">
      <c r="B75" s="48"/>
      <c r="D75" s="36"/>
    </row>
    <row r="76" spans="2:4" x14ac:dyDescent="0.2">
      <c r="B76" s="48"/>
      <c r="D76" s="36"/>
    </row>
    <row r="77" spans="2:4" x14ac:dyDescent="0.2">
      <c r="B77" s="48"/>
      <c r="D77" s="36"/>
    </row>
    <row r="78" spans="2:4" x14ac:dyDescent="0.2">
      <c r="B78" s="48"/>
      <c r="D78" s="36"/>
    </row>
    <row r="79" spans="2:4" x14ac:dyDescent="0.2">
      <c r="B79" s="48"/>
      <c r="D79" s="36"/>
    </row>
    <row r="80" spans="2:4" x14ac:dyDescent="0.2">
      <c r="B80" s="48"/>
      <c r="D80" s="36"/>
    </row>
    <row r="81" spans="2:4" x14ac:dyDescent="0.2">
      <c r="B81" s="48"/>
      <c r="D81" s="36"/>
    </row>
    <row r="82" spans="2:4" x14ac:dyDescent="0.2">
      <c r="B82" s="48"/>
      <c r="D82" s="36"/>
    </row>
    <row r="83" spans="2:4" x14ac:dyDescent="0.2">
      <c r="B83" s="48"/>
      <c r="D83" s="36"/>
    </row>
    <row r="84" spans="2:4" x14ac:dyDescent="0.2">
      <c r="B84" s="48"/>
      <c r="D84" s="36"/>
    </row>
    <row r="85" spans="2:4" x14ac:dyDescent="0.2">
      <c r="B85" s="48"/>
      <c r="D85" s="36"/>
    </row>
    <row r="86" spans="2:4" x14ac:dyDescent="0.2">
      <c r="B86" s="48"/>
      <c r="D86" s="36"/>
    </row>
    <row r="87" spans="2:4" x14ac:dyDescent="0.2">
      <c r="B87" s="48"/>
      <c r="D87" s="36"/>
    </row>
    <row r="88" spans="2:4" x14ac:dyDescent="0.2">
      <c r="B88" s="48"/>
      <c r="D88" s="36"/>
    </row>
    <row r="89" spans="2:4" x14ac:dyDescent="0.2">
      <c r="B89" s="48"/>
      <c r="D89" s="36"/>
    </row>
    <row r="90" spans="2:4" x14ac:dyDescent="0.2">
      <c r="B90" s="48"/>
      <c r="D90" s="36"/>
    </row>
    <row r="91" spans="2:4" x14ac:dyDescent="0.2">
      <c r="B91" s="48"/>
      <c r="D91" s="36"/>
    </row>
    <row r="92" spans="2:4" x14ac:dyDescent="0.2">
      <c r="B92" s="48"/>
      <c r="D92" s="36"/>
    </row>
    <row r="93" spans="2:4" x14ac:dyDescent="0.2">
      <c r="B93" s="48"/>
      <c r="D93" s="36"/>
    </row>
    <row r="94" spans="2:4" x14ac:dyDescent="0.2">
      <c r="B94" s="48"/>
      <c r="D94" s="36"/>
    </row>
    <row r="95" spans="2:4" x14ac:dyDescent="0.2">
      <c r="B95" s="48"/>
      <c r="D95" s="36"/>
    </row>
    <row r="96" spans="2:4" x14ac:dyDescent="0.2">
      <c r="B96" s="48"/>
      <c r="D96" s="36"/>
    </row>
    <row r="97" spans="2:4" x14ac:dyDescent="0.2">
      <c r="B97" s="48"/>
      <c r="D97" s="36"/>
    </row>
    <row r="98" spans="2:4" x14ac:dyDescent="0.2">
      <c r="B98" s="48"/>
      <c r="D98" s="36"/>
    </row>
    <row r="99" spans="2:4" x14ac:dyDescent="0.2">
      <c r="B99" s="48"/>
      <c r="D99" s="36"/>
    </row>
    <row r="100" spans="2:4" x14ac:dyDescent="0.2">
      <c r="B100" s="48"/>
      <c r="D100" s="36"/>
    </row>
    <row r="101" spans="2:4" x14ac:dyDescent="0.2">
      <c r="B101" s="48"/>
      <c r="D101" s="36"/>
    </row>
    <row r="102" spans="2:4" x14ac:dyDescent="0.2">
      <c r="B102" s="48"/>
      <c r="D102" s="36"/>
    </row>
    <row r="103" spans="2:4" x14ac:dyDescent="0.2">
      <c r="B103" s="48"/>
      <c r="D103" s="36"/>
    </row>
    <row r="104" spans="2:4" x14ac:dyDescent="0.2">
      <c r="B104" s="48"/>
      <c r="D104" s="36"/>
    </row>
    <row r="105" spans="2:4" x14ac:dyDescent="0.2">
      <c r="B105" s="48"/>
      <c r="D105" s="36"/>
    </row>
    <row r="106" spans="2:4" x14ac:dyDescent="0.2">
      <c r="B106" s="48"/>
      <c r="D106" s="36"/>
    </row>
    <row r="107" spans="2:4" x14ac:dyDescent="0.2">
      <c r="B107" s="48"/>
      <c r="D107" s="36"/>
    </row>
    <row r="108" spans="2:4" x14ac:dyDescent="0.2">
      <c r="B108" s="48"/>
      <c r="D108" s="36"/>
    </row>
    <row r="109" spans="2:4" x14ac:dyDescent="0.2">
      <c r="B109" s="48"/>
      <c r="D109" s="36"/>
    </row>
    <row r="110" spans="2:4" x14ac:dyDescent="0.2">
      <c r="B110" s="48"/>
      <c r="D110" s="36"/>
    </row>
    <row r="111" spans="2:4" x14ac:dyDescent="0.2">
      <c r="B111" s="48"/>
      <c r="D111" s="36"/>
    </row>
    <row r="112" spans="2:4" x14ac:dyDescent="0.2">
      <c r="B112" s="48"/>
      <c r="D112" s="36"/>
    </row>
    <row r="113" spans="2:4" x14ac:dyDescent="0.2">
      <c r="B113" s="48"/>
      <c r="D113" s="36"/>
    </row>
    <row r="114" spans="2:4" x14ac:dyDescent="0.2">
      <c r="B114" s="48"/>
      <c r="D114" s="36"/>
    </row>
    <row r="115" spans="2:4" x14ac:dyDescent="0.2">
      <c r="B115" s="48"/>
      <c r="D115" s="36"/>
    </row>
    <row r="116" spans="2:4" x14ac:dyDescent="0.2">
      <c r="B116" s="48"/>
      <c r="D116" s="36"/>
    </row>
    <row r="117" spans="2:4" x14ac:dyDescent="0.2">
      <c r="B117" s="48"/>
      <c r="D117" s="36"/>
    </row>
    <row r="118" spans="2:4" x14ac:dyDescent="0.2">
      <c r="B118" s="48"/>
      <c r="D118" s="36"/>
    </row>
    <row r="119" spans="2:4" x14ac:dyDescent="0.2">
      <c r="B119" s="48"/>
      <c r="D119" s="36"/>
    </row>
    <row r="120" spans="2:4" x14ac:dyDescent="0.2">
      <c r="B120" s="48"/>
      <c r="D120" s="36"/>
    </row>
    <row r="121" spans="2:4" x14ac:dyDescent="0.2">
      <c r="B121" s="48"/>
      <c r="D121" s="36"/>
    </row>
    <row r="122" spans="2:4" x14ac:dyDescent="0.2">
      <c r="B122" s="48"/>
      <c r="D122" s="36"/>
    </row>
    <row r="123" spans="2:4" x14ac:dyDescent="0.2">
      <c r="B123" s="48"/>
      <c r="D123" s="36"/>
    </row>
    <row r="124" spans="2:4" x14ac:dyDescent="0.2">
      <c r="B124" s="48"/>
      <c r="D124" s="36"/>
    </row>
    <row r="125" spans="2:4" x14ac:dyDescent="0.2">
      <c r="B125" s="48"/>
      <c r="D125" s="36"/>
    </row>
    <row r="126" spans="2:4" x14ac:dyDescent="0.2">
      <c r="B126" s="48"/>
      <c r="D126" s="36"/>
    </row>
    <row r="127" spans="2:4" x14ac:dyDescent="0.2">
      <c r="B127" s="48"/>
      <c r="D127" s="36"/>
    </row>
    <row r="128" spans="2:4" x14ac:dyDescent="0.2">
      <c r="B128" s="48"/>
      <c r="D128" s="36"/>
    </row>
    <row r="129" spans="2:4" x14ac:dyDescent="0.2">
      <c r="B129" s="48"/>
      <c r="D129" s="36"/>
    </row>
    <row r="130" spans="2:4" x14ac:dyDescent="0.2">
      <c r="B130" s="48"/>
      <c r="D130" s="36"/>
    </row>
    <row r="131" spans="2:4" x14ac:dyDescent="0.2">
      <c r="B131" s="48"/>
      <c r="D131" s="36"/>
    </row>
    <row r="132" spans="2:4" x14ac:dyDescent="0.2">
      <c r="B132" s="48"/>
      <c r="D132" s="36"/>
    </row>
    <row r="133" spans="2:4" x14ac:dyDescent="0.2">
      <c r="B133" s="48"/>
      <c r="D133" s="36"/>
    </row>
    <row r="134" spans="2:4" x14ac:dyDescent="0.2">
      <c r="B134" s="48"/>
      <c r="D134" s="36"/>
    </row>
    <row r="135" spans="2:4" x14ac:dyDescent="0.2">
      <c r="B135" s="48"/>
      <c r="D135" s="36"/>
    </row>
    <row r="136" spans="2:4" x14ac:dyDescent="0.2">
      <c r="B136" s="48"/>
      <c r="D136" s="36"/>
    </row>
    <row r="137" spans="2:4" x14ac:dyDescent="0.2">
      <c r="B137" s="48"/>
      <c r="D137" s="36"/>
    </row>
    <row r="138" spans="2:4" x14ac:dyDescent="0.2">
      <c r="B138" s="48"/>
      <c r="D138" s="36"/>
    </row>
    <row r="139" spans="2:4" x14ac:dyDescent="0.2">
      <c r="B139" s="48"/>
      <c r="D139" s="36"/>
    </row>
    <row r="140" spans="2:4" x14ac:dyDescent="0.2">
      <c r="B140" s="48"/>
      <c r="D140" s="36"/>
    </row>
    <row r="141" spans="2:4" x14ac:dyDescent="0.2">
      <c r="B141" s="48"/>
      <c r="D141" s="36"/>
    </row>
    <row r="142" spans="2:4" x14ac:dyDescent="0.2">
      <c r="B142" s="48"/>
      <c r="D142" s="36"/>
    </row>
    <row r="143" spans="2:4" x14ac:dyDescent="0.2">
      <c r="B143" s="48"/>
      <c r="D143" s="36"/>
    </row>
    <row r="144" spans="2:4" x14ac:dyDescent="0.2">
      <c r="B144" s="48"/>
      <c r="D144" s="36"/>
    </row>
    <row r="145" spans="2:4" x14ac:dyDescent="0.2">
      <c r="B145" s="48"/>
      <c r="D145" s="36"/>
    </row>
    <row r="146" spans="2:4" x14ac:dyDescent="0.2">
      <c r="B146" s="48"/>
      <c r="D146" s="36"/>
    </row>
    <row r="147" spans="2:4" x14ac:dyDescent="0.2">
      <c r="B147" s="48"/>
      <c r="D147" s="36"/>
    </row>
    <row r="148" spans="2:4" x14ac:dyDescent="0.2">
      <c r="B148" s="48"/>
      <c r="D148" s="36"/>
    </row>
    <row r="149" spans="2:4" x14ac:dyDescent="0.2">
      <c r="B149" s="48"/>
      <c r="D149" s="36"/>
    </row>
    <row r="150" spans="2:4" x14ac:dyDescent="0.2">
      <c r="B150" s="48"/>
      <c r="D150" s="36"/>
    </row>
    <row r="151" spans="2:4" x14ac:dyDescent="0.2">
      <c r="B151" s="48"/>
      <c r="D151" s="36"/>
    </row>
    <row r="152" spans="2:4" x14ac:dyDescent="0.2">
      <c r="B152" s="48"/>
      <c r="D152" s="36"/>
    </row>
    <row r="153" spans="2:4" x14ac:dyDescent="0.2">
      <c r="B153" s="48"/>
      <c r="D153" s="36"/>
    </row>
    <row r="154" spans="2:4" x14ac:dyDescent="0.2">
      <c r="B154" s="48"/>
      <c r="D154" s="36"/>
    </row>
    <row r="155" spans="2:4" x14ac:dyDescent="0.2">
      <c r="B155" s="48"/>
      <c r="D155" s="36"/>
    </row>
    <row r="156" spans="2:4" x14ac:dyDescent="0.2">
      <c r="B156" s="48"/>
      <c r="D156" s="36"/>
    </row>
    <row r="157" spans="2:4" x14ac:dyDescent="0.2">
      <c r="B157" s="48"/>
      <c r="D157" s="36"/>
    </row>
    <row r="158" spans="2:4" x14ac:dyDescent="0.2">
      <c r="B158" s="48"/>
      <c r="D158" s="36"/>
    </row>
    <row r="159" spans="2:4" x14ac:dyDescent="0.2">
      <c r="B159" s="48"/>
      <c r="D159" s="36"/>
    </row>
    <row r="160" spans="2:4" x14ac:dyDescent="0.2">
      <c r="B160" s="48"/>
      <c r="D160" s="36"/>
    </row>
    <row r="161" spans="2:4" x14ac:dyDescent="0.2">
      <c r="B161" s="48"/>
      <c r="D161" s="36"/>
    </row>
    <row r="162" spans="2:4" x14ac:dyDescent="0.2">
      <c r="B162" s="48"/>
      <c r="D162" s="36"/>
    </row>
    <row r="163" spans="2:4" x14ac:dyDescent="0.2">
      <c r="B163" s="48"/>
      <c r="D163" s="36"/>
    </row>
    <row r="164" spans="2:4" x14ac:dyDescent="0.2">
      <c r="B164" s="48"/>
      <c r="D164" s="36"/>
    </row>
    <row r="165" spans="2:4" x14ac:dyDescent="0.2">
      <c r="B165" s="48"/>
      <c r="D165" s="36"/>
    </row>
    <row r="166" spans="2:4" x14ac:dyDescent="0.2">
      <c r="B166" s="48"/>
      <c r="D166" s="36"/>
    </row>
    <row r="167" spans="2:4" x14ac:dyDescent="0.2">
      <c r="B167" s="48"/>
      <c r="D167" s="36"/>
    </row>
    <row r="168" spans="2:4" x14ac:dyDescent="0.2">
      <c r="B168" s="48"/>
      <c r="D168" s="36"/>
    </row>
    <row r="169" spans="2:4" x14ac:dyDescent="0.2">
      <c r="B169" s="48"/>
      <c r="D169" s="36"/>
    </row>
    <row r="170" spans="2:4" x14ac:dyDescent="0.2">
      <c r="B170" s="48"/>
      <c r="D170" s="36"/>
    </row>
    <row r="171" spans="2:4" x14ac:dyDescent="0.2">
      <c r="B171" s="48"/>
      <c r="D171" s="36"/>
    </row>
    <row r="172" spans="2:4" x14ac:dyDescent="0.2">
      <c r="B172" s="48"/>
      <c r="D172" s="36"/>
    </row>
    <row r="173" spans="2:4" x14ac:dyDescent="0.2">
      <c r="B173" s="48"/>
      <c r="D173" s="36"/>
    </row>
    <row r="174" spans="2:4" x14ac:dyDescent="0.2">
      <c r="B174" s="48"/>
      <c r="D174" s="36"/>
    </row>
    <row r="175" spans="2:4" x14ac:dyDescent="0.2">
      <c r="B175" s="48"/>
      <c r="D175" s="36"/>
    </row>
    <row r="176" spans="2:4" x14ac:dyDescent="0.2">
      <c r="B176" s="48"/>
      <c r="D176" s="36"/>
    </row>
    <row r="177" spans="2:4" x14ac:dyDescent="0.2">
      <c r="B177" s="48"/>
      <c r="D177" s="36"/>
    </row>
    <row r="178" spans="2:4" x14ac:dyDescent="0.2">
      <c r="B178" s="48"/>
      <c r="D178" s="36"/>
    </row>
    <row r="179" spans="2:4" x14ac:dyDescent="0.2">
      <c r="B179" s="48"/>
      <c r="D179" s="36"/>
    </row>
    <row r="180" spans="2:4" x14ac:dyDescent="0.2">
      <c r="B180" s="48"/>
      <c r="D180" s="36"/>
    </row>
    <row r="181" spans="2:4" x14ac:dyDescent="0.2">
      <c r="B181" s="48"/>
      <c r="D181" s="36"/>
    </row>
    <row r="182" spans="2:4" x14ac:dyDescent="0.2">
      <c r="B182" s="48"/>
      <c r="D182" s="36"/>
    </row>
    <row r="183" spans="2:4" x14ac:dyDescent="0.2">
      <c r="B183" s="48"/>
      <c r="D183" s="36"/>
    </row>
    <row r="184" spans="2:4" x14ac:dyDescent="0.2">
      <c r="B184" s="48"/>
      <c r="D184" s="36"/>
    </row>
    <row r="185" spans="2:4" x14ac:dyDescent="0.2">
      <c r="B185" s="48"/>
      <c r="D185" s="36"/>
    </row>
    <row r="186" spans="2:4" x14ac:dyDescent="0.2">
      <c r="B186" s="48"/>
      <c r="D186" s="36"/>
    </row>
    <row r="187" spans="2:4" x14ac:dyDescent="0.2">
      <c r="B187" s="48"/>
      <c r="D187" s="36"/>
    </row>
    <row r="188" spans="2:4" x14ac:dyDescent="0.2">
      <c r="B188" s="48"/>
      <c r="D188" s="36"/>
    </row>
    <row r="189" spans="2:4" x14ac:dyDescent="0.2">
      <c r="B189" s="48"/>
      <c r="D189" s="36"/>
    </row>
    <row r="190" spans="2:4" x14ac:dyDescent="0.2">
      <c r="B190" s="48"/>
      <c r="D190" s="36"/>
    </row>
    <row r="191" spans="2:4" x14ac:dyDescent="0.2">
      <c r="B191" s="48"/>
      <c r="D191" s="36"/>
    </row>
    <row r="192" spans="2:4" x14ac:dyDescent="0.2">
      <c r="B192" s="48"/>
      <c r="D192" s="36"/>
    </row>
    <row r="193" spans="2:4" x14ac:dyDescent="0.2">
      <c r="B193" s="48"/>
      <c r="D193" s="36"/>
    </row>
    <row r="194" spans="2:4" x14ac:dyDescent="0.2">
      <c r="B194" s="48"/>
      <c r="D194" s="36"/>
    </row>
    <row r="195" spans="2:4" x14ac:dyDescent="0.2">
      <c r="B195" s="48"/>
      <c r="D195" s="36"/>
    </row>
    <row r="196" spans="2:4" x14ac:dyDescent="0.2">
      <c r="B196" s="48"/>
      <c r="D196" s="36"/>
    </row>
    <row r="197" spans="2:4" x14ac:dyDescent="0.2">
      <c r="B197" s="48"/>
      <c r="D197" s="36"/>
    </row>
    <row r="198" spans="2:4" x14ac:dyDescent="0.2">
      <c r="B198" s="48"/>
      <c r="D198" s="36"/>
    </row>
    <row r="199" spans="2:4" x14ac:dyDescent="0.2">
      <c r="B199" s="48"/>
      <c r="D199" s="36"/>
    </row>
    <row r="200" spans="2:4" x14ac:dyDescent="0.2">
      <c r="B200" s="48"/>
      <c r="D200" s="36"/>
    </row>
    <row r="201" spans="2:4" x14ac:dyDescent="0.2">
      <c r="B201" s="48"/>
      <c r="D201" s="36"/>
    </row>
    <row r="202" spans="2:4" x14ac:dyDescent="0.2">
      <c r="B202" s="48"/>
      <c r="D202" s="36"/>
    </row>
    <row r="203" spans="2:4" x14ac:dyDescent="0.2">
      <c r="B203" s="48"/>
      <c r="D203" s="36"/>
    </row>
    <row r="204" spans="2:4" x14ac:dyDescent="0.2">
      <c r="B204" s="48"/>
      <c r="D204" s="36"/>
    </row>
    <row r="205" spans="2:4" x14ac:dyDescent="0.2">
      <c r="B205" s="48"/>
      <c r="D205" s="36"/>
    </row>
    <row r="206" spans="2:4" x14ac:dyDescent="0.2">
      <c r="B206" s="48"/>
      <c r="D206" s="36"/>
    </row>
    <row r="207" spans="2:4" x14ac:dyDescent="0.2">
      <c r="B207" s="48"/>
      <c r="D207" s="36"/>
    </row>
    <row r="208" spans="2:4" x14ac:dyDescent="0.2">
      <c r="B208" s="48"/>
      <c r="D208" s="36"/>
    </row>
    <row r="209" spans="2:4" x14ac:dyDescent="0.2">
      <c r="B209" s="48"/>
      <c r="D209" s="36"/>
    </row>
    <row r="210" spans="2:4" x14ac:dyDescent="0.2">
      <c r="B210" s="48"/>
      <c r="D210" s="36"/>
    </row>
    <row r="211" spans="2:4" x14ac:dyDescent="0.2">
      <c r="B211" s="48"/>
      <c r="D211" s="36"/>
    </row>
    <row r="212" spans="2:4" x14ac:dyDescent="0.2">
      <c r="B212" s="48"/>
      <c r="D212" s="36"/>
    </row>
    <row r="213" spans="2:4" x14ac:dyDescent="0.2">
      <c r="B213" s="48"/>
      <c r="D213" s="36"/>
    </row>
    <row r="214" spans="2:4" x14ac:dyDescent="0.2">
      <c r="B214" s="48"/>
      <c r="D214" s="36"/>
    </row>
    <row r="215" spans="2:4" x14ac:dyDescent="0.2">
      <c r="B215" s="48"/>
      <c r="D215" s="36"/>
    </row>
    <row r="216" spans="2:4" x14ac:dyDescent="0.2">
      <c r="B216" s="48"/>
      <c r="D216" s="36"/>
    </row>
    <row r="217" spans="2:4" x14ac:dyDescent="0.2">
      <c r="B217" s="48"/>
      <c r="D217" s="36"/>
    </row>
    <row r="218" spans="2:4" x14ac:dyDescent="0.2">
      <c r="B218" s="48"/>
      <c r="D218" s="36"/>
    </row>
    <row r="219" spans="2:4" x14ac:dyDescent="0.2">
      <c r="B219" s="48"/>
      <c r="D219" s="36"/>
    </row>
    <row r="220" spans="2:4" x14ac:dyDescent="0.2">
      <c r="B220" s="48"/>
      <c r="D220" s="36"/>
    </row>
    <row r="221" spans="2:4" x14ac:dyDescent="0.2">
      <c r="B221" s="48"/>
      <c r="D221" s="36"/>
    </row>
    <row r="222" spans="2:4" x14ac:dyDescent="0.2">
      <c r="B222" s="48"/>
      <c r="D222" s="36"/>
    </row>
    <row r="223" spans="2:4" x14ac:dyDescent="0.2">
      <c r="B223" s="48"/>
      <c r="D223" s="36"/>
    </row>
    <row r="224" spans="2:4" x14ac:dyDescent="0.2">
      <c r="B224" s="48"/>
      <c r="D224" s="36"/>
    </row>
    <row r="225" spans="2:4" x14ac:dyDescent="0.2">
      <c r="B225" s="48"/>
      <c r="D225" s="36"/>
    </row>
    <row r="226" spans="2:4" x14ac:dyDescent="0.2">
      <c r="B226" s="48"/>
      <c r="D226" s="36"/>
    </row>
    <row r="227" spans="2:4" x14ac:dyDescent="0.2">
      <c r="B227" s="48"/>
      <c r="D227" s="36"/>
    </row>
    <row r="228" spans="2:4" x14ac:dyDescent="0.2">
      <c r="B228" s="48"/>
      <c r="D228" s="36"/>
    </row>
    <row r="229" spans="2:4" x14ac:dyDescent="0.2">
      <c r="B229" s="48"/>
      <c r="D229" s="36"/>
    </row>
    <row r="230" spans="2:4" x14ac:dyDescent="0.2">
      <c r="B230" s="48"/>
      <c r="D230" s="36"/>
    </row>
    <row r="231" spans="2:4" x14ac:dyDescent="0.2">
      <c r="B231" s="48"/>
      <c r="D231" s="36"/>
    </row>
    <row r="232" spans="2:4" x14ac:dyDescent="0.2">
      <c r="B232" s="48"/>
      <c r="D232" s="36"/>
    </row>
    <row r="233" spans="2:4" x14ac:dyDescent="0.2">
      <c r="B233" s="48"/>
      <c r="D233" s="36"/>
    </row>
    <row r="234" spans="2:4" x14ac:dyDescent="0.2">
      <c r="B234" s="48"/>
      <c r="D234" s="36"/>
    </row>
    <row r="235" spans="2:4" x14ac:dyDescent="0.2">
      <c r="B235" s="48"/>
      <c r="D235" s="36"/>
    </row>
    <row r="236" spans="2:4" x14ac:dyDescent="0.2">
      <c r="B236" s="48"/>
      <c r="D236" s="36"/>
    </row>
    <row r="237" spans="2:4" x14ac:dyDescent="0.2">
      <c r="B237" s="48"/>
      <c r="D237" s="36"/>
    </row>
    <row r="238" spans="2:4" x14ac:dyDescent="0.2">
      <c r="B238" s="48"/>
      <c r="D238" s="36"/>
    </row>
    <row r="239" spans="2:4" x14ac:dyDescent="0.2">
      <c r="B239" s="48"/>
      <c r="D239" s="36"/>
    </row>
    <row r="240" spans="2:4" x14ac:dyDescent="0.2">
      <c r="B240" s="48"/>
      <c r="D240" s="36"/>
    </row>
    <row r="241" spans="2:4" x14ac:dyDescent="0.2">
      <c r="B241" s="48"/>
      <c r="D241" s="36"/>
    </row>
    <row r="242" spans="2:4" x14ac:dyDescent="0.2">
      <c r="B242" s="48"/>
      <c r="D242" s="36"/>
    </row>
    <row r="243" spans="2:4" x14ac:dyDescent="0.2">
      <c r="B243" s="48"/>
      <c r="D243" s="36"/>
    </row>
    <row r="244" spans="2:4" x14ac:dyDescent="0.2">
      <c r="B244" s="48"/>
      <c r="D244" s="36"/>
    </row>
    <row r="245" spans="2:4" x14ac:dyDescent="0.2">
      <c r="B245" s="48"/>
      <c r="D245" s="36"/>
    </row>
    <row r="246" spans="2:4" x14ac:dyDescent="0.2">
      <c r="B246" s="48"/>
      <c r="D246" s="36"/>
    </row>
    <row r="247" spans="2:4" x14ac:dyDescent="0.2">
      <c r="B247" s="48"/>
      <c r="D247" s="36"/>
    </row>
    <row r="248" spans="2:4" x14ac:dyDescent="0.2">
      <c r="B248" s="48"/>
      <c r="D248" s="36"/>
    </row>
    <row r="249" spans="2:4" x14ac:dyDescent="0.2">
      <c r="B249" s="48"/>
      <c r="D249" s="36"/>
    </row>
    <row r="250" spans="2:4" x14ac:dyDescent="0.2">
      <c r="B250" s="48"/>
      <c r="D250" s="36"/>
    </row>
    <row r="251" spans="2:4" x14ac:dyDescent="0.2">
      <c r="B251" s="48"/>
      <c r="D251" s="36"/>
    </row>
    <row r="252" spans="2:4" x14ac:dyDescent="0.2">
      <c r="B252" s="48"/>
      <c r="D252" s="36"/>
    </row>
    <row r="253" spans="2:4" x14ac:dyDescent="0.2">
      <c r="B253" s="48"/>
      <c r="D253" s="36"/>
    </row>
    <row r="254" spans="2:4" x14ac:dyDescent="0.2">
      <c r="B254" s="48"/>
      <c r="D254" s="36"/>
    </row>
    <row r="255" spans="2:4" x14ac:dyDescent="0.2">
      <c r="B255" s="48"/>
      <c r="D255" s="36"/>
    </row>
    <row r="256" spans="2:4" x14ac:dyDescent="0.2">
      <c r="B256" s="48"/>
      <c r="D256" s="36"/>
    </row>
    <row r="257" spans="2:4" x14ac:dyDescent="0.2">
      <c r="B257" s="48"/>
      <c r="D257" s="36"/>
    </row>
    <row r="258" spans="2:4" x14ac:dyDescent="0.2">
      <c r="B258" s="48"/>
      <c r="D258" s="36"/>
    </row>
    <row r="259" spans="2:4" x14ac:dyDescent="0.2">
      <c r="B259" s="48"/>
      <c r="D259" s="36"/>
    </row>
    <row r="260" spans="2:4" x14ac:dyDescent="0.2">
      <c r="B260" s="48"/>
      <c r="D260" s="36"/>
    </row>
    <row r="261" spans="2:4" x14ac:dyDescent="0.2">
      <c r="B261" s="48"/>
      <c r="D261" s="36"/>
    </row>
    <row r="262" spans="2:4" x14ac:dyDescent="0.2">
      <c r="B262" s="48"/>
      <c r="D262" s="36"/>
    </row>
    <row r="263" spans="2:4" x14ac:dyDescent="0.2">
      <c r="B263" s="48"/>
      <c r="D263" s="36"/>
    </row>
    <row r="264" spans="2:4" x14ac:dyDescent="0.2">
      <c r="B264" s="48"/>
      <c r="D264" s="36"/>
    </row>
    <row r="265" spans="2:4" x14ac:dyDescent="0.2">
      <c r="B265" s="48"/>
      <c r="D265" s="36"/>
    </row>
    <row r="266" spans="2:4" x14ac:dyDescent="0.2">
      <c r="B266" s="48"/>
      <c r="D266" s="36"/>
    </row>
    <row r="267" spans="2:4" x14ac:dyDescent="0.2">
      <c r="B267" s="48"/>
      <c r="D267" s="36"/>
    </row>
    <row r="268" spans="2:4" x14ac:dyDescent="0.2">
      <c r="B268" s="48"/>
      <c r="D268" s="36"/>
    </row>
    <row r="269" spans="2:4" x14ac:dyDescent="0.2">
      <c r="B269" s="48"/>
      <c r="D269" s="36"/>
    </row>
    <row r="270" spans="2:4" x14ac:dyDescent="0.2">
      <c r="B270" s="48"/>
      <c r="D270" s="36"/>
    </row>
    <row r="271" spans="2:4" x14ac:dyDescent="0.2">
      <c r="B271" s="48"/>
      <c r="D271" s="36"/>
    </row>
    <row r="272" spans="2:4" x14ac:dyDescent="0.2">
      <c r="B272" s="48"/>
      <c r="D272" s="36"/>
    </row>
  </sheetData>
  <sheetProtection algorithmName="SHA-512" hashValue="TFTes2iNbqUwFy7AQ79HN99ZJ/K7Jrk7Z3kjRVWM3WKm55ABF510Zd/J2TtXENVUBYhGsu2k5iKxWZL9KfVwmA==" saltValue="zQq4XHCAzSw+rVDfMaQE/Q=="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25" x14ac:dyDescent="0.2"/>
  <cols>
    <col min="2" max="2" width="17.25" bestFit="1" customWidth="1"/>
    <col min="3" max="3" width="12.5" bestFit="1" customWidth="1"/>
    <col min="5" max="5" width="13" bestFit="1" customWidth="1"/>
    <col min="6" max="7" width="13" customWidth="1"/>
    <col min="8" max="9" width="11.125" bestFit="1" customWidth="1"/>
    <col min="10" max="10" width="14.5" bestFit="1" customWidth="1"/>
    <col min="11" max="12" width="8.75" bestFit="1" customWidth="1"/>
    <col min="13" max="14" width="8.75" customWidth="1"/>
    <col min="15" max="17" width="8.75" bestFit="1" customWidth="1"/>
    <col min="18" max="18" width="6.625" bestFit="1" customWidth="1"/>
    <col min="19" max="19" width="5.25" bestFit="1" customWidth="1"/>
    <col min="21" max="21" width="15.5" bestFit="1" customWidth="1"/>
    <col min="23" max="23" width="9.75" bestFit="1" customWidth="1"/>
    <col min="29" max="29" width="14.625" customWidth="1"/>
    <col min="30" max="30" width="9.75" style="36" customWidth="1"/>
    <col min="31" max="39" width="9" customWidth="1"/>
    <col min="40" max="41" width="9" hidden="1" customWidth="1"/>
    <col min="42" max="50" width="9" customWidth="1"/>
  </cols>
  <sheetData>
    <row r="1" spans="2:63" x14ac:dyDescent="0.2">
      <c r="B1" t="s">
        <v>220</v>
      </c>
      <c r="C1" t="s">
        <v>221</v>
      </c>
      <c r="E1" t="s">
        <v>223</v>
      </c>
      <c r="H1">
        <f ca="1">OFFSET('Demand background (hide)'!$BN$6,COLUMN(A1)-1,0,1,1)</f>
        <v>0</v>
      </c>
      <c r="I1">
        <f ca="1">OFFSET('Demand background (hide)'!$BN$6,COLUMN(B1)-1,0,1,1)</f>
        <v>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4</v>
      </c>
      <c r="S3" s="5">
        <f ca="1">IF(Planned!R13&lt;&gt;"Yes",IF(Planned!$C$6&lt;&gt;"Overall",SUM(OFFSET('Planned background (hide)'!H3,0,0,1,Num_Modalities)),'Planned background (hide)'!R3),"")</f>
        <v>4</v>
      </c>
      <c r="V3" s="5"/>
      <c r="AB3">
        <f t="shared" si="0"/>
        <v>1</v>
      </c>
      <c r="AC3" s="36">
        <f>IF(Planned!$C$8=0,'Planned background (hide)'!F3,'Planned background (hide)'!G3)</f>
        <v>1</v>
      </c>
      <c r="AD3" s="36">
        <f>IF(AND(AB3&gt;=$U$18,AB3&lt;($U$18+$AA$19)),1,0)</f>
        <v>1</v>
      </c>
      <c r="AE3" s="5">
        <f t="shared" ref="AE3:AE34" ca="1" si="1">S3</f>
        <v>4</v>
      </c>
      <c r="AF3" s="5">
        <f ca="1">$V$23</f>
        <v>3.8</v>
      </c>
      <c r="AG3">
        <f ca="1">$V$25</f>
        <v>1.5514184397163122</v>
      </c>
      <c r="AH3">
        <f ca="1">IF(AF3-(3*AG3)&lt;=0,0,AF3-(3*AG3))</f>
        <v>0</v>
      </c>
      <c r="AI3">
        <f ca="1">IF(AF3-(2*AG3)&lt;=0,0,AF3-(2*AG3))</f>
        <v>0.69716312056737539</v>
      </c>
      <c r="AJ3">
        <f ca="1">IF(AF3-(1*AG3)&lt;=0,0,AF3-(1*AG3))</f>
        <v>2.2485815602836876</v>
      </c>
      <c r="AK3">
        <f ca="1">AF3+(1*AG3)</f>
        <v>5.351418439716312</v>
      </c>
      <c r="AL3">
        <f ca="1">AF3+(2*AG3)</f>
        <v>6.9028368794326243</v>
      </c>
      <c r="AM3">
        <f ca="1">AF3+(3*AG3)</f>
        <v>8.4542553191489365</v>
      </c>
      <c r="AN3">
        <f ca="1">$V$26</f>
        <v>4.5999999999999996</v>
      </c>
      <c r="AO3">
        <f ca="1">$V$27</f>
        <v>5</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5</v>
      </c>
      <c r="S4" s="5">
        <f ca="1">IF(Planned!R14&lt;&gt;"Yes",IF(Planned!$C$6&lt;&gt;"Overall",SUM(OFFSET('Planned background (hide)'!H4,0,0,1,Num_Modalities)),'Planned background (hide)'!R4),"")</f>
        <v>5</v>
      </c>
      <c r="AB4">
        <f t="shared" si="0"/>
        <v>2</v>
      </c>
      <c r="AC4" s="36">
        <f>IF(Planned!$C$8=0,'Planned background (hide)'!F4,'Planned background (hide)'!G4)</f>
        <v>2</v>
      </c>
      <c r="AD4" s="36">
        <f t="shared" ref="AD4:AD54" si="2">IF(AND(AB4&gt;$U$18,AB4&lt;($U$18+$AA$19)),1,0)</f>
        <v>1</v>
      </c>
      <c r="AE4" s="5">
        <f t="shared" ca="1" si="1"/>
        <v>5</v>
      </c>
      <c r="AF4" s="5">
        <f t="shared" ref="AF4:AF55" ca="1" si="3">$V$23</f>
        <v>3.8</v>
      </c>
      <c r="AG4">
        <f t="shared" ref="AG4:AG55" ca="1" si="4">$V$25</f>
        <v>1.5514184397163122</v>
      </c>
      <c r="AH4" s="67">
        <f t="shared" ref="AH4:AH54" ca="1" si="5">IF(AF4-(3*AG4)&lt;=0,0,AF4-(3*AG4))</f>
        <v>0</v>
      </c>
      <c r="AI4" s="67">
        <f t="shared" ref="AI4:AI54" ca="1" si="6">IF(AF4-(2*AG4)&lt;=0,0,AF4-(2*AG4))</f>
        <v>0.69716312056737539</v>
      </c>
      <c r="AJ4" s="67">
        <f t="shared" ref="AJ4:AJ54" ca="1" si="7">IF(AF4-(1*AG4)&lt;=0,0,AF4-(1*AG4))</f>
        <v>2.2485815602836876</v>
      </c>
      <c r="AK4">
        <f t="shared" ref="AK4:AK54" ca="1" si="8">AF4+(1*AG4)</f>
        <v>5.351418439716312</v>
      </c>
      <c r="AL4">
        <f t="shared" ref="AL4:AL54" ca="1" si="9">AF4+(2*AG4)</f>
        <v>6.9028368794326243</v>
      </c>
      <c r="AM4">
        <f t="shared" ref="AM4:AM54" ca="1" si="10">AF4+(3*AG4)</f>
        <v>8.4542553191489365</v>
      </c>
      <c r="AN4">
        <f t="shared" ref="AN4:AN55" ca="1" si="11">$V$26</f>
        <v>4.5999999999999996</v>
      </c>
      <c r="AO4">
        <f t="shared" ref="AO4:AO55" ca="1" si="12">$V$27</f>
        <v>5</v>
      </c>
      <c r="AP4" t="e">
        <f t="shared" ref="AP4:AP54" ca="1" si="13">IF(OR(AE4&gt;AM4,AE4&lt;AH4),AE4,NA())</f>
        <v>#N/A</v>
      </c>
      <c r="AQ4">
        <f ca="1">IF(AE4&gt;AL4,1,IF(AE4&lt;AI4,-1,0))</f>
        <v>0</v>
      </c>
      <c r="AS4">
        <f ca="1">IF(AE4&gt;AE3,1,IF(AE4&lt;AE3,-1,0))</f>
        <v>1</v>
      </c>
      <c r="AU4">
        <f t="shared" ref="AU4:AU54" ca="1" si="14">IF(AE4&gt;AF4,1,IF(AE4&lt;AF4,-1,0))</f>
        <v>1</v>
      </c>
      <c r="AW4" s="5">
        <f ca="1">ABS(AE4-AE3)</f>
        <v>1</v>
      </c>
      <c r="AZ4" s="3"/>
      <c r="BA4" s="3"/>
      <c r="BH4" s="48">
        <f ca="1">IF(OR(Planned!B14=1,Planned!B14=""),AC4,Planned!B14)</f>
        <v>2</v>
      </c>
      <c r="BI4" t="str">
        <f ca="1">IF(TEXT(Planned!D14,"mmm")&lt;&gt;TEXT(Planned!D13,"mmm"),TEXT(Planned!D14,"mmm"),"")</f>
        <v/>
      </c>
      <c r="BK4" s="67"/>
    </row>
    <row r="5" spans="2:63" x14ac:dyDescent="0.2">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2</v>
      </c>
      <c r="S5" s="5">
        <f ca="1">IF(Planned!R15&lt;&gt;"Yes",IF(Planned!$C$6&lt;&gt;"Overall",SUM(OFFSET('Planned background (hide)'!H5,0,0,1,Num_Modalities)),'Planned background (hide)'!R5),"")</f>
        <v>2</v>
      </c>
      <c r="AB5">
        <f t="shared" si="0"/>
        <v>3</v>
      </c>
      <c r="AC5" s="36">
        <f>IF(Planned!$C$8=0,'Planned background (hide)'!F5,'Planned background (hide)'!G5)</f>
        <v>3</v>
      </c>
      <c r="AD5" s="36">
        <f t="shared" si="2"/>
        <v>1</v>
      </c>
      <c r="AE5" s="5">
        <f t="shared" ca="1" si="1"/>
        <v>2</v>
      </c>
      <c r="AF5" s="5">
        <f t="shared" ca="1" si="3"/>
        <v>3.8</v>
      </c>
      <c r="AG5">
        <f t="shared" ca="1" si="4"/>
        <v>1.5514184397163122</v>
      </c>
      <c r="AH5" s="67">
        <f t="shared" ca="1" si="5"/>
        <v>0</v>
      </c>
      <c r="AI5" s="67">
        <f t="shared" ca="1" si="6"/>
        <v>0.69716312056737539</v>
      </c>
      <c r="AJ5" s="67">
        <f t="shared" ca="1" si="7"/>
        <v>2.2485815602836876</v>
      </c>
      <c r="AK5">
        <f t="shared" ca="1" si="8"/>
        <v>5.351418439716312</v>
      </c>
      <c r="AL5">
        <f t="shared" ca="1" si="9"/>
        <v>6.9028368794326243</v>
      </c>
      <c r="AM5">
        <f t="shared" ca="1" si="10"/>
        <v>8.4542553191489365</v>
      </c>
      <c r="AN5">
        <f t="shared" ca="1" si="11"/>
        <v>4.5999999999999996</v>
      </c>
      <c r="AO5">
        <f t="shared" ca="1" si="12"/>
        <v>5</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3</v>
      </c>
      <c r="AZ5" s="3"/>
      <c r="BA5" s="3"/>
      <c r="BH5" s="48">
        <f ca="1">IF(OR(Planned!B15=1,Planned!B15=""),AC5,Planned!B15)</f>
        <v>3</v>
      </c>
      <c r="BI5" t="str">
        <f ca="1">IF(TEXT(Planned!D15,"mmm")&lt;&gt;TEXT(Planned!D14,"mmm"),TEXT(Planned!D15,"mmm"),"")</f>
        <v/>
      </c>
      <c r="BK5" s="67"/>
    </row>
    <row r="6" spans="2:63" x14ac:dyDescent="0.2">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3</v>
      </c>
      <c r="S6" s="5">
        <f ca="1">IF(Planned!R16&lt;&gt;"Yes",IF(Planned!$C$6&lt;&gt;"Overall",SUM(OFFSET('Planned background (hide)'!H6,0,0,1,Num_Modalities)),'Planned background (hide)'!R6),"")</f>
        <v>3</v>
      </c>
      <c r="AB6">
        <f t="shared" si="0"/>
        <v>4</v>
      </c>
      <c r="AC6" s="36">
        <f>IF(Planned!$C$8=0,'Planned background (hide)'!F6,'Planned background (hide)'!G6)</f>
        <v>4</v>
      </c>
      <c r="AD6" s="36">
        <f t="shared" si="2"/>
        <v>1</v>
      </c>
      <c r="AE6" s="5">
        <f t="shared" ca="1" si="1"/>
        <v>3</v>
      </c>
      <c r="AF6" s="5">
        <f t="shared" ca="1" si="3"/>
        <v>3.8</v>
      </c>
      <c r="AG6">
        <f t="shared" ca="1" si="4"/>
        <v>1.5514184397163122</v>
      </c>
      <c r="AH6" s="67">
        <f t="shared" ca="1" si="5"/>
        <v>0</v>
      </c>
      <c r="AI6" s="67">
        <f t="shared" ca="1" si="6"/>
        <v>0.69716312056737539</v>
      </c>
      <c r="AJ6" s="67">
        <f t="shared" ca="1" si="7"/>
        <v>2.2485815602836876</v>
      </c>
      <c r="AK6">
        <f t="shared" ca="1" si="8"/>
        <v>5.351418439716312</v>
      </c>
      <c r="AL6">
        <f t="shared" ca="1" si="9"/>
        <v>6.9028368794326243</v>
      </c>
      <c r="AM6">
        <f t="shared" ca="1" si="10"/>
        <v>8.4542553191489365</v>
      </c>
      <c r="AN6">
        <f t="shared" ca="1" si="11"/>
        <v>4.5999999999999996</v>
      </c>
      <c r="AO6">
        <f t="shared" ca="1" si="12"/>
        <v>5</v>
      </c>
      <c r="AP6" t="e">
        <f t="shared" ca="1" si="13"/>
        <v>#N/A</v>
      </c>
      <c r="AQ6">
        <f t="shared" ca="1" si="18"/>
        <v>0</v>
      </c>
      <c r="AR6" t="e">
        <f t="shared" ref="AR6:AR54" ca="1" si="21">IF(ABS(SUM(AQ4:AQ6))&gt;=2,AE6,NA())</f>
        <v>#N/A</v>
      </c>
      <c r="AS6">
        <f t="shared" ca="1" si="19"/>
        <v>1</v>
      </c>
      <c r="AU6">
        <f t="shared" ca="1" si="14"/>
        <v>-1</v>
      </c>
      <c r="AW6" s="5">
        <f t="shared" ca="1" si="20"/>
        <v>1</v>
      </c>
      <c r="AZ6" s="3"/>
      <c r="BA6" s="3"/>
      <c r="BH6" s="48">
        <f ca="1">IF(OR(Planned!B16=1,Planned!B16=""),AC6,Planned!B16)</f>
        <v>4</v>
      </c>
      <c r="BI6" t="str">
        <f ca="1">IF(TEXT(Planned!D16,"mmm")&lt;&gt;TEXT(Planned!D15,"mmm"),TEXT(Planned!D16,"mmm"),"")</f>
        <v/>
      </c>
      <c r="BK6" s="67"/>
    </row>
    <row r="7" spans="2:63" x14ac:dyDescent="0.2">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5</v>
      </c>
      <c r="S7" s="5">
        <f ca="1">IF(Planned!R17&lt;&gt;"Yes",IF(Planned!$C$6&lt;&gt;"Overall",SUM(OFFSET('Planned background (hide)'!H7,0,0,1,Num_Modalities)),'Planned background (hide)'!R7),"")</f>
        <v>5</v>
      </c>
      <c r="U7" s="54"/>
      <c r="AB7">
        <f t="shared" si="0"/>
        <v>5</v>
      </c>
      <c r="AC7" s="36">
        <f>IF(Planned!$C$8=0,'Planned background (hide)'!F7,'Planned background (hide)'!G7)</f>
        <v>5</v>
      </c>
      <c r="AD7" s="36">
        <f t="shared" si="2"/>
        <v>1</v>
      </c>
      <c r="AE7" s="5">
        <f t="shared" ca="1" si="1"/>
        <v>5</v>
      </c>
      <c r="AF7" s="5">
        <f t="shared" ca="1" si="3"/>
        <v>3.8</v>
      </c>
      <c r="AG7">
        <f t="shared" ca="1" si="4"/>
        <v>1.5514184397163122</v>
      </c>
      <c r="AH7" s="67">
        <f t="shared" ca="1" si="5"/>
        <v>0</v>
      </c>
      <c r="AI7" s="67">
        <f t="shared" ca="1" si="6"/>
        <v>0.69716312056737539</v>
      </c>
      <c r="AJ7" s="67">
        <f t="shared" ca="1" si="7"/>
        <v>2.2485815602836876</v>
      </c>
      <c r="AK7">
        <f t="shared" ca="1" si="8"/>
        <v>5.351418439716312</v>
      </c>
      <c r="AL7">
        <f t="shared" ca="1" si="9"/>
        <v>6.9028368794326243</v>
      </c>
      <c r="AM7">
        <f t="shared" ca="1" si="10"/>
        <v>8.4542553191489365</v>
      </c>
      <c r="AN7">
        <f t="shared" ca="1" si="11"/>
        <v>4.5999999999999996</v>
      </c>
      <c r="AO7">
        <f t="shared" ca="1" si="12"/>
        <v>5</v>
      </c>
      <c r="AP7" t="e">
        <f t="shared" ca="1" si="13"/>
        <v>#N/A</v>
      </c>
      <c r="AQ7">
        <f t="shared" ca="1" si="18"/>
        <v>0</v>
      </c>
      <c r="AR7" t="e">
        <f t="shared" ca="1" si="21"/>
        <v>#N/A</v>
      </c>
      <c r="AS7">
        <f t="shared" ca="1" si="19"/>
        <v>1</v>
      </c>
      <c r="AU7">
        <f t="shared" ca="1" si="14"/>
        <v>1</v>
      </c>
      <c r="AW7" s="5">
        <f t="shared" ca="1" si="20"/>
        <v>2</v>
      </c>
      <c r="AZ7" s="3"/>
      <c r="BA7" s="3"/>
      <c r="BH7" s="48">
        <f ca="1">IF(OR(Planned!B17=1,Planned!B17=""),AC7,Planned!B17)</f>
        <v>5</v>
      </c>
      <c r="BI7" t="str">
        <f ca="1">IF(TEXT(Planned!D17,"mmm")&lt;&gt;TEXT(Planned!D16,"mmm"),TEXT(Planned!D17,"mmm"),"")</f>
        <v/>
      </c>
      <c r="BK7" s="67"/>
    </row>
    <row r="8" spans="2:63" x14ac:dyDescent="0.2">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3</v>
      </c>
      <c r="S8" s="5">
        <f ca="1">IF(Planned!R18&lt;&gt;"Yes",IF(Planned!$C$6&lt;&gt;"Overall",SUM(OFFSET('Planned background (hide)'!H8,0,0,1,Num_Modalities)),'Planned background (hide)'!R8),"")</f>
        <v>3</v>
      </c>
      <c r="U8" s="54"/>
      <c r="AB8">
        <f t="shared" si="0"/>
        <v>6</v>
      </c>
      <c r="AC8" s="36">
        <f>IF(Planned!$C$8=0,'Planned background (hide)'!F8,'Planned background (hide)'!G8)</f>
        <v>6</v>
      </c>
      <c r="AD8" s="36">
        <f t="shared" si="2"/>
        <v>0</v>
      </c>
      <c r="AE8" s="5">
        <f t="shared" ca="1" si="1"/>
        <v>3</v>
      </c>
      <c r="AF8" s="5">
        <f t="shared" ca="1" si="3"/>
        <v>3.8</v>
      </c>
      <c r="AG8">
        <f t="shared" ca="1" si="4"/>
        <v>1.5514184397163122</v>
      </c>
      <c r="AH8" s="67">
        <f t="shared" ca="1" si="5"/>
        <v>0</v>
      </c>
      <c r="AI8" s="67">
        <f t="shared" ca="1" si="6"/>
        <v>0.69716312056737539</v>
      </c>
      <c r="AJ8" s="67">
        <f t="shared" ca="1" si="7"/>
        <v>2.2485815602836876</v>
      </c>
      <c r="AK8">
        <f t="shared" ca="1" si="8"/>
        <v>5.351418439716312</v>
      </c>
      <c r="AL8">
        <f t="shared" ca="1" si="9"/>
        <v>6.9028368794326243</v>
      </c>
      <c r="AM8">
        <f t="shared" ca="1" si="10"/>
        <v>8.4542553191489365</v>
      </c>
      <c r="AN8">
        <f t="shared" ca="1" si="11"/>
        <v>4.5999999999999996</v>
      </c>
      <c r="AO8">
        <f t="shared" ca="1" si="12"/>
        <v>5</v>
      </c>
      <c r="AP8" t="e">
        <f t="shared" ca="1" si="13"/>
        <v>#N/A</v>
      </c>
      <c r="AQ8">
        <f t="shared" ca="1" si="18"/>
        <v>0</v>
      </c>
      <c r="AR8" t="e">
        <f t="shared" ca="1" si="21"/>
        <v>#N/A</v>
      </c>
      <c r="AS8">
        <f t="shared" ca="1" si="19"/>
        <v>-1</v>
      </c>
      <c r="AU8">
        <f t="shared" ca="1" si="14"/>
        <v>-1</v>
      </c>
      <c r="AW8" s="5">
        <f t="shared" ca="1" si="20"/>
        <v>2</v>
      </c>
      <c r="AZ8" s="3"/>
      <c r="BA8" s="3"/>
      <c r="BH8" s="48">
        <f ca="1">IF(OR(Planned!B18=1,Planned!B18=""),AC8,Planned!B18)</f>
        <v>6</v>
      </c>
      <c r="BI8" t="str">
        <f ca="1">IF(TEXT(Planned!D18,"mmm")&lt;&gt;TEXT(Planned!D17,"mmm"),TEXT(Planned!D18,"mmm"),"")</f>
        <v/>
      </c>
      <c r="BK8" s="67"/>
    </row>
    <row r="9" spans="2:63" x14ac:dyDescent="0.2">
      <c r="B9" s="67">
        <f ca="1">IF(Planned!$C$6&lt;&gt;"Overall",COUNTBLANK(OFFSET(Planned!E20,0,0,1,Num_Modalities)),IF(COUNTBLANK(Planned!O20)=1,Num_Modalities,0))</f>
        <v>10</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4</v>
      </c>
      <c r="S9" s="5">
        <f ca="1">IF(Planned!R19&lt;&gt;"Yes",IF(Planned!$C$6&lt;&gt;"Overall",SUM(OFFSET('Planned background (hide)'!H9,0,0,1,Num_Modalities)),'Planned background (hide)'!R9),"")</f>
        <v>4</v>
      </c>
      <c r="AB9">
        <f t="shared" si="0"/>
        <v>7</v>
      </c>
      <c r="AC9" s="36">
        <f>IF(Planned!$C$8=0,'Planned background (hide)'!F9,'Planned background (hide)'!G9)</f>
        <v>7</v>
      </c>
      <c r="AD9" s="36">
        <f t="shared" si="2"/>
        <v>0</v>
      </c>
      <c r="AE9" s="5">
        <f t="shared" ca="1" si="1"/>
        <v>4</v>
      </c>
      <c r="AF9" s="5">
        <f t="shared" ca="1" si="3"/>
        <v>3.8</v>
      </c>
      <c r="AG9">
        <f t="shared" ca="1" si="4"/>
        <v>1.5514184397163122</v>
      </c>
      <c r="AH9" s="67">
        <f t="shared" ca="1" si="5"/>
        <v>0</v>
      </c>
      <c r="AI9" s="67">
        <f t="shared" ca="1" si="6"/>
        <v>0.69716312056737539</v>
      </c>
      <c r="AJ9" s="67">
        <f t="shared" ca="1" si="7"/>
        <v>2.2485815602836876</v>
      </c>
      <c r="AK9">
        <f t="shared" ca="1" si="8"/>
        <v>5.351418439716312</v>
      </c>
      <c r="AL9">
        <f t="shared" ca="1" si="9"/>
        <v>6.9028368794326243</v>
      </c>
      <c r="AM9">
        <f t="shared" ca="1" si="10"/>
        <v>8.4542553191489365</v>
      </c>
      <c r="AN9">
        <f t="shared" ca="1" si="11"/>
        <v>4.5999999999999996</v>
      </c>
      <c r="AO9">
        <f t="shared" ca="1" si="12"/>
        <v>5</v>
      </c>
      <c r="AP9" t="e">
        <f t="shared" ca="1" si="13"/>
        <v>#N/A</v>
      </c>
      <c r="AQ9">
        <f t="shared" ca="1" si="18"/>
        <v>0</v>
      </c>
      <c r="AR9" t="e">
        <f t="shared" ca="1" si="21"/>
        <v>#N/A</v>
      </c>
      <c r="AS9">
        <f t="shared" ca="1" si="19"/>
        <v>1</v>
      </c>
      <c r="AT9" t="e">
        <f ca="1">IF(ABS(SUM(AS4:AS9))=6,AE9,NA())</f>
        <v>#N/A</v>
      </c>
      <c r="AU9">
        <f t="shared" ca="1" si="14"/>
        <v>1</v>
      </c>
      <c r="AW9" s="5">
        <f t="shared" ca="1" si="20"/>
        <v>1</v>
      </c>
      <c r="BH9" s="48">
        <f ca="1">IF(OR(Planned!B19=1,Planned!B19=""),AC9,Planned!B19)</f>
        <v>7</v>
      </c>
      <c r="BI9" t="str">
        <f ca="1">IF(TEXT(Planned!D19,"mmm")&lt;&gt;TEXT(Planned!D18,"mmm"),TEXT(Planned!D19,"mmm"),"")</f>
        <v/>
      </c>
      <c r="BK9" s="67"/>
    </row>
    <row r="10" spans="2:63" x14ac:dyDescent="0.2">
      <c r="B10" s="67">
        <f ca="1">IF(Planned!$C$6&lt;&gt;"Overall",COUNTBLANK(OFFSET(Planned!E21,0,0,1,Num_Modalities)),IF(COUNTBLANK(Planned!O21)=1,Num_Modalities,0))</f>
        <v>10</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3.8</v>
      </c>
      <c r="AG10">
        <f t="shared" ca="1" si="4"/>
        <v>1.5514184397163122</v>
      </c>
      <c r="AH10" s="67">
        <f t="shared" ca="1" si="5"/>
        <v>0</v>
      </c>
      <c r="AI10" s="67">
        <f t="shared" ca="1" si="6"/>
        <v>0.69716312056737539</v>
      </c>
      <c r="AJ10" s="67">
        <f t="shared" ca="1" si="7"/>
        <v>2.2485815602836876</v>
      </c>
      <c r="AK10">
        <f t="shared" ca="1" si="8"/>
        <v>5.351418439716312</v>
      </c>
      <c r="AL10">
        <f t="shared" ca="1" si="9"/>
        <v>6.9028368794326243</v>
      </c>
      <c r="AM10">
        <f t="shared" ca="1" si="10"/>
        <v>8.4542553191489365</v>
      </c>
      <c r="AN10">
        <f t="shared" ca="1" si="11"/>
        <v>4.5999999999999996</v>
      </c>
      <c r="AO10">
        <f t="shared" ca="1" si="12"/>
        <v>5</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4</v>
      </c>
      <c r="BH10" s="48" t="str">
        <f ca="1">IF(OR(Planned!B20=1,Planned!B20=""),AC10,Planned!B20)</f>
        <v xml:space="preserve"> </v>
      </c>
      <c r="BI10" t="str">
        <f ca="1">IF(TEXT(Planned!D20,"mmm")&lt;&gt;TEXT(Planned!D19,"mmm"),TEXT(Planned!D20,"mmm"),"")</f>
        <v/>
      </c>
      <c r="BK10" s="67"/>
    </row>
    <row r="11" spans="2:63" x14ac:dyDescent="0.2">
      <c r="B11" s="67">
        <f ca="1">IF(Planned!$C$6&lt;&gt;"Overall",COUNTBLANK(OFFSET(Planned!E22,0,0,1,Num_Modalities)),IF(COUNTBLANK(Planned!O22)=1,Num_Modalities,0))</f>
        <v>10</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3.8</v>
      </c>
      <c r="AG11">
        <f t="shared" ca="1" si="4"/>
        <v>1.5514184397163122</v>
      </c>
      <c r="AH11" s="67">
        <f t="shared" ca="1" si="5"/>
        <v>0</v>
      </c>
      <c r="AI11" s="67">
        <f t="shared" ca="1" si="6"/>
        <v>0.69716312056737539</v>
      </c>
      <c r="AJ11" s="67">
        <f t="shared" ca="1" si="7"/>
        <v>2.2485815602836876</v>
      </c>
      <c r="AK11">
        <f t="shared" ca="1" si="8"/>
        <v>5.351418439716312</v>
      </c>
      <c r="AL11">
        <f t="shared" ca="1" si="9"/>
        <v>6.9028368794326243</v>
      </c>
      <c r="AM11">
        <f t="shared" ca="1" si="10"/>
        <v>8.4542553191489365</v>
      </c>
      <c r="AN11">
        <f t="shared" ca="1" si="11"/>
        <v>4.5999999999999996</v>
      </c>
      <c r="AO11">
        <f t="shared" ca="1" si="12"/>
        <v>5</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
      <c r="B12" s="67">
        <f ca="1">IF(Planned!$C$6&lt;&gt;"Overall",COUNTBLANK(OFFSET(Planned!E23,0,0,1,Num_Modalities)),IF(COUNTBLANK(Planned!O23)=1,Num_Modalities,0))</f>
        <v>10</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3.8</v>
      </c>
      <c r="AG12">
        <f t="shared" ca="1" si="4"/>
        <v>1.5514184397163122</v>
      </c>
      <c r="AH12" s="67">
        <f t="shared" ca="1" si="5"/>
        <v>0</v>
      </c>
      <c r="AI12" s="67">
        <f t="shared" ca="1" si="6"/>
        <v>0.69716312056737539</v>
      </c>
      <c r="AJ12" s="67">
        <f t="shared" ca="1" si="7"/>
        <v>2.2485815602836876</v>
      </c>
      <c r="AK12">
        <f t="shared" ca="1" si="8"/>
        <v>5.351418439716312</v>
      </c>
      <c r="AL12">
        <f t="shared" ca="1" si="9"/>
        <v>6.9028368794326243</v>
      </c>
      <c r="AM12">
        <f t="shared" ca="1" si="10"/>
        <v>8.4542553191489365</v>
      </c>
      <c r="AN12">
        <f t="shared" ca="1" si="11"/>
        <v>4.5999999999999996</v>
      </c>
      <c r="AO12">
        <f t="shared" ca="1" si="12"/>
        <v>5</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
      <c r="B13" s="67">
        <f ca="1">IF(Planned!$C$6&lt;&gt;"Overall",COUNTBLANK(OFFSET(Planned!E24,0,0,1,Num_Modalities)),IF(COUNTBLANK(Planned!O24)=1,Num_Modalities,0))</f>
        <v>10</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3.8</v>
      </c>
      <c r="AG13">
        <f t="shared" ca="1" si="4"/>
        <v>1.5514184397163122</v>
      </c>
      <c r="AH13" s="67">
        <f t="shared" ca="1" si="5"/>
        <v>0</v>
      </c>
      <c r="AI13" s="67">
        <f t="shared" ca="1" si="6"/>
        <v>0.69716312056737539</v>
      </c>
      <c r="AJ13" s="67">
        <f t="shared" ca="1" si="7"/>
        <v>2.2485815602836876</v>
      </c>
      <c r="AK13">
        <f t="shared" ca="1" si="8"/>
        <v>5.351418439716312</v>
      </c>
      <c r="AL13">
        <f t="shared" ca="1" si="9"/>
        <v>6.9028368794326243</v>
      </c>
      <c r="AM13">
        <f t="shared" ca="1" si="10"/>
        <v>8.4542553191489365</v>
      </c>
      <c r="AN13">
        <f t="shared" ca="1" si="11"/>
        <v>4.5999999999999996</v>
      </c>
      <c r="AO13">
        <f t="shared" ca="1" si="12"/>
        <v>5</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
      <c r="B14" s="67">
        <f ca="1">IF(Planned!$C$6&lt;&gt;"Overall",COUNTBLANK(OFFSET(Planned!E25,0,0,1,Num_Modalities)),IF(COUNTBLANK(Planned!O25)=1,Num_Modalities,0))</f>
        <v>10</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3.8</v>
      </c>
      <c r="AG14">
        <f t="shared" ca="1" si="4"/>
        <v>1.5514184397163122</v>
      </c>
      <c r="AH14" s="67">
        <f t="shared" ca="1" si="5"/>
        <v>0</v>
      </c>
      <c r="AI14" s="67">
        <f t="shared" ca="1" si="6"/>
        <v>0.69716312056737539</v>
      </c>
      <c r="AJ14" s="67">
        <f t="shared" ca="1" si="7"/>
        <v>2.2485815602836876</v>
      </c>
      <c r="AK14">
        <f t="shared" ca="1" si="8"/>
        <v>5.351418439716312</v>
      </c>
      <c r="AL14">
        <f t="shared" ca="1" si="9"/>
        <v>6.9028368794326243</v>
      </c>
      <c r="AM14">
        <f t="shared" ca="1" si="10"/>
        <v>8.4542553191489365</v>
      </c>
      <c r="AN14">
        <f t="shared" ca="1" si="11"/>
        <v>4.5999999999999996</v>
      </c>
      <c r="AO14">
        <f t="shared" ca="1" si="12"/>
        <v>5</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
      <c r="B15" s="67">
        <f ca="1">IF(Planned!$C$6&lt;&gt;"Overall",COUNTBLANK(OFFSET(Planned!E26,0,0,1,Num_Modalities)),IF(COUNTBLANK(Planned!O26)=1,Num_Modalities,0))</f>
        <v>10</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3.8</v>
      </c>
      <c r="AG15">
        <f t="shared" ca="1" si="4"/>
        <v>1.5514184397163122</v>
      </c>
      <c r="AH15" s="67">
        <f t="shared" ca="1" si="5"/>
        <v>0</v>
      </c>
      <c r="AI15" s="67">
        <f t="shared" ca="1" si="6"/>
        <v>0.69716312056737539</v>
      </c>
      <c r="AJ15" s="67">
        <f t="shared" ca="1" si="7"/>
        <v>2.2485815602836876</v>
      </c>
      <c r="AK15">
        <f t="shared" ca="1" si="8"/>
        <v>5.351418439716312</v>
      </c>
      <c r="AL15">
        <f t="shared" ca="1" si="9"/>
        <v>6.9028368794326243</v>
      </c>
      <c r="AM15">
        <f t="shared" ca="1" si="10"/>
        <v>8.4542553191489365</v>
      </c>
      <c r="AN15">
        <f t="shared" ca="1" si="11"/>
        <v>4.5999999999999996</v>
      </c>
      <c r="AO15">
        <f t="shared" ca="1" si="12"/>
        <v>5</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
      <c r="B16" s="67">
        <f ca="1">IF(Planned!$C$6&lt;&gt;"Overall",COUNTBLANK(OFFSET(Planned!E27,0,0,1,Num_Modalities)),IF(COUNTBLANK(Planned!O27)=1,Num_Modalities,0))</f>
        <v>10</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3.8</v>
      </c>
      <c r="AG16">
        <f t="shared" ca="1" si="4"/>
        <v>1.5514184397163122</v>
      </c>
      <c r="AH16" s="67">
        <f t="shared" ca="1" si="5"/>
        <v>0</v>
      </c>
      <c r="AI16" s="67">
        <f t="shared" ca="1" si="6"/>
        <v>0.69716312056737539</v>
      </c>
      <c r="AJ16" s="67">
        <f t="shared" ca="1" si="7"/>
        <v>2.2485815602836876</v>
      </c>
      <c r="AK16">
        <f t="shared" ca="1" si="8"/>
        <v>5.351418439716312</v>
      </c>
      <c r="AL16">
        <f t="shared" ca="1" si="9"/>
        <v>6.9028368794326243</v>
      </c>
      <c r="AM16">
        <f t="shared" ca="1" si="10"/>
        <v>8.4542553191489365</v>
      </c>
      <c r="AN16">
        <f t="shared" ca="1" si="11"/>
        <v>4.5999999999999996</v>
      </c>
      <c r="AO16">
        <f t="shared" ca="1" si="12"/>
        <v>5</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
      <c r="B17" s="67">
        <f ca="1">IF(Planned!$C$6&lt;&gt;"Overall",COUNTBLANK(OFFSET(Planned!E28,0,0,1,Num_Modalities)),IF(COUNTBLANK(Planned!O28)=1,Num_Modalities,0))</f>
        <v>10</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3.8</v>
      </c>
      <c r="AG17">
        <f t="shared" ca="1" si="4"/>
        <v>1.5514184397163122</v>
      </c>
      <c r="AH17" s="67">
        <f t="shared" ca="1" si="5"/>
        <v>0</v>
      </c>
      <c r="AI17" s="67">
        <f t="shared" ca="1" si="6"/>
        <v>0.69716312056737539</v>
      </c>
      <c r="AJ17" s="67">
        <f t="shared" ca="1" si="7"/>
        <v>2.2485815602836876</v>
      </c>
      <c r="AK17">
        <f t="shared" ca="1" si="8"/>
        <v>5.351418439716312</v>
      </c>
      <c r="AL17">
        <f t="shared" ca="1" si="9"/>
        <v>6.9028368794326243</v>
      </c>
      <c r="AM17">
        <f t="shared" ca="1" si="10"/>
        <v>8.4542553191489365</v>
      </c>
      <c r="AN17">
        <f t="shared" ca="1" si="11"/>
        <v>4.5999999999999996</v>
      </c>
      <c r="AO17">
        <f t="shared" ca="1" si="12"/>
        <v>5</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
      <c r="B18" s="67">
        <f ca="1">IF(Planned!$C$6&lt;&gt;"Overall",COUNTBLANK(OFFSET(Planned!E29,0,0,1,Num_Modalities)),IF(COUNTBLANK(Planned!O29)=1,Num_Modalities,0))</f>
        <v>10</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3.8</v>
      </c>
      <c r="AG18">
        <f t="shared" ca="1" si="4"/>
        <v>1.5514184397163122</v>
      </c>
      <c r="AH18" s="67">
        <f t="shared" ca="1" si="5"/>
        <v>0</v>
      </c>
      <c r="AI18" s="67">
        <f t="shared" ca="1" si="6"/>
        <v>0.69716312056737539</v>
      </c>
      <c r="AJ18" s="67">
        <f t="shared" ca="1" si="7"/>
        <v>2.2485815602836876</v>
      </c>
      <c r="AK18">
        <f t="shared" ca="1" si="8"/>
        <v>5.351418439716312</v>
      </c>
      <c r="AL18">
        <f t="shared" ca="1" si="9"/>
        <v>6.9028368794326243</v>
      </c>
      <c r="AM18">
        <f t="shared" ca="1" si="10"/>
        <v>8.4542553191489365</v>
      </c>
      <c r="AN18">
        <f t="shared" ca="1" si="11"/>
        <v>4.5999999999999996</v>
      </c>
      <c r="AO18">
        <f t="shared" ca="1" si="12"/>
        <v>5</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
      <c r="B19" s="67">
        <f ca="1">IF(Planned!$C$6&lt;&gt;"Overall",COUNTBLANK(OFFSET(Planned!E30,0,0,1,Num_Modalities)),IF(COUNTBLANK(Planned!O30)=1,Num_Modalities,0))</f>
        <v>10</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3.8</v>
      </c>
      <c r="AG19">
        <f t="shared" ca="1" si="4"/>
        <v>1.5514184397163122</v>
      </c>
      <c r="AH19" s="67">
        <f t="shared" ca="1" si="5"/>
        <v>0</v>
      </c>
      <c r="AI19" s="67">
        <f t="shared" ca="1" si="6"/>
        <v>0.69716312056737539</v>
      </c>
      <c r="AJ19" s="67">
        <f t="shared" ca="1" si="7"/>
        <v>2.2485815602836876</v>
      </c>
      <c r="AK19">
        <f t="shared" ca="1" si="8"/>
        <v>5.351418439716312</v>
      </c>
      <c r="AL19">
        <f t="shared" ca="1" si="9"/>
        <v>6.9028368794326243</v>
      </c>
      <c r="AM19">
        <f t="shared" ca="1" si="10"/>
        <v>8.4542553191489365</v>
      </c>
      <c r="AN19">
        <f t="shared" ca="1" si="11"/>
        <v>4.5999999999999996</v>
      </c>
      <c r="AO19">
        <f t="shared" ca="1" si="12"/>
        <v>5</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
      <c r="B20" s="67">
        <f ca="1">IF(Planned!$C$6&lt;&gt;"Overall",COUNTBLANK(OFFSET(Planned!E31,0,0,1,Num_Modalities)),IF(COUNTBLANK(Planned!O31)=1,Num_Modalities,0))</f>
        <v>10</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3.8</v>
      </c>
      <c r="AG20">
        <f t="shared" ca="1" si="4"/>
        <v>1.5514184397163122</v>
      </c>
      <c r="AH20" s="67">
        <f t="shared" ca="1" si="5"/>
        <v>0</v>
      </c>
      <c r="AI20" s="67">
        <f t="shared" ca="1" si="6"/>
        <v>0.69716312056737539</v>
      </c>
      <c r="AJ20" s="67">
        <f t="shared" ca="1" si="7"/>
        <v>2.2485815602836876</v>
      </c>
      <c r="AK20">
        <f t="shared" ca="1" si="8"/>
        <v>5.351418439716312</v>
      </c>
      <c r="AL20">
        <f t="shared" ca="1" si="9"/>
        <v>6.9028368794326243</v>
      </c>
      <c r="AM20">
        <f t="shared" ca="1" si="10"/>
        <v>8.4542553191489365</v>
      </c>
      <c r="AN20">
        <f t="shared" ca="1" si="11"/>
        <v>4.5999999999999996</v>
      </c>
      <c r="AO20">
        <f t="shared" ca="1" si="12"/>
        <v>5</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
      <c r="B21" s="67">
        <f ca="1">IF(Planned!$C$6&lt;&gt;"Overall",COUNTBLANK(OFFSET(Planned!E32,0,0,1,Num_Modalities)),IF(COUNTBLANK(Planned!O32)=1,Num_Modalities,0))</f>
        <v>10</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3.8</v>
      </c>
      <c r="AG21">
        <f t="shared" ca="1" si="4"/>
        <v>1.5514184397163122</v>
      </c>
      <c r="AH21" s="67">
        <f t="shared" ca="1" si="5"/>
        <v>0</v>
      </c>
      <c r="AI21" s="67">
        <f t="shared" ca="1" si="6"/>
        <v>0.69716312056737539</v>
      </c>
      <c r="AJ21" s="67">
        <f t="shared" ca="1" si="7"/>
        <v>2.2485815602836876</v>
      </c>
      <c r="AK21">
        <f t="shared" ca="1" si="8"/>
        <v>5.351418439716312</v>
      </c>
      <c r="AL21">
        <f t="shared" ca="1" si="9"/>
        <v>6.9028368794326243</v>
      </c>
      <c r="AM21">
        <f t="shared" ca="1" si="10"/>
        <v>8.4542553191489365</v>
      </c>
      <c r="AN21">
        <f t="shared" ca="1" si="11"/>
        <v>4.5999999999999996</v>
      </c>
      <c r="AO21">
        <f t="shared" ca="1" si="12"/>
        <v>5</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
      <c r="B22" s="67">
        <f ca="1">IF(Planned!$C$6&lt;&gt;"Overall",COUNTBLANK(OFFSET(Planned!E33,0,0,1,Num_Modalities)),IF(COUNTBLANK(Planned!O33)=1,Num_Modalities,0))</f>
        <v>10</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3.8</v>
      </c>
      <c r="AG22">
        <f t="shared" ca="1" si="4"/>
        <v>1.5514184397163122</v>
      </c>
      <c r="AH22" s="67">
        <f t="shared" ca="1" si="5"/>
        <v>0</v>
      </c>
      <c r="AI22" s="67">
        <f t="shared" ca="1" si="6"/>
        <v>0.69716312056737539</v>
      </c>
      <c r="AJ22" s="67">
        <f t="shared" ca="1" si="7"/>
        <v>2.2485815602836876</v>
      </c>
      <c r="AK22">
        <f t="shared" ca="1" si="8"/>
        <v>5.351418439716312</v>
      </c>
      <c r="AL22">
        <f t="shared" ca="1" si="9"/>
        <v>6.9028368794326243</v>
      </c>
      <c r="AM22">
        <f t="shared" ca="1" si="10"/>
        <v>8.4542553191489365</v>
      </c>
      <c r="AN22">
        <f t="shared" ca="1" si="11"/>
        <v>4.5999999999999996</v>
      </c>
      <c r="AO22">
        <f t="shared" ca="1" si="12"/>
        <v>5</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
      <c r="B23" s="67">
        <f ca="1">IF(Planned!$C$6&lt;&gt;"Overall",COUNTBLANK(OFFSET(Planned!E34,0,0,1,Num_Modalities)),IF(COUNTBLANK(Planned!O34)=1,Num_Modalities,0))</f>
        <v>10</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3.8</v>
      </c>
      <c r="W23" s="49"/>
      <c r="AB23">
        <f t="shared" si="0"/>
        <v>21</v>
      </c>
      <c r="AC23" s="36">
        <f>IF(Planned!$C$8=0,'Planned background (hide)'!F23,'Planned background (hide)'!G23)</f>
        <v>21</v>
      </c>
      <c r="AD23" s="36">
        <f t="shared" si="2"/>
        <v>0</v>
      </c>
      <c r="AE23" s="5">
        <f t="shared" ca="1" si="1"/>
        <v>0</v>
      </c>
      <c r="AF23" s="5">
        <f t="shared" ca="1" si="3"/>
        <v>3.8</v>
      </c>
      <c r="AG23">
        <f t="shared" ca="1" si="4"/>
        <v>1.5514184397163122</v>
      </c>
      <c r="AH23" s="67">
        <f t="shared" ca="1" si="5"/>
        <v>0</v>
      </c>
      <c r="AI23" s="67">
        <f t="shared" ca="1" si="6"/>
        <v>0.69716312056737539</v>
      </c>
      <c r="AJ23" s="67">
        <f t="shared" ca="1" si="7"/>
        <v>2.2485815602836876</v>
      </c>
      <c r="AK23">
        <f t="shared" ca="1" si="8"/>
        <v>5.351418439716312</v>
      </c>
      <c r="AL23">
        <f t="shared" ca="1" si="9"/>
        <v>6.9028368794326243</v>
      </c>
      <c r="AM23">
        <f t="shared" ca="1" si="10"/>
        <v>8.4542553191489365</v>
      </c>
      <c r="AN23">
        <f t="shared" ca="1" si="11"/>
        <v>4.5999999999999996</v>
      </c>
      <c r="AO23">
        <f t="shared" ca="1" si="12"/>
        <v>5</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
      <c r="B24" s="67">
        <f ca="1">IF(Planned!$C$6&lt;&gt;"Overall",COUNTBLANK(OFFSET(Planned!E35,0,0,1,Num_Modalities)),IF(COUNTBLANK(Planned!O35)=1,Num_Modalities,0))</f>
        <v>10</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1.75</v>
      </c>
      <c r="W24" s="49"/>
      <c r="AB24">
        <f t="shared" si="0"/>
        <v>22</v>
      </c>
      <c r="AC24" s="36">
        <f>IF(Planned!$C$8=0,'Planned background (hide)'!F24,'Planned background (hide)'!G24)</f>
        <v>22</v>
      </c>
      <c r="AD24" s="36">
        <f t="shared" si="2"/>
        <v>0</v>
      </c>
      <c r="AE24" s="5">
        <f t="shared" ca="1" si="1"/>
        <v>0</v>
      </c>
      <c r="AF24" s="5">
        <f t="shared" ca="1" si="3"/>
        <v>3.8</v>
      </c>
      <c r="AG24">
        <f t="shared" ca="1" si="4"/>
        <v>1.5514184397163122</v>
      </c>
      <c r="AH24" s="67">
        <f t="shared" ca="1" si="5"/>
        <v>0</v>
      </c>
      <c r="AI24" s="67">
        <f t="shared" ca="1" si="6"/>
        <v>0.69716312056737539</v>
      </c>
      <c r="AJ24" s="67">
        <f t="shared" ca="1" si="7"/>
        <v>2.2485815602836876</v>
      </c>
      <c r="AK24">
        <f t="shared" ca="1" si="8"/>
        <v>5.351418439716312</v>
      </c>
      <c r="AL24">
        <f t="shared" ca="1" si="9"/>
        <v>6.9028368794326243</v>
      </c>
      <c r="AM24">
        <f t="shared" ca="1" si="10"/>
        <v>8.4542553191489365</v>
      </c>
      <c r="AN24">
        <f t="shared" ca="1" si="11"/>
        <v>4.5999999999999996</v>
      </c>
      <c r="AO24">
        <f t="shared" ca="1" si="12"/>
        <v>5</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
      <c r="B25" s="67">
        <f ca="1">IF(Planned!$C$6&lt;&gt;"Overall",COUNTBLANK(OFFSET(Planned!E36,0,0,1,Num_Modalities)),IF(COUNTBLANK(Planned!O36)=1,Num_Modalities,0))</f>
        <v>10</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1.5514184397163122</v>
      </c>
      <c r="AB25">
        <f t="shared" si="0"/>
        <v>23</v>
      </c>
      <c r="AC25" s="36">
        <f>IF(Planned!$C$8=0,'Planned background (hide)'!F25,'Planned background (hide)'!G25)</f>
        <v>23</v>
      </c>
      <c r="AD25" s="36">
        <f t="shared" si="2"/>
        <v>0</v>
      </c>
      <c r="AE25" s="5">
        <f t="shared" ca="1" si="1"/>
        <v>0</v>
      </c>
      <c r="AF25" s="5">
        <f t="shared" ca="1" si="3"/>
        <v>3.8</v>
      </c>
      <c r="AG25">
        <f t="shared" ca="1" si="4"/>
        <v>1.5514184397163122</v>
      </c>
      <c r="AH25" s="67">
        <f t="shared" ca="1" si="5"/>
        <v>0</v>
      </c>
      <c r="AI25" s="67">
        <f t="shared" ca="1" si="6"/>
        <v>0.69716312056737539</v>
      </c>
      <c r="AJ25" s="67">
        <f t="shared" ca="1" si="7"/>
        <v>2.2485815602836876</v>
      </c>
      <c r="AK25">
        <f t="shared" ca="1" si="8"/>
        <v>5.351418439716312</v>
      </c>
      <c r="AL25">
        <f t="shared" ca="1" si="9"/>
        <v>6.9028368794326243</v>
      </c>
      <c r="AM25">
        <f t="shared" ca="1" si="10"/>
        <v>8.4542553191489365</v>
      </c>
      <c r="AN25">
        <f t="shared" ca="1" si="11"/>
        <v>4.5999999999999996</v>
      </c>
      <c r="AO25">
        <f t="shared" ca="1" si="12"/>
        <v>5</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
      <c r="B26" s="67">
        <f ca="1">IF(Planned!$C$6&lt;&gt;"Overall",COUNTBLANK(OFFSET(Planned!E37,0,0,1,Num_Modalities)),IF(COUNTBLANK(Planned!O37)=1,Num_Modalities,0))</f>
        <v>10</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4.5999999999999996</v>
      </c>
      <c r="AB26">
        <f t="shared" si="0"/>
        <v>24</v>
      </c>
      <c r="AC26" s="36">
        <f>IF(Planned!$C$8=0,'Planned background (hide)'!F26,'Planned background (hide)'!G26)</f>
        <v>24</v>
      </c>
      <c r="AD26" s="36">
        <f t="shared" si="2"/>
        <v>0</v>
      </c>
      <c r="AE26" s="5">
        <f t="shared" ca="1" si="1"/>
        <v>0</v>
      </c>
      <c r="AF26" s="5">
        <f t="shared" ca="1" si="3"/>
        <v>3.8</v>
      </c>
      <c r="AG26">
        <f t="shared" ca="1" si="4"/>
        <v>1.5514184397163122</v>
      </c>
      <c r="AH26" s="67">
        <f t="shared" ca="1" si="5"/>
        <v>0</v>
      </c>
      <c r="AI26" s="67">
        <f t="shared" ca="1" si="6"/>
        <v>0.69716312056737539</v>
      </c>
      <c r="AJ26" s="67">
        <f t="shared" ca="1" si="7"/>
        <v>2.2485815602836876</v>
      </c>
      <c r="AK26">
        <f t="shared" ca="1" si="8"/>
        <v>5.351418439716312</v>
      </c>
      <c r="AL26">
        <f t="shared" ca="1" si="9"/>
        <v>6.9028368794326243</v>
      </c>
      <c r="AM26">
        <f t="shared" ca="1" si="10"/>
        <v>8.4542553191489365</v>
      </c>
      <c r="AN26">
        <f t="shared" ca="1" si="11"/>
        <v>4.5999999999999996</v>
      </c>
      <c r="AO26">
        <f t="shared" ca="1" si="12"/>
        <v>5</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
      <c r="B27" s="67">
        <f ca="1">IF(Planned!$C$6&lt;&gt;"Overall",COUNTBLANK(OFFSET(Planned!E38,0,0,1,Num_Modalities)),IF(COUNTBLANK(Planned!O38)=1,Num_Modalities,0))</f>
        <v>10</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5</v>
      </c>
      <c r="AB27">
        <f t="shared" si="0"/>
        <v>25</v>
      </c>
      <c r="AC27" s="36">
        <f>IF(Planned!$C$8=0,'Planned background (hide)'!F27,'Planned background (hide)'!G27)</f>
        <v>25</v>
      </c>
      <c r="AD27" s="36">
        <f t="shared" si="2"/>
        <v>0</v>
      </c>
      <c r="AE27" s="5">
        <f t="shared" ca="1" si="1"/>
        <v>0</v>
      </c>
      <c r="AF27" s="5">
        <f t="shared" ca="1" si="3"/>
        <v>3.8</v>
      </c>
      <c r="AG27">
        <f t="shared" ca="1" si="4"/>
        <v>1.5514184397163122</v>
      </c>
      <c r="AH27" s="67">
        <f t="shared" ca="1" si="5"/>
        <v>0</v>
      </c>
      <c r="AI27" s="67">
        <f t="shared" ca="1" si="6"/>
        <v>0.69716312056737539</v>
      </c>
      <c r="AJ27" s="67">
        <f t="shared" ca="1" si="7"/>
        <v>2.2485815602836876</v>
      </c>
      <c r="AK27">
        <f t="shared" ca="1" si="8"/>
        <v>5.351418439716312</v>
      </c>
      <c r="AL27">
        <f t="shared" ca="1" si="9"/>
        <v>6.9028368794326243</v>
      </c>
      <c r="AM27">
        <f t="shared" ca="1" si="10"/>
        <v>8.4542553191489365</v>
      </c>
      <c r="AN27">
        <f t="shared" ca="1" si="11"/>
        <v>4.5999999999999996</v>
      </c>
      <c r="AO27">
        <f t="shared" ca="1" si="12"/>
        <v>5</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
      <c r="B28" s="67">
        <f ca="1">IF(Planned!$C$6&lt;&gt;"Overall",COUNTBLANK(OFFSET(Planned!E39,0,0,1,Num_Modalities)),IF(COUNTBLANK(Planned!O39)=1,Num_Modalities,0))</f>
        <v>10</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3.8</v>
      </c>
      <c r="AG28">
        <f t="shared" ca="1" si="4"/>
        <v>1.5514184397163122</v>
      </c>
      <c r="AH28" s="67">
        <f t="shared" ca="1" si="5"/>
        <v>0</v>
      </c>
      <c r="AI28" s="67">
        <f t="shared" ca="1" si="6"/>
        <v>0.69716312056737539</v>
      </c>
      <c r="AJ28" s="67">
        <f t="shared" ca="1" si="7"/>
        <v>2.2485815602836876</v>
      </c>
      <c r="AK28">
        <f t="shared" ca="1" si="8"/>
        <v>5.351418439716312</v>
      </c>
      <c r="AL28">
        <f t="shared" ca="1" si="9"/>
        <v>6.9028368794326243</v>
      </c>
      <c r="AM28">
        <f t="shared" ca="1" si="10"/>
        <v>8.4542553191489365</v>
      </c>
      <c r="AN28">
        <f t="shared" ca="1" si="11"/>
        <v>4.5999999999999996</v>
      </c>
      <c r="AO28">
        <f t="shared" ca="1" si="12"/>
        <v>5</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
      <c r="B29" s="67">
        <f ca="1">IF(Planned!$C$6&lt;&gt;"Overall",COUNTBLANK(OFFSET(Planned!E40,0,0,1,Num_Modalities)),IF(COUNTBLANK(Planned!O40)=1,Num_Modalities,0))</f>
        <v>10</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3.8</v>
      </c>
      <c r="AG29">
        <f t="shared" ca="1" si="4"/>
        <v>1.5514184397163122</v>
      </c>
      <c r="AH29" s="67">
        <f t="shared" ca="1" si="5"/>
        <v>0</v>
      </c>
      <c r="AI29" s="67">
        <f t="shared" ca="1" si="6"/>
        <v>0.69716312056737539</v>
      </c>
      <c r="AJ29" s="67">
        <f t="shared" ca="1" si="7"/>
        <v>2.2485815602836876</v>
      </c>
      <c r="AK29">
        <f t="shared" ca="1" si="8"/>
        <v>5.351418439716312</v>
      </c>
      <c r="AL29">
        <f t="shared" ca="1" si="9"/>
        <v>6.9028368794326243</v>
      </c>
      <c r="AM29">
        <f t="shared" ca="1" si="10"/>
        <v>8.4542553191489365</v>
      </c>
      <c r="AN29">
        <f t="shared" ca="1" si="11"/>
        <v>4.5999999999999996</v>
      </c>
      <c r="AO29">
        <f t="shared" ca="1" si="12"/>
        <v>5</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
      <c r="B30" s="67">
        <f ca="1">IF(Planned!$C$6&lt;&gt;"Overall",COUNTBLANK(OFFSET(Planned!E41,0,0,1,Num_Modalities)),IF(COUNTBLANK(Planned!O41)=1,Num_Modalities,0))</f>
        <v>10</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3.8</v>
      </c>
      <c r="AG30">
        <f t="shared" ca="1" si="4"/>
        <v>1.5514184397163122</v>
      </c>
      <c r="AH30" s="67">
        <f t="shared" ca="1" si="5"/>
        <v>0</v>
      </c>
      <c r="AI30" s="67">
        <f t="shared" ca="1" si="6"/>
        <v>0.69716312056737539</v>
      </c>
      <c r="AJ30" s="67">
        <f t="shared" ca="1" si="7"/>
        <v>2.2485815602836876</v>
      </c>
      <c r="AK30">
        <f t="shared" ca="1" si="8"/>
        <v>5.351418439716312</v>
      </c>
      <c r="AL30">
        <f t="shared" ca="1" si="9"/>
        <v>6.9028368794326243</v>
      </c>
      <c r="AM30">
        <f t="shared" ca="1" si="10"/>
        <v>8.4542553191489365</v>
      </c>
      <c r="AN30">
        <f t="shared" ca="1" si="11"/>
        <v>4.5999999999999996</v>
      </c>
      <c r="AO30">
        <f t="shared" ca="1" si="12"/>
        <v>5</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
      <c r="B31" s="67">
        <f ca="1">IF(Planned!$C$6&lt;&gt;"Overall",COUNTBLANK(OFFSET(Planned!E42,0,0,1,Num_Modalities)),IF(COUNTBLANK(Planned!O42)=1,Num_Modalities,0))</f>
        <v>10</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3.8</v>
      </c>
      <c r="AG31">
        <f t="shared" ca="1" si="4"/>
        <v>1.5514184397163122</v>
      </c>
      <c r="AH31" s="67">
        <f t="shared" ca="1" si="5"/>
        <v>0</v>
      </c>
      <c r="AI31" s="67">
        <f t="shared" ca="1" si="6"/>
        <v>0.69716312056737539</v>
      </c>
      <c r="AJ31" s="67">
        <f t="shared" ca="1" si="7"/>
        <v>2.2485815602836876</v>
      </c>
      <c r="AK31">
        <f t="shared" ca="1" si="8"/>
        <v>5.351418439716312</v>
      </c>
      <c r="AL31">
        <f t="shared" ca="1" si="9"/>
        <v>6.9028368794326243</v>
      </c>
      <c r="AM31">
        <f t="shared" ca="1" si="10"/>
        <v>8.4542553191489365</v>
      </c>
      <c r="AN31">
        <f t="shared" ca="1" si="11"/>
        <v>4.5999999999999996</v>
      </c>
      <c r="AO31">
        <f t="shared" ca="1" si="12"/>
        <v>5</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
      <c r="B32" s="67">
        <f ca="1">IF(Planned!$C$6&lt;&gt;"Overall",COUNTBLANK(OFFSET(Planned!E43,0,0,1,Num_Modalities)),IF(COUNTBLANK(Planned!O43)=1,Num_Modalities,0))</f>
        <v>10</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3.8</v>
      </c>
      <c r="AG32">
        <f t="shared" ca="1" si="4"/>
        <v>1.5514184397163122</v>
      </c>
      <c r="AH32" s="67">
        <f t="shared" ca="1" si="5"/>
        <v>0</v>
      </c>
      <c r="AI32" s="67">
        <f t="shared" ca="1" si="6"/>
        <v>0.69716312056737539</v>
      </c>
      <c r="AJ32" s="67">
        <f t="shared" ca="1" si="7"/>
        <v>2.2485815602836876</v>
      </c>
      <c r="AK32">
        <f t="shared" ca="1" si="8"/>
        <v>5.351418439716312</v>
      </c>
      <c r="AL32">
        <f t="shared" ca="1" si="9"/>
        <v>6.9028368794326243</v>
      </c>
      <c r="AM32">
        <f t="shared" ca="1" si="10"/>
        <v>8.4542553191489365</v>
      </c>
      <c r="AN32">
        <f t="shared" ca="1" si="11"/>
        <v>4.5999999999999996</v>
      </c>
      <c r="AO32">
        <f t="shared" ca="1" si="12"/>
        <v>5</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
      <c r="B33" s="67">
        <f ca="1">IF(Planned!$C$6&lt;&gt;"Overall",COUNTBLANK(OFFSET(Planned!E44,0,0,1,Num_Modalities)),IF(COUNTBLANK(Planned!O44)=1,Num_Modalities,0))</f>
        <v>10</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3.8</v>
      </c>
      <c r="AG33">
        <f t="shared" ca="1" si="4"/>
        <v>1.5514184397163122</v>
      </c>
      <c r="AH33" s="67">
        <f t="shared" ca="1" si="5"/>
        <v>0</v>
      </c>
      <c r="AI33" s="67">
        <f t="shared" ca="1" si="6"/>
        <v>0.69716312056737539</v>
      </c>
      <c r="AJ33" s="67">
        <f t="shared" ca="1" si="7"/>
        <v>2.2485815602836876</v>
      </c>
      <c r="AK33">
        <f t="shared" ca="1" si="8"/>
        <v>5.351418439716312</v>
      </c>
      <c r="AL33">
        <f t="shared" ca="1" si="9"/>
        <v>6.9028368794326243</v>
      </c>
      <c r="AM33">
        <f t="shared" ca="1" si="10"/>
        <v>8.4542553191489365</v>
      </c>
      <c r="AN33">
        <f t="shared" ca="1" si="11"/>
        <v>4.5999999999999996</v>
      </c>
      <c r="AO33">
        <f t="shared" ca="1" si="12"/>
        <v>5</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
      <c r="B34" s="67">
        <f ca="1">IF(Planned!$C$6&lt;&gt;"Overall",COUNTBLANK(OFFSET(Planned!E45,0,0,1,Num_Modalities)),IF(COUNTBLANK(Planned!O45)=1,Num_Modalities,0))</f>
        <v>10</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3.8</v>
      </c>
      <c r="AG34">
        <f t="shared" ca="1" si="4"/>
        <v>1.5514184397163122</v>
      </c>
      <c r="AH34" s="67">
        <f t="shared" ca="1" si="5"/>
        <v>0</v>
      </c>
      <c r="AI34" s="67">
        <f t="shared" ca="1" si="6"/>
        <v>0.69716312056737539</v>
      </c>
      <c r="AJ34" s="67">
        <f t="shared" ca="1" si="7"/>
        <v>2.2485815602836876</v>
      </c>
      <c r="AK34">
        <f t="shared" ca="1" si="8"/>
        <v>5.351418439716312</v>
      </c>
      <c r="AL34">
        <f t="shared" ca="1" si="9"/>
        <v>6.9028368794326243</v>
      </c>
      <c r="AM34">
        <f t="shared" ca="1" si="10"/>
        <v>8.4542553191489365</v>
      </c>
      <c r="AN34">
        <f t="shared" ca="1" si="11"/>
        <v>4.5999999999999996</v>
      </c>
      <c r="AO34">
        <f t="shared" ca="1" si="12"/>
        <v>5</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
      <c r="B35" s="67">
        <f ca="1">IF(Planned!$C$6&lt;&gt;"Overall",COUNTBLANK(OFFSET(Planned!E46,0,0,1,Num_Modalities)),IF(COUNTBLANK(Planned!O46)=1,Num_Modalities,0))</f>
        <v>10</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3.8</v>
      </c>
      <c r="AG35">
        <f t="shared" ca="1" si="4"/>
        <v>1.5514184397163122</v>
      </c>
      <c r="AH35" s="67">
        <f t="shared" ca="1" si="5"/>
        <v>0</v>
      </c>
      <c r="AI35" s="67">
        <f t="shared" ca="1" si="6"/>
        <v>0.69716312056737539</v>
      </c>
      <c r="AJ35" s="67">
        <f t="shared" ca="1" si="7"/>
        <v>2.2485815602836876</v>
      </c>
      <c r="AK35">
        <f t="shared" ca="1" si="8"/>
        <v>5.351418439716312</v>
      </c>
      <c r="AL35">
        <f t="shared" ca="1" si="9"/>
        <v>6.9028368794326243</v>
      </c>
      <c r="AM35">
        <f t="shared" ca="1" si="10"/>
        <v>8.4542553191489365</v>
      </c>
      <c r="AN35">
        <f t="shared" ca="1" si="11"/>
        <v>4.5999999999999996</v>
      </c>
      <c r="AO35">
        <f t="shared" ca="1" si="12"/>
        <v>5</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
      <c r="B36" s="67">
        <f ca="1">IF(Planned!$C$6&lt;&gt;"Overall",COUNTBLANK(OFFSET(Planned!E47,0,0,1,Num_Modalities)),IF(COUNTBLANK(Planned!O47)=1,Num_Modalities,0))</f>
        <v>10</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3.8</v>
      </c>
      <c r="AG36">
        <f t="shared" ca="1" si="4"/>
        <v>1.5514184397163122</v>
      </c>
      <c r="AH36" s="67">
        <f t="shared" ca="1" si="5"/>
        <v>0</v>
      </c>
      <c r="AI36" s="67">
        <f t="shared" ca="1" si="6"/>
        <v>0.69716312056737539</v>
      </c>
      <c r="AJ36" s="67">
        <f t="shared" ca="1" si="7"/>
        <v>2.2485815602836876</v>
      </c>
      <c r="AK36">
        <f t="shared" ca="1" si="8"/>
        <v>5.351418439716312</v>
      </c>
      <c r="AL36">
        <f t="shared" ca="1" si="9"/>
        <v>6.9028368794326243</v>
      </c>
      <c r="AM36">
        <f t="shared" ca="1" si="10"/>
        <v>8.4542553191489365</v>
      </c>
      <c r="AN36">
        <f t="shared" ca="1" si="11"/>
        <v>4.5999999999999996</v>
      </c>
      <c r="AO36">
        <f t="shared" ca="1" si="12"/>
        <v>5</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
      <c r="B37" s="67">
        <f ca="1">IF(Planned!$C$6&lt;&gt;"Overall",COUNTBLANK(OFFSET(Planned!E48,0,0,1,Num_Modalities)),IF(COUNTBLANK(Planned!O48)=1,Num_Modalities,0))</f>
        <v>10</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3.8</v>
      </c>
      <c r="AG37">
        <f t="shared" ca="1" si="4"/>
        <v>1.5514184397163122</v>
      </c>
      <c r="AH37" s="67">
        <f t="shared" ca="1" si="5"/>
        <v>0</v>
      </c>
      <c r="AI37" s="67">
        <f t="shared" ca="1" si="6"/>
        <v>0.69716312056737539</v>
      </c>
      <c r="AJ37" s="67">
        <f t="shared" ca="1" si="7"/>
        <v>2.2485815602836876</v>
      </c>
      <c r="AK37">
        <f t="shared" ca="1" si="8"/>
        <v>5.351418439716312</v>
      </c>
      <c r="AL37">
        <f t="shared" ca="1" si="9"/>
        <v>6.9028368794326243</v>
      </c>
      <c r="AM37">
        <f t="shared" ca="1" si="10"/>
        <v>8.4542553191489365</v>
      </c>
      <c r="AN37">
        <f t="shared" ca="1" si="11"/>
        <v>4.5999999999999996</v>
      </c>
      <c r="AO37">
        <f t="shared" ca="1" si="12"/>
        <v>5</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
      <c r="B38" s="67">
        <f ca="1">IF(Planned!$C$6&lt;&gt;"Overall",COUNTBLANK(OFFSET(Planned!E49,0,0,1,Num_Modalities)),IF(COUNTBLANK(Planned!O49)=1,Num_Modalities,0))</f>
        <v>10</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3.8</v>
      </c>
      <c r="AG38">
        <f t="shared" ca="1" si="4"/>
        <v>1.5514184397163122</v>
      </c>
      <c r="AH38" s="67">
        <f t="shared" ca="1" si="5"/>
        <v>0</v>
      </c>
      <c r="AI38" s="67">
        <f t="shared" ca="1" si="6"/>
        <v>0.69716312056737539</v>
      </c>
      <c r="AJ38" s="67">
        <f t="shared" ca="1" si="7"/>
        <v>2.2485815602836876</v>
      </c>
      <c r="AK38">
        <f t="shared" ca="1" si="8"/>
        <v>5.351418439716312</v>
      </c>
      <c r="AL38">
        <f t="shared" ca="1" si="9"/>
        <v>6.9028368794326243</v>
      </c>
      <c r="AM38">
        <f t="shared" ca="1" si="10"/>
        <v>8.4542553191489365</v>
      </c>
      <c r="AN38">
        <f t="shared" ca="1" si="11"/>
        <v>4.5999999999999996</v>
      </c>
      <c r="AO38">
        <f t="shared" ca="1" si="12"/>
        <v>5</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
      <c r="B39" s="67">
        <f ca="1">IF(Planned!$C$6&lt;&gt;"Overall",COUNTBLANK(OFFSET(Planned!E50,0,0,1,Num_Modalities)),IF(COUNTBLANK(Planned!O50)=1,Num_Modalities,0))</f>
        <v>10</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3.8</v>
      </c>
      <c r="AG39">
        <f t="shared" ca="1" si="4"/>
        <v>1.5514184397163122</v>
      </c>
      <c r="AH39" s="67">
        <f t="shared" ca="1" si="5"/>
        <v>0</v>
      </c>
      <c r="AI39" s="67">
        <f t="shared" ca="1" si="6"/>
        <v>0.69716312056737539</v>
      </c>
      <c r="AJ39" s="67">
        <f t="shared" ca="1" si="7"/>
        <v>2.2485815602836876</v>
      </c>
      <c r="AK39">
        <f t="shared" ca="1" si="8"/>
        <v>5.351418439716312</v>
      </c>
      <c r="AL39">
        <f t="shared" ca="1" si="9"/>
        <v>6.9028368794326243</v>
      </c>
      <c r="AM39">
        <f t="shared" ca="1" si="10"/>
        <v>8.4542553191489365</v>
      </c>
      <c r="AN39">
        <f t="shared" ca="1" si="11"/>
        <v>4.5999999999999996</v>
      </c>
      <c r="AO39">
        <f t="shared" ca="1" si="12"/>
        <v>5</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
      <c r="B40" s="67">
        <f ca="1">IF(Planned!$C$6&lt;&gt;"Overall",COUNTBLANK(OFFSET(Planned!E51,0,0,1,Num_Modalities)),IF(COUNTBLANK(Planned!O51)=1,Num_Modalities,0))</f>
        <v>10</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3.8</v>
      </c>
      <c r="AG40">
        <f t="shared" ca="1" si="4"/>
        <v>1.5514184397163122</v>
      </c>
      <c r="AH40" s="67">
        <f t="shared" ca="1" si="5"/>
        <v>0</v>
      </c>
      <c r="AI40" s="67">
        <f t="shared" ca="1" si="6"/>
        <v>0.69716312056737539</v>
      </c>
      <c r="AJ40" s="67">
        <f t="shared" ca="1" si="7"/>
        <v>2.2485815602836876</v>
      </c>
      <c r="AK40">
        <f t="shared" ca="1" si="8"/>
        <v>5.351418439716312</v>
      </c>
      <c r="AL40">
        <f t="shared" ca="1" si="9"/>
        <v>6.9028368794326243</v>
      </c>
      <c r="AM40">
        <f t="shared" ca="1" si="10"/>
        <v>8.4542553191489365</v>
      </c>
      <c r="AN40">
        <f t="shared" ca="1" si="11"/>
        <v>4.5999999999999996</v>
      </c>
      <c r="AO40">
        <f t="shared" ca="1" si="12"/>
        <v>5</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
      <c r="B41" s="67">
        <f ca="1">IF(Planned!$C$6&lt;&gt;"Overall",COUNTBLANK(OFFSET(Planned!E52,0,0,1,Num_Modalities)),IF(COUNTBLANK(Planned!O52)=1,Num_Modalities,0))</f>
        <v>10</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3.8</v>
      </c>
      <c r="AG41">
        <f t="shared" ca="1" si="4"/>
        <v>1.5514184397163122</v>
      </c>
      <c r="AH41" s="67">
        <f t="shared" ca="1" si="5"/>
        <v>0</v>
      </c>
      <c r="AI41" s="67">
        <f t="shared" ca="1" si="6"/>
        <v>0.69716312056737539</v>
      </c>
      <c r="AJ41" s="67">
        <f t="shared" ca="1" si="7"/>
        <v>2.2485815602836876</v>
      </c>
      <c r="AK41">
        <f t="shared" ca="1" si="8"/>
        <v>5.351418439716312</v>
      </c>
      <c r="AL41">
        <f t="shared" ca="1" si="9"/>
        <v>6.9028368794326243</v>
      </c>
      <c r="AM41">
        <f t="shared" ca="1" si="10"/>
        <v>8.4542553191489365</v>
      </c>
      <c r="AN41">
        <f t="shared" ca="1" si="11"/>
        <v>4.5999999999999996</v>
      </c>
      <c r="AO41">
        <f t="shared" ca="1" si="12"/>
        <v>5</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
      <c r="B42" s="67">
        <f ca="1">IF(Planned!$C$6&lt;&gt;"Overall",COUNTBLANK(OFFSET(Planned!E53,0,0,1,Num_Modalities)),IF(COUNTBLANK(Planned!O53)=1,Num_Modalities,0))</f>
        <v>10</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3.8</v>
      </c>
      <c r="AG42">
        <f t="shared" ca="1" si="4"/>
        <v>1.5514184397163122</v>
      </c>
      <c r="AH42" s="67">
        <f t="shared" ca="1" si="5"/>
        <v>0</v>
      </c>
      <c r="AI42" s="67">
        <f t="shared" ca="1" si="6"/>
        <v>0.69716312056737539</v>
      </c>
      <c r="AJ42" s="67">
        <f t="shared" ca="1" si="7"/>
        <v>2.2485815602836876</v>
      </c>
      <c r="AK42">
        <f t="shared" ca="1" si="8"/>
        <v>5.351418439716312</v>
      </c>
      <c r="AL42">
        <f t="shared" ca="1" si="9"/>
        <v>6.9028368794326243</v>
      </c>
      <c r="AM42">
        <f t="shared" ca="1" si="10"/>
        <v>8.4542553191489365</v>
      </c>
      <c r="AN42">
        <f t="shared" ca="1" si="11"/>
        <v>4.5999999999999996</v>
      </c>
      <c r="AO42">
        <f t="shared" ca="1" si="12"/>
        <v>5</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
      <c r="B43" s="67">
        <f ca="1">IF(Planned!$C$6&lt;&gt;"Overall",COUNTBLANK(OFFSET(Planned!E54,0,0,1,Num_Modalities)),IF(COUNTBLANK(Planned!O54)=1,Num_Modalities,0))</f>
        <v>10</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3.8</v>
      </c>
      <c r="AG43">
        <f t="shared" ca="1" si="4"/>
        <v>1.5514184397163122</v>
      </c>
      <c r="AH43" s="67">
        <f t="shared" ca="1" si="5"/>
        <v>0</v>
      </c>
      <c r="AI43" s="67">
        <f t="shared" ca="1" si="6"/>
        <v>0.69716312056737539</v>
      </c>
      <c r="AJ43" s="67">
        <f t="shared" ca="1" si="7"/>
        <v>2.2485815602836876</v>
      </c>
      <c r="AK43">
        <f t="shared" ca="1" si="8"/>
        <v>5.351418439716312</v>
      </c>
      <c r="AL43">
        <f t="shared" ca="1" si="9"/>
        <v>6.9028368794326243</v>
      </c>
      <c r="AM43">
        <f t="shared" ca="1" si="10"/>
        <v>8.4542553191489365</v>
      </c>
      <c r="AN43">
        <f t="shared" ca="1" si="11"/>
        <v>4.5999999999999996</v>
      </c>
      <c r="AO43">
        <f t="shared" ca="1" si="12"/>
        <v>5</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
      <c r="B44" s="67">
        <f ca="1">IF(Planned!$C$6&lt;&gt;"Overall",COUNTBLANK(OFFSET(Planned!E55,0,0,1,Num_Modalities)),IF(COUNTBLANK(Planned!O55)=1,Num_Modalities,0))</f>
        <v>10</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3.8</v>
      </c>
      <c r="AG44">
        <f t="shared" ca="1" si="4"/>
        <v>1.5514184397163122</v>
      </c>
      <c r="AH44" s="67">
        <f t="shared" ca="1" si="5"/>
        <v>0</v>
      </c>
      <c r="AI44" s="67">
        <f t="shared" ca="1" si="6"/>
        <v>0.69716312056737539</v>
      </c>
      <c r="AJ44" s="67">
        <f t="shared" ca="1" si="7"/>
        <v>2.2485815602836876</v>
      </c>
      <c r="AK44">
        <f t="shared" ca="1" si="8"/>
        <v>5.351418439716312</v>
      </c>
      <c r="AL44">
        <f t="shared" ca="1" si="9"/>
        <v>6.9028368794326243</v>
      </c>
      <c r="AM44">
        <f t="shared" ca="1" si="10"/>
        <v>8.4542553191489365</v>
      </c>
      <c r="AN44">
        <f t="shared" ca="1" si="11"/>
        <v>4.5999999999999996</v>
      </c>
      <c r="AO44">
        <f t="shared" ca="1" si="12"/>
        <v>5</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
      <c r="B45" s="67">
        <f ca="1">IF(Planned!$C$6&lt;&gt;"Overall",COUNTBLANK(OFFSET(Planned!E56,0,0,1,Num_Modalities)),IF(COUNTBLANK(Planned!O56)=1,Num_Modalities,0))</f>
        <v>10</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3.8</v>
      </c>
      <c r="AG45">
        <f t="shared" ca="1" si="4"/>
        <v>1.5514184397163122</v>
      </c>
      <c r="AH45" s="67">
        <f t="shared" ca="1" si="5"/>
        <v>0</v>
      </c>
      <c r="AI45" s="67">
        <f t="shared" ca="1" si="6"/>
        <v>0.69716312056737539</v>
      </c>
      <c r="AJ45" s="67">
        <f t="shared" ca="1" si="7"/>
        <v>2.2485815602836876</v>
      </c>
      <c r="AK45">
        <f t="shared" ca="1" si="8"/>
        <v>5.351418439716312</v>
      </c>
      <c r="AL45">
        <f t="shared" ca="1" si="9"/>
        <v>6.9028368794326243</v>
      </c>
      <c r="AM45">
        <f t="shared" ca="1" si="10"/>
        <v>8.4542553191489365</v>
      </c>
      <c r="AN45">
        <f t="shared" ca="1" si="11"/>
        <v>4.5999999999999996</v>
      </c>
      <c r="AO45">
        <f t="shared" ca="1" si="12"/>
        <v>5</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
      <c r="B46" s="67">
        <f ca="1">IF(Planned!$C$6&lt;&gt;"Overall",COUNTBLANK(OFFSET(Planned!E57,0,0,1,Num_Modalities)),IF(COUNTBLANK(Planned!O57)=1,Num_Modalities,0))</f>
        <v>10</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3.8</v>
      </c>
      <c r="AG46">
        <f t="shared" ca="1" si="4"/>
        <v>1.5514184397163122</v>
      </c>
      <c r="AH46" s="67">
        <f t="shared" ca="1" si="5"/>
        <v>0</v>
      </c>
      <c r="AI46" s="67">
        <f t="shared" ca="1" si="6"/>
        <v>0.69716312056737539</v>
      </c>
      <c r="AJ46" s="67">
        <f t="shared" ca="1" si="7"/>
        <v>2.2485815602836876</v>
      </c>
      <c r="AK46">
        <f t="shared" ca="1" si="8"/>
        <v>5.351418439716312</v>
      </c>
      <c r="AL46">
        <f t="shared" ca="1" si="9"/>
        <v>6.9028368794326243</v>
      </c>
      <c r="AM46">
        <f t="shared" ca="1" si="10"/>
        <v>8.4542553191489365</v>
      </c>
      <c r="AN46">
        <f t="shared" ca="1" si="11"/>
        <v>4.5999999999999996</v>
      </c>
      <c r="AO46">
        <f t="shared" ca="1" si="12"/>
        <v>5</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
      <c r="B47" s="67">
        <f ca="1">IF(Planned!$C$6&lt;&gt;"Overall",COUNTBLANK(OFFSET(Planned!E58,0,0,1,Num_Modalities)),IF(COUNTBLANK(Planned!O58)=1,Num_Modalities,0))</f>
        <v>10</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3.8</v>
      </c>
      <c r="AG47">
        <f t="shared" ca="1" si="4"/>
        <v>1.5514184397163122</v>
      </c>
      <c r="AH47" s="67">
        <f t="shared" ca="1" si="5"/>
        <v>0</v>
      </c>
      <c r="AI47" s="67">
        <f t="shared" ca="1" si="6"/>
        <v>0.69716312056737539</v>
      </c>
      <c r="AJ47" s="67">
        <f t="shared" ca="1" si="7"/>
        <v>2.2485815602836876</v>
      </c>
      <c r="AK47">
        <f t="shared" ca="1" si="8"/>
        <v>5.351418439716312</v>
      </c>
      <c r="AL47">
        <f t="shared" ca="1" si="9"/>
        <v>6.9028368794326243</v>
      </c>
      <c r="AM47">
        <f t="shared" ca="1" si="10"/>
        <v>8.4542553191489365</v>
      </c>
      <c r="AN47">
        <f t="shared" ca="1" si="11"/>
        <v>4.5999999999999996</v>
      </c>
      <c r="AO47">
        <f t="shared" ca="1" si="12"/>
        <v>5</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
      <c r="B48" s="67">
        <f ca="1">IF(Planned!$C$6&lt;&gt;"Overall",COUNTBLANK(OFFSET(Planned!E59,0,0,1,Num_Modalities)),IF(COUNTBLANK(Planned!O59)=1,Num_Modalities,0))</f>
        <v>10</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3.8</v>
      </c>
      <c r="AG48">
        <f t="shared" ca="1" si="4"/>
        <v>1.5514184397163122</v>
      </c>
      <c r="AH48" s="67">
        <f t="shared" ca="1" si="5"/>
        <v>0</v>
      </c>
      <c r="AI48" s="67">
        <f t="shared" ca="1" si="6"/>
        <v>0.69716312056737539</v>
      </c>
      <c r="AJ48" s="67">
        <f t="shared" ca="1" si="7"/>
        <v>2.2485815602836876</v>
      </c>
      <c r="AK48">
        <f t="shared" ca="1" si="8"/>
        <v>5.351418439716312</v>
      </c>
      <c r="AL48">
        <f t="shared" ca="1" si="9"/>
        <v>6.9028368794326243</v>
      </c>
      <c r="AM48">
        <f t="shared" ca="1" si="10"/>
        <v>8.4542553191489365</v>
      </c>
      <c r="AN48">
        <f t="shared" ca="1" si="11"/>
        <v>4.5999999999999996</v>
      </c>
      <c r="AO48">
        <f t="shared" ca="1" si="12"/>
        <v>5</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
      <c r="B49" s="67">
        <f ca="1">IF(Planned!$C$6&lt;&gt;"Overall",COUNTBLANK(OFFSET(Planned!E60,0,0,1,Num_Modalities)),IF(COUNTBLANK(Planned!O60)=1,Num_Modalities,0))</f>
        <v>10</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3.8</v>
      </c>
      <c r="AG49">
        <f t="shared" ca="1" si="4"/>
        <v>1.5514184397163122</v>
      </c>
      <c r="AH49" s="67">
        <f t="shared" ca="1" si="5"/>
        <v>0</v>
      </c>
      <c r="AI49" s="67">
        <f t="shared" ca="1" si="6"/>
        <v>0.69716312056737539</v>
      </c>
      <c r="AJ49" s="67">
        <f t="shared" ca="1" si="7"/>
        <v>2.2485815602836876</v>
      </c>
      <c r="AK49">
        <f t="shared" ca="1" si="8"/>
        <v>5.351418439716312</v>
      </c>
      <c r="AL49">
        <f t="shared" ca="1" si="9"/>
        <v>6.9028368794326243</v>
      </c>
      <c r="AM49">
        <f t="shared" ca="1" si="10"/>
        <v>8.4542553191489365</v>
      </c>
      <c r="AN49">
        <f t="shared" ca="1" si="11"/>
        <v>4.5999999999999996</v>
      </c>
      <c r="AO49">
        <f t="shared" ca="1" si="12"/>
        <v>5</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
      <c r="B50" s="67">
        <f ca="1">IF(Planned!$C$6&lt;&gt;"Overall",COUNTBLANK(OFFSET(Planned!E61,0,0,1,Num_Modalities)),IF(COUNTBLANK(Planned!O61)=1,Num_Modalities,0))</f>
        <v>10</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3.8</v>
      </c>
      <c r="AG50">
        <f t="shared" ca="1" si="4"/>
        <v>1.5514184397163122</v>
      </c>
      <c r="AH50" s="67">
        <f t="shared" ca="1" si="5"/>
        <v>0</v>
      </c>
      <c r="AI50" s="67">
        <f t="shared" ca="1" si="6"/>
        <v>0.69716312056737539</v>
      </c>
      <c r="AJ50" s="67">
        <f t="shared" ca="1" si="7"/>
        <v>2.2485815602836876</v>
      </c>
      <c r="AK50">
        <f t="shared" ca="1" si="8"/>
        <v>5.351418439716312</v>
      </c>
      <c r="AL50">
        <f t="shared" ca="1" si="9"/>
        <v>6.9028368794326243</v>
      </c>
      <c r="AM50">
        <f t="shared" ca="1" si="10"/>
        <v>8.4542553191489365</v>
      </c>
      <c r="AN50">
        <f t="shared" ca="1" si="11"/>
        <v>4.5999999999999996</v>
      </c>
      <c r="AO50">
        <f t="shared" ca="1" si="12"/>
        <v>5</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
      <c r="B51" s="67">
        <f ca="1">IF(Planned!$C$6&lt;&gt;"Overall",COUNTBLANK(OFFSET(Planned!E62,0,0,1,Num_Modalities)),IF(COUNTBLANK(Planned!O62)=1,Num_Modalities,0))</f>
        <v>10</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3.8</v>
      </c>
      <c r="AG51">
        <f t="shared" ca="1" si="4"/>
        <v>1.5514184397163122</v>
      </c>
      <c r="AH51" s="67">
        <f t="shared" ca="1" si="5"/>
        <v>0</v>
      </c>
      <c r="AI51" s="67">
        <f t="shared" ca="1" si="6"/>
        <v>0.69716312056737539</v>
      </c>
      <c r="AJ51" s="67">
        <f t="shared" ca="1" si="7"/>
        <v>2.2485815602836876</v>
      </c>
      <c r="AK51">
        <f t="shared" ca="1" si="8"/>
        <v>5.351418439716312</v>
      </c>
      <c r="AL51">
        <f t="shared" ca="1" si="9"/>
        <v>6.9028368794326243</v>
      </c>
      <c r="AM51">
        <f t="shared" ca="1" si="10"/>
        <v>8.4542553191489365</v>
      </c>
      <c r="AN51">
        <f t="shared" ca="1" si="11"/>
        <v>4.5999999999999996</v>
      </c>
      <c r="AO51">
        <f t="shared" ca="1" si="12"/>
        <v>5</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
      <c r="B52" s="67">
        <f ca="1">IF(Planned!$C$6&lt;&gt;"Overall",COUNTBLANK(OFFSET(Planned!E63,0,0,1,Num_Modalities)),IF(COUNTBLANK(Planned!O63)=1,Num_Modalities,0))</f>
        <v>10</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3.8</v>
      </c>
      <c r="AG52">
        <f t="shared" ca="1" si="4"/>
        <v>1.5514184397163122</v>
      </c>
      <c r="AH52" s="67">
        <f t="shared" ca="1" si="5"/>
        <v>0</v>
      </c>
      <c r="AI52" s="67">
        <f t="shared" ca="1" si="6"/>
        <v>0.69716312056737539</v>
      </c>
      <c r="AJ52" s="67">
        <f t="shared" ca="1" si="7"/>
        <v>2.2485815602836876</v>
      </c>
      <c r="AK52">
        <f t="shared" ca="1" si="8"/>
        <v>5.351418439716312</v>
      </c>
      <c r="AL52">
        <f t="shared" ca="1" si="9"/>
        <v>6.9028368794326243</v>
      </c>
      <c r="AM52">
        <f t="shared" ca="1" si="10"/>
        <v>8.4542553191489365</v>
      </c>
      <c r="AN52">
        <f t="shared" ca="1" si="11"/>
        <v>4.5999999999999996</v>
      </c>
      <c r="AO52">
        <f t="shared" ca="1" si="12"/>
        <v>5</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
      <c r="B53" s="67">
        <f ca="1">IF(Planned!$C$6&lt;&gt;"Overall",COUNTBLANK(OFFSET(Planned!E64,0,0,1,Num_Modalities)),IF(COUNTBLANK(Planned!O64)=1,Num_Modalities,0))</f>
        <v>10</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3.8</v>
      </c>
      <c r="AG53">
        <f t="shared" ca="1" si="4"/>
        <v>1.5514184397163122</v>
      </c>
      <c r="AH53" s="67">
        <f t="shared" ca="1" si="5"/>
        <v>0</v>
      </c>
      <c r="AI53" s="67">
        <f t="shared" ca="1" si="6"/>
        <v>0.69716312056737539</v>
      </c>
      <c r="AJ53" s="67">
        <f t="shared" ca="1" si="7"/>
        <v>2.2485815602836876</v>
      </c>
      <c r="AK53">
        <f t="shared" ca="1" si="8"/>
        <v>5.351418439716312</v>
      </c>
      <c r="AL53">
        <f t="shared" ca="1" si="9"/>
        <v>6.9028368794326243</v>
      </c>
      <c r="AM53">
        <f t="shared" ca="1" si="10"/>
        <v>8.4542553191489365</v>
      </c>
      <c r="AN53">
        <f t="shared" ca="1" si="11"/>
        <v>4.5999999999999996</v>
      </c>
      <c r="AO53">
        <f t="shared" ca="1" si="12"/>
        <v>5</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3.8</v>
      </c>
      <c r="AG54">
        <f t="shared" ca="1" si="4"/>
        <v>1.5514184397163122</v>
      </c>
      <c r="AH54" s="67">
        <f t="shared" ca="1" si="5"/>
        <v>0</v>
      </c>
      <c r="AI54" s="67">
        <f t="shared" ca="1" si="6"/>
        <v>0.69716312056737539</v>
      </c>
      <c r="AJ54" s="67">
        <f t="shared" ca="1" si="7"/>
        <v>2.2485815602836876</v>
      </c>
      <c r="AK54">
        <f t="shared" ca="1" si="8"/>
        <v>5.351418439716312</v>
      </c>
      <c r="AL54">
        <f t="shared" ca="1" si="9"/>
        <v>6.9028368794326243</v>
      </c>
      <c r="AM54">
        <f t="shared" ca="1" si="10"/>
        <v>8.4542553191489365</v>
      </c>
      <c r="AN54">
        <f t="shared" ca="1" si="11"/>
        <v>4.5999999999999996</v>
      </c>
      <c r="AO54">
        <f t="shared" ca="1" si="12"/>
        <v>5</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3.8</v>
      </c>
      <c r="AG55" s="67">
        <f t="shared" ca="1" si="4"/>
        <v>1.5514184397163122</v>
      </c>
      <c r="AH55" s="67">
        <f t="shared" ref="AH55" ca="1" si="28">IF(AF55-(3*AG55)&lt;=0,0,AF55-(3*AG55))</f>
        <v>0</v>
      </c>
      <c r="AI55" s="67">
        <f t="shared" ref="AI55" ca="1" si="29">IF(AF55-(2*AG55)&lt;=0,0,AF55-(2*AG55))</f>
        <v>0.69716312056737539</v>
      </c>
      <c r="AJ55" s="67">
        <f t="shared" ref="AJ55" ca="1" si="30">IF(AF55-(1*AG55)&lt;=0,0,AF55-(1*AG55))</f>
        <v>2.2485815602836876</v>
      </c>
      <c r="AK55" s="67">
        <f t="shared" ref="AK55" ca="1" si="31">AF55+(1*AG55)</f>
        <v>5.351418439716312</v>
      </c>
      <c r="AL55" s="67">
        <f t="shared" ref="AL55" ca="1" si="32">AF55+(2*AG55)</f>
        <v>6.9028368794326243</v>
      </c>
      <c r="AM55" s="67">
        <f t="shared" ref="AM55" ca="1" si="33">AF55+(3*AG55)</f>
        <v>8.4542553191489365</v>
      </c>
      <c r="AN55" s="67">
        <f t="shared" ca="1" si="11"/>
        <v>4.5999999999999996</v>
      </c>
      <c r="AO55" s="67">
        <f t="shared" ca="1" si="12"/>
        <v>5</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25" x14ac:dyDescent="0.2"/>
  <cols>
    <col min="1" max="1" width="17.25" style="52" customWidth="1"/>
    <col min="2" max="2" width="11.5" style="52" customWidth="1"/>
    <col min="3" max="19" width="9" style="52"/>
    <col min="20" max="20" width="9.75" style="52" bestFit="1" customWidth="1"/>
    <col min="21" max="16384" width="9" style="52"/>
  </cols>
  <sheetData>
    <row r="1" spans="1:20" x14ac:dyDescent="0.2">
      <c r="B1" s="53"/>
    </row>
    <row r="3" spans="1:20" ht="15" x14ac:dyDescent="0.25">
      <c r="A3" s="56" t="s">
        <v>185</v>
      </c>
    </row>
    <row r="4" spans="1:20" x14ac:dyDescent="0.2">
      <c r="A4" s="38" t="s">
        <v>268</v>
      </c>
    </row>
    <row r="5" spans="1:20" x14ac:dyDescent="0.2">
      <c r="A5" s="38" t="s">
        <v>269</v>
      </c>
    </row>
    <row r="7" spans="1:20" x14ac:dyDescent="0.2">
      <c r="A7" s="55" t="s">
        <v>147</v>
      </c>
      <c r="T7" s="58"/>
    </row>
    <row r="8" spans="1:20" ht="15" x14ac:dyDescent="0.25">
      <c r="A8" s="56" t="str">
        <f>'Planned background (hide)'!AA19&amp;" weeks"</f>
        <v>5 weeks</v>
      </c>
      <c r="T8" s="58"/>
    </row>
    <row r="10" spans="1:20" x14ac:dyDescent="0.2">
      <c r="A10" s="52" t="s">
        <v>195</v>
      </c>
      <c r="C10" s="211" t="s">
        <v>20</v>
      </c>
    </row>
    <row r="11" spans="1:20" x14ac:dyDescent="0.2">
      <c r="C11" s="57"/>
    </row>
    <row r="12" spans="1:20" x14ac:dyDescent="0.2">
      <c r="A12" s="52" t="s">
        <v>196</v>
      </c>
      <c r="C12" s="211" t="s">
        <v>22</v>
      </c>
    </row>
    <row r="27" spans="1:2" ht="15" x14ac:dyDescent="0.25">
      <c r="A27" s="56" t="s">
        <v>178</v>
      </c>
    </row>
    <row r="28" spans="1:2" x14ac:dyDescent="0.2">
      <c r="A28" s="40"/>
      <c r="B28" s="52" t="s">
        <v>175</v>
      </c>
    </row>
    <row r="29" spans="1:2" x14ac:dyDescent="0.2">
      <c r="A29" s="41"/>
      <c r="B29" s="52" t="s">
        <v>176</v>
      </c>
    </row>
    <row r="30" spans="1:2" x14ac:dyDescent="0.2">
      <c r="A30" s="42"/>
      <c r="B30" s="52" t="s">
        <v>197</v>
      </c>
    </row>
    <row r="31" spans="1:2" x14ac:dyDescent="0.2">
      <c r="A31" s="43"/>
      <c r="B31" s="52" t="s">
        <v>177</v>
      </c>
    </row>
    <row r="34" spans="4:4" x14ac:dyDescent="0.2">
      <c r="D34" s="61"/>
    </row>
    <row r="35" spans="4:4" x14ac:dyDescent="0.2">
      <c r="D35" s="61"/>
    </row>
  </sheetData>
  <sheetProtection algorithmName="SHA-512" hashValue="7eTKXIpOWPAdaEvKi//fbxwdL+AA42s+DXWy/JT9PyR3/OVmZ67jlsJ2GTtshfDRQxH33BR6SgznALNL2yZqtA==" saltValue="ScJV3Yh3ypXK+BjI8EHsk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H21" sqref="H21"/>
    </sheetView>
  </sheetViews>
  <sheetFormatPr defaultRowHeight="14.25" x14ac:dyDescent="0.2"/>
  <cols>
    <col min="1" max="1" width="2.625" style="52" customWidth="1"/>
    <col min="2" max="2" width="20.625" customWidth="1"/>
    <col min="3" max="3" width="16.75" customWidth="1"/>
    <col min="4" max="4" width="13" bestFit="1" customWidth="1"/>
    <col min="5" max="5" width="7.125" customWidth="1"/>
    <col min="6" max="6" width="7.75" customWidth="1"/>
    <col min="7" max="7" width="7.75" style="67" hidden="1" customWidth="1"/>
    <col min="8" max="8" width="8.625" customWidth="1"/>
    <col min="9" max="9" width="10.5" customWidth="1"/>
    <col min="10" max="10" width="11.25" style="52" hidden="1" customWidth="1"/>
    <col min="11" max="11" width="9.75" style="72" hidden="1" customWidth="1"/>
    <col min="12" max="12" width="9" style="72" customWidth="1"/>
    <col min="13" max="13" width="3.25" style="72" customWidth="1"/>
    <col min="14" max="14" width="23.25" customWidth="1"/>
    <col min="15" max="15" width="16.25" bestFit="1" customWidth="1"/>
    <col min="16" max="16" width="13" customWidth="1"/>
    <col min="17" max="17" width="6.5" customWidth="1"/>
    <col min="18" max="18" width="8.25" customWidth="1"/>
    <col min="19" max="19" width="8.25" style="67" hidden="1" customWidth="1"/>
    <col min="20" max="20" width="8.75" customWidth="1"/>
    <col min="21" max="21" width="10.625" customWidth="1"/>
    <col min="22" max="64" width="9" style="52"/>
  </cols>
  <sheetData>
    <row r="1" spans="1:23" s="52" customFormat="1" x14ac:dyDescent="0.2">
      <c r="B1" s="72"/>
      <c r="C1" s="72"/>
      <c r="D1" s="72"/>
      <c r="E1" s="72"/>
      <c r="F1" s="72"/>
      <c r="G1" s="72"/>
      <c r="H1" s="72"/>
      <c r="I1" s="72"/>
      <c r="J1" s="72"/>
      <c r="K1" s="72"/>
      <c r="L1" s="72"/>
      <c r="M1" s="72"/>
      <c r="N1" s="72"/>
      <c r="O1" s="72"/>
      <c r="P1" s="72"/>
      <c r="Q1" s="72"/>
      <c r="R1" s="72"/>
      <c r="S1" s="72"/>
      <c r="T1" s="72"/>
      <c r="U1" s="72"/>
    </row>
    <row r="2" spans="1:23" s="52" customFormat="1" ht="15" x14ac:dyDescent="0.25">
      <c r="B2" s="105" t="s">
        <v>391</v>
      </c>
      <c r="C2" s="105"/>
      <c r="D2" s="72"/>
      <c r="E2" s="72"/>
      <c r="F2" s="72"/>
      <c r="G2" s="72"/>
      <c r="H2" s="72"/>
      <c r="I2" s="72"/>
      <c r="J2" s="72"/>
      <c r="K2" s="72"/>
      <c r="L2" s="72"/>
      <c r="M2" s="72"/>
      <c r="N2" s="385" t="s">
        <v>1287</v>
      </c>
      <c r="O2" s="72"/>
      <c r="P2" s="72"/>
      <c r="Q2" s="72"/>
      <c r="R2" s="72"/>
      <c r="S2" s="72"/>
      <c r="T2" s="72"/>
      <c r="U2" s="72"/>
    </row>
    <row r="3" spans="1:23" s="52" customFormat="1" x14ac:dyDescent="0.2">
      <c r="B3" s="72" t="s">
        <v>474</v>
      </c>
      <c r="C3" s="392"/>
      <c r="D3" s="72"/>
      <c r="F3" s="72"/>
      <c r="G3" s="72"/>
      <c r="H3" s="72"/>
      <c r="I3" s="72"/>
      <c r="J3" s="72"/>
      <c r="K3" s="72"/>
      <c r="L3" s="72"/>
      <c r="M3" s="72"/>
      <c r="N3" s="72"/>
      <c r="O3" s="72"/>
      <c r="P3" s="72"/>
      <c r="Q3" s="72"/>
      <c r="R3" s="72"/>
      <c r="S3" s="72"/>
      <c r="T3" s="72"/>
      <c r="U3" s="72"/>
    </row>
    <row r="4" spans="1:23" x14ac:dyDescent="0.2">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2">
      <c r="D5" s="72"/>
      <c r="E5" s="72"/>
      <c r="F5" s="72"/>
      <c r="G5" s="72"/>
      <c r="H5" s="72"/>
      <c r="I5" s="72"/>
      <c r="J5" s="72"/>
      <c r="K5" s="72"/>
      <c r="L5" s="72"/>
      <c r="M5" s="72"/>
      <c r="N5" s="72"/>
      <c r="O5" s="72"/>
      <c r="P5" s="72"/>
      <c r="Q5" s="72"/>
      <c r="R5" s="72"/>
      <c r="S5" s="72"/>
      <c r="T5" s="72"/>
      <c r="U5" s="72"/>
    </row>
    <row r="6" spans="1:23" s="52" customFormat="1" x14ac:dyDescent="0.2">
      <c r="B6" s="116" t="s">
        <v>438</v>
      </c>
      <c r="C6" s="116" t="s">
        <v>439</v>
      </c>
      <c r="D6" s="72"/>
      <c r="E6" s="72"/>
      <c r="F6" s="72"/>
      <c r="G6" s="72"/>
      <c r="H6" s="72"/>
      <c r="I6" s="72"/>
      <c r="J6" s="72"/>
      <c r="K6" s="72"/>
      <c r="L6" s="72"/>
      <c r="M6" s="72"/>
      <c r="N6" s="72"/>
      <c r="O6" s="72"/>
      <c r="P6" s="72"/>
      <c r="Q6" s="72"/>
      <c r="R6" s="72"/>
      <c r="S6" s="72"/>
      <c r="T6" s="72"/>
      <c r="U6" s="72"/>
    </row>
    <row r="7" spans="1:23" s="52" customFormat="1" x14ac:dyDescent="0.2">
      <c r="B7" s="76"/>
      <c r="C7" s="76"/>
      <c r="D7" s="72"/>
      <c r="E7" s="72"/>
      <c r="F7" s="72"/>
      <c r="G7" s="72"/>
      <c r="H7" s="72"/>
      <c r="I7" s="72"/>
      <c r="J7" s="72"/>
      <c r="K7" s="72"/>
      <c r="L7" s="72"/>
      <c r="M7" s="72"/>
      <c r="N7" s="72"/>
      <c r="O7" s="72"/>
      <c r="P7" s="72"/>
      <c r="Q7" s="72"/>
      <c r="R7" s="72"/>
      <c r="S7" s="72"/>
      <c r="T7" s="72"/>
      <c r="U7" s="72"/>
    </row>
    <row r="8" spans="1:23" s="52" customFormat="1" x14ac:dyDescent="0.2">
      <c r="B8" s="75"/>
      <c r="C8" s="75"/>
      <c r="D8" s="72"/>
      <c r="E8" s="72"/>
      <c r="F8" s="72"/>
      <c r="G8" s="72"/>
      <c r="H8" s="72"/>
      <c r="I8" s="72"/>
      <c r="J8" s="72"/>
      <c r="K8" s="72"/>
      <c r="L8" s="72"/>
      <c r="M8" s="72"/>
      <c r="N8" s="72"/>
      <c r="O8" s="72"/>
      <c r="P8" s="72"/>
      <c r="Q8" s="72"/>
      <c r="R8" s="72"/>
      <c r="S8" s="72"/>
      <c r="T8" s="72"/>
      <c r="U8" s="72"/>
    </row>
    <row r="9" spans="1:23" hidden="1" x14ac:dyDescent="0.2">
      <c r="B9" s="117" t="s">
        <v>469</v>
      </c>
      <c r="C9" s="117" t="s">
        <v>476</v>
      </c>
      <c r="D9" s="72"/>
      <c r="E9" s="72"/>
      <c r="F9" s="72"/>
      <c r="G9" s="72"/>
      <c r="H9" s="72"/>
      <c r="I9" s="72"/>
      <c r="J9" s="67"/>
      <c r="K9" s="67"/>
      <c r="L9" s="67"/>
      <c r="M9" s="67"/>
      <c r="N9" s="72"/>
      <c r="O9" s="72"/>
      <c r="P9" s="72"/>
      <c r="Q9" s="72"/>
      <c r="R9" s="72"/>
      <c r="S9" s="72"/>
      <c r="T9" s="72"/>
      <c r="U9" s="72"/>
    </row>
    <row r="10" spans="1:23" hidden="1" x14ac:dyDescent="0.2">
      <c r="B10" s="69"/>
      <c r="C10" s="69"/>
      <c r="D10" s="72"/>
      <c r="E10" s="72"/>
      <c r="F10" s="72"/>
      <c r="G10" s="72"/>
      <c r="H10" s="72"/>
      <c r="I10" s="72"/>
      <c r="J10" s="67"/>
      <c r="K10" s="67"/>
      <c r="L10" s="67"/>
      <c r="M10" s="67"/>
      <c r="N10" s="72"/>
      <c r="O10" s="72"/>
      <c r="P10" s="72"/>
      <c r="Q10" s="72"/>
      <c r="R10" s="72"/>
      <c r="S10" s="72"/>
      <c r="T10" s="72"/>
      <c r="U10" s="72"/>
    </row>
    <row r="11" spans="1:23" s="52" customFormat="1" ht="15" x14ac:dyDescent="0.25">
      <c r="B11" s="168" t="s">
        <v>490</v>
      </c>
      <c r="C11" s="169" t="s">
        <v>19</v>
      </c>
      <c r="D11" s="226" t="str">
        <f ca="1">"On aggregate, 1 patient = "&amp;TEXT('Demand background (hide)'!$BN$16,"#.#")&amp;" "&amp;Setup!$I$17</f>
        <v>On aggregate, 1 patient = 1. Minutes</v>
      </c>
      <c r="E11" s="72"/>
      <c r="F11" s="72"/>
      <c r="G11" s="72"/>
      <c r="H11" s="72"/>
      <c r="I11" s="72"/>
      <c r="J11" s="72"/>
      <c r="K11" s="72"/>
      <c r="L11" s="72"/>
      <c r="M11" s="72"/>
      <c r="N11" s="72"/>
      <c r="O11" s="72"/>
      <c r="P11" s="72"/>
      <c r="Q11" s="72"/>
      <c r="R11" s="72"/>
      <c r="S11" s="72"/>
      <c r="T11" s="72"/>
      <c r="U11" s="72"/>
    </row>
    <row r="12" spans="1:23" s="52" customFormat="1" ht="15" x14ac:dyDescent="0.25">
      <c r="B12" s="56" t="s">
        <v>1283</v>
      </c>
      <c r="C12" s="382" t="s">
        <v>1291</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9" t="s">
        <v>440</v>
      </c>
      <c r="C13" s="419"/>
      <c r="D13" s="73"/>
      <c r="E13" s="73"/>
      <c r="F13" s="73"/>
      <c r="G13" s="73"/>
      <c r="H13" s="73"/>
      <c r="I13" s="73"/>
      <c r="J13" s="72"/>
      <c r="K13" s="72"/>
      <c r="L13" s="72"/>
      <c r="M13" s="72"/>
      <c r="N13" s="72"/>
      <c r="O13" s="72"/>
      <c r="P13" s="72"/>
      <c r="Q13" s="72"/>
      <c r="R13" s="72"/>
      <c r="S13" s="72"/>
      <c r="T13" s="72"/>
      <c r="U13" s="72"/>
    </row>
    <row r="14" spans="1:23" x14ac:dyDescent="0.2">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2">
      <c r="A15" s="226"/>
      <c r="B15" s="72"/>
      <c r="C15" s="72"/>
      <c r="D15" s="72"/>
      <c r="E15" s="72"/>
      <c r="F15" s="72"/>
      <c r="G15" s="71"/>
      <c r="H15" s="225">
        <f>SUMIF(L17:L116,"x",H17:H116)</f>
        <v>0</v>
      </c>
      <c r="I15" s="225">
        <f>H15/52</f>
        <v>0</v>
      </c>
      <c r="J15" s="67"/>
      <c r="K15" s="67"/>
      <c r="L15" s="67"/>
      <c r="M15" s="368"/>
      <c r="N15" s="72"/>
      <c r="O15" s="72"/>
      <c r="P15" s="72"/>
      <c r="Q15" s="72"/>
      <c r="R15" s="119" t="s">
        <v>255</v>
      </c>
      <c r="S15" s="119"/>
      <c r="T15" s="224">
        <f>SUMIF(V17:V116,"x",T17:T116)</f>
        <v>0</v>
      </c>
      <c r="U15" s="224">
        <f>SUM(U17:U116)</f>
        <v>0</v>
      </c>
      <c r="W15" s="72"/>
    </row>
    <row r="16" spans="1:23" ht="44.25" customHeight="1" x14ac:dyDescent="0.2">
      <c r="A16" s="293">
        <f>MAX(A17:A116)</f>
        <v>0</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1241</v>
      </c>
      <c r="M16" s="294">
        <f>MAX(M17:M116)</f>
        <v>0</v>
      </c>
      <c r="N16" s="296" t="s">
        <v>512</v>
      </c>
      <c r="O16" s="296" t="s">
        <v>513</v>
      </c>
      <c r="P16" s="296" t="s">
        <v>514</v>
      </c>
      <c r="Q16" s="296" t="s">
        <v>253</v>
      </c>
      <c r="R16" s="296" t="str">
        <f>C11&amp;" Per Clinic"</f>
        <v>Patients Per Clinic</v>
      </c>
      <c r="S16" s="296" t="s">
        <v>441</v>
      </c>
      <c r="T16" s="296" t="str">
        <f>"Total 
("&amp;C11&amp;")"</f>
        <v>Total 
(Patients)</v>
      </c>
      <c r="U16" s="296" t="s">
        <v>254</v>
      </c>
      <c r="V16" s="312" t="s">
        <v>1241</v>
      </c>
      <c r="W16" s="72"/>
    </row>
    <row r="17" spans="1:23" x14ac:dyDescent="0.2">
      <c r="A17" s="293">
        <f>IF(B17&lt;&gt;"",ROW(A1),0)</f>
        <v>0</v>
      </c>
      <c r="B17" s="163"/>
      <c r="C17" s="163"/>
      <c r="D17" s="163"/>
      <c r="E17" s="175"/>
      <c r="F17" s="175"/>
      <c r="G17" s="130"/>
      <c r="H17" s="222"/>
      <c r="I17" s="299"/>
      <c r="J17" s="67"/>
      <c r="K17" s="67"/>
      <c r="L17" s="361" t="s">
        <v>1236</v>
      </c>
      <c r="M17" s="294">
        <f>IF(N17&lt;&gt;"",ROW(A1),0)</f>
        <v>0</v>
      </c>
      <c r="N17" s="176"/>
      <c r="O17" s="176"/>
      <c r="P17" s="176"/>
      <c r="Q17" s="177"/>
      <c r="R17" s="177"/>
      <c r="S17" s="131"/>
      <c r="T17" s="223"/>
      <c r="U17" s="300"/>
      <c r="V17" s="362" t="s">
        <v>1236</v>
      </c>
      <c r="W17" s="72"/>
    </row>
    <row r="18" spans="1:23" x14ac:dyDescent="0.2">
      <c r="A18" s="293">
        <f t="shared" ref="A18:A81" si="0">IF(B18&lt;&gt;"",ROW(A2),0)</f>
        <v>0</v>
      </c>
      <c r="B18" s="163"/>
      <c r="C18" s="163"/>
      <c r="D18" s="163"/>
      <c r="E18" s="175"/>
      <c r="F18" s="175"/>
      <c r="G18" s="130"/>
      <c r="H18" s="222"/>
      <c r="I18" s="299"/>
      <c r="J18" s="67"/>
      <c r="K18" s="67"/>
      <c r="L18" s="361" t="s">
        <v>1236</v>
      </c>
      <c r="M18" s="294">
        <f t="shared" ref="M18:M81" si="1">IF(N18&lt;&gt;"",ROW(A2),0)</f>
        <v>0</v>
      </c>
      <c r="N18" s="176"/>
      <c r="O18" s="163"/>
      <c r="P18" s="163"/>
      <c r="Q18" s="175"/>
      <c r="R18" s="175"/>
      <c r="S18" s="130"/>
      <c r="T18" s="223"/>
      <c r="U18" s="299"/>
      <c r="V18" s="362" t="s">
        <v>1236</v>
      </c>
      <c r="W18" s="72"/>
    </row>
    <row r="19" spans="1:23" x14ac:dyDescent="0.2">
      <c r="A19" s="293">
        <f t="shared" si="0"/>
        <v>0</v>
      </c>
      <c r="B19" s="163"/>
      <c r="C19" s="163"/>
      <c r="D19" s="163"/>
      <c r="E19" s="175"/>
      <c r="F19" s="175"/>
      <c r="G19" s="130"/>
      <c r="H19" s="222"/>
      <c r="I19" s="299"/>
      <c r="J19" s="67"/>
      <c r="K19" s="67"/>
      <c r="L19" s="361" t="s">
        <v>1236</v>
      </c>
      <c r="M19" s="294">
        <f t="shared" si="1"/>
        <v>0</v>
      </c>
      <c r="N19" s="176"/>
      <c r="O19" s="163"/>
      <c r="P19" s="163"/>
      <c r="Q19" s="175"/>
      <c r="R19" s="175"/>
      <c r="S19" s="130"/>
      <c r="T19" s="223" t="str">
        <f t="shared" ref="T19:T81" si="2">IF(ROW(A3)&lt;=$M$16,R19*Q19,"")</f>
        <v/>
      </c>
      <c r="U19" s="222" t="str">
        <f t="shared" ref="U19:U81" si="3">IFERROR(T19/52,"")</f>
        <v/>
      </c>
      <c r="V19" s="362" t="s">
        <v>1236</v>
      </c>
      <c r="W19" s="72"/>
    </row>
    <row r="20" spans="1:23" x14ac:dyDescent="0.2">
      <c r="A20" s="293">
        <f t="shared" si="0"/>
        <v>0</v>
      </c>
      <c r="B20" s="163"/>
      <c r="C20" s="163"/>
      <c r="D20" s="163"/>
      <c r="E20" s="175"/>
      <c r="F20" s="175"/>
      <c r="G20" s="130"/>
      <c r="H20" s="222"/>
      <c r="I20" s="299"/>
      <c r="J20" s="67"/>
      <c r="K20" s="67"/>
      <c r="L20" s="361" t="s">
        <v>1236</v>
      </c>
      <c r="M20" s="294">
        <f t="shared" si="1"/>
        <v>0</v>
      </c>
      <c r="N20" s="176"/>
      <c r="O20" s="163"/>
      <c r="P20" s="163"/>
      <c r="Q20" s="175"/>
      <c r="R20" s="175"/>
      <c r="S20" s="130"/>
      <c r="T20" s="223" t="str">
        <f t="shared" si="2"/>
        <v/>
      </c>
      <c r="U20" s="222" t="str">
        <f t="shared" si="3"/>
        <v/>
      </c>
      <c r="V20" s="362" t="s">
        <v>1236</v>
      </c>
      <c r="W20" s="72"/>
    </row>
    <row r="21" spans="1:23" x14ac:dyDescent="0.2">
      <c r="A21" s="293">
        <f t="shared" si="0"/>
        <v>0</v>
      </c>
      <c r="B21" s="163"/>
      <c r="C21" s="163"/>
      <c r="D21" s="163"/>
      <c r="E21" s="175"/>
      <c r="F21" s="175"/>
      <c r="G21" s="130"/>
      <c r="H21" s="222" t="str">
        <f t="shared" ref="H21:H81" si="4">IF(ROW(A5)&lt;=$A$16,F21*E21,"")</f>
        <v/>
      </c>
      <c r="I21" s="222" t="str">
        <f t="shared" ref="I21:I81" si="5">IFERROR(H21/52,"")</f>
        <v/>
      </c>
      <c r="J21" s="67"/>
      <c r="K21" s="67"/>
      <c r="L21" s="361" t="s">
        <v>1236</v>
      </c>
      <c r="M21" s="294">
        <f t="shared" si="1"/>
        <v>0</v>
      </c>
      <c r="N21" s="176"/>
      <c r="O21" s="163"/>
      <c r="P21" s="163"/>
      <c r="Q21" s="175"/>
      <c r="R21" s="175"/>
      <c r="S21" s="130"/>
      <c r="T21" s="223" t="str">
        <f t="shared" si="2"/>
        <v/>
      </c>
      <c r="U21" s="222" t="str">
        <f t="shared" si="3"/>
        <v/>
      </c>
      <c r="V21" s="362" t="s">
        <v>1236</v>
      </c>
      <c r="W21" s="72"/>
    </row>
    <row r="22" spans="1:23" x14ac:dyDescent="0.2">
      <c r="A22" s="293">
        <f t="shared" si="0"/>
        <v>0</v>
      </c>
      <c r="B22" s="163"/>
      <c r="C22" s="163"/>
      <c r="D22" s="163"/>
      <c r="E22" s="175"/>
      <c r="F22" s="175"/>
      <c r="G22" s="130"/>
      <c r="H22" s="222" t="str">
        <f t="shared" si="4"/>
        <v/>
      </c>
      <c r="I22" s="222" t="str">
        <f t="shared" si="5"/>
        <v/>
      </c>
      <c r="J22" s="67"/>
      <c r="K22" s="67"/>
      <c r="L22" s="361" t="s">
        <v>1236</v>
      </c>
      <c r="M22" s="294">
        <f t="shared" si="1"/>
        <v>0</v>
      </c>
      <c r="N22" s="176"/>
      <c r="O22" s="163"/>
      <c r="P22" s="163"/>
      <c r="Q22" s="175"/>
      <c r="R22" s="175"/>
      <c r="S22" s="130"/>
      <c r="T22" s="223" t="str">
        <f t="shared" si="2"/>
        <v/>
      </c>
      <c r="U22" s="222" t="str">
        <f t="shared" si="3"/>
        <v/>
      </c>
      <c r="V22" s="362" t="s">
        <v>1236</v>
      </c>
      <c r="W22" s="72"/>
    </row>
    <row r="23" spans="1:23" x14ac:dyDescent="0.2">
      <c r="A23" s="293">
        <f t="shared" si="0"/>
        <v>0</v>
      </c>
      <c r="B23" s="163"/>
      <c r="C23" s="163"/>
      <c r="D23" s="163"/>
      <c r="E23" s="175"/>
      <c r="F23" s="175"/>
      <c r="G23" s="130"/>
      <c r="H23" s="222" t="str">
        <f t="shared" si="4"/>
        <v/>
      </c>
      <c r="I23" s="222" t="str">
        <f t="shared" si="5"/>
        <v/>
      </c>
      <c r="J23" s="67"/>
      <c r="K23" s="67"/>
      <c r="L23" s="361" t="s">
        <v>1236</v>
      </c>
      <c r="M23" s="294">
        <f t="shared" si="1"/>
        <v>0</v>
      </c>
      <c r="N23" s="176"/>
      <c r="O23" s="163"/>
      <c r="P23" s="163"/>
      <c r="Q23" s="175"/>
      <c r="R23" s="175"/>
      <c r="S23" s="130"/>
      <c r="T23" s="223" t="str">
        <f t="shared" si="2"/>
        <v/>
      </c>
      <c r="U23" s="222" t="str">
        <f t="shared" si="3"/>
        <v/>
      </c>
      <c r="V23" s="362" t="s">
        <v>1236</v>
      </c>
      <c r="W23" s="72"/>
    </row>
    <row r="24" spans="1:23" x14ac:dyDescent="0.2">
      <c r="A24" s="293">
        <f t="shared" si="0"/>
        <v>0</v>
      </c>
      <c r="B24" s="163"/>
      <c r="C24" s="163"/>
      <c r="D24" s="163"/>
      <c r="E24" s="175"/>
      <c r="F24" s="175"/>
      <c r="G24" s="130"/>
      <c r="H24" s="222" t="str">
        <f t="shared" si="4"/>
        <v/>
      </c>
      <c r="I24" s="222" t="str">
        <f t="shared" si="5"/>
        <v/>
      </c>
      <c r="J24" s="67"/>
      <c r="K24" s="67"/>
      <c r="L24" s="361" t="s">
        <v>1236</v>
      </c>
      <c r="M24" s="294">
        <f t="shared" si="1"/>
        <v>0</v>
      </c>
      <c r="N24" s="176"/>
      <c r="O24" s="163"/>
      <c r="P24" s="163"/>
      <c r="Q24" s="175"/>
      <c r="R24" s="175"/>
      <c r="S24" s="130"/>
      <c r="T24" s="223" t="str">
        <f t="shared" si="2"/>
        <v/>
      </c>
      <c r="U24" s="222" t="str">
        <f t="shared" si="3"/>
        <v/>
      </c>
      <c r="V24" s="362" t="s">
        <v>1236</v>
      </c>
      <c r="W24" s="72"/>
    </row>
    <row r="25" spans="1:23" x14ac:dyDescent="0.2">
      <c r="A25" s="293">
        <f t="shared" si="0"/>
        <v>0</v>
      </c>
      <c r="B25" s="163"/>
      <c r="C25" s="163"/>
      <c r="D25" s="163"/>
      <c r="E25" s="175"/>
      <c r="F25" s="175"/>
      <c r="G25" s="130"/>
      <c r="H25" s="222" t="str">
        <f t="shared" si="4"/>
        <v/>
      </c>
      <c r="I25" s="222" t="str">
        <f t="shared" si="5"/>
        <v/>
      </c>
      <c r="J25" s="67"/>
      <c r="K25" s="67"/>
      <c r="L25" s="361" t="s">
        <v>1236</v>
      </c>
      <c r="M25" s="294">
        <f t="shared" si="1"/>
        <v>0</v>
      </c>
      <c r="N25" s="176"/>
      <c r="O25" s="163"/>
      <c r="P25" s="163"/>
      <c r="Q25" s="175"/>
      <c r="R25" s="175"/>
      <c r="S25" s="130"/>
      <c r="T25" s="223" t="str">
        <f t="shared" si="2"/>
        <v/>
      </c>
      <c r="U25" s="222" t="str">
        <f t="shared" si="3"/>
        <v/>
      </c>
      <c r="V25" s="362" t="s">
        <v>1236</v>
      </c>
      <c r="W25" s="72"/>
    </row>
    <row r="26" spans="1:23" x14ac:dyDescent="0.2">
      <c r="A26" s="293">
        <f t="shared" si="0"/>
        <v>0</v>
      </c>
      <c r="B26" s="163"/>
      <c r="C26" s="163"/>
      <c r="D26" s="163"/>
      <c r="E26" s="175"/>
      <c r="F26" s="175"/>
      <c r="G26" s="130"/>
      <c r="H26" s="222" t="str">
        <f t="shared" si="4"/>
        <v/>
      </c>
      <c r="I26" s="222" t="str">
        <f t="shared" si="5"/>
        <v/>
      </c>
      <c r="J26" s="67"/>
      <c r="K26" s="67"/>
      <c r="L26" s="361" t="s">
        <v>1236</v>
      </c>
      <c r="M26" s="294">
        <f t="shared" si="1"/>
        <v>0</v>
      </c>
      <c r="N26" s="176"/>
      <c r="O26" s="163"/>
      <c r="P26" s="163"/>
      <c r="Q26" s="175"/>
      <c r="R26" s="175"/>
      <c r="S26" s="130"/>
      <c r="T26" s="223" t="str">
        <f t="shared" si="2"/>
        <v/>
      </c>
      <c r="U26" s="222" t="str">
        <f t="shared" si="3"/>
        <v/>
      </c>
      <c r="V26" s="362" t="s">
        <v>1236</v>
      </c>
      <c r="W26" s="72"/>
    </row>
    <row r="27" spans="1:23" x14ac:dyDescent="0.2">
      <c r="A27" s="293">
        <f t="shared" si="0"/>
        <v>0</v>
      </c>
      <c r="B27" s="163"/>
      <c r="C27" s="163"/>
      <c r="D27" s="163"/>
      <c r="E27" s="175"/>
      <c r="F27" s="175"/>
      <c r="G27" s="130"/>
      <c r="H27" s="222" t="str">
        <f t="shared" si="4"/>
        <v/>
      </c>
      <c r="I27" s="222" t="str">
        <f t="shared" si="5"/>
        <v/>
      </c>
      <c r="J27" s="67"/>
      <c r="K27" s="67"/>
      <c r="L27" s="361" t="s">
        <v>1236</v>
      </c>
      <c r="M27" s="294">
        <f t="shared" si="1"/>
        <v>0</v>
      </c>
      <c r="N27" s="176"/>
      <c r="O27" s="163"/>
      <c r="P27" s="163"/>
      <c r="Q27" s="175"/>
      <c r="R27" s="175"/>
      <c r="S27" s="130"/>
      <c r="T27" s="223" t="str">
        <f t="shared" si="2"/>
        <v/>
      </c>
      <c r="U27" s="222" t="str">
        <f t="shared" si="3"/>
        <v/>
      </c>
      <c r="V27" s="362" t="s">
        <v>1236</v>
      </c>
      <c r="W27" s="72"/>
    </row>
    <row r="28" spans="1:23" x14ac:dyDescent="0.2">
      <c r="A28" s="293">
        <f t="shared" si="0"/>
        <v>0</v>
      </c>
      <c r="B28" s="163"/>
      <c r="C28" s="163"/>
      <c r="D28" s="163"/>
      <c r="E28" s="175"/>
      <c r="F28" s="175"/>
      <c r="G28" s="130"/>
      <c r="H28" s="222" t="str">
        <f t="shared" si="4"/>
        <v/>
      </c>
      <c r="I28" s="222" t="str">
        <f t="shared" si="5"/>
        <v/>
      </c>
      <c r="J28" s="67"/>
      <c r="K28" s="67"/>
      <c r="L28" s="361" t="s">
        <v>1236</v>
      </c>
      <c r="M28" s="294">
        <f t="shared" si="1"/>
        <v>0</v>
      </c>
      <c r="N28" s="176"/>
      <c r="O28" s="163"/>
      <c r="P28" s="163"/>
      <c r="Q28" s="175"/>
      <c r="R28" s="175"/>
      <c r="S28" s="130"/>
      <c r="T28" s="223" t="str">
        <f t="shared" si="2"/>
        <v/>
      </c>
      <c r="U28" s="222" t="str">
        <f t="shared" si="3"/>
        <v/>
      </c>
      <c r="V28" s="362" t="s">
        <v>1236</v>
      </c>
      <c r="W28" s="72"/>
    </row>
    <row r="29" spans="1:23" x14ac:dyDescent="0.2">
      <c r="A29" s="293">
        <f t="shared" si="0"/>
        <v>0</v>
      </c>
      <c r="B29" s="163"/>
      <c r="C29" s="163"/>
      <c r="D29" s="163"/>
      <c r="E29" s="175"/>
      <c r="F29" s="175"/>
      <c r="G29" s="130"/>
      <c r="H29" s="222" t="str">
        <f t="shared" si="4"/>
        <v/>
      </c>
      <c r="I29" s="222" t="str">
        <f t="shared" si="5"/>
        <v/>
      </c>
      <c r="J29" s="67"/>
      <c r="K29" s="67"/>
      <c r="L29" s="361" t="s">
        <v>1236</v>
      </c>
      <c r="M29" s="294">
        <f t="shared" si="1"/>
        <v>0</v>
      </c>
      <c r="N29" s="176"/>
      <c r="O29" s="163"/>
      <c r="P29" s="163"/>
      <c r="Q29" s="175"/>
      <c r="R29" s="175"/>
      <c r="S29" s="130"/>
      <c r="T29" s="223" t="str">
        <f t="shared" si="2"/>
        <v/>
      </c>
      <c r="U29" s="222" t="str">
        <f t="shared" si="3"/>
        <v/>
      </c>
      <c r="V29" s="362" t="s">
        <v>1236</v>
      </c>
      <c r="W29" s="72"/>
    </row>
    <row r="30" spans="1:23" x14ac:dyDescent="0.2">
      <c r="A30" s="293">
        <f t="shared" si="0"/>
        <v>0</v>
      </c>
      <c r="B30" s="163"/>
      <c r="C30" s="163"/>
      <c r="D30" s="163"/>
      <c r="E30" s="175"/>
      <c r="F30" s="175"/>
      <c r="G30" s="130"/>
      <c r="H30" s="222" t="str">
        <f t="shared" si="4"/>
        <v/>
      </c>
      <c r="I30" s="222" t="str">
        <f t="shared" si="5"/>
        <v/>
      </c>
      <c r="J30" s="67"/>
      <c r="K30" s="67"/>
      <c r="L30" s="361" t="s">
        <v>1236</v>
      </c>
      <c r="M30" s="294">
        <f t="shared" si="1"/>
        <v>0</v>
      </c>
      <c r="N30" s="176"/>
      <c r="O30" s="163"/>
      <c r="P30" s="163"/>
      <c r="Q30" s="175"/>
      <c r="R30" s="175"/>
      <c r="S30" s="130"/>
      <c r="T30" s="223" t="str">
        <f t="shared" si="2"/>
        <v/>
      </c>
      <c r="U30" s="222" t="str">
        <f t="shared" si="3"/>
        <v/>
      </c>
      <c r="V30" s="362" t="s">
        <v>1236</v>
      </c>
      <c r="W30" s="72"/>
    </row>
    <row r="31" spans="1:23" x14ac:dyDescent="0.2">
      <c r="A31" s="293">
        <f t="shared" si="0"/>
        <v>0</v>
      </c>
      <c r="B31" s="163"/>
      <c r="C31" s="163"/>
      <c r="D31" s="163"/>
      <c r="E31" s="175"/>
      <c r="F31" s="175"/>
      <c r="G31" s="130"/>
      <c r="H31" s="222" t="str">
        <f t="shared" si="4"/>
        <v/>
      </c>
      <c r="I31" s="222" t="str">
        <f t="shared" si="5"/>
        <v/>
      </c>
      <c r="J31" s="67"/>
      <c r="K31" s="67"/>
      <c r="L31" s="361" t="s">
        <v>1236</v>
      </c>
      <c r="M31" s="294">
        <f t="shared" si="1"/>
        <v>0</v>
      </c>
      <c r="N31" s="176"/>
      <c r="O31" s="163"/>
      <c r="P31" s="163"/>
      <c r="Q31" s="175"/>
      <c r="R31" s="175"/>
      <c r="S31" s="130"/>
      <c r="T31" s="223" t="str">
        <f t="shared" si="2"/>
        <v/>
      </c>
      <c r="U31" s="222" t="str">
        <f t="shared" si="3"/>
        <v/>
      </c>
      <c r="V31" s="362" t="s">
        <v>1236</v>
      </c>
      <c r="W31" s="72"/>
    </row>
    <row r="32" spans="1:23" x14ac:dyDescent="0.2">
      <c r="A32" s="293">
        <f t="shared" si="0"/>
        <v>0</v>
      </c>
      <c r="B32" s="163"/>
      <c r="C32" s="163"/>
      <c r="D32" s="163"/>
      <c r="E32" s="175"/>
      <c r="F32" s="175"/>
      <c r="G32" s="130"/>
      <c r="H32" s="222" t="str">
        <f t="shared" si="4"/>
        <v/>
      </c>
      <c r="I32" s="222" t="str">
        <f t="shared" si="5"/>
        <v/>
      </c>
      <c r="J32" s="67"/>
      <c r="K32" s="67"/>
      <c r="L32" s="361" t="s">
        <v>1236</v>
      </c>
      <c r="M32" s="294">
        <f t="shared" si="1"/>
        <v>0</v>
      </c>
      <c r="N32" s="176"/>
      <c r="O32" s="163"/>
      <c r="P32" s="163"/>
      <c r="Q32" s="175"/>
      <c r="R32" s="175"/>
      <c r="S32" s="130"/>
      <c r="T32" s="223" t="str">
        <f t="shared" si="2"/>
        <v/>
      </c>
      <c r="U32" s="222" t="str">
        <f t="shared" si="3"/>
        <v/>
      </c>
      <c r="V32" s="362" t="s">
        <v>1236</v>
      </c>
      <c r="W32" s="72"/>
    </row>
    <row r="33" spans="1:23" x14ac:dyDescent="0.2">
      <c r="A33" s="293">
        <f t="shared" si="0"/>
        <v>0</v>
      </c>
      <c r="B33" s="163"/>
      <c r="C33" s="163"/>
      <c r="D33" s="163"/>
      <c r="E33" s="175"/>
      <c r="F33" s="175"/>
      <c r="G33" s="130"/>
      <c r="H33" s="222" t="str">
        <f t="shared" si="4"/>
        <v/>
      </c>
      <c r="I33" s="222" t="str">
        <f t="shared" si="5"/>
        <v/>
      </c>
      <c r="J33" s="67"/>
      <c r="K33" s="67"/>
      <c r="L33" s="361" t="s">
        <v>1236</v>
      </c>
      <c r="M33" s="294">
        <f t="shared" si="1"/>
        <v>0</v>
      </c>
      <c r="N33" s="176"/>
      <c r="O33" s="163"/>
      <c r="P33" s="163"/>
      <c r="Q33" s="175"/>
      <c r="R33" s="175"/>
      <c r="S33" s="130"/>
      <c r="T33" s="223" t="str">
        <f t="shared" si="2"/>
        <v/>
      </c>
      <c r="U33" s="222" t="str">
        <f t="shared" si="3"/>
        <v/>
      </c>
      <c r="V33" s="362" t="s">
        <v>1236</v>
      </c>
      <c r="W33" s="72"/>
    </row>
    <row r="34" spans="1:23" x14ac:dyDescent="0.2">
      <c r="A34" s="293">
        <f t="shared" si="0"/>
        <v>0</v>
      </c>
      <c r="B34" s="163"/>
      <c r="C34" s="163"/>
      <c r="D34" s="163"/>
      <c r="E34" s="175"/>
      <c r="F34" s="175"/>
      <c r="G34" s="130"/>
      <c r="H34" s="222" t="str">
        <f t="shared" si="4"/>
        <v/>
      </c>
      <c r="I34" s="222" t="str">
        <f t="shared" si="5"/>
        <v/>
      </c>
      <c r="J34" s="67"/>
      <c r="K34" s="67"/>
      <c r="L34" s="361" t="s">
        <v>1236</v>
      </c>
      <c r="M34" s="294">
        <f t="shared" si="1"/>
        <v>0</v>
      </c>
      <c r="N34" s="176"/>
      <c r="O34" s="163"/>
      <c r="P34" s="163"/>
      <c r="Q34" s="175"/>
      <c r="R34" s="175"/>
      <c r="S34" s="130"/>
      <c r="T34" s="223" t="str">
        <f t="shared" si="2"/>
        <v/>
      </c>
      <c r="U34" s="222" t="str">
        <f t="shared" si="3"/>
        <v/>
      </c>
      <c r="V34" s="362" t="s">
        <v>1236</v>
      </c>
      <c r="W34" s="72"/>
    </row>
    <row r="35" spans="1:23" x14ac:dyDescent="0.2">
      <c r="A35" s="293">
        <f t="shared" si="0"/>
        <v>0</v>
      </c>
      <c r="B35" s="163"/>
      <c r="C35" s="163"/>
      <c r="D35" s="163"/>
      <c r="E35" s="175"/>
      <c r="F35" s="175"/>
      <c r="G35" s="130"/>
      <c r="H35" s="222" t="str">
        <f t="shared" si="4"/>
        <v/>
      </c>
      <c r="I35" s="222" t="str">
        <f t="shared" si="5"/>
        <v/>
      </c>
      <c r="J35" s="67"/>
      <c r="K35" s="67"/>
      <c r="L35" s="361" t="s">
        <v>1236</v>
      </c>
      <c r="M35" s="294">
        <f t="shared" si="1"/>
        <v>0</v>
      </c>
      <c r="N35" s="176"/>
      <c r="O35" s="163"/>
      <c r="P35" s="163"/>
      <c r="Q35" s="175"/>
      <c r="R35" s="175"/>
      <c r="S35" s="130"/>
      <c r="T35" s="223" t="str">
        <f t="shared" si="2"/>
        <v/>
      </c>
      <c r="U35" s="222" t="str">
        <f t="shared" si="3"/>
        <v/>
      </c>
      <c r="V35" s="362" t="s">
        <v>1236</v>
      </c>
      <c r="W35" s="72"/>
    </row>
    <row r="36" spans="1:23" x14ac:dyDescent="0.2">
      <c r="A36" s="293">
        <f t="shared" si="0"/>
        <v>0</v>
      </c>
      <c r="B36" s="163"/>
      <c r="C36" s="163"/>
      <c r="D36" s="163"/>
      <c r="E36" s="175"/>
      <c r="F36" s="175"/>
      <c r="G36" s="130"/>
      <c r="H36" s="222" t="str">
        <f t="shared" si="4"/>
        <v/>
      </c>
      <c r="I36" s="222" t="str">
        <f t="shared" si="5"/>
        <v/>
      </c>
      <c r="J36" s="67"/>
      <c r="K36" s="67"/>
      <c r="L36" s="361" t="s">
        <v>1236</v>
      </c>
      <c r="M36" s="294">
        <f t="shared" si="1"/>
        <v>0</v>
      </c>
      <c r="N36" s="176"/>
      <c r="O36" s="163"/>
      <c r="P36" s="163"/>
      <c r="Q36" s="175"/>
      <c r="R36" s="175"/>
      <c r="S36" s="130"/>
      <c r="T36" s="223" t="str">
        <f t="shared" si="2"/>
        <v/>
      </c>
      <c r="U36" s="222" t="str">
        <f t="shared" si="3"/>
        <v/>
      </c>
      <c r="V36" s="362" t="s">
        <v>1236</v>
      </c>
      <c r="W36" s="72"/>
    </row>
    <row r="37" spans="1:23" x14ac:dyDescent="0.2">
      <c r="A37" s="293">
        <f t="shared" si="0"/>
        <v>0</v>
      </c>
      <c r="B37" s="163"/>
      <c r="C37" s="163"/>
      <c r="D37" s="163"/>
      <c r="E37" s="175"/>
      <c r="F37" s="175"/>
      <c r="G37" s="130"/>
      <c r="H37" s="222" t="str">
        <f t="shared" si="4"/>
        <v/>
      </c>
      <c r="I37" s="222" t="str">
        <f t="shared" si="5"/>
        <v/>
      </c>
      <c r="J37" s="67"/>
      <c r="K37" s="67"/>
      <c r="L37" s="361" t="s">
        <v>1236</v>
      </c>
      <c r="M37" s="294">
        <f t="shared" si="1"/>
        <v>0</v>
      </c>
      <c r="N37" s="176"/>
      <c r="O37" s="163"/>
      <c r="P37" s="163"/>
      <c r="Q37" s="175"/>
      <c r="R37" s="175"/>
      <c r="S37" s="130"/>
      <c r="T37" s="223" t="str">
        <f t="shared" si="2"/>
        <v/>
      </c>
      <c r="U37" s="222" t="str">
        <f t="shared" si="3"/>
        <v/>
      </c>
      <c r="V37" s="362" t="s">
        <v>1236</v>
      </c>
      <c r="W37" s="72"/>
    </row>
    <row r="38" spans="1:23" x14ac:dyDescent="0.2">
      <c r="A38" s="293">
        <f t="shared" si="0"/>
        <v>0</v>
      </c>
      <c r="B38" s="163"/>
      <c r="C38" s="163"/>
      <c r="D38" s="163"/>
      <c r="E38" s="175"/>
      <c r="F38" s="175"/>
      <c r="G38" s="130"/>
      <c r="H38" s="222" t="str">
        <f t="shared" si="4"/>
        <v/>
      </c>
      <c r="I38" s="222" t="str">
        <f t="shared" si="5"/>
        <v/>
      </c>
      <c r="J38" s="67"/>
      <c r="K38" s="67"/>
      <c r="L38" s="361" t="s">
        <v>1236</v>
      </c>
      <c r="M38" s="294">
        <f t="shared" si="1"/>
        <v>0</v>
      </c>
      <c r="N38" s="176"/>
      <c r="O38" s="163"/>
      <c r="P38" s="163"/>
      <c r="Q38" s="175"/>
      <c r="R38" s="175"/>
      <c r="S38" s="130"/>
      <c r="T38" s="223" t="str">
        <f t="shared" si="2"/>
        <v/>
      </c>
      <c r="U38" s="222" t="str">
        <f t="shared" si="3"/>
        <v/>
      </c>
      <c r="V38" s="362" t="s">
        <v>1236</v>
      </c>
      <c r="W38" s="72"/>
    </row>
    <row r="39" spans="1:23" x14ac:dyDescent="0.2">
      <c r="A39" s="293">
        <f t="shared" si="0"/>
        <v>0</v>
      </c>
      <c r="B39" s="163"/>
      <c r="C39" s="163"/>
      <c r="D39" s="163"/>
      <c r="E39" s="175"/>
      <c r="F39" s="175"/>
      <c r="G39" s="130"/>
      <c r="H39" s="222" t="str">
        <f t="shared" si="4"/>
        <v/>
      </c>
      <c r="I39" s="222" t="str">
        <f t="shared" si="5"/>
        <v/>
      </c>
      <c r="J39" s="67"/>
      <c r="K39" s="67"/>
      <c r="L39" s="361" t="s">
        <v>1236</v>
      </c>
      <c r="M39" s="294">
        <f t="shared" si="1"/>
        <v>0</v>
      </c>
      <c r="N39" s="176"/>
      <c r="O39" s="163"/>
      <c r="P39" s="163"/>
      <c r="Q39" s="175"/>
      <c r="R39" s="175"/>
      <c r="S39" s="130"/>
      <c r="T39" s="223" t="str">
        <f t="shared" si="2"/>
        <v/>
      </c>
      <c r="U39" s="222" t="str">
        <f t="shared" si="3"/>
        <v/>
      </c>
      <c r="V39" s="362" t="s">
        <v>1236</v>
      </c>
      <c r="W39" s="72"/>
    </row>
    <row r="40" spans="1:23" x14ac:dyDescent="0.2">
      <c r="A40" s="293">
        <f t="shared" si="0"/>
        <v>0</v>
      </c>
      <c r="B40" s="163"/>
      <c r="C40" s="163"/>
      <c r="D40" s="163"/>
      <c r="E40" s="175"/>
      <c r="F40" s="175"/>
      <c r="G40" s="130"/>
      <c r="H40" s="222" t="str">
        <f t="shared" si="4"/>
        <v/>
      </c>
      <c r="I40" s="222" t="str">
        <f t="shared" si="5"/>
        <v/>
      </c>
      <c r="J40" s="67"/>
      <c r="K40" s="67"/>
      <c r="L40" s="361" t="s">
        <v>1236</v>
      </c>
      <c r="M40" s="294">
        <f t="shared" si="1"/>
        <v>0</v>
      </c>
      <c r="N40" s="176"/>
      <c r="O40" s="163"/>
      <c r="P40" s="163"/>
      <c r="Q40" s="175"/>
      <c r="R40" s="175"/>
      <c r="S40" s="130"/>
      <c r="T40" s="223" t="str">
        <f t="shared" si="2"/>
        <v/>
      </c>
      <c r="U40" s="222" t="str">
        <f t="shared" si="3"/>
        <v/>
      </c>
      <c r="V40" s="362" t="s">
        <v>1236</v>
      </c>
      <c r="W40" s="72"/>
    </row>
    <row r="41" spans="1:23" x14ac:dyDescent="0.2">
      <c r="A41" s="293">
        <f t="shared" si="0"/>
        <v>0</v>
      </c>
      <c r="B41" s="163"/>
      <c r="C41" s="163"/>
      <c r="D41" s="163"/>
      <c r="E41" s="175"/>
      <c r="F41" s="175"/>
      <c r="G41" s="130"/>
      <c r="H41" s="222" t="str">
        <f t="shared" si="4"/>
        <v/>
      </c>
      <c r="I41" s="222" t="str">
        <f t="shared" si="5"/>
        <v/>
      </c>
      <c r="J41" s="67"/>
      <c r="K41" s="67"/>
      <c r="L41" s="361" t="s">
        <v>1236</v>
      </c>
      <c r="M41" s="294">
        <f t="shared" si="1"/>
        <v>0</v>
      </c>
      <c r="N41" s="176"/>
      <c r="O41" s="163"/>
      <c r="P41" s="163"/>
      <c r="Q41" s="175"/>
      <c r="R41" s="175"/>
      <c r="S41" s="130"/>
      <c r="T41" s="223" t="str">
        <f t="shared" si="2"/>
        <v/>
      </c>
      <c r="U41" s="222" t="str">
        <f t="shared" si="3"/>
        <v/>
      </c>
      <c r="V41" s="362" t="s">
        <v>1236</v>
      </c>
      <c r="W41" s="72"/>
    </row>
    <row r="42" spans="1:23" x14ac:dyDescent="0.2">
      <c r="A42" s="293">
        <f t="shared" si="0"/>
        <v>0</v>
      </c>
      <c r="B42" s="163"/>
      <c r="C42" s="163"/>
      <c r="D42" s="163"/>
      <c r="E42" s="175"/>
      <c r="F42" s="175"/>
      <c r="G42" s="130"/>
      <c r="H42" s="222" t="str">
        <f t="shared" si="4"/>
        <v/>
      </c>
      <c r="I42" s="222" t="str">
        <f t="shared" si="5"/>
        <v/>
      </c>
      <c r="J42" s="67"/>
      <c r="K42" s="67"/>
      <c r="L42" s="361" t="s">
        <v>1236</v>
      </c>
      <c r="M42" s="294">
        <f t="shared" si="1"/>
        <v>0</v>
      </c>
      <c r="N42" s="176"/>
      <c r="O42" s="163"/>
      <c r="P42" s="163"/>
      <c r="Q42" s="175"/>
      <c r="R42" s="175"/>
      <c r="S42" s="130"/>
      <c r="T42" s="223" t="str">
        <f t="shared" si="2"/>
        <v/>
      </c>
      <c r="U42" s="222" t="str">
        <f t="shared" si="3"/>
        <v/>
      </c>
      <c r="V42" s="362" t="s">
        <v>1236</v>
      </c>
      <c r="W42" s="72"/>
    </row>
    <row r="43" spans="1:23" x14ac:dyDescent="0.2">
      <c r="A43" s="293">
        <f t="shared" si="0"/>
        <v>0</v>
      </c>
      <c r="B43" s="163"/>
      <c r="C43" s="163"/>
      <c r="D43" s="163"/>
      <c r="E43" s="175"/>
      <c r="F43" s="175"/>
      <c r="G43" s="130"/>
      <c r="H43" s="222" t="str">
        <f t="shared" si="4"/>
        <v/>
      </c>
      <c r="I43" s="222" t="str">
        <f t="shared" si="5"/>
        <v/>
      </c>
      <c r="J43" s="67"/>
      <c r="K43" s="67"/>
      <c r="L43" s="361" t="s">
        <v>1236</v>
      </c>
      <c r="M43" s="294">
        <f t="shared" si="1"/>
        <v>0</v>
      </c>
      <c r="N43" s="176"/>
      <c r="O43" s="163"/>
      <c r="P43" s="163"/>
      <c r="Q43" s="175"/>
      <c r="R43" s="175"/>
      <c r="S43" s="130"/>
      <c r="T43" s="223" t="str">
        <f t="shared" si="2"/>
        <v/>
      </c>
      <c r="U43" s="222" t="str">
        <f t="shared" si="3"/>
        <v/>
      </c>
      <c r="V43" s="362" t="s">
        <v>1236</v>
      </c>
      <c r="W43" s="72"/>
    </row>
    <row r="44" spans="1:23" x14ac:dyDescent="0.2">
      <c r="A44" s="293">
        <f t="shared" si="0"/>
        <v>0</v>
      </c>
      <c r="B44" s="163"/>
      <c r="C44" s="163"/>
      <c r="D44" s="163"/>
      <c r="E44" s="175"/>
      <c r="F44" s="175"/>
      <c r="G44" s="130"/>
      <c r="H44" s="222" t="str">
        <f t="shared" si="4"/>
        <v/>
      </c>
      <c r="I44" s="222" t="str">
        <f t="shared" si="5"/>
        <v/>
      </c>
      <c r="J44" s="67"/>
      <c r="K44" s="67"/>
      <c r="L44" s="361" t="s">
        <v>1236</v>
      </c>
      <c r="M44" s="294">
        <f t="shared" si="1"/>
        <v>0</v>
      </c>
      <c r="N44" s="176"/>
      <c r="O44" s="163"/>
      <c r="P44" s="163"/>
      <c r="Q44" s="175"/>
      <c r="R44" s="175"/>
      <c r="S44" s="130"/>
      <c r="T44" s="223" t="str">
        <f t="shared" si="2"/>
        <v/>
      </c>
      <c r="U44" s="222" t="str">
        <f t="shared" si="3"/>
        <v/>
      </c>
      <c r="V44" s="362" t="s">
        <v>1236</v>
      </c>
      <c r="W44" s="72"/>
    </row>
    <row r="45" spans="1:23" x14ac:dyDescent="0.2">
      <c r="A45" s="293">
        <f t="shared" si="0"/>
        <v>0</v>
      </c>
      <c r="B45" s="163"/>
      <c r="C45" s="163"/>
      <c r="D45" s="163"/>
      <c r="E45" s="175"/>
      <c r="F45" s="175"/>
      <c r="G45" s="130"/>
      <c r="H45" s="222" t="str">
        <f t="shared" si="4"/>
        <v/>
      </c>
      <c r="I45" s="222" t="str">
        <f t="shared" si="5"/>
        <v/>
      </c>
      <c r="J45" s="67"/>
      <c r="K45" s="67"/>
      <c r="L45" s="361" t="s">
        <v>1236</v>
      </c>
      <c r="M45" s="294">
        <f t="shared" si="1"/>
        <v>0</v>
      </c>
      <c r="N45" s="176"/>
      <c r="O45" s="163"/>
      <c r="P45" s="163"/>
      <c r="Q45" s="175"/>
      <c r="R45" s="175"/>
      <c r="S45" s="130"/>
      <c r="T45" s="223" t="str">
        <f t="shared" si="2"/>
        <v/>
      </c>
      <c r="U45" s="222" t="str">
        <f t="shared" si="3"/>
        <v/>
      </c>
      <c r="V45" s="362" t="s">
        <v>1236</v>
      </c>
      <c r="W45" s="72"/>
    </row>
    <row r="46" spans="1:23" x14ac:dyDescent="0.2">
      <c r="A46" s="293">
        <f t="shared" si="0"/>
        <v>0</v>
      </c>
      <c r="B46" s="163"/>
      <c r="C46" s="163"/>
      <c r="D46" s="163"/>
      <c r="E46" s="175"/>
      <c r="F46" s="175"/>
      <c r="G46" s="130"/>
      <c r="H46" s="222" t="str">
        <f t="shared" si="4"/>
        <v/>
      </c>
      <c r="I46" s="222" t="str">
        <f t="shared" si="5"/>
        <v/>
      </c>
      <c r="J46" s="67"/>
      <c r="K46" s="67"/>
      <c r="L46" s="361" t="s">
        <v>1236</v>
      </c>
      <c r="M46" s="294">
        <f t="shared" si="1"/>
        <v>0</v>
      </c>
      <c r="N46" s="176"/>
      <c r="O46" s="163"/>
      <c r="P46" s="163"/>
      <c r="Q46" s="175"/>
      <c r="R46" s="175"/>
      <c r="S46" s="130"/>
      <c r="T46" s="223" t="str">
        <f t="shared" si="2"/>
        <v/>
      </c>
      <c r="U46" s="222" t="str">
        <f t="shared" si="3"/>
        <v/>
      </c>
      <c r="V46" s="362" t="s">
        <v>1236</v>
      </c>
      <c r="W46" s="72"/>
    </row>
    <row r="47" spans="1:23" x14ac:dyDescent="0.2">
      <c r="A47" s="293">
        <f t="shared" si="0"/>
        <v>0</v>
      </c>
      <c r="B47" s="163"/>
      <c r="C47" s="163"/>
      <c r="D47" s="163"/>
      <c r="E47" s="175"/>
      <c r="F47" s="175"/>
      <c r="G47" s="130"/>
      <c r="H47" s="222" t="str">
        <f t="shared" si="4"/>
        <v/>
      </c>
      <c r="I47" s="222" t="str">
        <f t="shared" si="5"/>
        <v/>
      </c>
      <c r="J47" s="67"/>
      <c r="K47" s="67"/>
      <c r="L47" s="361" t="s">
        <v>1236</v>
      </c>
      <c r="M47" s="294">
        <f t="shared" si="1"/>
        <v>0</v>
      </c>
      <c r="N47" s="176"/>
      <c r="O47" s="163"/>
      <c r="P47" s="163"/>
      <c r="Q47" s="175"/>
      <c r="R47" s="175"/>
      <c r="S47" s="130"/>
      <c r="T47" s="223" t="str">
        <f t="shared" si="2"/>
        <v/>
      </c>
      <c r="U47" s="222" t="str">
        <f t="shared" si="3"/>
        <v/>
      </c>
      <c r="V47" s="362" t="s">
        <v>1236</v>
      </c>
      <c r="W47" s="72"/>
    </row>
    <row r="48" spans="1:23" x14ac:dyDescent="0.2">
      <c r="A48" s="293">
        <f t="shared" si="0"/>
        <v>0</v>
      </c>
      <c r="B48" s="163"/>
      <c r="C48" s="163"/>
      <c r="D48" s="163"/>
      <c r="E48" s="175"/>
      <c r="F48" s="175"/>
      <c r="G48" s="130"/>
      <c r="H48" s="222" t="str">
        <f t="shared" si="4"/>
        <v/>
      </c>
      <c r="I48" s="222" t="str">
        <f t="shared" si="5"/>
        <v/>
      </c>
      <c r="J48" s="67"/>
      <c r="K48" s="67"/>
      <c r="L48" s="361" t="s">
        <v>1236</v>
      </c>
      <c r="M48" s="294">
        <f t="shared" si="1"/>
        <v>0</v>
      </c>
      <c r="N48" s="176"/>
      <c r="O48" s="163"/>
      <c r="P48" s="163"/>
      <c r="Q48" s="175"/>
      <c r="R48" s="175"/>
      <c r="S48" s="130"/>
      <c r="T48" s="223" t="str">
        <f t="shared" si="2"/>
        <v/>
      </c>
      <c r="U48" s="222" t="str">
        <f t="shared" si="3"/>
        <v/>
      </c>
      <c r="V48" s="362" t="s">
        <v>1236</v>
      </c>
      <c r="W48" s="72"/>
    </row>
    <row r="49" spans="1:23" x14ac:dyDescent="0.2">
      <c r="A49" s="293">
        <f t="shared" si="0"/>
        <v>0</v>
      </c>
      <c r="B49" s="163"/>
      <c r="C49" s="163"/>
      <c r="D49" s="163"/>
      <c r="E49" s="175"/>
      <c r="F49" s="175"/>
      <c r="G49" s="130"/>
      <c r="H49" s="222" t="str">
        <f t="shared" si="4"/>
        <v/>
      </c>
      <c r="I49" s="222" t="str">
        <f t="shared" si="5"/>
        <v/>
      </c>
      <c r="J49" s="67"/>
      <c r="K49" s="67"/>
      <c r="L49" s="361" t="s">
        <v>1236</v>
      </c>
      <c r="M49" s="294">
        <f t="shared" si="1"/>
        <v>0</v>
      </c>
      <c r="N49" s="176"/>
      <c r="O49" s="163"/>
      <c r="P49" s="163"/>
      <c r="Q49" s="175"/>
      <c r="R49" s="175"/>
      <c r="S49" s="130"/>
      <c r="T49" s="223" t="str">
        <f t="shared" si="2"/>
        <v/>
      </c>
      <c r="U49" s="222" t="str">
        <f t="shared" si="3"/>
        <v/>
      </c>
      <c r="V49" s="362" t="s">
        <v>1236</v>
      </c>
      <c r="W49" s="72"/>
    </row>
    <row r="50" spans="1:23" x14ac:dyDescent="0.2">
      <c r="A50" s="293">
        <f t="shared" si="0"/>
        <v>0</v>
      </c>
      <c r="B50" s="163"/>
      <c r="C50" s="163"/>
      <c r="D50" s="163"/>
      <c r="E50" s="175"/>
      <c r="F50" s="175"/>
      <c r="G50" s="130"/>
      <c r="H50" s="222" t="str">
        <f t="shared" si="4"/>
        <v/>
      </c>
      <c r="I50" s="222" t="str">
        <f t="shared" si="5"/>
        <v/>
      </c>
      <c r="J50" s="67"/>
      <c r="K50" s="67"/>
      <c r="L50" s="361" t="s">
        <v>1236</v>
      </c>
      <c r="M50" s="294">
        <f t="shared" si="1"/>
        <v>0</v>
      </c>
      <c r="N50" s="176"/>
      <c r="O50" s="163"/>
      <c r="P50" s="163"/>
      <c r="Q50" s="175"/>
      <c r="R50" s="175"/>
      <c r="S50" s="130"/>
      <c r="T50" s="223" t="str">
        <f t="shared" si="2"/>
        <v/>
      </c>
      <c r="U50" s="222" t="str">
        <f t="shared" si="3"/>
        <v/>
      </c>
      <c r="V50" s="362" t="s">
        <v>1236</v>
      </c>
      <c r="W50" s="72"/>
    </row>
    <row r="51" spans="1:23" x14ac:dyDescent="0.2">
      <c r="A51" s="293">
        <f t="shared" si="0"/>
        <v>0</v>
      </c>
      <c r="B51" s="163"/>
      <c r="C51" s="163"/>
      <c r="D51" s="163"/>
      <c r="E51" s="175"/>
      <c r="F51" s="175"/>
      <c r="G51" s="130"/>
      <c r="H51" s="222" t="str">
        <f t="shared" si="4"/>
        <v/>
      </c>
      <c r="I51" s="222" t="str">
        <f t="shared" si="5"/>
        <v/>
      </c>
      <c r="J51" s="67"/>
      <c r="K51" s="67"/>
      <c r="L51" s="361" t="s">
        <v>1236</v>
      </c>
      <c r="M51" s="294">
        <f t="shared" si="1"/>
        <v>0</v>
      </c>
      <c r="N51" s="176"/>
      <c r="O51" s="163"/>
      <c r="P51" s="163"/>
      <c r="Q51" s="175"/>
      <c r="R51" s="175"/>
      <c r="S51" s="130"/>
      <c r="T51" s="223" t="str">
        <f t="shared" si="2"/>
        <v/>
      </c>
      <c r="U51" s="222" t="str">
        <f t="shared" si="3"/>
        <v/>
      </c>
      <c r="V51" s="362" t="s">
        <v>1236</v>
      </c>
      <c r="W51" s="72"/>
    </row>
    <row r="52" spans="1:23" x14ac:dyDescent="0.2">
      <c r="A52" s="293">
        <f t="shared" si="0"/>
        <v>0</v>
      </c>
      <c r="B52" s="163"/>
      <c r="C52" s="163"/>
      <c r="D52" s="163"/>
      <c r="E52" s="175"/>
      <c r="F52" s="175"/>
      <c r="G52" s="130"/>
      <c r="H52" s="222" t="str">
        <f t="shared" si="4"/>
        <v/>
      </c>
      <c r="I52" s="222" t="str">
        <f t="shared" si="5"/>
        <v/>
      </c>
      <c r="J52" s="67"/>
      <c r="K52" s="67"/>
      <c r="L52" s="361" t="s">
        <v>1236</v>
      </c>
      <c r="M52" s="294">
        <f t="shared" si="1"/>
        <v>0</v>
      </c>
      <c r="N52" s="176"/>
      <c r="O52" s="163"/>
      <c r="P52" s="163"/>
      <c r="Q52" s="175"/>
      <c r="R52" s="175"/>
      <c r="S52" s="130"/>
      <c r="T52" s="223" t="str">
        <f t="shared" si="2"/>
        <v/>
      </c>
      <c r="U52" s="222" t="str">
        <f t="shared" si="3"/>
        <v/>
      </c>
      <c r="V52" s="362" t="s">
        <v>1236</v>
      </c>
      <c r="W52" s="72"/>
    </row>
    <row r="53" spans="1:23" x14ac:dyDescent="0.2">
      <c r="A53" s="293">
        <f t="shared" si="0"/>
        <v>0</v>
      </c>
      <c r="B53" s="163"/>
      <c r="C53" s="163"/>
      <c r="D53" s="163"/>
      <c r="E53" s="175"/>
      <c r="F53" s="175"/>
      <c r="G53" s="130"/>
      <c r="H53" s="222" t="str">
        <f t="shared" si="4"/>
        <v/>
      </c>
      <c r="I53" s="222" t="str">
        <f t="shared" si="5"/>
        <v/>
      </c>
      <c r="J53" s="67"/>
      <c r="K53" s="67"/>
      <c r="L53" s="361" t="s">
        <v>1236</v>
      </c>
      <c r="M53" s="294">
        <f t="shared" si="1"/>
        <v>0</v>
      </c>
      <c r="N53" s="176"/>
      <c r="O53" s="163"/>
      <c r="P53" s="163"/>
      <c r="Q53" s="175"/>
      <c r="R53" s="175"/>
      <c r="S53" s="130"/>
      <c r="T53" s="223" t="str">
        <f t="shared" si="2"/>
        <v/>
      </c>
      <c r="U53" s="222" t="str">
        <f t="shared" si="3"/>
        <v/>
      </c>
      <c r="V53" s="362" t="s">
        <v>1236</v>
      </c>
      <c r="W53" s="72"/>
    </row>
    <row r="54" spans="1:23" x14ac:dyDescent="0.2">
      <c r="A54" s="293">
        <f t="shared" si="0"/>
        <v>0</v>
      </c>
      <c r="B54" s="163"/>
      <c r="C54" s="163"/>
      <c r="D54" s="163"/>
      <c r="E54" s="175"/>
      <c r="F54" s="175"/>
      <c r="G54" s="130"/>
      <c r="H54" s="222" t="str">
        <f t="shared" si="4"/>
        <v/>
      </c>
      <c r="I54" s="222" t="str">
        <f t="shared" si="5"/>
        <v/>
      </c>
      <c r="J54" s="67"/>
      <c r="K54" s="67"/>
      <c r="L54" s="361" t="s">
        <v>1236</v>
      </c>
      <c r="M54" s="294">
        <f t="shared" si="1"/>
        <v>0</v>
      </c>
      <c r="N54" s="176"/>
      <c r="O54" s="163"/>
      <c r="P54" s="163"/>
      <c r="Q54" s="175"/>
      <c r="R54" s="175"/>
      <c r="S54" s="130"/>
      <c r="T54" s="223" t="str">
        <f t="shared" si="2"/>
        <v/>
      </c>
      <c r="U54" s="222" t="str">
        <f t="shared" si="3"/>
        <v/>
      </c>
      <c r="V54" s="362" t="s">
        <v>1236</v>
      </c>
      <c r="W54" s="72"/>
    </row>
    <row r="55" spans="1:23" x14ac:dyDescent="0.2">
      <c r="A55" s="293">
        <f t="shared" si="0"/>
        <v>0</v>
      </c>
      <c r="B55" s="163"/>
      <c r="C55" s="163"/>
      <c r="D55" s="163"/>
      <c r="E55" s="175"/>
      <c r="F55" s="175"/>
      <c r="G55" s="130"/>
      <c r="H55" s="222" t="str">
        <f t="shared" si="4"/>
        <v/>
      </c>
      <c r="I55" s="222" t="str">
        <f t="shared" si="5"/>
        <v/>
      </c>
      <c r="J55" s="67"/>
      <c r="K55" s="67"/>
      <c r="L55" s="361" t="s">
        <v>1236</v>
      </c>
      <c r="M55" s="294">
        <f t="shared" si="1"/>
        <v>0</v>
      </c>
      <c r="N55" s="176"/>
      <c r="O55" s="163"/>
      <c r="P55" s="163"/>
      <c r="Q55" s="175"/>
      <c r="R55" s="175"/>
      <c r="S55" s="130"/>
      <c r="T55" s="223" t="str">
        <f t="shared" si="2"/>
        <v/>
      </c>
      <c r="U55" s="222" t="str">
        <f t="shared" si="3"/>
        <v/>
      </c>
      <c r="V55" s="362" t="s">
        <v>1236</v>
      </c>
      <c r="W55" s="72"/>
    </row>
    <row r="56" spans="1:23" x14ac:dyDescent="0.2">
      <c r="A56" s="293">
        <f t="shared" si="0"/>
        <v>0</v>
      </c>
      <c r="B56" s="163"/>
      <c r="C56" s="163"/>
      <c r="D56" s="163"/>
      <c r="E56" s="175"/>
      <c r="F56" s="175"/>
      <c r="G56" s="130"/>
      <c r="H56" s="222" t="str">
        <f t="shared" si="4"/>
        <v/>
      </c>
      <c r="I56" s="222" t="str">
        <f t="shared" si="5"/>
        <v/>
      </c>
      <c r="J56" s="67"/>
      <c r="K56" s="67"/>
      <c r="L56" s="361" t="s">
        <v>1236</v>
      </c>
      <c r="M56" s="294">
        <f t="shared" si="1"/>
        <v>0</v>
      </c>
      <c r="N56" s="176"/>
      <c r="O56" s="163"/>
      <c r="P56" s="163"/>
      <c r="Q56" s="175"/>
      <c r="R56" s="175"/>
      <c r="S56" s="130"/>
      <c r="T56" s="223" t="str">
        <f t="shared" si="2"/>
        <v/>
      </c>
      <c r="U56" s="222" t="str">
        <f t="shared" si="3"/>
        <v/>
      </c>
      <c r="V56" s="362" t="s">
        <v>1236</v>
      </c>
      <c r="W56" s="72"/>
    </row>
    <row r="57" spans="1:23" x14ac:dyDescent="0.2">
      <c r="A57" s="293">
        <f t="shared" si="0"/>
        <v>0</v>
      </c>
      <c r="B57" s="163"/>
      <c r="C57" s="163"/>
      <c r="D57" s="163"/>
      <c r="E57" s="175"/>
      <c r="F57" s="175"/>
      <c r="G57" s="130"/>
      <c r="H57" s="222" t="str">
        <f t="shared" si="4"/>
        <v/>
      </c>
      <c r="I57" s="222" t="str">
        <f t="shared" si="5"/>
        <v/>
      </c>
      <c r="J57" s="67"/>
      <c r="K57" s="67"/>
      <c r="L57" s="361" t="s">
        <v>1236</v>
      </c>
      <c r="M57" s="294">
        <f t="shared" si="1"/>
        <v>0</v>
      </c>
      <c r="N57" s="176"/>
      <c r="O57" s="163"/>
      <c r="P57" s="163"/>
      <c r="Q57" s="175"/>
      <c r="R57" s="175"/>
      <c r="S57" s="130"/>
      <c r="T57" s="223" t="str">
        <f t="shared" si="2"/>
        <v/>
      </c>
      <c r="U57" s="222" t="str">
        <f t="shared" si="3"/>
        <v/>
      </c>
      <c r="V57" s="362" t="s">
        <v>1236</v>
      </c>
      <c r="W57" s="72"/>
    </row>
    <row r="58" spans="1:23" x14ac:dyDescent="0.2">
      <c r="A58" s="293">
        <f t="shared" si="0"/>
        <v>0</v>
      </c>
      <c r="B58" s="163"/>
      <c r="C58" s="163"/>
      <c r="D58" s="163"/>
      <c r="E58" s="175"/>
      <c r="F58" s="175"/>
      <c r="G58" s="130"/>
      <c r="H58" s="222" t="str">
        <f t="shared" si="4"/>
        <v/>
      </c>
      <c r="I58" s="222" t="str">
        <f t="shared" si="5"/>
        <v/>
      </c>
      <c r="J58" s="67"/>
      <c r="K58" s="67"/>
      <c r="L58" s="361" t="s">
        <v>1236</v>
      </c>
      <c r="M58" s="294">
        <f t="shared" si="1"/>
        <v>0</v>
      </c>
      <c r="N58" s="176"/>
      <c r="O58" s="163"/>
      <c r="P58" s="163"/>
      <c r="Q58" s="175"/>
      <c r="R58" s="175"/>
      <c r="S58" s="130"/>
      <c r="T58" s="223" t="str">
        <f t="shared" si="2"/>
        <v/>
      </c>
      <c r="U58" s="222" t="str">
        <f t="shared" si="3"/>
        <v/>
      </c>
      <c r="V58" s="362" t="s">
        <v>1236</v>
      </c>
      <c r="W58" s="72"/>
    </row>
    <row r="59" spans="1:23" x14ac:dyDescent="0.2">
      <c r="A59" s="293">
        <f t="shared" si="0"/>
        <v>0</v>
      </c>
      <c r="B59" s="163"/>
      <c r="C59" s="163"/>
      <c r="D59" s="163"/>
      <c r="E59" s="175"/>
      <c r="F59" s="175"/>
      <c r="G59" s="130"/>
      <c r="H59" s="222" t="str">
        <f t="shared" si="4"/>
        <v/>
      </c>
      <c r="I59" s="222" t="str">
        <f t="shared" si="5"/>
        <v/>
      </c>
      <c r="J59" s="67"/>
      <c r="K59" s="67"/>
      <c r="L59" s="361" t="s">
        <v>1236</v>
      </c>
      <c r="M59" s="294">
        <f t="shared" si="1"/>
        <v>0</v>
      </c>
      <c r="N59" s="176"/>
      <c r="O59" s="163"/>
      <c r="P59" s="163"/>
      <c r="Q59" s="175"/>
      <c r="R59" s="175"/>
      <c r="S59" s="130"/>
      <c r="T59" s="223" t="str">
        <f t="shared" si="2"/>
        <v/>
      </c>
      <c r="U59" s="222" t="str">
        <f t="shared" si="3"/>
        <v/>
      </c>
      <c r="V59" s="362" t="s">
        <v>1236</v>
      </c>
      <c r="W59" s="72"/>
    </row>
    <row r="60" spans="1:23" x14ac:dyDescent="0.2">
      <c r="A60" s="293">
        <f t="shared" si="0"/>
        <v>0</v>
      </c>
      <c r="B60" s="163"/>
      <c r="C60" s="163"/>
      <c r="D60" s="163"/>
      <c r="E60" s="175"/>
      <c r="F60" s="175"/>
      <c r="G60" s="130"/>
      <c r="H60" s="222" t="str">
        <f t="shared" si="4"/>
        <v/>
      </c>
      <c r="I60" s="222" t="str">
        <f t="shared" si="5"/>
        <v/>
      </c>
      <c r="J60" s="67"/>
      <c r="K60" s="67"/>
      <c r="L60" s="361" t="s">
        <v>1236</v>
      </c>
      <c r="M60" s="294">
        <f t="shared" si="1"/>
        <v>0</v>
      </c>
      <c r="N60" s="176"/>
      <c r="O60" s="163"/>
      <c r="P60" s="163"/>
      <c r="Q60" s="175"/>
      <c r="R60" s="175"/>
      <c r="S60" s="130"/>
      <c r="T60" s="223" t="str">
        <f t="shared" si="2"/>
        <v/>
      </c>
      <c r="U60" s="222" t="str">
        <f t="shared" si="3"/>
        <v/>
      </c>
      <c r="V60" s="362" t="s">
        <v>1236</v>
      </c>
      <c r="W60" s="72"/>
    </row>
    <row r="61" spans="1:23" x14ac:dyDescent="0.2">
      <c r="A61" s="293">
        <f t="shared" si="0"/>
        <v>0</v>
      </c>
      <c r="B61" s="163"/>
      <c r="C61" s="163"/>
      <c r="D61" s="163"/>
      <c r="E61" s="175"/>
      <c r="F61" s="175"/>
      <c r="G61" s="130"/>
      <c r="H61" s="222" t="str">
        <f t="shared" si="4"/>
        <v/>
      </c>
      <c r="I61" s="222" t="str">
        <f t="shared" si="5"/>
        <v/>
      </c>
      <c r="J61" s="67"/>
      <c r="K61" s="67"/>
      <c r="L61" s="361" t="s">
        <v>1236</v>
      </c>
      <c r="M61" s="294">
        <f t="shared" si="1"/>
        <v>0</v>
      </c>
      <c r="N61" s="176"/>
      <c r="O61" s="163"/>
      <c r="P61" s="163"/>
      <c r="Q61" s="175"/>
      <c r="R61" s="175"/>
      <c r="S61" s="130"/>
      <c r="T61" s="223" t="str">
        <f t="shared" si="2"/>
        <v/>
      </c>
      <c r="U61" s="222" t="str">
        <f t="shared" si="3"/>
        <v/>
      </c>
      <c r="V61" s="362" t="s">
        <v>1236</v>
      </c>
      <c r="W61" s="72"/>
    </row>
    <row r="62" spans="1:23" x14ac:dyDescent="0.2">
      <c r="A62" s="293">
        <f t="shared" si="0"/>
        <v>0</v>
      </c>
      <c r="B62" s="163"/>
      <c r="C62" s="163"/>
      <c r="D62" s="163"/>
      <c r="E62" s="175"/>
      <c r="F62" s="175"/>
      <c r="G62" s="130"/>
      <c r="H62" s="222" t="str">
        <f t="shared" si="4"/>
        <v/>
      </c>
      <c r="I62" s="222" t="str">
        <f t="shared" si="5"/>
        <v/>
      </c>
      <c r="J62" s="67"/>
      <c r="K62" s="67"/>
      <c r="L62" s="361" t="s">
        <v>1236</v>
      </c>
      <c r="M62" s="294">
        <f t="shared" si="1"/>
        <v>0</v>
      </c>
      <c r="N62" s="176"/>
      <c r="O62" s="163"/>
      <c r="P62" s="163"/>
      <c r="Q62" s="175"/>
      <c r="R62" s="175"/>
      <c r="S62" s="130"/>
      <c r="T62" s="223" t="str">
        <f t="shared" si="2"/>
        <v/>
      </c>
      <c r="U62" s="222" t="str">
        <f t="shared" si="3"/>
        <v/>
      </c>
      <c r="V62" s="362" t="s">
        <v>1236</v>
      </c>
      <c r="W62" s="72"/>
    </row>
    <row r="63" spans="1:23" x14ac:dyDescent="0.2">
      <c r="A63" s="293">
        <f t="shared" si="0"/>
        <v>0</v>
      </c>
      <c r="B63" s="163"/>
      <c r="C63" s="163"/>
      <c r="D63" s="163"/>
      <c r="E63" s="175"/>
      <c r="F63" s="175"/>
      <c r="G63" s="130"/>
      <c r="H63" s="222" t="str">
        <f t="shared" si="4"/>
        <v/>
      </c>
      <c r="I63" s="222" t="str">
        <f t="shared" si="5"/>
        <v/>
      </c>
      <c r="J63" s="67"/>
      <c r="K63" s="67"/>
      <c r="L63" s="361" t="s">
        <v>1236</v>
      </c>
      <c r="M63" s="294">
        <f t="shared" si="1"/>
        <v>0</v>
      </c>
      <c r="N63" s="176"/>
      <c r="O63" s="163"/>
      <c r="P63" s="163"/>
      <c r="Q63" s="175"/>
      <c r="R63" s="175"/>
      <c r="S63" s="130"/>
      <c r="T63" s="223" t="str">
        <f t="shared" si="2"/>
        <v/>
      </c>
      <c r="U63" s="222" t="str">
        <f t="shared" si="3"/>
        <v/>
      </c>
      <c r="V63" s="362" t="s">
        <v>1236</v>
      </c>
      <c r="W63" s="72"/>
    </row>
    <row r="64" spans="1:23" x14ac:dyDescent="0.2">
      <c r="A64" s="293">
        <f t="shared" si="0"/>
        <v>0</v>
      </c>
      <c r="B64" s="163"/>
      <c r="C64" s="163"/>
      <c r="D64" s="163"/>
      <c r="E64" s="175"/>
      <c r="F64" s="175"/>
      <c r="G64" s="130"/>
      <c r="H64" s="222" t="str">
        <f t="shared" si="4"/>
        <v/>
      </c>
      <c r="I64" s="222" t="str">
        <f t="shared" si="5"/>
        <v/>
      </c>
      <c r="J64" s="67"/>
      <c r="K64" s="67"/>
      <c r="L64" s="361" t="s">
        <v>1236</v>
      </c>
      <c r="M64" s="294">
        <f t="shared" si="1"/>
        <v>0</v>
      </c>
      <c r="N64" s="176"/>
      <c r="O64" s="163"/>
      <c r="P64" s="163"/>
      <c r="Q64" s="175"/>
      <c r="R64" s="175"/>
      <c r="S64" s="130"/>
      <c r="T64" s="223" t="str">
        <f t="shared" si="2"/>
        <v/>
      </c>
      <c r="U64" s="222" t="str">
        <f t="shared" si="3"/>
        <v/>
      </c>
      <c r="V64" s="362" t="s">
        <v>1236</v>
      </c>
      <c r="W64" s="72"/>
    </row>
    <row r="65" spans="1:23" x14ac:dyDescent="0.2">
      <c r="A65" s="293">
        <f t="shared" si="0"/>
        <v>0</v>
      </c>
      <c r="B65" s="163"/>
      <c r="C65" s="163"/>
      <c r="D65" s="163"/>
      <c r="E65" s="175"/>
      <c r="F65" s="175"/>
      <c r="G65" s="130"/>
      <c r="H65" s="222" t="str">
        <f t="shared" si="4"/>
        <v/>
      </c>
      <c r="I65" s="222" t="str">
        <f t="shared" si="5"/>
        <v/>
      </c>
      <c r="J65" s="67"/>
      <c r="K65" s="67"/>
      <c r="L65" s="361" t="s">
        <v>1236</v>
      </c>
      <c r="M65" s="294">
        <f t="shared" si="1"/>
        <v>0</v>
      </c>
      <c r="N65" s="176"/>
      <c r="O65" s="163"/>
      <c r="P65" s="163"/>
      <c r="Q65" s="175"/>
      <c r="R65" s="175"/>
      <c r="S65" s="130"/>
      <c r="T65" s="223" t="str">
        <f t="shared" si="2"/>
        <v/>
      </c>
      <c r="U65" s="222" t="str">
        <f t="shared" si="3"/>
        <v/>
      </c>
      <c r="V65" s="362" t="s">
        <v>1236</v>
      </c>
      <c r="W65" s="72"/>
    </row>
    <row r="66" spans="1:23" x14ac:dyDescent="0.2">
      <c r="A66" s="293">
        <f t="shared" si="0"/>
        <v>0</v>
      </c>
      <c r="B66" s="163"/>
      <c r="C66" s="163"/>
      <c r="D66" s="163"/>
      <c r="E66" s="175"/>
      <c r="F66" s="175"/>
      <c r="G66" s="130"/>
      <c r="H66" s="222" t="str">
        <f t="shared" si="4"/>
        <v/>
      </c>
      <c r="I66" s="222" t="str">
        <f t="shared" si="5"/>
        <v/>
      </c>
      <c r="J66" s="67"/>
      <c r="K66" s="67"/>
      <c r="L66" s="361" t="s">
        <v>1236</v>
      </c>
      <c r="M66" s="294">
        <f t="shared" si="1"/>
        <v>0</v>
      </c>
      <c r="N66" s="176"/>
      <c r="O66" s="163"/>
      <c r="P66" s="163"/>
      <c r="Q66" s="175"/>
      <c r="R66" s="175"/>
      <c r="S66" s="130"/>
      <c r="T66" s="223" t="str">
        <f t="shared" si="2"/>
        <v/>
      </c>
      <c r="U66" s="222" t="str">
        <f t="shared" si="3"/>
        <v/>
      </c>
      <c r="V66" s="362" t="s">
        <v>1236</v>
      </c>
      <c r="W66" s="72"/>
    </row>
    <row r="67" spans="1:23" x14ac:dyDescent="0.2">
      <c r="A67" s="293">
        <f t="shared" si="0"/>
        <v>0</v>
      </c>
      <c r="B67" s="163"/>
      <c r="C67" s="163"/>
      <c r="D67" s="163"/>
      <c r="E67" s="175"/>
      <c r="F67" s="175"/>
      <c r="G67" s="130"/>
      <c r="H67" s="222" t="str">
        <f t="shared" si="4"/>
        <v/>
      </c>
      <c r="I67" s="222" t="str">
        <f t="shared" si="5"/>
        <v/>
      </c>
      <c r="J67" s="67"/>
      <c r="K67" s="67"/>
      <c r="L67" s="361" t="s">
        <v>1236</v>
      </c>
      <c r="M67" s="294">
        <f t="shared" si="1"/>
        <v>0</v>
      </c>
      <c r="N67" s="176"/>
      <c r="O67" s="163"/>
      <c r="P67" s="163"/>
      <c r="Q67" s="175"/>
      <c r="R67" s="175"/>
      <c r="S67" s="130"/>
      <c r="T67" s="223" t="str">
        <f t="shared" si="2"/>
        <v/>
      </c>
      <c r="U67" s="222" t="str">
        <f t="shared" si="3"/>
        <v/>
      </c>
      <c r="V67" s="362" t="s">
        <v>1236</v>
      </c>
      <c r="W67" s="72"/>
    </row>
    <row r="68" spans="1:23" x14ac:dyDescent="0.2">
      <c r="A68" s="293">
        <f t="shared" si="0"/>
        <v>0</v>
      </c>
      <c r="B68" s="163"/>
      <c r="C68" s="163"/>
      <c r="D68" s="163"/>
      <c r="E68" s="175"/>
      <c r="F68" s="175"/>
      <c r="G68" s="130"/>
      <c r="H68" s="222" t="str">
        <f t="shared" si="4"/>
        <v/>
      </c>
      <c r="I68" s="222" t="str">
        <f t="shared" si="5"/>
        <v/>
      </c>
      <c r="J68" s="67"/>
      <c r="K68" s="67"/>
      <c r="L68" s="361" t="s">
        <v>1236</v>
      </c>
      <c r="M68" s="294">
        <f t="shared" si="1"/>
        <v>0</v>
      </c>
      <c r="N68" s="176"/>
      <c r="O68" s="163"/>
      <c r="P68" s="163"/>
      <c r="Q68" s="175"/>
      <c r="R68" s="175"/>
      <c r="S68" s="130"/>
      <c r="T68" s="223" t="str">
        <f t="shared" si="2"/>
        <v/>
      </c>
      <c r="U68" s="222" t="str">
        <f t="shared" si="3"/>
        <v/>
      </c>
      <c r="V68" s="362" t="s">
        <v>1236</v>
      </c>
      <c r="W68" s="72"/>
    </row>
    <row r="69" spans="1:23" x14ac:dyDescent="0.2">
      <c r="A69" s="293">
        <f t="shared" si="0"/>
        <v>0</v>
      </c>
      <c r="B69" s="163"/>
      <c r="C69" s="163"/>
      <c r="D69" s="163"/>
      <c r="E69" s="175"/>
      <c r="F69" s="175"/>
      <c r="G69" s="130"/>
      <c r="H69" s="222" t="str">
        <f t="shared" si="4"/>
        <v/>
      </c>
      <c r="I69" s="222" t="str">
        <f t="shared" si="5"/>
        <v/>
      </c>
      <c r="J69" s="67"/>
      <c r="K69" s="67"/>
      <c r="L69" s="361" t="s">
        <v>1236</v>
      </c>
      <c r="M69" s="294">
        <f t="shared" si="1"/>
        <v>0</v>
      </c>
      <c r="N69" s="176"/>
      <c r="O69" s="163"/>
      <c r="P69" s="163"/>
      <c r="Q69" s="175"/>
      <c r="R69" s="175"/>
      <c r="S69" s="130"/>
      <c r="T69" s="223" t="str">
        <f t="shared" si="2"/>
        <v/>
      </c>
      <c r="U69" s="222" t="str">
        <f t="shared" si="3"/>
        <v/>
      </c>
      <c r="V69" s="362" t="s">
        <v>1236</v>
      </c>
      <c r="W69" s="72"/>
    </row>
    <row r="70" spans="1:23" x14ac:dyDescent="0.2">
      <c r="A70" s="293">
        <f t="shared" si="0"/>
        <v>0</v>
      </c>
      <c r="B70" s="163"/>
      <c r="C70" s="163"/>
      <c r="D70" s="163"/>
      <c r="E70" s="175"/>
      <c r="F70" s="175"/>
      <c r="G70" s="130"/>
      <c r="H70" s="222" t="str">
        <f t="shared" si="4"/>
        <v/>
      </c>
      <c r="I70" s="222" t="str">
        <f t="shared" si="5"/>
        <v/>
      </c>
      <c r="J70" s="67"/>
      <c r="K70" s="67"/>
      <c r="L70" s="361" t="s">
        <v>1236</v>
      </c>
      <c r="M70" s="294">
        <f t="shared" si="1"/>
        <v>0</v>
      </c>
      <c r="N70" s="176"/>
      <c r="O70" s="163"/>
      <c r="P70" s="163"/>
      <c r="Q70" s="175"/>
      <c r="R70" s="175"/>
      <c r="S70" s="130"/>
      <c r="T70" s="223" t="str">
        <f t="shared" si="2"/>
        <v/>
      </c>
      <c r="U70" s="222" t="str">
        <f t="shared" si="3"/>
        <v/>
      </c>
      <c r="V70" s="362" t="s">
        <v>1236</v>
      </c>
      <c r="W70" s="72"/>
    </row>
    <row r="71" spans="1:23" x14ac:dyDescent="0.2">
      <c r="A71" s="293">
        <f t="shared" si="0"/>
        <v>0</v>
      </c>
      <c r="B71" s="163"/>
      <c r="C71" s="163"/>
      <c r="D71" s="163"/>
      <c r="E71" s="175"/>
      <c r="F71" s="175"/>
      <c r="G71" s="130"/>
      <c r="H71" s="222" t="str">
        <f t="shared" si="4"/>
        <v/>
      </c>
      <c r="I71" s="222" t="str">
        <f t="shared" si="5"/>
        <v/>
      </c>
      <c r="J71" s="67"/>
      <c r="K71" s="67"/>
      <c r="L71" s="361" t="s">
        <v>1236</v>
      </c>
      <c r="M71" s="294">
        <f t="shared" si="1"/>
        <v>0</v>
      </c>
      <c r="N71" s="176"/>
      <c r="O71" s="163"/>
      <c r="P71" s="163"/>
      <c r="Q71" s="175"/>
      <c r="R71" s="175"/>
      <c r="S71" s="130"/>
      <c r="T71" s="223" t="str">
        <f t="shared" si="2"/>
        <v/>
      </c>
      <c r="U71" s="222" t="str">
        <f t="shared" si="3"/>
        <v/>
      </c>
      <c r="V71" s="362" t="s">
        <v>1236</v>
      </c>
      <c r="W71" s="72"/>
    </row>
    <row r="72" spans="1:23" x14ac:dyDescent="0.2">
      <c r="A72" s="293">
        <f t="shared" si="0"/>
        <v>0</v>
      </c>
      <c r="B72" s="163"/>
      <c r="C72" s="163"/>
      <c r="D72" s="163"/>
      <c r="E72" s="175"/>
      <c r="F72" s="175"/>
      <c r="G72" s="130"/>
      <c r="H72" s="222" t="str">
        <f t="shared" si="4"/>
        <v/>
      </c>
      <c r="I72" s="222" t="str">
        <f t="shared" si="5"/>
        <v/>
      </c>
      <c r="J72" s="67"/>
      <c r="K72" s="67"/>
      <c r="L72" s="361" t="s">
        <v>1236</v>
      </c>
      <c r="M72" s="294">
        <f t="shared" si="1"/>
        <v>0</v>
      </c>
      <c r="N72" s="176"/>
      <c r="O72" s="163"/>
      <c r="P72" s="163"/>
      <c r="Q72" s="175"/>
      <c r="R72" s="175"/>
      <c r="S72" s="130"/>
      <c r="T72" s="223" t="str">
        <f t="shared" si="2"/>
        <v/>
      </c>
      <c r="U72" s="222" t="str">
        <f t="shared" si="3"/>
        <v/>
      </c>
      <c r="V72" s="362" t="s">
        <v>1236</v>
      </c>
      <c r="W72" s="72"/>
    </row>
    <row r="73" spans="1:23" x14ac:dyDescent="0.2">
      <c r="A73" s="293">
        <f t="shared" si="0"/>
        <v>0</v>
      </c>
      <c r="B73" s="163"/>
      <c r="C73" s="163"/>
      <c r="D73" s="163"/>
      <c r="E73" s="175"/>
      <c r="F73" s="175"/>
      <c r="G73" s="130"/>
      <c r="H73" s="222" t="str">
        <f t="shared" si="4"/>
        <v/>
      </c>
      <c r="I73" s="222" t="str">
        <f t="shared" si="5"/>
        <v/>
      </c>
      <c r="J73" s="67"/>
      <c r="K73" s="67"/>
      <c r="L73" s="361" t="s">
        <v>1236</v>
      </c>
      <c r="M73" s="294">
        <f t="shared" si="1"/>
        <v>0</v>
      </c>
      <c r="N73" s="176"/>
      <c r="O73" s="163"/>
      <c r="P73" s="163"/>
      <c r="Q73" s="175"/>
      <c r="R73" s="175"/>
      <c r="S73" s="130"/>
      <c r="T73" s="223" t="str">
        <f t="shared" si="2"/>
        <v/>
      </c>
      <c r="U73" s="222" t="str">
        <f t="shared" si="3"/>
        <v/>
      </c>
      <c r="V73" s="362" t="s">
        <v>1236</v>
      </c>
      <c r="W73" s="72"/>
    </row>
    <row r="74" spans="1:23" x14ac:dyDescent="0.2">
      <c r="A74" s="293">
        <f t="shared" si="0"/>
        <v>0</v>
      </c>
      <c r="B74" s="163"/>
      <c r="C74" s="163"/>
      <c r="D74" s="163"/>
      <c r="E74" s="175"/>
      <c r="F74" s="175"/>
      <c r="G74" s="130"/>
      <c r="H74" s="222" t="str">
        <f t="shared" si="4"/>
        <v/>
      </c>
      <c r="I74" s="222" t="str">
        <f t="shared" si="5"/>
        <v/>
      </c>
      <c r="J74" s="67"/>
      <c r="K74" s="67"/>
      <c r="L74" s="361" t="s">
        <v>1236</v>
      </c>
      <c r="M74" s="294">
        <f t="shared" si="1"/>
        <v>0</v>
      </c>
      <c r="N74" s="176"/>
      <c r="O74" s="163"/>
      <c r="P74" s="163"/>
      <c r="Q74" s="175"/>
      <c r="R74" s="175"/>
      <c r="S74" s="130"/>
      <c r="T74" s="223" t="str">
        <f t="shared" si="2"/>
        <v/>
      </c>
      <c r="U74" s="222" t="str">
        <f t="shared" si="3"/>
        <v/>
      </c>
      <c r="V74" s="362" t="s">
        <v>1236</v>
      </c>
      <c r="W74" s="72"/>
    </row>
    <row r="75" spans="1:23" x14ac:dyDescent="0.2">
      <c r="A75" s="293">
        <f t="shared" si="0"/>
        <v>0</v>
      </c>
      <c r="B75" s="163"/>
      <c r="C75" s="163"/>
      <c r="D75" s="163"/>
      <c r="E75" s="175"/>
      <c r="F75" s="175"/>
      <c r="G75" s="130"/>
      <c r="H75" s="222" t="str">
        <f t="shared" si="4"/>
        <v/>
      </c>
      <c r="I75" s="222" t="str">
        <f t="shared" si="5"/>
        <v/>
      </c>
      <c r="J75" s="67"/>
      <c r="K75" s="67"/>
      <c r="L75" s="361" t="s">
        <v>1236</v>
      </c>
      <c r="M75" s="294">
        <f t="shared" si="1"/>
        <v>0</v>
      </c>
      <c r="N75" s="176"/>
      <c r="O75" s="163"/>
      <c r="P75" s="163"/>
      <c r="Q75" s="175"/>
      <c r="R75" s="175"/>
      <c r="S75" s="130"/>
      <c r="T75" s="223" t="str">
        <f t="shared" si="2"/>
        <v/>
      </c>
      <c r="U75" s="222" t="str">
        <f t="shared" si="3"/>
        <v/>
      </c>
      <c r="V75" s="362" t="s">
        <v>1236</v>
      </c>
      <c r="W75" s="72"/>
    </row>
    <row r="76" spans="1:23" x14ac:dyDescent="0.2">
      <c r="A76" s="293">
        <f t="shared" si="0"/>
        <v>0</v>
      </c>
      <c r="B76" s="163"/>
      <c r="C76" s="163"/>
      <c r="D76" s="163"/>
      <c r="E76" s="175"/>
      <c r="F76" s="175"/>
      <c r="G76" s="130"/>
      <c r="H76" s="222" t="str">
        <f t="shared" si="4"/>
        <v/>
      </c>
      <c r="I76" s="222" t="str">
        <f t="shared" si="5"/>
        <v/>
      </c>
      <c r="J76" s="67"/>
      <c r="K76" s="67"/>
      <c r="L76" s="361" t="s">
        <v>1236</v>
      </c>
      <c r="M76" s="294">
        <f t="shared" si="1"/>
        <v>0</v>
      </c>
      <c r="N76" s="176"/>
      <c r="O76" s="163"/>
      <c r="P76" s="163"/>
      <c r="Q76" s="175"/>
      <c r="R76" s="175"/>
      <c r="S76" s="130"/>
      <c r="T76" s="223" t="str">
        <f t="shared" si="2"/>
        <v/>
      </c>
      <c r="U76" s="222" t="str">
        <f t="shared" si="3"/>
        <v/>
      </c>
      <c r="V76" s="362" t="s">
        <v>1236</v>
      </c>
      <c r="W76" s="72"/>
    </row>
    <row r="77" spans="1:23" x14ac:dyDescent="0.2">
      <c r="A77" s="293">
        <f t="shared" si="0"/>
        <v>0</v>
      </c>
      <c r="B77" s="163"/>
      <c r="C77" s="163"/>
      <c r="D77" s="163"/>
      <c r="E77" s="175"/>
      <c r="F77" s="175"/>
      <c r="G77" s="130"/>
      <c r="H77" s="222" t="str">
        <f t="shared" si="4"/>
        <v/>
      </c>
      <c r="I77" s="222" t="str">
        <f t="shared" si="5"/>
        <v/>
      </c>
      <c r="J77" s="67"/>
      <c r="K77" s="67"/>
      <c r="L77" s="361" t="s">
        <v>1236</v>
      </c>
      <c r="M77" s="294">
        <f t="shared" si="1"/>
        <v>0</v>
      </c>
      <c r="N77" s="176"/>
      <c r="O77" s="163"/>
      <c r="P77" s="163"/>
      <c r="Q77" s="175"/>
      <c r="R77" s="175"/>
      <c r="S77" s="130"/>
      <c r="T77" s="223" t="str">
        <f t="shared" si="2"/>
        <v/>
      </c>
      <c r="U77" s="222" t="str">
        <f t="shared" si="3"/>
        <v/>
      </c>
      <c r="V77" s="362" t="s">
        <v>1236</v>
      </c>
      <c r="W77" s="72"/>
    </row>
    <row r="78" spans="1:23" x14ac:dyDescent="0.2">
      <c r="A78" s="293">
        <f t="shared" si="0"/>
        <v>0</v>
      </c>
      <c r="B78" s="163"/>
      <c r="C78" s="163"/>
      <c r="D78" s="163"/>
      <c r="E78" s="175"/>
      <c r="F78" s="175"/>
      <c r="G78" s="130"/>
      <c r="H78" s="222" t="str">
        <f t="shared" si="4"/>
        <v/>
      </c>
      <c r="I78" s="222" t="str">
        <f t="shared" si="5"/>
        <v/>
      </c>
      <c r="J78" s="67"/>
      <c r="K78" s="67"/>
      <c r="L78" s="361" t="s">
        <v>1236</v>
      </c>
      <c r="M78" s="294">
        <f t="shared" si="1"/>
        <v>0</v>
      </c>
      <c r="N78" s="176"/>
      <c r="O78" s="163"/>
      <c r="P78" s="163"/>
      <c r="Q78" s="175"/>
      <c r="R78" s="175"/>
      <c r="S78" s="130"/>
      <c r="T78" s="223" t="str">
        <f t="shared" si="2"/>
        <v/>
      </c>
      <c r="U78" s="222" t="str">
        <f t="shared" si="3"/>
        <v/>
      </c>
      <c r="V78" s="362" t="s">
        <v>1236</v>
      </c>
      <c r="W78" s="72"/>
    </row>
    <row r="79" spans="1:23" x14ac:dyDescent="0.2">
      <c r="A79" s="293">
        <f t="shared" si="0"/>
        <v>0</v>
      </c>
      <c r="B79" s="163"/>
      <c r="C79" s="163"/>
      <c r="D79" s="163"/>
      <c r="E79" s="175"/>
      <c r="F79" s="175"/>
      <c r="G79" s="130"/>
      <c r="H79" s="222" t="str">
        <f t="shared" si="4"/>
        <v/>
      </c>
      <c r="I79" s="222" t="str">
        <f t="shared" si="5"/>
        <v/>
      </c>
      <c r="J79" s="67"/>
      <c r="K79" s="67"/>
      <c r="L79" s="361" t="s">
        <v>1236</v>
      </c>
      <c r="M79" s="294">
        <f t="shared" si="1"/>
        <v>0</v>
      </c>
      <c r="N79" s="176"/>
      <c r="O79" s="163"/>
      <c r="P79" s="163"/>
      <c r="Q79" s="175"/>
      <c r="R79" s="175"/>
      <c r="S79" s="130"/>
      <c r="T79" s="223" t="str">
        <f t="shared" si="2"/>
        <v/>
      </c>
      <c r="U79" s="222" t="str">
        <f t="shared" si="3"/>
        <v/>
      </c>
      <c r="V79" s="362" t="s">
        <v>1236</v>
      </c>
      <c r="W79" s="72"/>
    </row>
    <row r="80" spans="1:23" x14ac:dyDescent="0.2">
      <c r="A80" s="293">
        <f t="shared" si="0"/>
        <v>0</v>
      </c>
      <c r="B80" s="163"/>
      <c r="C80" s="163"/>
      <c r="D80" s="163"/>
      <c r="E80" s="175"/>
      <c r="F80" s="175"/>
      <c r="G80" s="130"/>
      <c r="H80" s="222" t="str">
        <f t="shared" si="4"/>
        <v/>
      </c>
      <c r="I80" s="222" t="str">
        <f t="shared" si="5"/>
        <v/>
      </c>
      <c r="J80" s="67"/>
      <c r="K80" s="67"/>
      <c r="L80" s="361" t="s">
        <v>1236</v>
      </c>
      <c r="M80" s="294">
        <f t="shared" si="1"/>
        <v>0</v>
      </c>
      <c r="N80" s="176"/>
      <c r="O80" s="163"/>
      <c r="P80" s="163"/>
      <c r="Q80" s="175"/>
      <c r="R80" s="175"/>
      <c r="S80" s="130"/>
      <c r="T80" s="223" t="str">
        <f t="shared" si="2"/>
        <v/>
      </c>
      <c r="U80" s="222" t="str">
        <f t="shared" si="3"/>
        <v/>
      </c>
      <c r="V80" s="362" t="s">
        <v>1236</v>
      </c>
      <c r="W80" s="72"/>
    </row>
    <row r="81" spans="1:23" x14ac:dyDescent="0.2">
      <c r="A81" s="293">
        <f t="shared" si="0"/>
        <v>0</v>
      </c>
      <c r="B81" s="163"/>
      <c r="C81" s="163"/>
      <c r="D81" s="163"/>
      <c r="E81" s="175"/>
      <c r="F81" s="175"/>
      <c r="G81" s="130"/>
      <c r="H81" s="222" t="str">
        <f t="shared" si="4"/>
        <v/>
      </c>
      <c r="I81" s="222" t="str">
        <f t="shared" si="5"/>
        <v/>
      </c>
      <c r="J81" s="67"/>
      <c r="K81" s="67"/>
      <c r="L81" s="361" t="s">
        <v>1236</v>
      </c>
      <c r="M81" s="294">
        <f t="shared" si="1"/>
        <v>0</v>
      </c>
      <c r="N81" s="176"/>
      <c r="O81" s="163"/>
      <c r="P81" s="163"/>
      <c r="Q81" s="175"/>
      <c r="R81" s="175"/>
      <c r="S81" s="130"/>
      <c r="T81" s="223" t="str">
        <f t="shared" si="2"/>
        <v/>
      </c>
      <c r="U81" s="222" t="str">
        <f t="shared" si="3"/>
        <v/>
      </c>
      <c r="V81" s="362" t="s">
        <v>1236</v>
      </c>
      <c r="W81" s="72"/>
    </row>
    <row r="82" spans="1:23" x14ac:dyDescent="0.2">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1236</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1236</v>
      </c>
      <c r="W82" s="72"/>
    </row>
    <row r="83" spans="1:23" x14ac:dyDescent="0.2">
      <c r="A83" s="293">
        <f t="shared" si="6"/>
        <v>0</v>
      </c>
      <c r="B83" s="163"/>
      <c r="C83" s="163"/>
      <c r="D83" s="163"/>
      <c r="E83" s="175"/>
      <c r="F83" s="175"/>
      <c r="G83" s="130"/>
      <c r="H83" s="222" t="str">
        <f t="shared" si="7"/>
        <v/>
      </c>
      <c r="I83" s="222" t="str">
        <f t="shared" si="8"/>
        <v/>
      </c>
      <c r="J83" s="67"/>
      <c r="K83" s="67"/>
      <c r="L83" s="361" t="s">
        <v>1236</v>
      </c>
      <c r="M83" s="294">
        <f t="shared" si="9"/>
        <v>0</v>
      </c>
      <c r="N83" s="176"/>
      <c r="O83" s="163"/>
      <c r="P83" s="163"/>
      <c r="Q83" s="175"/>
      <c r="R83" s="175"/>
      <c r="S83" s="130"/>
      <c r="T83" s="223" t="str">
        <f t="shared" si="10"/>
        <v/>
      </c>
      <c r="U83" s="222" t="str">
        <f t="shared" si="11"/>
        <v/>
      </c>
      <c r="V83" s="362" t="s">
        <v>1236</v>
      </c>
      <c r="W83" s="72"/>
    </row>
    <row r="84" spans="1:23" x14ac:dyDescent="0.2">
      <c r="A84" s="293">
        <f t="shared" si="6"/>
        <v>0</v>
      </c>
      <c r="B84" s="163"/>
      <c r="C84" s="163"/>
      <c r="D84" s="163"/>
      <c r="E84" s="175"/>
      <c r="F84" s="175"/>
      <c r="G84" s="130"/>
      <c r="H84" s="222" t="str">
        <f t="shared" si="7"/>
        <v/>
      </c>
      <c r="I84" s="222" t="str">
        <f t="shared" si="8"/>
        <v/>
      </c>
      <c r="J84" s="67"/>
      <c r="K84" s="67"/>
      <c r="L84" s="361" t="s">
        <v>1236</v>
      </c>
      <c r="M84" s="294">
        <f t="shared" si="9"/>
        <v>0</v>
      </c>
      <c r="N84" s="176"/>
      <c r="O84" s="163"/>
      <c r="P84" s="163"/>
      <c r="Q84" s="175"/>
      <c r="R84" s="175"/>
      <c r="S84" s="130"/>
      <c r="T84" s="223" t="str">
        <f t="shared" si="10"/>
        <v/>
      </c>
      <c r="U84" s="222" t="str">
        <f t="shared" si="11"/>
        <v/>
      </c>
      <c r="V84" s="362" t="s">
        <v>1236</v>
      </c>
      <c r="W84" s="72"/>
    </row>
    <row r="85" spans="1:23" x14ac:dyDescent="0.2">
      <c r="A85" s="293">
        <f t="shared" si="6"/>
        <v>0</v>
      </c>
      <c r="B85" s="163"/>
      <c r="C85" s="163"/>
      <c r="D85" s="163"/>
      <c r="E85" s="175"/>
      <c r="F85" s="175"/>
      <c r="G85" s="130"/>
      <c r="H85" s="222" t="str">
        <f t="shared" si="7"/>
        <v/>
      </c>
      <c r="I85" s="222" t="str">
        <f t="shared" si="8"/>
        <v/>
      </c>
      <c r="J85" s="67"/>
      <c r="K85" s="67"/>
      <c r="L85" s="361" t="s">
        <v>1236</v>
      </c>
      <c r="M85" s="294">
        <f t="shared" si="9"/>
        <v>0</v>
      </c>
      <c r="N85" s="176"/>
      <c r="O85" s="163"/>
      <c r="P85" s="163"/>
      <c r="Q85" s="175"/>
      <c r="R85" s="175"/>
      <c r="S85" s="130"/>
      <c r="T85" s="223" t="str">
        <f t="shared" si="10"/>
        <v/>
      </c>
      <c r="U85" s="222" t="str">
        <f t="shared" si="11"/>
        <v/>
      </c>
      <c r="V85" s="362" t="s">
        <v>1236</v>
      </c>
      <c r="W85" s="72"/>
    </row>
    <row r="86" spans="1:23" x14ac:dyDescent="0.2">
      <c r="A86" s="293">
        <f t="shared" si="6"/>
        <v>0</v>
      </c>
      <c r="B86" s="163"/>
      <c r="C86" s="163"/>
      <c r="D86" s="163"/>
      <c r="E86" s="175"/>
      <c r="F86" s="175"/>
      <c r="G86" s="130"/>
      <c r="H86" s="222" t="str">
        <f t="shared" si="7"/>
        <v/>
      </c>
      <c r="I86" s="222" t="str">
        <f t="shared" si="8"/>
        <v/>
      </c>
      <c r="J86" s="67"/>
      <c r="K86" s="67"/>
      <c r="L86" s="361" t="s">
        <v>1236</v>
      </c>
      <c r="M86" s="294">
        <f t="shared" si="9"/>
        <v>0</v>
      </c>
      <c r="N86" s="176"/>
      <c r="O86" s="163"/>
      <c r="P86" s="163"/>
      <c r="Q86" s="175"/>
      <c r="R86" s="175"/>
      <c r="S86" s="130"/>
      <c r="T86" s="223" t="str">
        <f t="shared" si="10"/>
        <v/>
      </c>
      <c r="U86" s="222" t="str">
        <f t="shared" si="11"/>
        <v/>
      </c>
      <c r="V86" s="362" t="s">
        <v>1236</v>
      </c>
      <c r="W86" s="72"/>
    </row>
    <row r="87" spans="1:23" x14ac:dyDescent="0.2">
      <c r="A87" s="293">
        <f t="shared" si="6"/>
        <v>0</v>
      </c>
      <c r="B87" s="163"/>
      <c r="C87" s="163"/>
      <c r="D87" s="163"/>
      <c r="E87" s="175"/>
      <c r="F87" s="175"/>
      <c r="G87" s="130"/>
      <c r="H87" s="222" t="str">
        <f t="shared" si="7"/>
        <v/>
      </c>
      <c r="I87" s="222" t="str">
        <f t="shared" si="8"/>
        <v/>
      </c>
      <c r="J87" s="67"/>
      <c r="K87" s="67"/>
      <c r="L87" s="361" t="s">
        <v>1236</v>
      </c>
      <c r="M87" s="294">
        <f t="shared" si="9"/>
        <v>0</v>
      </c>
      <c r="N87" s="176"/>
      <c r="O87" s="163"/>
      <c r="P87" s="163"/>
      <c r="Q87" s="175"/>
      <c r="R87" s="175"/>
      <c r="S87" s="130"/>
      <c r="T87" s="223" t="str">
        <f t="shared" si="10"/>
        <v/>
      </c>
      <c r="U87" s="222" t="str">
        <f t="shared" si="11"/>
        <v/>
      </c>
      <c r="V87" s="362" t="s">
        <v>1236</v>
      </c>
      <c r="W87" s="72"/>
    </row>
    <row r="88" spans="1:23" x14ac:dyDescent="0.2">
      <c r="A88" s="293">
        <f t="shared" si="6"/>
        <v>0</v>
      </c>
      <c r="B88" s="163"/>
      <c r="C88" s="163"/>
      <c r="D88" s="163"/>
      <c r="E88" s="175"/>
      <c r="F88" s="175"/>
      <c r="G88" s="130"/>
      <c r="H88" s="222" t="str">
        <f t="shared" si="7"/>
        <v/>
      </c>
      <c r="I88" s="222" t="str">
        <f t="shared" si="8"/>
        <v/>
      </c>
      <c r="J88" s="67"/>
      <c r="K88" s="67"/>
      <c r="L88" s="361" t="s">
        <v>1236</v>
      </c>
      <c r="M88" s="294">
        <f t="shared" si="9"/>
        <v>0</v>
      </c>
      <c r="N88" s="176"/>
      <c r="O88" s="163"/>
      <c r="P88" s="163"/>
      <c r="Q88" s="175"/>
      <c r="R88" s="175"/>
      <c r="S88" s="130"/>
      <c r="T88" s="223" t="str">
        <f t="shared" si="10"/>
        <v/>
      </c>
      <c r="U88" s="222" t="str">
        <f t="shared" si="11"/>
        <v/>
      </c>
      <c r="V88" s="362" t="s">
        <v>1236</v>
      </c>
      <c r="W88" s="72"/>
    </row>
    <row r="89" spans="1:23" x14ac:dyDescent="0.2">
      <c r="A89" s="293">
        <f t="shared" si="6"/>
        <v>0</v>
      </c>
      <c r="B89" s="163"/>
      <c r="C89" s="163"/>
      <c r="D89" s="163"/>
      <c r="E89" s="175"/>
      <c r="F89" s="175"/>
      <c r="G89" s="130"/>
      <c r="H89" s="222" t="str">
        <f t="shared" si="7"/>
        <v/>
      </c>
      <c r="I89" s="222" t="str">
        <f t="shared" si="8"/>
        <v/>
      </c>
      <c r="J89" s="67"/>
      <c r="K89" s="67"/>
      <c r="L89" s="361" t="s">
        <v>1236</v>
      </c>
      <c r="M89" s="294">
        <f t="shared" si="9"/>
        <v>0</v>
      </c>
      <c r="N89" s="176"/>
      <c r="O89" s="163"/>
      <c r="P89" s="163"/>
      <c r="Q89" s="175"/>
      <c r="R89" s="175"/>
      <c r="S89" s="130"/>
      <c r="T89" s="223" t="str">
        <f t="shared" si="10"/>
        <v/>
      </c>
      <c r="U89" s="222" t="str">
        <f t="shared" si="11"/>
        <v/>
      </c>
      <c r="V89" s="362" t="s">
        <v>1236</v>
      </c>
      <c r="W89" s="72"/>
    </row>
    <row r="90" spans="1:23" x14ac:dyDescent="0.2">
      <c r="A90" s="293">
        <f t="shared" si="6"/>
        <v>0</v>
      </c>
      <c r="B90" s="163"/>
      <c r="C90" s="163"/>
      <c r="D90" s="163"/>
      <c r="E90" s="175"/>
      <c r="F90" s="175"/>
      <c r="G90" s="130"/>
      <c r="H90" s="222" t="str">
        <f t="shared" si="7"/>
        <v/>
      </c>
      <c r="I90" s="222" t="str">
        <f t="shared" si="8"/>
        <v/>
      </c>
      <c r="J90" s="67"/>
      <c r="K90" s="67"/>
      <c r="L90" s="361" t="s">
        <v>1236</v>
      </c>
      <c r="M90" s="294">
        <f t="shared" si="9"/>
        <v>0</v>
      </c>
      <c r="N90" s="176"/>
      <c r="O90" s="163"/>
      <c r="P90" s="163"/>
      <c r="Q90" s="175"/>
      <c r="R90" s="175"/>
      <c r="S90" s="130"/>
      <c r="T90" s="223" t="str">
        <f t="shared" si="10"/>
        <v/>
      </c>
      <c r="U90" s="222" t="str">
        <f t="shared" si="11"/>
        <v/>
      </c>
      <c r="V90" s="362" t="s">
        <v>1236</v>
      </c>
      <c r="W90" s="72"/>
    </row>
    <row r="91" spans="1:23" x14ac:dyDescent="0.2">
      <c r="A91" s="293">
        <f t="shared" si="6"/>
        <v>0</v>
      </c>
      <c r="B91" s="163"/>
      <c r="C91" s="163"/>
      <c r="D91" s="163"/>
      <c r="E91" s="175"/>
      <c r="F91" s="175"/>
      <c r="G91" s="130"/>
      <c r="H91" s="222" t="str">
        <f t="shared" si="7"/>
        <v/>
      </c>
      <c r="I91" s="222" t="str">
        <f t="shared" si="8"/>
        <v/>
      </c>
      <c r="J91" s="67"/>
      <c r="K91" s="67"/>
      <c r="L91" s="361" t="s">
        <v>1236</v>
      </c>
      <c r="M91" s="294">
        <f t="shared" si="9"/>
        <v>0</v>
      </c>
      <c r="N91" s="176"/>
      <c r="O91" s="163"/>
      <c r="P91" s="163"/>
      <c r="Q91" s="175"/>
      <c r="R91" s="175"/>
      <c r="S91" s="130"/>
      <c r="T91" s="223" t="str">
        <f t="shared" si="10"/>
        <v/>
      </c>
      <c r="U91" s="222" t="str">
        <f t="shared" si="11"/>
        <v/>
      </c>
      <c r="V91" s="362" t="s">
        <v>1236</v>
      </c>
      <c r="W91" s="72"/>
    </row>
    <row r="92" spans="1:23" x14ac:dyDescent="0.2">
      <c r="A92" s="293">
        <f t="shared" si="6"/>
        <v>0</v>
      </c>
      <c r="B92" s="163"/>
      <c r="C92" s="163"/>
      <c r="D92" s="163"/>
      <c r="E92" s="175"/>
      <c r="F92" s="175"/>
      <c r="G92" s="130"/>
      <c r="H92" s="222" t="str">
        <f t="shared" si="7"/>
        <v/>
      </c>
      <c r="I92" s="222" t="str">
        <f t="shared" si="8"/>
        <v/>
      </c>
      <c r="J92" s="67"/>
      <c r="K92" s="67"/>
      <c r="L92" s="361" t="s">
        <v>1236</v>
      </c>
      <c r="M92" s="294">
        <f t="shared" si="9"/>
        <v>0</v>
      </c>
      <c r="N92" s="176"/>
      <c r="O92" s="163"/>
      <c r="P92" s="163"/>
      <c r="Q92" s="175"/>
      <c r="R92" s="175"/>
      <c r="S92" s="130"/>
      <c r="T92" s="223" t="str">
        <f t="shared" si="10"/>
        <v/>
      </c>
      <c r="U92" s="222" t="str">
        <f t="shared" si="11"/>
        <v/>
      </c>
      <c r="V92" s="362" t="s">
        <v>1236</v>
      </c>
      <c r="W92" s="72"/>
    </row>
    <row r="93" spans="1:23" x14ac:dyDescent="0.2">
      <c r="A93" s="293">
        <f t="shared" si="6"/>
        <v>0</v>
      </c>
      <c r="B93" s="163"/>
      <c r="C93" s="163"/>
      <c r="D93" s="163"/>
      <c r="E93" s="175"/>
      <c r="F93" s="175"/>
      <c r="G93" s="130"/>
      <c r="H93" s="222" t="str">
        <f t="shared" si="7"/>
        <v/>
      </c>
      <c r="I93" s="222" t="str">
        <f t="shared" si="8"/>
        <v/>
      </c>
      <c r="J93" s="67"/>
      <c r="K93" s="67"/>
      <c r="L93" s="361" t="s">
        <v>1236</v>
      </c>
      <c r="M93" s="294">
        <f t="shared" si="9"/>
        <v>0</v>
      </c>
      <c r="N93" s="176"/>
      <c r="O93" s="163"/>
      <c r="P93" s="163"/>
      <c r="Q93" s="175"/>
      <c r="R93" s="175"/>
      <c r="S93" s="130"/>
      <c r="T93" s="223" t="str">
        <f t="shared" si="10"/>
        <v/>
      </c>
      <c r="U93" s="222" t="str">
        <f t="shared" si="11"/>
        <v/>
      </c>
      <c r="V93" s="362" t="s">
        <v>1236</v>
      </c>
      <c r="W93" s="72"/>
    </row>
    <row r="94" spans="1:23" x14ac:dyDescent="0.2">
      <c r="A94" s="293">
        <f t="shared" si="6"/>
        <v>0</v>
      </c>
      <c r="B94" s="163"/>
      <c r="C94" s="163"/>
      <c r="D94" s="163"/>
      <c r="E94" s="175"/>
      <c r="F94" s="175"/>
      <c r="G94" s="130"/>
      <c r="H94" s="222" t="str">
        <f t="shared" si="7"/>
        <v/>
      </c>
      <c r="I94" s="222" t="str">
        <f t="shared" si="8"/>
        <v/>
      </c>
      <c r="J94" s="67"/>
      <c r="K94" s="67"/>
      <c r="L94" s="361" t="s">
        <v>1236</v>
      </c>
      <c r="M94" s="294">
        <f t="shared" si="9"/>
        <v>0</v>
      </c>
      <c r="N94" s="176"/>
      <c r="O94" s="163"/>
      <c r="P94" s="163"/>
      <c r="Q94" s="175"/>
      <c r="R94" s="175"/>
      <c r="S94" s="130"/>
      <c r="T94" s="223" t="str">
        <f t="shared" si="10"/>
        <v/>
      </c>
      <c r="U94" s="222" t="str">
        <f t="shared" si="11"/>
        <v/>
      </c>
      <c r="V94" s="362" t="s">
        <v>1236</v>
      </c>
      <c r="W94" s="72"/>
    </row>
    <row r="95" spans="1:23" x14ac:dyDescent="0.2">
      <c r="A95" s="293">
        <f t="shared" si="6"/>
        <v>0</v>
      </c>
      <c r="B95" s="163"/>
      <c r="C95" s="163"/>
      <c r="D95" s="163"/>
      <c r="E95" s="175"/>
      <c r="F95" s="175"/>
      <c r="G95" s="130"/>
      <c r="H95" s="222" t="str">
        <f t="shared" si="7"/>
        <v/>
      </c>
      <c r="I95" s="222" t="str">
        <f t="shared" si="8"/>
        <v/>
      </c>
      <c r="J95" s="67"/>
      <c r="K95" s="67"/>
      <c r="L95" s="361" t="s">
        <v>1236</v>
      </c>
      <c r="M95" s="294">
        <f t="shared" si="9"/>
        <v>0</v>
      </c>
      <c r="N95" s="176"/>
      <c r="O95" s="163"/>
      <c r="P95" s="163"/>
      <c r="Q95" s="175"/>
      <c r="R95" s="175"/>
      <c r="S95" s="130"/>
      <c r="T95" s="223" t="str">
        <f t="shared" si="10"/>
        <v/>
      </c>
      <c r="U95" s="222" t="str">
        <f t="shared" si="11"/>
        <v/>
      </c>
      <c r="V95" s="362" t="s">
        <v>1236</v>
      </c>
      <c r="W95" s="72"/>
    </row>
    <row r="96" spans="1:23" x14ac:dyDescent="0.2">
      <c r="A96" s="293">
        <f t="shared" si="6"/>
        <v>0</v>
      </c>
      <c r="B96" s="163"/>
      <c r="C96" s="163"/>
      <c r="D96" s="163"/>
      <c r="E96" s="175"/>
      <c r="F96" s="175"/>
      <c r="G96" s="130"/>
      <c r="H96" s="222" t="str">
        <f t="shared" si="7"/>
        <v/>
      </c>
      <c r="I96" s="222" t="str">
        <f t="shared" si="8"/>
        <v/>
      </c>
      <c r="J96" s="67"/>
      <c r="K96" s="67"/>
      <c r="L96" s="361" t="s">
        <v>1236</v>
      </c>
      <c r="M96" s="294">
        <f t="shared" si="9"/>
        <v>0</v>
      </c>
      <c r="N96" s="176"/>
      <c r="O96" s="163"/>
      <c r="P96" s="163"/>
      <c r="Q96" s="175"/>
      <c r="R96" s="175"/>
      <c r="S96" s="130"/>
      <c r="T96" s="223" t="str">
        <f t="shared" si="10"/>
        <v/>
      </c>
      <c r="U96" s="222" t="str">
        <f t="shared" si="11"/>
        <v/>
      </c>
      <c r="V96" s="362" t="s">
        <v>1236</v>
      </c>
      <c r="W96" s="72"/>
    </row>
    <row r="97" spans="1:23" x14ac:dyDescent="0.2">
      <c r="A97" s="293">
        <f t="shared" si="6"/>
        <v>0</v>
      </c>
      <c r="B97" s="163"/>
      <c r="C97" s="163"/>
      <c r="D97" s="163"/>
      <c r="E97" s="175"/>
      <c r="F97" s="175"/>
      <c r="G97" s="130"/>
      <c r="H97" s="222" t="str">
        <f t="shared" si="7"/>
        <v/>
      </c>
      <c r="I97" s="222" t="str">
        <f t="shared" si="8"/>
        <v/>
      </c>
      <c r="J97" s="67"/>
      <c r="K97" s="67"/>
      <c r="L97" s="361" t="s">
        <v>1236</v>
      </c>
      <c r="M97" s="294">
        <f t="shared" si="9"/>
        <v>0</v>
      </c>
      <c r="N97" s="176"/>
      <c r="O97" s="163"/>
      <c r="P97" s="163"/>
      <c r="Q97" s="175"/>
      <c r="R97" s="175"/>
      <c r="S97" s="130"/>
      <c r="T97" s="223" t="str">
        <f t="shared" si="10"/>
        <v/>
      </c>
      <c r="U97" s="222" t="str">
        <f t="shared" si="11"/>
        <v/>
      </c>
      <c r="V97" s="362" t="s">
        <v>1236</v>
      </c>
      <c r="W97" s="72"/>
    </row>
    <row r="98" spans="1:23" x14ac:dyDescent="0.2">
      <c r="A98" s="293">
        <f t="shared" si="6"/>
        <v>0</v>
      </c>
      <c r="B98" s="163"/>
      <c r="C98" s="163"/>
      <c r="D98" s="163"/>
      <c r="E98" s="175"/>
      <c r="F98" s="175"/>
      <c r="G98" s="130"/>
      <c r="H98" s="222" t="str">
        <f t="shared" si="7"/>
        <v/>
      </c>
      <c r="I98" s="222" t="str">
        <f t="shared" si="8"/>
        <v/>
      </c>
      <c r="J98" s="67"/>
      <c r="K98" s="67"/>
      <c r="L98" s="361" t="s">
        <v>1236</v>
      </c>
      <c r="M98" s="294">
        <f t="shared" si="9"/>
        <v>0</v>
      </c>
      <c r="N98" s="176"/>
      <c r="O98" s="163"/>
      <c r="P98" s="163"/>
      <c r="Q98" s="175"/>
      <c r="R98" s="175"/>
      <c r="S98" s="130"/>
      <c r="T98" s="223" t="str">
        <f t="shared" si="10"/>
        <v/>
      </c>
      <c r="U98" s="222" t="str">
        <f t="shared" si="11"/>
        <v/>
      </c>
      <c r="V98" s="362" t="s">
        <v>1236</v>
      </c>
      <c r="W98" s="72"/>
    </row>
    <row r="99" spans="1:23" x14ac:dyDescent="0.2">
      <c r="A99" s="293">
        <f t="shared" si="6"/>
        <v>0</v>
      </c>
      <c r="B99" s="163"/>
      <c r="C99" s="163"/>
      <c r="D99" s="163"/>
      <c r="E99" s="175"/>
      <c r="F99" s="175"/>
      <c r="G99" s="130"/>
      <c r="H99" s="222" t="str">
        <f t="shared" si="7"/>
        <v/>
      </c>
      <c r="I99" s="222" t="str">
        <f t="shared" si="8"/>
        <v/>
      </c>
      <c r="J99" s="67"/>
      <c r="K99" s="67"/>
      <c r="L99" s="361" t="s">
        <v>1236</v>
      </c>
      <c r="M99" s="294">
        <f t="shared" si="9"/>
        <v>0</v>
      </c>
      <c r="N99" s="176"/>
      <c r="O99" s="163"/>
      <c r="P99" s="163"/>
      <c r="Q99" s="175"/>
      <c r="R99" s="175"/>
      <c r="S99" s="130"/>
      <c r="T99" s="223" t="str">
        <f t="shared" si="10"/>
        <v/>
      </c>
      <c r="U99" s="222" t="str">
        <f t="shared" si="11"/>
        <v/>
      </c>
      <c r="V99" s="362" t="s">
        <v>1236</v>
      </c>
      <c r="W99" s="72"/>
    </row>
    <row r="100" spans="1:23" x14ac:dyDescent="0.2">
      <c r="A100" s="293">
        <f t="shared" si="6"/>
        <v>0</v>
      </c>
      <c r="B100" s="163"/>
      <c r="C100" s="163"/>
      <c r="D100" s="163"/>
      <c r="E100" s="175"/>
      <c r="F100" s="175"/>
      <c r="G100" s="130"/>
      <c r="H100" s="222" t="str">
        <f t="shared" si="7"/>
        <v/>
      </c>
      <c r="I100" s="222" t="str">
        <f t="shared" si="8"/>
        <v/>
      </c>
      <c r="J100" s="67"/>
      <c r="K100" s="67"/>
      <c r="L100" s="361" t="s">
        <v>1236</v>
      </c>
      <c r="M100" s="294">
        <f t="shared" si="9"/>
        <v>0</v>
      </c>
      <c r="N100" s="176"/>
      <c r="O100" s="163"/>
      <c r="P100" s="163"/>
      <c r="Q100" s="175"/>
      <c r="R100" s="175"/>
      <c r="S100" s="130"/>
      <c r="T100" s="223" t="str">
        <f t="shared" si="10"/>
        <v/>
      </c>
      <c r="U100" s="222" t="str">
        <f t="shared" si="11"/>
        <v/>
      </c>
      <c r="V100" s="362" t="s">
        <v>1236</v>
      </c>
      <c r="W100" s="72"/>
    </row>
    <row r="101" spans="1:23" x14ac:dyDescent="0.2">
      <c r="A101" s="293">
        <f t="shared" si="6"/>
        <v>0</v>
      </c>
      <c r="B101" s="163"/>
      <c r="C101" s="163"/>
      <c r="D101" s="163"/>
      <c r="E101" s="175"/>
      <c r="F101" s="175"/>
      <c r="G101" s="130"/>
      <c r="H101" s="222" t="str">
        <f t="shared" si="7"/>
        <v/>
      </c>
      <c r="I101" s="222" t="str">
        <f t="shared" si="8"/>
        <v/>
      </c>
      <c r="J101" s="67"/>
      <c r="K101" s="67"/>
      <c r="L101" s="361" t="s">
        <v>1236</v>
      </c>
      <c r="M101" s="294">
        <f t="shared" si="9"/>
        <v>0</v>
      </c>
      <c r="N101" s="176"/>
      <c r="O101" s="163"/>
      <c r="P101" s="163"/>
      <c r="Q101" s="175"/>
      <c r="R101" s="175"/>
      <c r="S101" s="130"/>
      <c r="T101" s="223" t="str">
        <f t="shared" si="10"/>
        <v/>
      </c>
      <c r="U101" s="222" t="str">
        <f t="shared" si="11"/>
        <v/>
      </c>
      <c r="V101" s="362" t="s">
        <v>1236</v>
      </c>
      <c r="W101" s="72"/>
    </row>
    <row r="102" spans="1:23" x14ac:dyDescent="0.2">
      <c r="A102" s="293">
        <f t="shared" si="6"/>
        <v>0</v>
      </c>
      <c r="B102" s="163"/>
      <c r="C102" s="163"/>
      <c r="D102" s="163"/>
      <c r="E102" s="175"/>
      <c r="F102" s="175"/>
      <c r="G102" s="130"/>
      <c r="H102" s="222" t="str">
        <f t="shared" si="7"/>
        <v/>
      </c>
      <c r="I102" s="222" t="str">
        <f t="shared" si="8"/>
        <v/>
      </c>
      <c r="J102" s="67"/>
      <c r="K102" s="67"/>
      <c r="L102" s="361" t="s">
        <v>1236</v>
      </c>
      <c r="M102" s="294">
        <f t="shared" si="9"/>
        <v>0</v>
      </c>
      <c r="N102" s="176"/>
      <c r="O102" s="163"/>
      <c r="P102" s="163"/>
      <c r="Q102" s="175"/>
      <c r="R102" s="175"/>
      <c r="S102" s="130"/>
      <c r="T102" s="223" t="str">
        <f t="shared" si="10"/>
        <v/>
      </c>
      <c r="U102" s="222" t="str">
        <f t="shared" si="11"/>
        <v/>
      </c>
      <c r="V102" s="362" t="s">
        <v>1236</v>
      </c>
      <c r="W102" s="72"/>
    </row>
    <row r="103" spans="1:23" x14ac:dyDescent="0.2">
      <c r="A103" s="293">
        <f t="shared" si="6"/>
        <v>0</v>
      </c>
      <c r="B103" s="163"/>
      <c r="C103" s="163"/>
      <c r="D103" s="163"/>
      <c r="E103" s="175"/>
      <c r="F103" s="175"/>
      <c r="G103" s="130"/>
      <c r="H103" s="222" t="str">
        <f t="shared" si="7"/>
        <v/>
      </c>
      <c r="I103" s="222" t="str">
        <f t="shared" si="8"/>
        <v/>
      </c>
      <c r="J103" s="67"/>
      <c r="K103" s="67"/>
      <c r="L103" s="361" t="s">
        <v>1236</v>
      </c>
      <c r="M103" s="294">
        <f t="shared" si="9"/>
        <v>0</v>
      </c>
      <c r="N103" s="176"/>
      <c r="O103" s="163"/>
      <c r="P103" s="163"/>
      <c r="Q103" s="175"/>
      <c r="R103" s="175"/>
      <c r="S103" s="130"/>
      <c r="T103" s="223" t="str">
        <f t="shared" si="10"/>
        <v/>
      </c>
      <c r="U103" s="222" t="str">
        <f t="shared" si="11"/>
        <v/>
      </c>
      <c r="V103" s="362" t="s">
        <v>1236</v>
      </c>
      <c r="W103" s="72"/>
    </row>
    <row r="104" spans="1:23" x14ac:dyDescent="0.2">
      <c r="A104" s="293">
        <f t="shared" si="6"/>
        <v>0</v>
      </c>
      <c r="B104" s="163"/>
      <c r="C104" s="163"/>
      <c r="D104" s="163"/>
      <c r="E104" s="175"/>
      <c r="F104" s="175"/>
      <c r="G104" s="130"/>
      <c r="H104" s="222" t="str">
        <f t="shared" si="7"/>
        <v/>
      </c>
      <c r="I104" s="222" t="str">
        <f t="shared" si="8"/>
        <v/>
      </c>
      <c r="J104" s="67"/>
      <c r="K104" s="67"/>
      <c r="L104" s="361" t="s">
        <v>1236</v>
      </c>
      <c r="M104" s="294">
        <f t="shared" si="9"/>
        <v>0</v>
      </c>
      <c r="N104" s="176"/>
      <c r="O104" s="163"/>
      <c r="P104" s="163"/>
      <c r="Q104" s="175"/>
      <c r="R104" s="175"/>
      <c r="S104" s="130"/>
      <c r="T104" s="223" t="str">
        <f t="shared" si="10"/>
        <v/>
      </c>
      <c r="U104" s="222" t="str">
        <f t="shared" si="11"/>
        <v/>
      </c>
      <c r="V104" s="362" t="s">
        <v>1236</v>
      </c>
      <c r="W104" s="72"/>
    </row>
    <row r="105" spans="1:23" x14ac:dyDescent="0.2">
      <c r="A105" s="293">
        <f t="shared" si="6"/>
        <v>0</v>
      </c>
      <c r="B105" s="163"/>
      <c r="C105" s="163"/>
      <c r="D105" s="163"/>
      <c r="E105" s="175"/>
      <c r="F105" s="175"/>
      <c r="G105" s="130"/>
      <c r="H105" s="222" t="str">
        <f t="shared" si="7"/>
        <v/>
      </c>
      <c r="I105" s="222" t="str">
        <f t="shared" si="8"/>
        <v/>
      </c>
      <c r="J105" s="67"/>
      <c r="K105" s="67"/>
      <c r="L105" s="361" t="s">
        <v>1236</v>
      </c>
      <c r="M105" s="294">
        <f t="shared" si="9"/>
        <v>0</v>
      </c>
      <c r="N105" s="176"/>
      <c r="O105" s="163"/>
      <c r="P105" s="163"/>
      <c r="Q105" s="175"/>
      <c r="R105" s="175"/>
      <c r="S105" s="130"/>
      <c r="T105" s="223" t="str">
        <f t="shared" si="10"/>
        <v/>
      </c>
      <c r="U105" s="222" t="str">
        <f t="shared" si="11"/>
        <v/>
      </c>
      <c r="V105" s="362" t="s">
        <v>1236</v>
      </c>
      <c r="W105" s="72"/>
    </row>
    <row r="106" spans="1:23" x14ac:dyDescent="0.2">
      <c r="A106" s="293">
        <f t="shared" si="6"/>
        <v>0</v>
      </c>
      <c r="B106" s="163"/>
      <c r="C106" s="163"/>
      <c r="D106" s="163"/>
      <c r="E106" s="175"/>
      <c r="F106" s="175"/>
      <c r="G106" s="130"/>
      <c r="H106" s="222" t="str">
        <f t="shared" si="7"/>
        <v/>
      </c>
      <c r="I106" s="222" t="str">
        <f t="shared" si="8"/>
        <v/>
      </c>
      <c r="J106" s="67"/>
      <c r="K106" s="67"/>
      <c r="L106" s="361" t="s">
        <v>1236</v>
      </c>
      <c r="M106" s="294">
        <f t="shared" si="9"/>
        <v>0</v>
      </c>
      <c r="N106" s="176"/>
      <c r="O106" s="163"/>
      <c r="P106" s="163"/>
      <c r="Q106" s="175"/>
      <c r="R106" s="175"/>
      <c r="S106" s="130"/>
      <c r="T106" s="223" t="str">
        <f t="shared" si="10"/>
        <v/>
      </c>
      <c r="U106" s="222" t="str">
        <f t="shared" si="11"/>
        <v/>
      </c>
      <c r="V106" s="362" t="s">
        <v>1236</v>
      </c>
      <c r="W106" s="72"/>
    </row>
    <row r="107" spans="1:23" x14ac:dyDescent="0.2">
      <c r="A107" s="293">
        <f t="shared" si="6"/>
        <v>0</v>
      </c>
      <c r="B107" s="163"/>
      <c r="C107" s="163"/>
      <c r="D107" s="163"/>
      <c r="E107" s="175"/>
      <c r="F107" s="175"/>
      <c r="G107" s="130"/>
      <c r="H107" s="222" t="str">
        <f t="shared" si="7"/>
        <v/>
      </c>
      <c r="I107" s="222" t="str">
        <f t="shared" si="8"/>
        <v/>
      </c>
      <c r="J107" s="67"/>
      <c r="K107" s="67"/>
      <c r="L107" s="361" t="s">
        <v>1236</v>
      </c>
      <c r="M107" s="294">
        <f t="shared" si="9"/>
        <v>0</v>
      </c>
      <c r="N107" s="176"/>
      <c r="O107" s="163"/>
      <c r="P107" s="163"/>
      <c r="Q107" s="175"/>
      <c r="R107" s="175"/>
      <c r="S107" s="130"/>
      <c r="T107" s="223" t="str">
        <f t="shared" si="10"/>
        <v/>
      </c>
      <c r="U107" s="222" t="str">
        <f t="shared" si="11"/>
        <v/>
      </c>
      <c r="V107" s="362" t="s">
        <v>1236</v>
      </c>
      <c r="W107" s="72"/>
    </row>
    <row r="108" spans="1:23" x14ac:dyDescent="0.2">
      <c r="A108" s="293">
        <f t="shared" si="6"/>
        <v>0</v>
      </c>
      <c r="B108" s="163"/>
      <c r="C108" s="163"/>
      <c r="D108" s="163"/>
      <c r="E108" s="175"/>
      <c r="F108" s="175"/>
      <c r="G108" s="130"/>
      <c r="H108" s="222" t="str">
        <f t="shared" si="7"/>
        <v/>
      </c>
      <c r="I108" s="222" t="str">
        <f t="shared" si="8"/>
        <v/>
      </c>
      <c r="J108" s="67"/>
      <c r="K108" s="67"/>
      <c r="L108" s="361" t="s">
        <v>1236</v>
      </c>
      <c r="M108" s="294">
        <f t="shared" si="9"/>
        <v>0</v>
      </c>
      <c r="N108" s="176"/>
      <c r="O108" s="163"/>
      <c r="P108" s="163"/>
      <c r="Q108" s="175"/>
      <c r="R108" s="175"/>
      <c r="S108" s="130"/>
      <c r="T108" s="223" t="str">
        <f t="shared" si="10"/>
        <v/>
      </c>
      <c r="U108" s="222" t="str">
        <f t="shared" si="11"/>
        <v/>
      </c>
      <c r="V108" s="362" t="s">
        <v>1236</v>
      </c>
      <c r="W108" s="72"/>
    </row>
    <row r="109" spans="1:23" x14ac:dyDescent="0.2">
      <c r="A109" s="293">
        <f t="shared" si="6"/>
        <v>0</v>
      </c>
      <c r="B109" s="163"/>
      <c r="C109" s="163"/>
      <c r="D109" s="163"/>
      <c r="E109" s="175"/>
      <c r="F109" s="175"/>
      <c r="G109" s="130"/>
      <c r="H109" s="222" t="str">
        <f t="shared" si="7"/>
        <v/>
      </c>
      <c r="I109" s="222" t="str">
        <f t="shared" si="8"/>
        <v/>
      </c>
      <c r="J109" s="67"/>
      <c r="K109" s="67"/>
      <c r="L109" s="361" t="s">
        <v>1236</v>
      </c>
      <c r="M109" s="294">
        <f t="shared" si="9"/>
        <v>0</v>
      </c>
      <c r="N109" s="176"/>
      <c r="O109" s="163"/>
      <c r="P109" s="163"/>
      <c r="Q109" s="175"/>
      <c r="R109" s="175"/>
      <c r="S109" s="130"/>
      <c r="T109" s="223" t="str">
        <f t="shared" si="10"/>
        <v/>
      </c>
      <c r="U109" s="222" t="str">
        <f t="shared" si="11"/>
        <v/>
      </c>
      <c r="V109" s="362" t="s">
        <v>1236</v>
      </c>
      <c r="W109" s="72"/>
    </row>
    <row r="110" spans="1:23" x14ac:dyDescent="0.2">
      <c r="A110" s="293">
        <f t="shared" si="6"/>
        <v>0</v>
      </c>
      <c r="B110" s="163"/>
      <c r="C110" s="163"/>
      <c r="D110" s="163"/>
      <c r="E110" s="175"/>
      <c r="F110" s="175"/>
      <c r="G110" s="130"/>
      <c r="H110" s="222" t="str">
        <f t="shared" si="7"/>
        <v/>
      </c>
      <c r="I110" s="222" t="str">
        <f t="shared" si="8"/>
        <v/>
      </c>
      <c r="J110" s="67"/>
      <c r="K110" s="67"/>
      <c r="L110" s="361" t="s">
        <v>1236</v>
      </c>
      <c r="M110" s="294">
        <f t="shared" si="9"/>
        <v>0</v>
      </c>
      <c r="N110" s="176"/>
      <c r="O110" s="163"/>
      <c r="P110" s="163"/>
      <c r="Q110" s="175"/>
      <c r="R110" s="175"/>
      <c r="S110" s="130"/>
      <c r="T110" s="223" t="str">
        <f t="shared" si="10"/>
        <v/>
      </c>
      <c r="U110" s="222" t="str">
        <f t="shared" si="11"/>
        <v/>
      </c>
      <c r="V110" s="362" t="s">
        <v>1236</v>
      </c>
      <c r="W110" s="72"/>
    </row>
    <row r="111" spans="1:23" x14ac:dyDescent="0.2">
      <c r="A111" s="293">
        <f t="shared" si="6"/>
        <v>0</v>
      </c>
      <c r="B111" s="163"/>
      <c r="C111" s="163"/>
      <c r="D111" s="163"/>
      <c r="E111" s="175"/>
      <c r="F111" s="175"/>
      <c r="G111" s="130"/>
      <c r="H111" s="222" t="str">
        <f t="shared" si="7"/>
        <v/>
      </c>
      <c r="I111" s="222" t="str">
        <f t="shared" si="8"/>
        <v/>
      </c>
      <c r="J111" s="67"/>
      <c r="K111" s="67"/>
      <c r="L111" s="361" t="s">
        <v>1236</v>
      </c>
      <c r="M111" s="294">
        <f t="shared" si="9"/>
        <v>0</v>
      </c>
      <c r="N111" s="176"/>
      <c r="O111" s="163"/>
      <c r="P111" s="163"/>
      <c r="Q111" s="175"/>
      <c r="R111" s="175"/>
      <c r="S111" s="130"/>
      <c r="T111" s="223" t="str">
        <f t="shared" si="10"/>
        <v/>
      </c>
      <c r="U111" s="222" t="str">
        <f t="shared" si="11"/>
        <v/>
      </c>
      <c r="V111" s="362" t="s">
        <v>1236</v>
      </c>
      <c r="W111" s="72"/>
    </row>
    <row r="112" spans="1:23" x14ac:dyDescent="0.2">
      <c r="A112" s="293">
        <f t="shared" si="6"/>
        <v>0</v>
      </c>
      <c r="B112" s="163"/>
      <c r="C112" s="163"/>
      <c r="D112" s="163"/>
      <c r="E112" s="175"/>
      <c r="F112" s="175"/>
      <c r="G112" s="130"/>
      <c r="H112" s="222" t="str">
        <f t="shared" si="7"/>
        <v/>
      </c>
      <c r="I112" s="222" t="str">
        <f t="shared" si="8"/>
        <v/>
      </c>
      <c r="J112" s="67"/>
      <c r="K112" s="67"/>
      <c r="L112" s="361" t="s">
        <v>1236</v>
      </c>
      <c r="M112" s="294">
        <f t="shared" si="9"/>
        <v>0</v>
      </c>
      <c r="N112" s="176"/>
      <c r="O112" s="163"/>
      <c r="P112" s="163"/>
      <c r="Q112" s="175"/>
      <c r="R112" s="175"/>
      <c r="S112" s="130"/>
      <c r="T112" s="223" t="str">
        <f t="shared" si="10"/>
        <v/>
      </c>
      <c r="U112" s="222" t="str">
        <f t="shared" si="11"/>
        <v/>
      </c>
      <c r="V112" s="362" t="s">
        <v>1236</v>
      </c>
      <c r="W112" s="72"/>
    </row>
    <row r="113" spans="1:23" x14ac:dyDescent="0.2">
      <c r="A113" s="293">
        <f t="shared" si="6"/>
        <v>0</v>
      </c>
      <c r="B113" s="163"/>
      <c r="C113" s="163"/>
      <c r="D113" s="163"/>
      <c r="E113" s="175"/>
      <c r="F113" s="175"/>
      <c r="G113" s="130"/>
      <c r="H113" s="222" t="str">
        <f t="shared" si="7"/>
        <v/>
      </c>
      <c r="I113" s="222" t="str">
        <f t="shared" si="8"/>
        <v/>
      </c>
      <c r="J113" s="67"/>
      <c r="K113" s="67"/>
      <c r="L113" s="361" t="s">
        <v>1236</v>
      </c>
      <c r="M113" s="294">
        <f t="shared" si="9"/>
        <v>0</v>
      </c>
      <c r="N113" s="176"/>
      <c r="O113" s="163"/>
      <c r="P113" s="163"/>
      <c r="Q113" s="175"/>
      <c r="R113" s="175"/>
      <c r="S113" s="130"/>
      <c r="T113" s="223" t="str">
        <f t="shared" si="10"/>
        <v/>
      </c>
      <c r="U113" s="222" t="str">
        <f t="shared" si="11"/>
        <v/>
      </c>
      <c r="V113" s="362" t="s">
        <v>1236</v>
      </c>
      <c r="W113" s="72"/>
    </row>
    <row r="114" spans="1:23" x14ac:dyDescent="0.2">
      <c r="A114" s="293">
        <f t="shared" si="6"/>
        <v>0</v>
      </c>
      <c r="B114" s="163"/>
      <c r="C114" s="163"/>
      <c r="D114" s="163"/>
      <c r="E114" s="175"/>
      <c r="F114" s="175"/>
      <c r="G114" s="130"/>
      <c r="H114" s="222" t="str">
        <f t="shared" si="7"/>
        <v/>
      </c>
      <c r="I114" s="222" t="str">
        <f t="shared" si="8"/>
        <v/>
      </c>
      <c r="J114" s="67"/>
      <c r="K114" s="67"/>
      <c r="L114" s="361" t="s">
        <v>1236</v>
      </c>
      <c r="M114" s="294">
        <f t="shared" si="9"/>
        <v>0</v>
      </c>
      <c r="N114" s="176"/>
      <c r="O114" s="163"/>
      <c r="P114" s="163"/>
      <c r="Q114" s="175"/>
      <c r="R114" s="175"/>
      <c r="S114" s="130"/>
      <c r="T114" s="223" t="str">
        <f t="shared" si="10"/>
        <v/>
      </c>
      <c r="U114" s="222" t="str">
        <f t="shared" si="11"/>
        <v/>
      </c>
      <c r="V114" s="362" t="s">
        <v>1236</v>
      </c>
      <c r="W114" s="72"/>
    </row>
    <row r="115" spans="1:23" x14ac:dyDescent="0.2">
      <c r="A115" s="293">
        <f t="shared" si="6"/>
        <v>0</v>
      </c>
      <c r="B115" s="163"/>
      <c r="C115" s="163"/>
      <c r="D115" s="163"/>
      <c r="E115" s="175"/>
      <c r="F115" s="175"/>
      <c r="G115" s="130"/>
      <c r="H115" s="222" t="str">
        <f t="shared" si="7"/>
        <v/>
      </c>
      <c r="I115" s="222" t="str">
        <f t="shared" si="8"/>
        <v/>
      </c>
      <c r="J115" s="67"/>
      <c r="K115" s="67"/>
      <c r="L115" s="361" t="s">
        <v>1236</v>
      </c>
      <c r="M115" s="294">
        <f t="shared" si="9"/>
        <v>0</v>
      </c>
      <c r="N115" s="176"/>
      <c r="O115" s="163"/>
      <c r="P115" s="163"/>
      <c r="Q115" s="175"/>
      <c r="R115" s="175"/>
      <c r="S115" s="130"/>
      <c r="T115" s="223" t="str">
        <f t="shared" si="10"/>
        <v/>
      </c>
      <c r="U115" s="222" t="str">
        <f t="shared" si="11"/>
        <v/>
      </c>
      <c r="V115" s="362" t="s">
        <v>1236</v>
      </c>
      <c r="W115" s="72"/>
    </row>
    <row r="116" spans="1:23" x14ac:dyDescent="0.2">
      <c r="A116" s="293">
        <f t="shared" si="6"/>
        <v>0</v>
      </c>
      <c r="B116" s="163"/>
      <c r="C116" s="163"/>
      <c r="D116" s="163"/>
      <c r="E116" s="175"/>
      <c r="F116" s="175"/>
      <c r="G116" s="130"/>
      <c r="H116" s="222" t="str">
        <f t="shared" si="7"/>
        <v/>
      </c>
      <c r="I116" s="222" t="str">
        <f t="shared" si="8"/>
        <v/>
      </c>
      <c r="J116" s="67"/>
      <c r="K116" s="67"/>
      <c r="L116" s="361" t="s">
        <v>1236</v>
      </c>
      <c r="M116" s="294">
        <f t="shared" si="9"/>
        <v>0</v>
      </c>
      <c r="N116" s="176"/>
      <c r="O116" s="163"/>
      <c r="P116" s="163"/>
      <c r="Q116" s="175"/>
      <c r="R116" s="175"/>
      <c r="S116" s="130"/>
      <c r="T116" s="223" t="str">
        <f t="shared" si="10"/>
        <v/>
      </c>
      <c r="U116" s="222" t="str">
        <f t="shared" si="11"/>
        <v/>
      </c>
      <c r="V116" s="362" t="s">
        <v>1236</v>
      </c>
      <c r="W116" s="72"/>
    </row>
    <row r="117" spans="1:23" s="52" customFormat="1" x14ac:dyDescent="0.2">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
      <c r="G131" s="72"/>
      <c r="K131" s="72"/>
      <c r="L131" s="72"/>
      <c r="M131" s="72"/>
      <c r="S131" s="72"/>
    </row>
    <row r="132" spans="2:21" s="52" customFormat="1" x14ac:dyDescent="0.2">
      <c r="G132" s="72"/>
      <c r="K132" s="72"/>
      <c r="L132" s="72"/>
      <c r="M132" s="72"/>
      <c r="S132" s="72"/>
    </row>
    <row r="133" spans="2:21" s="52" customFormat="1" x14ac:dyDescent="0.2">
      <c r="G133" s="72"/>
      <c r="K133" s="72"/>
      <c r="L133" s="72"/>
      <c r="M133" s="72"/>
      <c r="S133" s="72"/>
    </row>
    <row r="134" spans="2:21" s="52" customFormat="1" x14ac:dyDescent="0.2">
      <c r="G134" s="72"/>
      <c r="K134" s="72"/>
      <c r="L134" s="72"/>
      <c r="M134" s="72"/>
      <c r="S134" s="72"/>
    </row>
    <row r="135" spans="2:21" s="52" customFormat="1" x14ac:dyDescent="0.2">
      <c r="G135" s="72"/>
      <c r="K135" s="72"/>
      <c r="L135" s="72"/>
      <c r="M135" s="72"/>
      <c r="S135" s="72"/>
    </row>
    <row r="136" spans="2:21" s="52" customFormat="1" x14ac:dyDescent="0.2">
      <c r="G136" s="72"/>
      <c r="K136" s="72"/>
      <c r="L136" s="72"/>
      <c r="M136" s="72"/>
      <c r="S136" s="72"/>
    </row>
    <row r="137" spans="2:21" s="52" customFormat="1" x14ac:dyDescent="0.2">
      <c r="G137" s="72"/>
      <c r="K137" s="72"/>
      <c r="L137" s="72"/>
      <c r="M137" s="72"/>
      <c r="S137" s="72"/>
    </row>
    <row r="138" spans="2:21" s="52" customFormat="1" x14ac:dyDescent="0.2">
      <c r="G138" s="72"/>
      <c r="K138" s="72"/>
      <c r="L138" s="72"/>
      <c r="M138" s="72"/>
      <c r="S138" s="72"/>
    </row>
    <row r="139" spans="2:21" s="52" customFormat="1" x14ac:dyDescent="0.2">
      <c r="G139" s="72"/>
      <c r="K139" s="72"/>
      <c r="L139" s="72"/>
      <c r="M139" s="72"/>
      <c r="S139" s="72"/>
    </row>
    <row r="140" spans="2:21" s="52" customFormat="1" x14ac:dyDescent="0.2">
      <c r="G140" s="72"/>
      <c r="K140" s="72"/>
      <c r="L140" s="72"/>
      <c r="M140" s="72"/>
      <c r="S140" s="72"/>
    </row>
    <row r="141" spans="2:21" s="52" customFormat="1" x14ac:dyDescent="0.2">
      <c r="G141" s="72"/>
      <c r="K141" s="72"/>
      <c r="L141" s="72"/>
      <c r="M141" s="72"/>
      <c r="S141" s="72"/>
    </row>
    <row r="142" spans="2:21" s="52" customFormat="1" x14ac:dyDescent="0.2">
      <c r="G142" s="72"/>
      <c r="K142" s="72"/>
      <c r="L142" s="72"/>
      <c r="M142" s="72"/>
      <c r="S142" s="72"/>
    </row>
    <row r="143" spans="2:21" s="52" customFormat="1" x14ac:dyDescent="0.2">
      <c r="G143" s="72"/>
      <c r="K143" s="72"/>
      <c r="L143" s="72"/>
      <c r="M143" s="72"/>
      <c r="S143" s="72"/>
    </row>
    <row r="144" spans="2:21" s="52" customFormat="1" x14ac:dyDescent="0.2">
      <c r="G144" s="72"/>
      <c r="K144" s="72"/>
      <c r="L144" s="72"/>
      <c r="M144" s="72"/>
      <c r="S144" s="72"/>
    </row>
    <row r="145" spans="7:19" s="52" customFormat="1" x14ac:dyDescent="0.2">
      <c r="G145" s="72"/>
      <c r="K145" s="72"/>
      <c r="L145" s="72"/>
      <c r="M145" s="72"/>
      <c r="S145" s="72"/>
    </row>
    <row r="146" spans="7:19" s="52" customFormat="1" x14ac:dyDescent="0.2">
      <c r="G146" s="72"/>
      <c r="K146" s="72"/>
      <c r="L146" s="72"/>
      <c r="M146" s="72"/>
      <c r="S146" s="72"/>
    </row>
    <row r="147" spans="7:19" s="52" customFormat="1" x14ac:dyDescent="0.2">
      <c r="G147" s="72"/>
      <c r="K147" s="72"/>
      <c r="L147" s="72"/>
      <c r="M147" s="72"/>
      <c r="S147" s="72"/>
    </row>
    <row r="148" spans="7:19" s="52" customFormat="1" x14ac:dyDescent="0.2">
      <c r="G148" s="72"/>
      <c r="K148" s="72"/>
      <c r="L148" s="72"/>
      <c r="M148" s="72"/>
      <c r="S148" s="72"/>
    </row>
    <row r="149" spans="7:19" s="52" customFormat="1" x14ac:dyDescent="0.2">
      <c r="G149" s="72"/>
      <c r="K149" s="72"/>
      <c r="L149" s="72"/>
      <c r="M149" s="72"/>
      <c r="S149" s="72"/>
    </row>
    <row r="150" spans="7:19" s="52" customFormat="1" x14ac:dyDescent="0.2">
      <c r="G150" s="72"/>
      <c r="K150" s="72"/>
      <c r="L150" s="72"/>
      <c r="M150" s="72"/>
      <c r="S150" s="72"/>
    </row>
    <row r="151" spans="7:19" s="52" customFormat="1" x14ac:dyDescent="0.2">
      <c r="G151" s="72"/>
      <c r="K151" s="72"/>
      <c r="L151" s="72"/>
      <c r="M151" s="72"/>
      <c r="S151" s="72"/>
    </row>
    <row r="152" spans="7:19" s="52" customFormat="1" x14ac:dyDescent="0.2">
      <c r="G152" s="72"/>
      <c r="K152" s="72"/>
      <c r="L152" s="72"/>
      <c r="M152" s="72"/>
      <c r="S152" s="72"/>
    </row>
    <row r="153" spans="7:19" s="52" customFormat="1" x14ac:dyDescent="0.2">
      <c r="G153" s="72"/>
      <c r="K153" s="72"/>
      <c r="L153" s="72"/>
      <c r="M153" s="72"/>
      <c r="S153" s="72"/>
    </row>
    <row r="154" spans="7:19" s="52" customFormat="1" x14ac:dyDescent="0.2">
      <c r="G154" s="72"/>
      <c r="K154" s="72"/>
      <c r="L154" s="72"/>
      <c r="M154" s="72"/>
      <c r="S154" s="72"/>
    </row>
    <row r="155" spans="7:19" s="52" customFormat="1" x14ac:dyDescent="0.2">
      <c r="G155" s="72"/>
      <c r="K155" s="72"/>
      <c r="L155" s="72"/>
      <c r="M155" s="72"/>
      <c r="S155" s="72"/>
    </row>
    <row r="156" spans="7:19" s="52" customFormat="1" x14ac:dyDescent="0.2">
      <c r="G156" s="72"/>
      <c r="K156" s="72"/>
      <c r="L156" s="72"/>
      <c r="M156" s="72"/>
      <c r="S156" s="72"/>
    </row>
    <row r="157" spans="7:19" s="52" customFormat="1" x14ac:dyDescent="0.2">
      <c r="G157" s="72"/>
      <c r="K157" s="72"/>
      <c r="L157" s="72"/>
      <c r="M157" s="72"/>
      <c r="S157" s="72"/>
    </row>
    <row r="158" spans="7:19" s="52" customFormat="1" x14ac:dyDescent="0.2">
      <c r="G158" s="72"/>
      <c r="K158" s="72"/>
      <c r="L158" s="72"/>
      <c r="M158" s="72"/>
      <c r="S158" s="72"/>
    </row>
    <row r="159" spans="7:19" s="52" customFormat="1" x14ac:dyDescent="0.2">
      <c r="G159" s="72"/>
      <c r="K159" s="72"/>
      <c r="L159" s="72"/>
      <c r="M159" s="72"/>
      <c r="S159" s="72"/>
    </row>
    <row r="160" spans="7:19" s="52" customFormat="1" x14ac:dyDescent="0.2">
      <c r="G160" s="72"/>
      <c r="K160" s="72"/>
      <c r="L160" s="72"/>
      <c r="M160" s="72"/>
      <c r="S160" s="72"/>
    </row>
    <row r="161" spans="7:19" s="52" customFormat="1" x14ac:dyDescent="0.2">
      <c r="G161" s="72"/>
      <c r="K161" s="72"/>
      <c r="L161" s="72"/>
      <c r="M161" s="72"/>
      <c r="S161" s="72"/>
    </row>
    <row r="162" spans="7:19" s="52" customFormat="1" x14ac:dyDescent="0.2">
      <c r="G162" s="72"/>
      <c r="K162" s="72"/>
      <c r="L162" s="72"/>
      <c r="M162" s="72"/>
      <c r="S162" s="72"/>
    </row>
    <row r="163" spans="7:19" s="52" customFormat="1" x14ac:dyDescent="0.2">
      <c r="G163" s="72"/>
      <c r="K163" s="72"/>
      <c r="L163" s="72"/>
      <c r="M163" s="72"/>
      <c r="S163" s="72"/>
    </row>
    <row r="164" spans="7:19" s="52" customFormat="1" x14ac:dyDescent="0.2">
      <c r="G164" s="72"/>
      <c r="K164" s="72"/>
      <c r="L164" s="72"/>
      <c r="M164" s="72"/>
      <c r="S164" s="72"/>
    </row>
    <row r="165" spans="7:19" s="52" customFormat="1" x14ac:dyDescent="0.2">
      <c r="G165" s="72"/>
      <c r="K165" s="72"/>
      <c r="L165" s="72"/>
      <c r="M165" s="72"/>
      <c r="S165" s="72"/>
    </row>
    <row r="166" spans="7:19" s="52" customFormat="1" x14ac:dyDescent="0.2">
      <c r="G166" s="72"/>
      <c r="K166" s="72"/>
      <c r="L166" s="72"/>
      <c r="M166" s="72"/>
      <c r="S166" s="72"/>
    </row>
    <row r="167" spans="7:19" s="52" customFormat="1" x14ac:dyDescent="0.2">
      <c r="G167" s="72"/>
      <c r="K167" s="72"/>
      <c r="L167" s="72"/>
      <c r="M167" s="72"/>
      <c r="S167" s="72"/>
    </row>
    <row r="168" spans="7:19" s="52" customFormat="1" x14ac:dyDescent="0.2">
      <c r="G168" s="72"/>
      <c r="K168" s="72"/>
      <c r="L168" s="72"/>
      <c r="M168" s="72"/>
      <c r="S168" s="72"/>
    </row>
    <row r="169" spans="7:19" s="52" customFormat="1" x14ac:dyDescent="0.2">
      <c r="G169" s="72"/>
      <c r="K169" s="72"/>
      <c r="L169" s="72"/>
      <c r="M169" s="72"/>
      <c r="S169" s="72"/>
    </row>
    <row r="170" spans="7:19" s="52" customFormat="1" x14ac:dyDescent="0.2">
      <c r="G170" s="72"/>
      <c r="K170" s="72"/>
      <c r="L170" s="72"/>
      <c r="M170" s="72"/>
      <c r="S170" s="72"/>
    </row>
    <row r="171" spans="7:19" s="52" customFormat="1" x14ac:dyDescent="0.2">
      <c r="G171" s="72"/>
      <c r="K171" s="72"/>
      <c r="L171" s="72"/>
      <c r="M171" s="72"/>
      <c r="S171" s="72"/>
    </row>
    <row r="172" spans="7:19" s="52" customFormat="1" x14ac:dyDescent="0.2">
      <c r="G172" s="72"/>
      <c r="K172" s="72"/>
      <c r="L172" s="72"/>
      <c r="M172" s="72"/>
      <c r="S172" s="72"/>
    </row>
    <row r="173" spans="7:19" s="52" customFormat="1" x14ac:dyDescent="0.2">
      <c r="G173" s="72"/>
      <c r="K173" s="72"/>
      <c r="L173" s="72"/>
      <c r="M173" s="72"/>
      <c r="S173" s="72"/>
    </row>
    <row r="174" spans="7:19" s="52" customFormat="1" x14ac:dyDescent="0.2">
      <c r="G174" s="72"/>
      <c r="K174" s="72"/>
      <c r="L174" s="72"/>
      <c r="M174" s="72"/>
      <c r="S174" s="72"/>
    </row>
    <row r="175" spans="7:19" s="52" customFormat="1" x14ac:dyDescent="0.2">
      <c r="G175" s="72"/>
      <c r="K175" s="72"/>
      <c r="L175" s="72"/>
      <c r="M175" s="72"/>
      <c r="S175" s="72"/>
    </row>
    <row r="176" spans="7:19" s="52" customFormat="1" x14ac:dyDescent="0.2">
      <c r="G176" s="72"/>
      <c r="K176" s="72"/>
      <c r="L176" s="72"/>
      <c r="M176" s="72"/>
      <c r="S176" s="72"/>
    </row>
    <row r="177" spans="7:19" s="52" customFormat="1" x14ac:dyDescent="0.2">
      <c r="G177" s="72"/>
      <c r="K177" s="72"/>
      <c r="L177" s="72"/>
      <c r="M177" s="72"/>
      <c r="S177" s="72"/>
    </row>
    <row r="178" spans="7:19" s="52" customFormat="1" x14ac:dyDescent="0.2">
      <c r="G178" s="72"/>
      <c r="K178" s="72"/>
      <c r="L178" s="72"/>
      <c r="M178" s="72"/>
      <c r="S178" s="72"/>
    </row>
    <row r="179" spans="7:19" s="52" customFormat="1" x14ac:dyDescent="0.2">
      <c r="G179" s="72"/>
      <c r="K179" s="72"/>
      <c r="L179" s="72"/>
      <c r="M179" s="72"/>
      <c r="S179" s="72"/>
    </row>
    <row r="180" spans="7:19" s="52" customFormat="1" x14ac:dyDescent="0.2">
      <c r="G180" s="72"/>
      <c r="K180" s="72"/>
      <c r="L180" s="72"/>
      <c r="M180" s="72"/>
      <c r="S180" s="72"/>
    </row>
    <row r="181" spans="7:19" s="52" customFormat="1" x14ac:dyDescent="0.2">
      <c r="G181" s="72"/>
      <c r="K181" s="72"/>
      <c r="L181" s="72"/>
      <c r="M181" s="72"/>
      <c r="S181" s="72"/>
    </row>
    <row r="182" spans="7:19" s="52" customFormat="1" x14ac:dyDescent="0.2">
      <c r="G182" s="72"/>
      <c r="K182" s="72"/>
      <c r="L182" s="72"/>
      <c r="M182" s="72"/>
      <c r="S182" s="72"/>
    </row>
    <row r="183" spans="7:19" s="52" customFormat="1" x14ac:dyDescent="0.2">
      <c r="G183" s="72"/>
      <c r="K183" s="72"/>
      <c r="L183" s="72"/>
      <c r="M183" s="72"/>
      <c r="S183" s="72"/>
    </row>
    <row r="184" spans="7:19" s="52" customFormat="1" x14ac:dyDescent="0.2">
      <c r="G184" s="72"/>
      <c r="K184" s="72"/>
      <c r="L184" s="72"/>
      <c r="M184" s="72"/>
      <c r="S184" s="72"/>
    </row>
    <row r="185" spans="7:19" s="52" customFormat="1" x14ac:dyDescent="0.2">
      <c r="G185" s="72"/>
      <c r="K185" s="72"/>
      <c r="L185" s="72"/>
      <c r="M185" s="72"/>
      <c r="S185" s="72"/>
    </row>
    <row r="186" spans="7:19" s="52" customFormat="1" x14ac:dyDescent="0.2">
      <c r="G186" s="72"/>
      <c r="K186" s="72"/>
      <c r="L186" s="72"/>
      <c r="M186" s="72"/>
      <c r="S186" s="72"/>
    </row>
    <row r="187" spans="7:19" s="52" customFormat="1" x14ac:dyDescent="0.2">
      <c r="G187" s="72"/>
      <c r="K187" s="72"/>
      <c r="L187" s="72"/>
      <c r="M187" s="72"/>
      <c r="S187" s="72"/>
    </row>
    <row r="188" spans="7:19" s="52" customFormat="1" x14ac:dyDescent="0.2">
      <c r="G188" s="72"/>
      <c r="K188" s="72"/>
      <c r="L188" s="72"/>
      <c r="M188" s="72"/>
      <c r="S188" s="72"/>
    </row>
    <row r="189" spans="7:19" s="52" customFormat="1" x14ac:dyDescent="0.2">
      <c r="G189" s="72"/>
      <c r="K189" s="72"/>
      <c r="L189" s="72"/>
      <c r="M189" s="72"/>
      <c r="S189" s="72"/>
    </row>
    <row r="190" spans="7:19" s="52" customFormat="1" x14ac:dyDescent="0.2">
      <c r="G190" s="72"/>
      <c r="K190" s="72"/>
      <c r="L190" s="72"/>
      <c r="M190" s="72"/>
      <c r="S190" s="72"/>
    </row>
    <row r="191" spans="7:19" s="52" customFormat="1" x14ac:dyDescent="0.2">
      <c r="G191" s="72"/>
      <c r="K191" s="72"/>
      <c r="L191" s="72"/>
      <c r="M191" s="72"/>
      <c r="S191" s="72"/>
    </row>
    <row r="192" spans="7:19" s="52" customFormat="1" x14ac:dyDescent="0.2">
      <c r="G192" s="72"/>
      <c r="K192" s="72"/>
      <c r="L192" s="72"/>
      <c r="M192" s="72"/>
      <c r="S192" s="72"/>
    </row>
    <row r="193" spans="7:19" s="52" customFormat="1" x14ac:dyDescent="0.2">
      <c r="G193" s="72"/>
      <c r="K193" s="72"/>
      <c r="L193" s="72"/>
      <c r="M193" s="72"/>
      <c r="S193" s="72"/>
    </row>
    <row r="194" spans="7:19" s="52" customFormat="1" x14ac:dyDescent="0.2">
      <c r="G194" s="72"/>
      <c r="K194" s="72"/>
      <c r="L194" s="72"/>
      <c r="M194" s="72"/>
      <c r="S194" s="72"/>
    </row>
    <row r="195" spans="7:19" s="52" customFormat="1" x14ac:dyDescent="0.2">
      <c r="G195" s="72"/>
      <c r="K195" s="72"/>
      <c r="L195" s="72"/>
      <c r="M195" s="72"/>
      <c r="S195" s="72"/>
    </row>
    <row r="196" spans="7:19" s="52" customFormat="1" x14ac:dyDescent="0.2">
      <c r="G196" s="72"/>
      <c r="K196" s="72"/>
      <c r="L196" s="72"/>
      <c r="M196" s="72"/>
      <c r="S196" s="72"/>
    </row>
    <row r="197" spans="7:19" s="52" customFormat="1" x14ac:dyDescent="0.2">
      <c r="G197" s="72"/>
      <c r="K197" s="72"/>
      <c r="L197" s="72"/>
      <c r="M197" s="72"/>
      <c r="S197" s="72"/>
    </row>
    <row r="198" spans="7:19" s="52" customFormat="1" x14ac:dyDescent="0.2">
      <c r="G198" s="72"/>
      <c r="K198" s="72"/>
      <c r="L198" s="72"/>
      <c r="M198" s="72"/>
      <c r="S198" s="72"/>
    </row>
    <row r="199" spans="7:19" s="52" customFormat="1" x14ac:dyDescent="0.2">
      <c r="G199" s="72"/>
      <c r="K199" s="72"/>
      <c r="L199" s="72"/>
      <c r="M199" s="72"/>
      <c r="S199" s="72"/>
    </row>
    <row r="200" spans="7:19" s="52" customFormat="1" x14ac:dyDescent="0.2">
      <c r="G200" s="72"/>
      <c r="K200" s="72"/>
      <c r="L200" s="72"/>
      <c r="M200" s="72"/>
      <c r="S200" s="72"/>
    </row>
    <row r="201" spans="7:19" s="52" customFormat="1" x14ac:dyDescent="0.2">
      <c r="G201" s="72"/>
      <c r="K201" s="72"/>
      <c r="L201" s="72"/>
      <c r="M201" s="72"/>
      <c r="S201" s="72"/>
    </row>
    <row r="202" spans="7:19" s="52" customFormat="1" x14ac:dyDescent="0.2">
      <c r="G202" s="72"/>
      <c r="K202" s="72"/>
      <c r="L202" s="72"/>
      <c r="M202" s="72"/>
      <c r="S202" s="72"/>
    </row>
    <row r="203" spans="7:19" s="52" customFormat="1" x14ac:dyDescent="0.2">
      <c r="G203" s="72"/>
      <c r="K203" s="72"/>
      <c r="L203" s="72"/>
      <c r="M203" s="72"/>
      <c r="S203" s="72"/>
    </row>
    <row r="204" spans="7:19" s="52" customFormat="1" x14ac:dyDescent="0.2">
      <c r="G204" s="72"/>
      <c r="K204" s="72"/>
      <c r="L204" s="72"/>
      <c r="M204" s="72"/>
      <c r="S204" s="72"/>
    </row>
    <row r="205" spans="7:19" s="52" customFormat="1" x14ac:dyDescent="0.2">
      <c r="G205" s="72"/>
      <c r="K205" s="72"/>
      <c r="L205" s="72"/>
      <c r="M205" s="72"/>
      <c r="S205" s="72"/>
    </row>
    <row r="206" spans="7:19" s="52" customFormat="1" x14ac:dyDescent="0.2">
      <c r="G206" s="72"/>
      <c r="K206" s="72"/>
      <c r="L206" s="72"/>
      <c r="M206" s="72"/>
      <c r="S206" s="72"/>
    </row>
    <row r="207" spans="7:19" s="52" customFormat="1" x14ac:dyDescent="0.2">
      <c r="G207" s="72"/>
      <c r="K207" s="72"/>
      <c r="L207" s="72"/>
      <c r="M207" s="72"/>
      <c r="S207" s="72"/>
    </row>
    <row r="208" spans="7:19" s="52" customFormat="1" x14ac:dyDescent="0.2">
      <c r="G208" s="72"/>
      <c r="K208" s="72"/>
      <c r="L208" s="72"/>
      <c r="M208" s="72"/>
      <c r="S208" s="72"/>
    </row>
    <row r="209" spans="7:19" s="52" customFormat="1" x14ac:dyDescent="0.2">
      <c r="G209" s="72"/>
      <c r="K209" s="72"/>
      <c r="L209" s="72"/>
      <c r="M209" s="72"/>
      <c r="S209" s="72"/>
    </row>
    <row r="210" spans="7:19" s="52" customFormat="1" x14ac:dyDescent="0.2">
      <c r="G210" s="72"/>
      <c r="K210" s="72"/>
      <c r="L210" s="72"/>
      <c r="M210" s="72"/>
      <c r="S210" s="72"/>
    </row>
    <row r="211" spans="7:19" s="52" customFormat="1" x14ac:dyDescent="0.2">
      <c r="G211" s="72"/>
      <c r="K211" s="72"/>
      <c r="L211" s="72"/>
      <c r="M211" s="72"/>
      <c r="S211" s="72"/>
    </row>
    <row r="212" spans="7:19" s="52" customFormat="1" x14ac:dyDescent="0.2">
      <c r="G212" s="72"/>
      <c r="K212" s="72"/>
      <c r="L212" s="72"/>
      <c r="M212" s="72"/>
      <c r="S212" s="72"/>
    </row>
    <row r="213" spans="7:19" s="52" customFormat="1" x14ac:dyDescent="0.2">
      <c r="G213" s="72"/>
      <c r="K213" s="72"/>
      <c r="L213" s="72"/>
      <c r="M213" s="72"/>
      <c r="S213" s="72"/>
    </row>
    <row r="214" spans="7:19" s="52" customFormat="1" x14ac:dyDescent="0.2">
      <c r="G214" s="72"/>
      <c r="K214" s="72"/>
      <c r="L214" s="72"/>
      <c r="M214" s="72"/>
      <c r="S214" s="72"/>
    </row>
    <row r="215" spans="7:19" s="52" customFormat="1" x14ac:dyDescent="0.2">
      <c r="G215" s="72"/>
      <c r="K215" s="72"/>
      <c r="L215" s="72"/>
      <c r="M215" s="72"/>
      <c r="S215" s="72"/>
    </row>
    <row r="216" spans="7:19" s="52" customFormat="1" x14ac:dyDescent="0.2">
      <c r="G216" s="72"/>
      <c r="K216" s="72"/>
      <c r="L216" s="72"/>
      <c r="M216" s="72"/>
      <c r="S216" s="72"/>
    </row>
    <row r="217" spans="7:19" s="52" customFormat="1" x14ac:dyDescent="0.2">
      <c r="G217" s="72"/>
      <c r="K217" s="72"/>
      <c r="L217" s="72"/>
      <c r="M217" s="72"/>
      <c r="S217" s="72"/>
    </row>
    <row r="218" spans="7:19" s="52" customFormat="1" x14ac:dyDescent="0.2">
      <c r="G218" s="72"/>
      <c r="K218" s="72"/>
      <c r="L218" s="72"/>
      <c r="M218" s="72"/>
      <c r="S218" s="72"/>
    </row>
    <row r="219" spans="7:19" s="52" customFormat="1" x14ac:dyDescent="0.2">
      <c r="G219" s="72"/>
      <c r="K219" s="72"/>
      <c r="L219" s="72"/>
      <c r="M219" s="72"/>
      <c r="S219" s="72"/>
    </row>
    <row r="220" spans="7:19" s="52" customFormat="1" x14ac:dyDescent="0.2">
      <c r="G220" s="72"/>
      <c r="K220" s="72"/>
      <c r="L220" s="72"/>
      <c r="M220" s="72"/>
      <c r="S220" s="72"/>
    </row>
    <row r="221" spans="7:19" s="52" customFormat="1" x14ac:dyDescent="0.2">
      <c r="G221" s="72"/>
      <c r="K221" s="72"/>
      <c r="L221" s="72"/>
      <c r="M221" s="72"/>
      <c r="S221" s="72"/>
    </row>
    <row r="222" spans="7:19" s="52" customFormat="1" x14ac:dyDescent="0.2">
      <c r="G222" s="72"/>
      <c r="K222" s="72"/>
      <c r="L222" s="72"/>
      <c r="M222" s="72"/>
      <c r="S222" s="72"/>
    </row>
    <row r="223" spans="7:19" s="52" customFormat="1" x14ac:dyDescent="0.2">
      <c r="G223" s="72"/>
      <c r="K223" s="72"/>
      <c r="L223" s="72"/>
      <c r="M223" s="72"/>
      <c r="S223" s="72"/>
    </row>
    <row r="224" spans="7:19" s="52" customFormat="1" x14ac:dyDescent="0.2">
      <c r="G224" s="72"/>
      <c r="K224" s="72"/>
      <c r="L224" s="72"/>
      <c r="M224" s="72"/>
      <c r="S224" s="72"/>
    </row>
    <row r="225" spans="7:19" s="52" customFormat="1" x14ac:dyDescent="0.2">
      <c r="G225" s="72"/>
      <c r="K225" s="72"/>
      <c r="L225" s="72"/>
      <c r="M225" s="72"/>
      <c r="S225" s="72"/>
    </row>
    <row r="226" spans="7:19" s="52" customFormat="1" x14ac:dyDescent="0.2">
      <c r="G226" s="72"/>
      <c r="K226" s="72"/>
      <c r="L226" s="72"/>
      <c r="M226" s="72"/>
      <c r="S226" s="72"/>
    </row>
    <row r="227" spans="7:19" s="52" customFormat="1" x14ac:dyDescent="0.2">
      <c r="G227" s="72"/>
      <c r="K227" s="72"/>
      <c r="L227" s="72"/>
      <c r="M227" s="72"/>
      <c r="S227" s="72"/>
    </row>
    <row r="228" spans="7:19" s="52" customFormat="1" x14ac:dyDescent="0.2">
      <c r="G228" s="72"/>
      <c r="K228" s="72"/>
      <c r="L228" s="72"/>
      <c r="M228" s="72"/>
      <c r="S228" s="72"/>
    </row>
    <row r="229" spans="7:19" s="52" customFormat="1" x14ac:dyDescent="0.2">
      <c r="G229" s="72"/>
      <c r="K229" s="72"/>
      <c r="L229" s="72"/>
      <c r="M229" s="72"/>
      <c r="S229" s="72"/>
    </row>
    <row r="230" spans="7:19" s="52" customFormat="1" x14ac:dyDescent="0.2">
      <c r="G230" s="72"/>
      <c r="K230" s="72"/>
      <c r="L230" s="72"/>
      <c r="M230" s="72"/>
      <c r="S230" s="72"/>
    </row>
    <row r="231" spans="7:19" s="52" customFormat="1" x14ac:dyDescent="0.2">
      <c r="G231" s="72"/>
      <c r="K231" s="72"/>
      <c r="L231" s="72"/>
      <c r="M231" s="72"/>
      <c r="S231" s="72"/>
    </row>
    <row r="232" spans="7:19" s="52" customFormat="1" x14ac:dyDescent="0.2">
      <c r="G232" s="72"/>
      <c r="K232" s="72"/>
      <c r="L232" s="72"/>
      <c r="M232" s="72"/>
      <c r="S232" s="72"/>
    </row>
    <row r="233" spans="7:19" s="52" customFormat="1" x14ac:dyDescent="0.2">
      <c r="G233" s="72"/>
      <c r="K233" s="72"/>
      <c r="L233" s="72"/>
      <c r="M233" s="72"/>
      <c r="S233" s="72"/>
    </row>
    <row r="234" spans="7:19" s="52" customFormat="1" x14ac:dyDescent="0.2">
      <c r="G234" s="72"/>
      <c r="K234" s="72"/>
      <c r="L234" s="72"/>
      <c r="M234" s="72"/>
      <c r="S234" s="72"/>
    </row>
    <row r="235" spans="7:19" s="52" customFormat="1" x14ac:dyDescent="0.2">
      <c r="G235" s="72"/>
      <c r="K235" s="72"/>
      <c r="L235" s="72"/>
      <c r="M235" s="72"/>
      <c r="S235" s="72"/>
    </row>
    <row r="236" spans="7:19" s="52" customFormat="1" x14ac:dyDescent="0.2">
      <c r="G236" s="72"/>
      <c r="K236" s="72"/>
      <c r="L236" s="72"/>
      <c r="M236" s="72"/>
      <c r="S236" s="72"/>
    </row>
    <row r="237" spans="7:19" s="52" customFormat="1" x14ac:dyDescent="0.2">
      <c r="G237" s="72"/>
      <c r="K237" s="72"/>
      <c r="L237" s="72"/>
      <c r="M237" s="72"/>
      <c r="S237" s="72"/>
    </row>
    <row r="238" spans="7:19" s="52" customFormat="1" x14ac:dyDescent="0.2">
      <c r="G238" s="72"/>
      <c r="K238" s="72"/>
      <c r="L238" s="72"/>
      <c r="M238" s="72"/>
      <c r="S238" s="72"/>
    </row>
    <row r="239" spans="7:19" s="52" customFormat="1" x14ac:dyDescent="0.2">
      <c r="G239" s="72"/>
      <c r="K239" s="72"/>
      <c r="L239" s="72"/>
      <c r="M239" s="72"/>
      <c r="S239" s="72"/>
    </row>
    <row r="240" spans="7:19" s="52" customFormat="1" x14ac:dyDescent="0.2">
      <c r="G240" s="72"/>
      <c r="K240" s="72"/>
      <c r="L240" s="72"/>
      <c r="M240" s="72"/>
      <c r="S240" s="72"/>
    </row>
    <row r="241" spans="5:19" s="52" customFormat="1" x14ac:dyDescent="0.2">
      <c r="G241" s="72"/>
      <c r="K241" s="72"/>
      <c r="L241" s="72"/>
      <c r="M241" s="72"/>
      <c r="S241" s="72"/>
    </row>
    <row r="242" spans="5:19" s="52" customFormat="1" x14ac:dyDescent="0.2">
      <c r="G242" s="72"/>
      <c r="K242" s="72"/>
      <c r="L242" s="72"/>
      <c r="M242" s="72"/>
      <c r="S242" s="72"/>
    </row>
    <row r="243" spans="5:19" s="52" customFormat="1" x14ac:dyDescent="0.2">
      <c r="E243" s="72"/>
      <c r="F243" s="72"/>
      <c r="G243" s="72"/>
      <c r="H243" s="72"/>
      <c r="I243" s="72"/>
      <c r="K243" s="72"/>
      <c r="L243" s="72"/>
      <c r="M243" s="72"/>
      <c r="S243" s="72"/>
    </row>
    <row r="244" spans="5:19" s="52" customFormat="1" x14ac:dyDescent="0.2">
      <c r="E244" s="72"/>
      <c r="F244" s="72"/>
      <c r="G244" s="72"/>
      <c r="H244" s="72"/>
      <c r="I244" s="72"/>
      <c r="K244" s="72"/>
      <c r="L244" s="72"/>
      <c r="M244" s="72"/>
      <c r="S244" s="72"/>
    </row>
    <row r="245" spans="5:19" s="52" customFormat="1" x14ac:dyDescent="0.2">
      <c r="E245" s="72"/>
      <c r="F245" s="72"/>
      <c r="G245" s="72"/>
      <c r="H245" s="72"/>
      <c r="I245" s="72"/>
      <c r="K245" s="72"/>
      <c r="L245" s="72"/>
      <c r="M245" s="72"/>
      <c r="S245" s="72"/>
    </row>
    <row r="246" spans="5:19" s="52" customFormat="1" x14ac:dyDescent="0.2">
      <c r="E246" s="72"/>
      <c r="F246" s="72"/>
      <c r="G246" s="72"/>
      <c r="H246" s="72"/>
      <c r="I246" s="72"/>
      <c r="K246" s="72"/>
      <c r="L246" s="72"/>
      <c r="M246" s="72"/>
      <c r="S246" s="72"/>
    </row>
    <row r="247" spans="5:19" s="52" customFormat="1" x14ac:dyDescent="0.2">
      <c r="E247" s="72"/>
      <c r="F247" s="72"/>
      <c r="G247" s="72"/>
      <c r="H247" s="72"/>
      <c r="I247" s="72"/>
      <c r="K247" s="72"/>
      <c r="L247" s="72"/>
      <c r="M247" s="72"/>
      <c r="S247" s="72"/>
    </row>
    <row r="248" spans="5:19" s="52" customFormat="1" x14ac:dyDescent="0.2">
      <c r="E248" s="72"/>
      <c r="F248" s="72"/>
      <c r="G248" s="72"/>
      <c r="H248" s="72"/>
      <c r="I248" s="72"/>
      <c r="K248" s="72"/>
      <c r="L248" s="72"/>
      <c r="M248" s="72"/>
      <c r="S248" s="72"/>
    </row>
    <row r="249" spans="5:19" s="52" customFormat="1" x14ac:dyDescent="0.2">
      <c r="E249" s="72"/>
      <c r="F249" s="72"/>
      <c r="G249" s="72"/>
      <c r="H249" s="72"/>
      <c r="I249" s="72"/>
      <c r="K249" s="72"/>
      <c r="L249" s="72"/>
      <c r="M249" s="72"/>
      <c r="S249" s="72"/>
    </row>
    <row r="250" spans="5:19" s="52" customFormat="1" x14ac:dyDescent="0.2">
      <c r="E250" s="72"/>
      <c r="F250" s="72"/>
      <c r="G250" s="72"/>
      <c r="H250" s="72"/>
      <c r="I250" s="72"/>
      <c r="K250" s="72"/>
      <c r="L250" s="72"/>
      <c r="M250" s="72"/>
      <c r="S250" s="72"/>
    </row>
    <row r="251" spans="5:19" s="52" customFormat="1" x14ac:dyDescent="0.2">
      <c r="E251" s="72"/>
      <c r="F251" s="72"/>
      <c r="G251" s="72"/>
      <c r="H251" s="72"/>
      <c r="I251" s="72"/>
      <c r="K251" s="72"/>
      <c r="L251" s="72"/>
      <c r="M251" s="72"/>
      <c r="S251" s="72"/>
    </row>
    <row r="252" spans="5:19" s="52" customFormat="1" x14ac:dyDescent="0.2">
      <c r="E252" s="72"/>
      <c r="F252" s="72"/>
      <c r="G252" s="72"/>
      <c r="H252" s="72"/>
      <c r="I252" s="72"/>
      <c r="K252" s="72"/>
      <c r="L252" s="72"/>
      <c r="M252" s="72"/>
      <c r="S252" s="72"/>
    </row>
    <row r="253" spans="5:19" s="52" customFormat="1" x14ac:dyDescent="0.2">
      <c r="E253" s="72"/>
      <c r="F253" s="72"/>
      <c r="G253" s="72"/>
      <c r="H253" s="72"/>
      <c r="I253" s="72"/>
      <c r="K253" s="72"/>
      <c r="L253" s="72"/>
      <c r="M253" s="72"/>
      <c r="S253" s="72"/>
    </row>
    <row r="254" spans="5:19" x14ac:dyDescent="0.2">
      <c r="E254" s="72"/>
      <c r="F254" s="72"/>
      <c r="G254" s="72"/>
      <c r="H254" s="72"/>
      <c r="I254" s="72"/>
    </row>
    <row r="255" spans="5:19" x14ac:dyDescent="0.2">
      <c r="E255" s="72"/>
      <c r="F255" s="72"/>
      <c r="G255" s="72"/>
      <c r="H255" s="72"/>
      <c r="I255" s="72"/>
    </row>
    <row r="256" spans="5:19" x14ac:dyDescent="0.2">
      <c r="E256" s="72"/>
      <c r="F256" s="72"/>
      <c r="G256" s="72"/>
      <c r="H256" s="72"/>
      <c r="I256" s="72"/>
    </row>
    <row r="257" spans="5:9" x14ac:dyDescent="0.2">
      <c r="E257" s="72"/>
      <c r="F257" s="72"/>
      <c r="G257" s="72"/>
      <c r="H257" s="72"/>
      <c r="I257" s="72"/>
    </row>
    <row r="258" spans="5:9" x14ac:dyDescent="0.2">
      <c r="E258" s="72"/>
      <c r="F258" s="72"/>
      <c r="G258" s="72"/>
      <c r="H258" s="72"/>
      <c r="I258" s="72"/>
    </row>
    <row r="259" spans="5:9" x14ac:dyDescent="0.2">
      <c r="E259" s="72"/>
      <c r="F259" s="72"/>
      <c r="G259" s="72"/>
      <c r="H259" s="72"/>
      <c r="I259" s="72"/>
    </row>
  </sheetData>
  <sheetProtection algorithmName="SHA-512" hashValue="T9pq51k2eRYLS64pQd6GSEkPU83ziocrf9aXz1tl9NI1ofpKPJk4G3cxh257BCx6LF+28kL+Wm17JrHfsg0NCw==" saltValue="12ZtzxadvYGW8OScZ0UU5w=="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95250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1428750</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171450</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238125</xdr:colOff>
                    <xdr:row>2</xdr:row>
                    <xdr:rowOff>104775</xdr:rowOff>
                  </from>
                  <to>
                    <xdr:col>13</xdr:col>
                    <xdr:colOff>1352550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247650</xdr:colOff>
                    <xdr:row>5</xdr:row>
                    <xdr:rowOff>38100</xdr:rowOff>
                  </from>
                  <to>
                    <xdr:col>13</xdr:col>
                    <xdr:colOff>1352550</xdr:colOff>
                    <xdr:row>7</xdr:row>
                    <xdr:rowOff>95250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247650</xdr:colOff>
                    <xdr:row>7</xdr:row>
                    <xdr:rowOff>171450</xdr:rowOff>
                  </from>
                  <to>
                    <xdr:col>13</xdr:col>
                    <xdr:colOff>1352550</xdr:colOff>
                    <xdr:row>12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G16" sqref="G16"/>
    </sheetView>
  </sheetViews>
  <sheetFormatPr defaultColWidth="9" defaultRowHeight="14.25" x14ac:dyDescent="0.2"/>
  <cols>
    <col min="1" max="1" width="2.5" style="72" customWidth="1"/>
    <col min="2" max="2" width="40.625" style="72" customWidth="1"/>
    <col min="3" max="3" width="0.75" style="81" customWidth="1"/>
    <col min="4" max="5" width="10.75" style="72" customWidth="1"/>
    <col min="6" max="6" width="0.75" style="81" customWidth="1"/>
    <col min="7" max="8" width="10.75" style="72" customWidth="1"/>
    <col min="9" max="9" width="0.75" style="81" customWidth="1"/>
    <col min="10" max="11" width="10.75" style="72" customWidth="1"/>
    <col min="12" max="12" width="0.75" style="81" customWidth="1"/>
    <col min="13" max="14" width="10.75" style="72" customWidth="1"/>
    <col min="15" max="15" width="0.75" style="81" customWidth="1"/>
    <col min="16" max="17" width="10.75" style="72" customWidth="1"/>
    <col min="18" max="18" width="2.75" style="72" customWidth="1"/>
    <col min="19" max="16384" width="9" style="72"/>
  </cols>
  <sheetData>
    <row r="2" spans="1:19" ht="14.25" customHeight="1" x14ac:dyDescent="0.2">
      <c r="B2" s="107" t="s">
        <v>478</v>
      </c>
      <c r="C2" s="128"/>
      <c r="D2" s="128"/>
      <c r="E2" s="128"/>
      <c r="F2" s="110"/>
    </row>
    <row r="3" spans="1:19" x14ac:dyDescent="0.2">
      <c r="B3" s="139" t="s">
        <v>474</v>
      </c>
      <c r="C3" s="139"/>
      <c r="D3" s="270"/>
      <c r="F3" s="111"/>
    </row>
    <row r="4" spans="1:19" x14ac:dyDescent="0.2">
      <c r="B4" s="139" t="s">
        <v>437</v>
      </c>
      <c r="C4" s="139"/>
      <c r="D4" s="271"/>
      <c r="F4" s="111"/>
    </row>
    <row r="6" spans="1:19" ht="15" customHeight="1" x14ac:dyDescent="0.2">
      <c r="C6" s="108"/>
      <c r="D6" s="106"/>
      <c r="E6" s="106"/>
      <c r="F6" s="108"/>
      <c r="G6" s="106"/>
      <c r="H6" s="106"/>
      <c r="I6" s="108"/>
      <c r="J6" s="106"/>
      <c r="K6" s="106"/>
      <c r="L6" s="108"/>
      <c r="M6" s="106"/>
      <c r="N6" s="106"/>
      <c r="O6" s="108"/>
      <c r="P6" s="106"/>
      <c r="Q6" s="106"/>
      <c r="R6" s="77"/>
      <c r="S6" s="78"/>
    </row>
    <row r="7" spans="1:19" ht="14.25" customHeight="1" x14ac:dyDescent="0.2">
      <c r="B7" s="106"/>
      <c r="C7" s="108"/>
      <c r="D7" s="106"/>
      <c r="E7" s="106"/>
      <c r="F7" s="108"/>
      <c r="G7" s="106"/>
      <c r="H7" s="106"/>
      <c r="I7" s="108"/>
      <c r="J7" s="106"/>
      <c r="K7" s="106"/>
      <c r="L7" s="108"/>
      <c r="M7" s="106"/>
      <c r="N7" s="106"/>
      <c r="O7" s="108"/>
      <c r="P7" s="106"/>
      <c r="Q7" s="106"/>
      <c r="R7" s="77"/>
      <c r="S7" s="78"/>
    </row>
    <row r="8" spans="1:19" ht="15" x14ac:dyDescent="0.2">
      <c r="C8" s="109"/>
      <c r="D8" s="424" t="s">
        <v>475</v>
      </c>
      <c r="E8" s="424"/>
      <c r="F8" s="424"/>
      <c r="G8" s="424"/>
      <c r="H8" s="424"/>
      <c r="I8" s="424"/>
      <c r="J8" s="424"/>
      <c r="K8" s="424"/>
      <c r="L8" s="108"/>
      <c r="M8" s="106"/>
      <c r="N8" s="106"/>
      <c r="O8" s="108"/>
      <c r="P8" s="106"/>
      <c r="Q8" s="106"/>
      <c r="S8" s="78"/>
    </row>
    <row r="10" spans="1:19" x14ac:dyDescent="0.2">
      <c r="D10" s="422" t="s">
        <v>444</v>
      </c>
      <c r="E10" s="423"/>
      <c r="F10" s="112"/>
      <c r="G10" s="420" t="s">
        <v>445</v>
      </c>
      <c r="H10" s="421"/>
      <c r="I10" s="112"/>
      <c r="J10" s="422" t="s">
        <v>446</v>
      </c>
      <c r="K10" s="423"/>
      <c r="L10" s="112"/>
      <c r="M10" s="420" t="s">
        <v>447</v>
      </c>
      <c r="N10" s="421"/>
      <c r="O10" s="112"/>
      <c r="P10" s="422" t="s">
        <v>448</v>
      </c>
      <c r="Q10" s="423"/>
    </row>
    <row r="11" spans="1:19" x14ac:dyDescent="0.2">
      <c r="A11" s="74">
        <f>MAX(A12:A111)</f>
        <v>0</v>
      </c>
      <c r="B11" s="114" t="s">
        <v>944</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
      <c r="A12" s="74">
        <f>IF(B12="",0,ROW(A1))</f>
        <v>0</v>
      </c>
      <c r="B12" s="171"/>
      <c r="D12" s="173"/>
      <c r="E12" s="173"/>
      <c r="F12" s="111"/>
      <c r="G12" s="173"/>
      <c r="H12" s="173"/>
      <c r="I12" s="111"/>
      <c r="J12" s="173"/>
      <c r="K12" s="173"/>
      <c r="L12" s="111"/>
      <c r="M12" s="173"/>
      <c r="N12" s="173"/>
      <c r="O12" s="111"/>
      <c r="P12" s="173"/>
      <c r="Q12" s="173"/>
    </row>
    <row r="13" spans="1:19" x14ac:dyDescent="0.2">
      <c r="A13" s="74">
        <f t="shared" ref="A13:A76" si="0">IF(B13="",0,ROW(A2))</f>
        <v>0</v>
      </c>
      <c r="B13" s="172"/>
      <c r="D13" s="174"/>
      <c r="E13" s="174"/>
      <c r="F13" s="111"/>
      <c r="G13" s="174"/>
      <c r="H13" s="174"/>
      <c r="J13" s="174"/>
      <c r="K13" s="174"/>
      <c r="M13" s="174"/>
      <c r="N13" s="174"/>
      <c r="P13" s="174"/>
      <c r="Q13" s="174"/>
    </row>
    <row r="14" spans="1:19" x14ac:dyDescent="0.2">
      <c r="A14" s="74">
        <f t="shared" si="0"/>
        <v>0</v>
      </c>
      <c r="B14" s="172"/>
      <c r="D14" s="174"/>
      <c r="E14" s="174"/>
      <c r="F14" s="111"/>
      <c r="G14" s="174"/>
      <c r="H14" s="174"/>
      <c r="J14" s="174"/>
      <c r="K14" s="174"/>
      <c r="M14" s="174"/>
      <c r="N14" s="174"/>
      <c r="P14" s="174"/>
      <c r="Q14" s="174"/>
    </row>
    <row r="15" spans="1:19" x14ac:dyDescent="0.2">
      <c r="A15" s="74">
        <f t="shared" si="0"/>
        <v>0</v>
      </c>
      <c r="B15" s="172"/>
      <c r="D15" s="174"/>
      <c r="E15" s="174"/>
      <c r="G15" s="174"/>
      <c r="H15" s="174"/>
      <c r="J15" s="174"/>
      <c r="K15" s="174"/>
      <c r="M15" s="174"/>
      <c r="N15" s="174"/>
      <c r="P15" s="174"/>
      <c r="Q15" s="174"/>
    </row>
    <row r="16" spans="1:19" x14ac:dyDescent="0.2">
      <c r="A16" s="74">
        <f t="shared" si="0"/>
        <v>0</v>
      </c>
      <c r="B16" s="172"/>
      <c r="D16" s="174"/>
      <c r="E16" s="174"/>
      <c r="G16" s="174"/>
      <c r="H16" s="174"/>
      <c r="J16" s="174"/>
      <c r="K16" s="174"/>
      <c r="M16" s="174"/>
      <c r="N16" s="174"/>
      <c r="P16" s="174"/>
      <c r="Q16" s="174"/>
    </row>
    <row r="17" spans="1:17" x14ac:dyDescent="0.2">
      <c r="A17" s="74">
        <f t="shared" si="0"/>
        <v>0</v>
      </c>
      <c r="B17" s="172"/>
      <c r="D17" s="174"/>
      <c r="E17" s="174"/>
      <c r="G17" s="174"/>
      <c r="H17" s="174"/>
      <c r="J17" s="174"/>
      <c r="K17" s="174"/>
      <c r="M17" s="174"/>
      <c r="N17" s="174"/>
      <c r="P17" s="174"/>
      <c r="Q17" s="174"/>
    </row>
    <row r="18" spans="1:17" x14ac:dyDescent="0.2">
      <c r="A18" s="74">
        <f t="shared" si="0"/>
        <v>0</v>
      </c>
      <c r="B18" s="172"/>
      <c r="D18" s="174"/>
      <c r="E18" s="174"/>
      <c r="G18" s="174"/>
      <c r="H18" s="174"/>
      <c r="J18" s="174"/>
      <c r="K18" s="174"/>
      <c r="M18" s="174"/>
      <c r="N18" s="174"/>
      <c r="P18" s="174"/>
      <c r="Q18" s="174"/>
    </row>
    <row r="19" spans="1:17" x14ac:dyDescent="0.2">
      <c r="A19" s="74">
        <f t="shared" si="0"/>
        <v>0</v>
      </c>
      <c r="B19" s="172"/>
      <c r="D19" s="174"/>
      <c r="E19" s="174"/>
      <c r="G19" s="174"/>
      <c r="H19" s="174"/>
      <c r="J19" s="174"/>
      <c r="K19" s="174"/>
      <c r="M19" s="174"/>
      <c r="N19" s="174"/>
      <c r="P19" s="174"/>
      <c r="Q19" s="174"/>
    </row>
    <row r="20" spans="1:17" x14ac:dyDescent="0.2">
      <c r="A20" s="74">
        <f t="shared" si="0"/>
        <v>0</v>
      </c>
      <c r="B20" s="172"/>
      <c r="D20" s="174"/>
      <c r="E20" s="174"/>
      <c r="G20" s="174"/>
      <c r="H20" s="174"/>
      <c r="J20" s="174"/>
      <c r="K20" s="174"/>
      <c r="M20" s="174"/>
      <c r="N20" s="174"/>
      <c r="P20" s="174"/>
      <c r="Q20" s="174"/>
    </row>
    <row r="21" spans="1:17" x14ac:dyDescent="0.2">
      <c r="A21" s="74">
        <f t="shared" si="0"/>
        <v>0</v>
      </c>
      <c r="B21" s="172"/>
      <c r="D21" s="174"/>
      <c r="E21" s="174"/>
      <c r="G21" s="174"/>
      <c r="H21" s="174"/>
      <c r="J21" s="174"/>
      <c r="K21" s="174"/>
      <c r="M21" s="174"/>
      <c r="N21" s="174"/>
      <c r="P21" s="174"/>
      <c r="Q21" s="174"/>
    </row>
    <row r="22" spans="1:17" x14ac:dyDescent="0.2">
      <c r="A22" s="74">
        <f t="shared" si="0"/>
        <v>0</v>
      </c>
      <c r="B22" s="172"/>
      <c r="D22" s="174"/>
      <c r="E22" s="174"/>
      <c r="G22" s="174"/>
      <c r="H22" s="174"/>
      <c r="J22" s="174"/>
      <c r="K22" s="174"/>
      <c r="M22" s="174"/>
      <c r="N22" s="174"/>
      <c r="P22" s="174"/>
      <c r="Q22" s="174"/>
    </row>
    <row r="23" spans="1:17" x14ac:dyDescent="0.2">
      <c r="A23" s="74">
        <f t="shared" si="0"/>
        <v>0</v>
      </c>
      <c r="B23" s="172"/>
      <c r="D23" s="174"/>
      <c r="E23" s="174"/>
      <c r="G23" s="174"/>
      <c r="H23" s="174"/>
      <c r="J23" s="174"/>
      <c r="K23" s="174"/>
      <c r="M23" s="174"/>
      <c r="N23" s="174"/>
      <c r="P23" s="174"/>
      <c r="Q23" s="174"/>
    </row>
    <row r="24" spans="1:17" x14ac:dyDescent="0.2">
      <c r="A24" s="74">
        <f t="shared" si="0"/>
        <v>0</v>
      </c>
      <c r="B24" s="172"/>
      <c r="D24" s="174"/>
      <c r="E24" s="174"/>
      <c r="G24" s="174"/>
      <c r="H24" s="174"/>
      <c r="J24" s="174"/>
      <c r="K24" s="174"/>
      <c r="M24" s="174"/>
      <c r="N24" s="174"/>
      <c r="P24" s="174"/>
      <c r="Q24" s="174"/>
    </row>
    <row r="25" spans="1:17" x14ac:dyDescent="0.2">
      <c r="A25" s="74">
        <f t="shared" si="0"/>
        <v>0</v>
      </c>
      <c r="B25" s="172"/>
      <c r="D25" s="174"/>
      <c r="E25" s="174"/>
      <c r="G25" s="174"/>
      <c r="H25" s="174"/>
      <c r="J25" s="174"/>
      <c r="K25" s="174"/>
      <c r="M25" s="174"/>
      <c r="N25" s="174"/>
      <c r="P25" s="174"/>
      <c r="Q25" s="174"/>
    </row>
    <row r="26" spans="1:17" x14ac:dyDescent="0.2">
      <c r="A26" s="74">
        <f t="shared" si="0"/>
        <v>0</v>
      </c>
      <c r="B26" s="172"/>
      <c r="D26" s="174"/>
      <c r="E26" s="174"/>
      <c r="G26" s="174"/>
      <c r="H26" s="174"/>
      <c r="J26" s="174"/>
      <c r="K26" s="174"/>
      <c r="M26" s="174"/>
      <c r="N26" s="174"/>
      <c r="P26" s="174"/>
      <c r="Q26" s="174"/>
    </row>
    <row r="27" spans="1:17" x14ac:dyDescent="0.2">
      <c r="A27" s="74">
        <f t="shared" si="0"/>
        <v>0</v>
      </c>
      <c r="B27" s="172"/>
      <c r="D27" s="174"/>
      <c r="E27" s="174"/>
      <c r="G27" s="174"/>
      <c r="H27" s="174"/>
      <c r="J27" s="174"/>
      <c r="K27" s="174"/>
      <c r="M27" s="174"/>
      <c r="N27" s="174"/>
      <c r="P27" s="174"/>
      <c r="Q27" s="174"/>
    </row>
    <row r="28" spans="1:17" x14ac:dyDescent="0.2">
      <c r="A28" s="74">
        <f t="shared" si="0"/>
        <v>0</v>
      </c>
      <c r="B28" s="172"/>
      <c r="D28" s="174"/>
      <c r="E28" s="174"/>
      <c r="G28" s="174"/>
      <c r="H28" s="174"/>
      <c r="J28" s="174"/>
      <c r="K28" s="174"/>
      <c r="M28" s="174"/>
      <c r="N28" s="174"/>
      <c r="P28" s="174"/>
      <c r="Q28" s="174"/>
    </row>
    <row r="29" spans="1:17" x14ac:dyDescent="0.2">
      <c r="A29" s="74">
        <f t="shared" si="0"/>
        <v>0</v>
      </c>
      <c r="B29" s="172"/>
      <c r="D29" s="174"/>
      <c r="E29" s="174"/>
      <c r="G29" s="174"/>
      <c r="H29" s="174"/>
      <c r="J29" s="174"/>
      <c r="K29" s="174"/>
      <c r="M29" s="174"/>
      <c r="N29" s="174"/>
      <c r="P29" s="174"/>
      <c r="Q29" s="174"/>
    </row>
    <row r="30" spans="1:17" x14ac:dyDescent="0.2">
      <c r="A30" s="74">
        <f t="shared" si="0"/>
        <v>0</v>
      </c>
      <c r="B30" s="172"/>
      <c r="D30" s="174"/>
      <c r="E30" s="174"/>
      <c r="G30" s="174"/>
      <c r="H30" s="174"/>
      <c r="J30" s="174"/>
      <c r="K30" s="174"/>
      <c r="M30" s="174"/>
      <c r="N30" s="174"/>
      <c r="P30" s="174"/>
      <c r="Q30" s="174"/>
    </row>
    <row r="31" spans="1:17" x14ac:dyDescent="0.2">
      <c r="A31" s="74">
        <f t="shared" si="0"/>
        <v>0</v>
      </c>
      <c r="B31" s="172"/>
      <c r="D31" s="174"/>
      <c r="E31" s="174"/>
      <c r="G31" s="174"/>
      <c r="H31" s="174"/>
      <c r="J31" s="174"/>
      <c r="K31" s="174"/>
      <c r="M31" s="174"/>
      <c r="N31" s="174"/>
      <c r="P31" s="174"/>
      <c r="Q31" s="174"/>
    </row>
    <row r="32" spans="1:17" x14ac:dyDescent="0.2">
      <c r="A32" s="74">
        <f t="shared" si="0"/>
        <v>0</v>
      </c>
      <c r="B32" s="172"/>
      <c r="D32" s="174"/>
      <c r="E32" s="174"/>
      <c r="G32" s="174"/>
      <c r="H32" s="174"/>
      <c r="J32" s="174"/>
      <c r="K32" s="174"/>
      <c r="M32" s="174"/>
      <c r="N32" s="174"/>
      <c r="P32" s="174"/>
      <c r="Q32" s="174"/>
    </row>
    <row r="33" spans="1:17" x14ac:dyDescent="0.2">
      <c r="A33" s="74">
        <f t="shared" si="0"/>
        <v>0</v>
      </c>
      <c r="B33" s="172"/>
      <c r="D33" s="174"/>
      <c r="E33" s="174"/>
      <c r="G33" s="174"/>
      <c r="H33" s="174"/>
      <c r="J33" s="174"/>
      <c r="K33" s="174"/>
      <c r="M33" s="174"/>
      <c r="N33" s="174"/>
      <c r="P33" s="174"/>
      <c r="Q33" s="174"/>
    </row>
    <row r="34" spans="1:17" x14ac:dyDescent="0.2">
      <c r="A34" s="74">
        <f t="shared" si="0"/>
        <v>0</v>
      </c>
      <c r="B34" s="172"/>
      <c r="D34" s="174"/>
      <c r="E34" s="174"/>
      <c r="G34" s="174"/>
      <c r="H34" s="174"/>
      <c r="J34" s="174"/>
      <c r="K34" s="174"/>
      <c r="M34" s="174"/>
      <c r="N34" s="174"/>
      <c r="P34" s="174"/>
      <c r="Q34" s="174"/>
    </row>
    <row r="35" spans="1:17" x14ac:dyDescent="0.2">
      <c r="A35" s="74">
        <f t="shared" si="0"/>
        <v>0</v>
      </c>
      <c r="B35" s="172"/>
      <c r="D35" s="174"/>
      <c r="E35" s="174"/>
      <c r="G35" s="174"/>
      <c r="H35" s="174"/>
      <c r="J35" s="174"/>
      <c r="K35" s="174"/>
      <c r="M35" s="174"/>
      <c r="N35" s="174"/>
      <c r="P35" s="174"/>
      <c r="Q35" s="174"/>
    </row>
    <row r="36" spans="1:17" x14ac:dyDescent="0.2">
      <c r="A36" s="74">
        <f t="shared" si="0"/>
        <v>0</v>
      </c>
      <c r="B36" s="172"/>
      <c r="D36" s="174"/>
      <c r="E36" s="174"/>
      <c r="G36" s="174"/>
      <c r="H36" s="174"/>
      <c r="J36" s="174"/>
      <c r="K36" s="174"/>
      <c r="M36" s="174"/>
      <c r="N36" s="174"/>
      <c r="P36" s="174"/>
      <c r="Q36" s="174"/>
    </row>
    <row r="37" spans="1:17" x14ac:dyDescent="0.2">
      <c r="A37" s="74">
        <f t="shared" si="0"/>
        <v>0</v>
      </c>
      <c r="B37" s="172"/>
      <c r="D37" s="174"/>
      <c r="E37" s="174"/>
      <c r="G37" s="174"/>
      <c r="H37" s="174"/>
      <c r="J37" s="174"/>
      <c r="K37" s="174"/>
      <c r="M37" s="174"/>
      <c r="N37" s="174"/>
      <c r="P37" s="174"/>
      <c r="Q37" s="174"/>
    </row>
    <row r="38" spans="1:17" x14ac:dyDescent="0.2">
      <c r="A38" s="74">
        <f t="shared" si="0"/>
        <v>0</v>
      </c>
      <c r="B38" s="172"/>
      <c r="D38" s="174"/>
      <c r="E38" s="174"/>
      <c r="G38" s="174"/>
      <c r="H38" s="174"/>
      <c r="J38" s="174"/>
      <c r="K38" s="174"/>
      <c r="M38" s="174"/>
      <c r="N38" s="174"/>
      <c r="P38" s="174"/>
      <c r="Q38" s="174"/>
    </row>
    <row r="39" spans="1:17" x14ac:dyDescent="0.2">
      <c r="A39" s="74">
        <f t="shared" si="0"/>
        <v>0</v>
      </c>
      <c r="B39" s="172"/>
      <c r="D39" s="174"/>
      <c r="E39" s="174"/>
      <c r="G39" s="174"/>
      <c r="H39" s="174"/>
      <c r="J39" s="174"/>
      <c r="K39" s="174"/>
      <c r="M39" s="174"/>
      <c r="N39" s="174"/>
      <c r="P39" s="174"/>
      <c r="Q39" s="174"/>
    </row>
    <row r="40" spans="1:17" x14ac:dyDescent="0.2">
      <c r="A40" s="74">
        <f t="shared" si="0"/>
        <v>0</v>
      </c>
      <c r="B40" s="172"/>
      <c r="D40" s="174"/>
      <c r="E40" s="174"/>
      <c r="G40" s="174"/>
      <c r="H40" s="174"/>
      <c r="J40" s="174"/>
      <c r="K40" s="174"/>
      <c r="M40" s="174"/>
      <c r="N40" s="174"/>
      <c r="P40" s="174"/>
      <c r="Q40" s="174"/>
    </row>
    <row r="41" spans="1:17" x14ac:dyDescent="0.2">
      <c r="A41" s="74">
        <f t="shared" si="0"/>
        <v>0</v>
      </c>
      <c r="B41" s="172"/>
      <c r="D41" s="174"/>
      <c r="E41" s="174"/>
      <c r="G41" s="174"/>
      <c r="H41" s="174"/>
      <c r="J41" s="174"/>
      <c r="K41" s="174"/>
      <c r="M41" s="174"/>
      <c r="N41" s="174"/>
      <c r="P41" s="174"/>
      <c r="Q41" s="174"/>
    </row>
    <row r="42" spans="1:17" x14ac:dyDescent="0.2">
      <c r="A42" s="74">
        <f t="shared" si="0"/>
        <v>0</v>
      </c>
      <c r="B42" s="172"/>
      <c r="D42" s="174"/>
      <c r="E42" s="174"/>
      <c r="G42" s="174"/>
      <c r="H42" s="174"/>
      <c r="J42" s="174"/>
      <c r="K42" s="174"/>
      <c r="M42" s="174"/>
      <c r="N42" s="174"/>
      <c r="P42" s="174"/>
      <c r="Q42" s="174"/>
    </row>
    <row r="43" spans="1:17" x14ac:dyDescent="0.2">
      <c r="A43" s="74">
        <f t="shared" si="0"/>
        <v>0</v>
      </c>
      <c r="B43" s="172"/>
      <c r="D43" s="174"/>
      <c r="E43" s="174"/>
      <c r="G43" s="174"/>
      <c r="H43" s="174"/>
      <c r="J43" s="174"/>
      <c r="K43" s="174"/>
      <c r="M43" s="174"/>
      <c r="N43" s="174"/>
      <c r="P43" s="174"/>
      <c r="Q43" s="174"/>
    </row>
    <row r="44" spans="1:17" x14ac:dyDescent="0.2">
      <c r="A44" s="74">
        <f t="shared" si="0"/>
        <v>0</v>
      </c>
      <c r="B44" s="172"/>
      <c r="D44" s="174"/>
      <c r="E44" s="174"/>
      <c r="G44" s="174"/>
      <c r="H44" s="174"/>
      <c r="J44" s="174"/>
      <c r="K44" s="174"/>
      <c r="M44" s="174"/>
      <c r="N44" s="174"/>
      <c r="P44" s="174"/>
      <c r="Q44" s="174"/>
    </row>
    <row r="45" spans="1:17" x14ac:dyDescent="0.2">
      <c r="A45" s="74">
        <f t="shared" si="0"/>
        <v>0</v>
      </c>
      <c r="B45" s="172"/>
      <c r="D45" s="174"/>
      <c r="E45" s="174"/>
      <c r="G45" s="174"/>
      <c r="H45" s="174"/>
      <c r="J45" s="174"/>
      <c r="K45" s="174"/>
      <c r="M45" s="174"/>
      <c r="N45" s="174"/>
      <c r="P45" s="174"/>
      <c r="Q45" s="174"/>
    </row>
    <row r="46" spans="1:17" x14ac:dyDescent="0.2">
      <c r="A46" s="74">
        <f t="shared" si="0"/>
        <v>0</v>
      </c>
      <c r="B46" s="172"/>
      <c r="D46" s="174"/>
      <c r="E46" s="174"/>
      <c r="G46" s="174"/>
      <c r="H46" s="174"/>
      <c r="J46" s="174"/>
      <c r="K46" s="174"/>
      <c r="M46" s="174"/>
      <c r="N46" s="174"/>
      <c r="P46" s="174"/>
      <c r="Q46" s="174"/>
    </row>
    <row r="47" spans="1:17" x14ac:dyDescent="0.2">
      <c r="A47" s="74">
        <f t="shared" si="0"/>
        <v>0</v>
      </c>
      <c r="B47" s="172"/>
      <c r="D47" s="174"/>
      <c r="E47" s="174"/>
      <c r="G47" s="174"/>
      <c r="H47" s="174"/>
      <c r="J47" s="174"/>
      <c r="K47" s="174"/>
      <c r="M47" s="174"/>
      <c r="N47" s="174"/>
      <c r="P47" s="174"/>
      <c r="Q47" s="174"/>
    </row>
    <row r="48" spans="1:17" x14ac:dyDescent="0.2">
      <c r="A48" s="74">
        <f t="shared" si="0"/>
        <v>0</v>
      </c>
      <c r="B48" s="172"/>
      <c r="D48" s="174"/>
      <c r="E48" s="174"/>
      <c r="G48" s="174"/>
      <c r="H48" s="174"/>
      <c r="J48" s="174"/>
      <c r="K48" s="174"/>
      <c r="M48" s="174"/>
      <c r="N48" s="174"/>
      <c r="P48" s="174"/>
      <c r="Q48" s="174"/>
    </row>
    <row r="49" spans="1:17" x14ac:dyDescent="0.2">
      <c r="A49" s="74">
        <f t="shared" si="0"/>
        <v>0</v>
      </c>
      <c r="B49" s="172"/>
      <c r="D49" s="174"/>
      <c r="E49" s="174"/>
      <c r="G49" s="174"/>
      <c r="H49" s="174"/>
      <c r="J49" s="174"/>
      <c r="K49" s="174"/>
      <c r="M49" s="174"/>
      <c r="N49" s="174"/>
      <c r="P49" s="174"/>
      <c r="Q49" s="174"/>
    </row>
    <row r="50" spans="1:17" x14ac:dyDescent="0.2">
      <c r="A50" s="74">
        <f t="shared" si="0"/>
        <v>0</v>
      </c>
      <c r="B50" s="172"/>
      <c r="D50" s="174"/>
      <c r="E50" s="174"/>
      <c r="G50" s="174"/>
      <c r="H50" s="174"/>
      <c r="J50" s="174"/>
      <c r="K50" s="174"/>
      <c r="M50" s="174"/>
      <c r="N50" s="174"/>
      <c r="P50" s="174"/>
      <c r="Q50" s="174"/>
    </row>
    <row r="51" spans="1:17" x14ac:dyDescent="0.2">
      <c r="A51" s="74">
        <f t="shared" si="0"/>
        <v>0</v>
      </c>
      <c r="B51" s="172"/>
      <c r="D51" s="174"/>
      <c r="E51" s="174"/>
      <c r="G51" s="174"/>
      <c r="H51" s="174"/>
      <c r="J51" s="174"/>
      <c r="K51" s="174"/>
      <c r="M51" s="174"/>
      <c r="N51" s="174"/>
      <c r="P51" s="174"/>
      <c r="Q51" s="174"/>
    </row>
    <row r="52" spans="1:17" x14ac:dyDescent="0.2">
      <c r="A52" s="74">
        <f t="shared" si="0"/>
        <v>0</v>
      </c>
      <c r="B52" s="172"/>
      <c r="D52" s="174"/>
      <c r="E52" s="174"/>
      <c r="G52" s="174"/>
      <c r="H52" s="174"/>
      <c r="J52" s="174"/>
      <c r="K52" s="174"/>
      <c r="M52" s="174"/>
      <c r="N52" s="174"/>
      <c r="P52" s="174"/>
      <c r="Q52" s="174"/>
    </row>
    <row r="53" spans="1:17" x14ac:dyDescent="0.2">
      <c r="A53" s="74">
        <f t="shared" si="0"/>
        <v>0</v>
      </c>
      <c r="B53" s="172"/>
      <c r="D53" s="174"/>
      <c r="E53" s="174"/>
      <c r="G53" s="174"/>
      <c r="H53" s="174"/>
      <c r="J53" s="174"/>
      <c r="K53" s="174"/>
      <c r="M53" s="174"/>
      <c r="N53" s="174"/>
      <c r="P53" s="174"/>
      <c r="Q53" s="174"/>
    </row>
    <row r="54" spans="1:17" x14ac:dyDescent="0.2">
      <c r="A54" s="74">
        <f t="shared" si="0"/>
        <v>0</v>
      </c>
      <c r="B54" s="172"/>
      <c r="D54" s="174"/>
      <c r="E54" s="174"/>
      <c r="G54" s="174"/>
      <c r="H54" s="174"/>
      <c r="J54" s="174"/>
      <c r="K54" s="174"/>
      <c r="M54" s="174"/>
      <c r="N54" s="174"/>
      <c r="P54" s="174"/>
      <c r="Q54" s="174"/>
    </row>
    <row r="55" spans="1:17" x14ac:dyDescent="0.2">
      <c r="A55" s="74">
        <f t="shared" si="0"/>
        <v>0</v>
      </c>
      <c r="B55" s="172"/>
      <c r="D55" s="174"/>
      <c r="E55" s="174"/>
      <c r="G55" s="174"/>
      <c r="H55" s="174"/>
      <c r="J55" s="174"/>
      <c r="K55" s="174"/>
      <c r="M55" s="174"/>
      <c r="N55" s="174"/>
      <c r="P55" s="174"/>
      <c r="Q55" s="174"/>
    </row>
    <row r="56" spans="1:17" x14ac:dyDescent="0.2">
      <c r="A56" s="74">
        <f t="shared" si="0"/>
        <v>0</v>
      </c>
      <c r="B56" s="172"/>
      <c r="D56" s="174"/>
      <c r="E56" s="174"/>
      <c r="G56" s="174"/>
      <c r="H56" s="174"/>
      <c r="J56" s="174"/>
      <c r="K56" s="174"/>
      <c r="M56" s="174"/>
      <c r="N56" s="174"/>
      <c r="P56" s="174"/>
      <c r="Q56" s="174"/>
    </row>
    <row r="57" spans="1:17" x14ac:dyDescent="0.2">
      <c r="A57" s="74">
        <f t="shared" si="0"/>
        <v>0</v>
      </c>
      <c r="B57" s="172"/>
      <c r="D57" s="174"/>
      <c r="E57" s="174"/>
      <c r="G57" s="174"/>
      <c r="H57" s="174"/>
      <c r="J57" s="174"/>
      <c r="K57" s="174"/>
      <c r="M57" s="174"/>
      <c r="N57" s="174"/>
      <c r="P57" s="174"/>
      <c r="Q57" s="174"/>
    </row>
    <row r="58" spans="1:17" x14ac:dyDescent="0.2">
      <c r="A58" s="74">
        <f t="shared" si="0"/>
        <v>0</v>
      </c>
      <c r="B58" s="172"/>
      <c r="D58" s="174"/>
      <c r="E58" s="174"/>
      <c r="G58" s="174"/>
      <c r="H58" s="174"/>
      <c r="J58" s="174"/>
      <c r="K58" s="174"/>
      <c r="M58" s="174"/>
      <c r="N58" s="174"/>
      <c r="P58" s="174"/>
      <c r="Q58" s="174"/>
    </row>
    <row r="59" spans="1:17" x14ac:dyDescent="0.2">
      <c r="A59" s="74">
        <f t="shared" si="0"/>
        <v>0</v>
      </c>
      <c r="B59" s="172"/>
      <c r="D59" s="174"/>
      <c r="E59" s="174"/>
      <c r="G59" s="174"/>
      <c r="H59" s="174"/>
      <c r="J59" s="174"/>
      <c r="K59" s="174"/>
      <c r="M59" s="174"/>
      <c r="N59" s="174"/>
      <c r="P59" s="174"/>
      <c r="Q59" s="174"/>
    </row>
    <row r="60" spans="1:17" x14ac:dyDescent="0.2">
      <c r="A60" s="74">
        <f t="shared" si="0"/>
        <v>0</v>
      </c>
      <c r="B60" s="172"/>
      <c r="D60" s="174"/>
      <c r="E60" s="174"/>
      <c r="G60" s="174"/>
      <c r="H60" s="174"/>
      <c r="J60" s="174"/>
      <c r="K60" s="174"/>
      <c r="M60" s="174"/>
      <c r="N60" s="174"/>
      <c r="P60" s="174"/>
      <c r="Q60" s="174"/>
    </row>
    <row r="61" spans="1:17" x14ac:dyDescent="0.2">
      <c r="A61" s="74">
        <f t="shared" si="0"/>
        <v>0</v>
      </c>
      <c r="B61" s="172"/>
      <c r="D61" s="174"/>
      <c r="E61" s="174"/>
      <c r="G61" s="174"/>
      <c r="H61" s="174"/>
      <c r="J61" s="174"/>
      <c r="K61" s="174"/>
      <c r="M61" s="174"/>
      <c r="N61" s="174"/>
      <c r="P61" s="174"/>
      <c r="Q61" s="174"/>
    </row>
    <row r="62" spans="1:17" x14ac:dyDescent="0.2">
      <c r="A62" s="74">
        <f t="shared" si="0"/>
        <v>0</v>
      </c>
      <c r="B62" s="172"/>
      <c r="D62" s="174"/>
      <c r="E62" s="174"/>
      <c r="G62" s="174"/>
      <c r="H62" s="174"/>
      <c r="J62" s="174"/>
      <c r="K62" s="174"/>
      <c r="M62" s="174"/>
      <c r="N62" s="174"/>
      <c r="P62" s="174"/>
      <c r="Q62" s="174"/>
    </row>
    <row r="63" spans="1:17" x14ac:dyDescent="0.2">
      <c r="A63" s="74">
        <f t="shared" si="0"/>
        <v>0</v>
      </c>
      <c r="B63" s="172"/>
      <c r="D63" s="174"/>
      <c r="E63" s="174"/>
      <c r="G63" s="174"/>
      <c r="H63" s="174"/>
      <c r="J63" s="174"/>
      <c r="K63" s="174"/>
      <c r="M63" s="174"/>
      <c r="N63" s="174"/>
      <c r="P63" s="174"/>
      <c r="Q63" s="174"/>
    </row>
    <row r="64" spans="1:17" x14ac:dyDescent="0.2">
      <c r="A64" s="74">
        <f t="shared" si="0"/>
        <v>0</v>
      </c>
      <c r="B64" s="172"/>
      <c r="D64" s="174"/>
      <c r="E64" s="174"/>
      <c r="G64" s="174"/>
      <c r="H64" s="174"/>
      <c r="J64" s="174"/>
      <c r="K64" s="174"/>
      <c r="M64" s="174"/>
      <c r="N64" s="174"/>
      <c r="P64" s="174"/>
      <c r="Q64" s="174"/>
    </row>
    <row r="65" spans="1:17" x14ac:dyDescent="0.2">
      <c r="A65" s="74">
        <f t="shared" si="0"/>
        <v>0</v>
      </c>
      <c r="B65" s="172"/>
      <c r="D65" s="174"/>
      <c r="E65" s="174"/>
      <c r="G65" s="174"/>
      <c r="H65" s="174"/>
      <c r="J65" s="174"/>
      <c r="K65" s="174"/>
      <c r="M65" s="174"/>
      <c r="N65" s="174"/>
      <c r="P65" s="174"/>
      <c r="Q65" s="174"/>
    </row>
    <row r="66" spans="1:17" x14ac:dyDescent="0.2">
      <c r="A66" s="74">
        <f t="shared" si="0"/>
        <v>0</v>
      </c>
      <c r="B66" s="172"/>
      <c r="D66" s="174"/>
      <c r="E66" s="174"/>
      <c r="G66" s="174"/>
      <c r="H66" s="174"/>
      <c r="J66" s="174"/>
      <c r="K66" s="174"/>
      <c r="M66" s="174"/>
      <c r="N66" s="174"/>
      <c r="P66" s="174"/>
      <c r="Q66" s="174"/>
    </row>
    <row r="67" spans="1:17" x14ac:dyDescent="0.2">
      <c r="A67" s="74">
        <f t="shared" si="0"/>
        <v>0</v>
      </c>
      <c r="B67" s="172"/>
      <c r="D67" s="174"/>
      <c r="E67" s="174"/>
      <c r="G67" s="174"/>
      <c r="H67" s="174"/>
      <c r="J67" s="174"/>
      <c r="K67" s="174"/>
      <c r="M67" s="174"/>
      <c r="N67" s="174"/>
      <c r="P67" s="174"/>
      <c r="Q67" s="174"/>
    </row>
    <row r="68" spans="1:17" x14ac:dyDescent="0.2">
      <c r="A68" s="74">
        <f t="shared" si="0"/>
        <v>0</v>
      </c>
      <c r="B68" s="172"/>
      <c r="D68" s="174"/>
      <c r="E68" s="174"/>
      <c r="G68" s="174"/>
      <c r="H68" s="174"/>
      <c r="J68" s="174"/>
      <c r="K68" s="174"/>
      <c r="M68" s="174"/>
      <c r="N68" s="174"/>
      <c r="P68" s="174"/>
      <c r="Q68" s="174"/>
    </row>
    <row r="69" spans="1:17" x14ac:dyDescent="0.2">
      <c r="A69" s="74">
        <f t="shared" si="0"/>
        <v>0</v>
      </c>
      <c r="B69" s="172"/>
      <c r="D69" s="174"/>
      <c r="E69" s="174"/>
      <c r="G69" s="174"/>
      <c r="H69" s="174"/>
      <c r="J69" s="174"/>
      <c r="K69" s="174"/>
      <c r="M69" s="174"/>
      <c r="N69" s="174"/>
      <c r="P69" s="174"/>
      <c r="Q69" s="174"/>
    </row>
    <row r="70" spans="1:17" x14ac:dyDescent="0.2">
      <c r="A70" s="74">
        <f t="shared" si="0"/>
        <v>0</v>
      </c>
      <c r="B70" s="172"/>
      <c r="D70" s="174"/>
      <c r="E70" s="174"/>
      <c r="G70" s="174"/>
      <c r="H70" s="174"/>
      <c r="J70" s="174"/>
      <c r="K70" s="174"/>
      <c r="M70" s="174"/>
      <c r="N70" s="174"/>
      <c r="P70" s="174"/>
      <c r="Q70" s="174"/>
    </row>
    <row r="71" spans="1:17" x14ac:dyDescent="0.2">
      <c r="A71" s="74">
        <f t="shared" si="0"/>
        <v>0</v>
      </c>
      <c r="B71" s="172"/>
      <c r="D71" s="174"/>
      <c r="E71" s="174"/>
      <c r="G71" s="174"/>
      <c r="H71" s="174"/>
      <c r="J71" s="174"/>
      <c r="K71" s="174"/>
      <c r="M71" s="174"/>
      <c r="N71" s="174"/>
      <c r="P71" s="174"/>
      <c r="Q71" s="174"/>
    </row>
    <row r="72" spans="1:17" x14ac:dyDescent="0.2">
      <c r="A72" s="74">
        <f t="shared" si="0"/>
        <v>0</v>
      </c>
      <c r="B72" s="172"/>
      <c r="D72" s="174"/>
      <c r="E72" s="174"/>
      <c r="G72" s="174"/>
      <c r="H72" s="174"/>
      <c r="J72" s="174"/>
      <c r="K72" s="174"/>
      <c r="M72" s="174"/>
      <c r="N72" s="174"/>
      <c r="P72" s="174"/>
      <c r="Q72" s="174"/>
    </row>
    <row r="73" spans="1:17" x14ac:dyDescent="0.2">
      <c r="A73" s="74">
        <f t="shared" si="0"/>
        <v>0</v>
      </c>
      <c r="B73" s="172"/>
      <c r="D73" s="174"/>
      <c r="E73" s="174"/>
      <c r="G73" s="174"/>
      <c r="H73" s="174"/>
      <c r="J73" s="174"/>
      <c r="K73" s="174"/>
      <c r="M73" s="174"/>
      <c r="N73" s="174"/>
      <c r="P73" s="174"/>
      <c r="Q73" s="174"/>
    </row>
    <row r="74" spans="1:17" x14ac:dyDescent="0.2">
      <c r="A74" s="74">
        <f t="shared" si="0"/>
        <v>0</v>
      </c>
      <c r="B74" s="172"/>
      <c r="D74" s="174"/>
      <c r="E74" s="174"/>
      <c r="G74" s="174"/>
      <c r="H74" s="174"/>
      <c r="J74" s="174"/>
      <c r="K74" s="174"/>
      <c r="M74" s="174"/>
      <c r="N74" s="174"/>
      <c r="P74" s="174"/>
      <c r="Q74" s="174"/>
    </row>
    <row r="75" spans="1:17" x14ac:dyDescent="0.2">
      <c r="A75" s="74">
        <f t="shared" si="0"/>
        <v>0</v>
      </c>
      <c r="B75" s="172"/>
      <c r="D75" s="174"/>
      <c r="E75" s="174"/>
      <c r="G75" s="174"/>
      <c r="H75" s="174"/>
      <c r="J75" s="174"/>
      <c r="K75" s="174"/>
      <c r="M75" s="174"/>
      <c r="N75" s="174"/>
      <c r="P75" s="174"/>
      <c r="Q75" s="174"/>
    </row>
    <row r="76" spans="1:17" x14ac:dyDescent="0.2">
      <c r="A76" s="74">
        <f t="shared" si="0"/>
        <v>0</v>
      </c>
      <c r="B76" s="172"/>
      <c r="D76" s="174"/>
      <c r="E76" s="174"/>
      <c r="G76" s="174"/>
      <c r="H76" s="174"/>
      <c r="J76" s="174"/>
      <c r="K76" s="174"/>
      <c r="M76" s="174"/>
      <c r="N76" s="174"/>
      <c r="P76" s="174"/>
      <c r="Q76" s="174"/>
    </row>
    <row r="77" spans="1:17" x14ac:dyDescent="0.2">
      <c r="A77" s="74">
        <f t="shared" ref="A77:A111" si="1">IF(B77="",0,ROW(A66))</f>
        <v>0</v>
      </c>
      <c r="B77" s="172"/>
      <c r="D77" s="174"/>
      <c r="E77" s="174"/>
      <c r="G77" s="174"/>
      <c r="H77" s="174"/>
      <c r="J77" s="174"/>
      <c r="K77" s="174"/>
      <c r="M77" s="174"/>
      <c r="N77" s="174"/>
      <c r="P77" s="174"/>
      <c r="Q77" s="174"/>
    </row>
    <row r="78" spans="1:17" x14ac:dyDescent="0.2">
      <c r="A78" s="74">
        <f t="shared" si="1"/>
        <v>0</v>
      </c>
      <c r="B78" s="172"/>
      <c r="D78" s="174"/>
      <c r="E78" s="174"/>
      <c r="G78" s="174"/>
      <c r="H78" s="174"/>
      <c r="J78" s="174"/>
      <c r="K78" s="174"/>
      <c r="M78" s="174"/>
      <c r="N78" s="174"/>
      <c r="P78" s="174"/>
      <c r="Q78" s="174"/>
    </row>
    <row r="79" spans="1:17" x14ac:dyDescent="0.2">
      <c r="A79" s="74">
        <f t="shared" si="1"/>
        <v>0</v>
      </c>
      <c r="B79" s="172"/>
      <c r="D79" s="174"/>
      <c r="E79" s="174"/>
      <c r="G79" s="174"/>
      <c r="H79" s="174"/>
      <c r="J79" s="174"/>
      <c r="K79" s="174"/>
      <c r="M79" s="174"/>
      <c r="N79" s="174"/>
      <c r="P79" s="174"/>
      <c r="Q79" s="174"/>
    </row>
    <row r="80" spans="1:17" x14ac:dyDescent="0.2">
      <c r="A80" s="74">
        <f t="shared" si="1"/>
        <v>0</v>
      </c>
      <c r="B80" s="172"/>
      <c r="D80" s="174"/>
      <c r="E80" s="174"/>
      <c r="G80" s="174"/>
      <c r="H80" s="174"/>
      <c r="J80" s="174"/>
      <c r="K80" s="174"/>
      <c r="M80" s="174"/>
      <c r="N80" s="174"/>
      <c r="P80" s="174"/>
      <c r="Q80" s="174"/>
    </row>
    <row r="81" spans="1:17" x14ac:dyDescent="0.2">
      <c r="A81" s="74">
        <f t="shared" si="1"/>
        <v>0</v>
      </c>
      <c r="B81" s="172"/>
      <c r="D81" s="174"/>
      <c r="E81" s="174"/>
      <c r="G81" s="174"/>
      <c r="H81" s="174"/>
      <c r="J81" s="174"/>
      <c r="K81" s="174"/>
      <c r="M81" s="174"/>
      <c r="N81" s="174"/>
      <c r="P81" s="174"/>
      <c r="Q81" s="174"/>
    </row>
    <row r="82" spans="1:17" x14ac:dyDescent="0.2">
      <c r="A82" s="74">
        <f t="shared" si="1"/>
        <v>0</v>
      </c>
      <c r="B82" s="172"/>
      <c r="D82" s="174"/>
      <c r="E82" s="174"/>
      <c r="G82" s="174"/>
      <c r="H82" s="174"/>
      <c r="J82" s="174"/>
      <c r="K82" s="174"/>
      <c r="M82" s="174"/>
      <c r="N82" s="174"/>
      <c r="P82" s="174"/>
      <c r="Q82" s="174"/>
    </row>
    <row r="83" spans="1:17" x14ac:dyDescent="0.2">
      <c r="A83" s="74">
        <f t="shared" si="1"/>
        <v>0</v>
      </c>
      <c r="B83" s="172"/>
      <c r="D83" s="174"/>
      <c r="E83" s="174"/>
      <c r="G83" s="174"/>
      <c r="H83" s="174"/>
      <c r="J83" s="174"/>
      <c r="K83" s="174"/>
      <c r="M83" s="174"/>
      <c r="N83" s="174"/>
      <c r="P83" s="174"/>
      <c r="Q83" s="174"/>
    </row>
    <row r="84" spans="1:17" x14ac:dyDescent="0.2">
      <c r="A84" s="74">
        <f t="shared" si="1"/>
        <v>0</v>
      </c>
      <c r="B84" s="172"/>
      <c r="D84" s="174"/>
      <c r="E84" s="174"/>
      <c r="G84" s="174"/>
      <c r="H84" s="174"/>
      <c r="J84" s="174"/>
      <c r="K84" s="174"/>
      <c r="M84" s="174"/>
      <c r="N84" s="174"/>
      <c r="P84" s="174"/>
      <c r="Q84" s="174"/>
    </row>
    <row r="85" spans="1:17" x14ac:dyDescent="0.2">
      <c r="A85" s="74">
        <f t="shared" si="1"/>
        <v>0</v>
      </c>
      <c r="B85" s="172"/>
      <c r="D85" s="174"/>
      <c r="E85" s="174"/>
      <c r="G85" s="174"/>
      <c r="H85" s="174"/>
      <c r="J85" s="174"/>
      <c r="K85" s="174"/>
      <c r="M85" s="174"/>
      <c r="N85" s="174"/>
      <c r="P85" s="174"/>
      <c r="Q85" s="174"/>
    </row>
    <row r="86" spans="1:17" x14ac:dyDescent="0.2">
      <c r="A86" s="74">
        <f t="shared" si="1"/>
        <v>0</v>
      </c>
      <c r="B86" s="172"/>
      <c r="D86" s="174"/>
      <c r="E86" s="174"/>
      <c r="G86" s="174"/>
      <c r="H86" s="174"/>
      <c r="J86" s="174"/>
      <c r="K86" s="174"/>
      <c r="M86" s="174"/>
      <c r="N86" s="174"/>
      <c r="P86" s="174"/>
      <c r="Q86" s="174"/>
    </row>
    <row r="87" spans="1:17" x14ac:dyDescent="0.2">
      <c r="A87" s="74">
        <f t="shared" si="1"/>
        <v>0</v>
      </c>
      <c r="B87" s="172"/>
      <c r="D87" s="174"/>
      <c r="E87" s="174"/>
      <c r="G87" s="174"/>
      <c r="H87" s="174"/>
      <c r="J87" s="174"/>
      <c r="K87" s="174"/>
      <c r="M87" s="174"/>
      <c r="N87" s="174"/>
      <c r="P87" s="174"/>
      <c r="Q87" s="174"/>
    </row>
    <row r="88" spans="1:17" x14ac:dyDescent="0.2">
      <c r="A88" s="74">
        <f t="shared" si="1"/>
        <v>0</v>
      </c>
      <c r="B88" s="172"/>
      <c r="D88" s="174"/>
      <c r="E88" s="174"/>
      <c r="G88" s="174"/>
      <c r="H88" s="174"/>
      <c r="J88" s="174"/>
      <c r="K88" s="174"/>
      <c r="M88" s="174"/>
      <c r="N88" s="174"/>
      <c r="P88" s="174"/>
      <c r="Q88" s="174"/>
    </row>
    <row r="89" spans="1:17" x14ac:dyDescent="0.2">
      <c r="A89" s="74">
        <f t="shared" si="1"/>
        <v>0</v>
      </c>
      <c r="B89" s="172"/>
      <c r="D89" s="174"/>
      <c r="E89" s="174"/>
      <c r="G89" s="174"/>
      <c r="H89" s="174"/>
      <c r="J89" s="174"/>
      <c r="K89" s="174"/>
      <c r="M89" s="174"/>
      <c r="N89" s="174"/>
      <c r="P89" s="174"/>
      <c r="Q89" s="174"/>
    </row>
    <row r="90" spans="1:17" x14ac:dyDescent="0.2">
      <c r="A90" s="74">
        <f t="shared" si="1"/>
        <v>0</v>
      </c>
      <c r="B90" s="172"/>
      <c r="D90" s="174"/>
      <c r="E90" s="174"/>
      <c r="G90" s="174"/>
      <c r="H90" s="174"/>
      <c r="J90" s="174"/>
      <c r="K90" s="174"/>
      <c r="M90" s="174"/>
      <c r="N90" s="174"/>
      <c r="P90" s="174"/>
      <c r="Q90" s="174"/>
    </row>
    <row r="91" spans="1:17" x14ac:dyDescent="0.2">
      <c r="A91" s="74">
        <f t="shared" si="1"/>
        <v>0</v>
      </c>
      <c r="B91" s="172"/>
      <c r="D91" s="174"/>
      <c r="E91" s="174"/>
      <c r="G91" s="174"/>
      <c r="H91" s="174"/>
      <c r="J91" s="174"/>
      <c r="K91" s="174"/>
      <c r="M91" s="174"/>
      <c r="N91" s="174"/>
      <c r="P91" s="174"/>
      <c r="Q91" s="174"/>
    </row>
    <row r="92" spans="1:17" x14ac:dyDescent="0.2">
      <c r="A92" s="74">
        <f t="shared" si="1"/>
        <v>0</v>
      </c>
      <c r="B92" s="172"/>
      <c r="D92" s="174"/>
      <c r="E92" s="174"/>
      <c r="G92" s="174"/>
      <c r="H92" s="174"/>
      <c r="J92" s="174"/>
      <c r="K92" s="174"/>
      <c r="M92" s="174"/>
      <c r="N92" s="174"/>
      <c r="P92" s="174"/>
      <c r="Q92" s="174"/>
    </row>
    <row r="93" spans="1:17" x14ac:dyDescent="0.2">
      <c r="A93" s="74">
        <f t="shared" si="1"/>
        <v>0</v>
      </c>
      <c r="B93" s="172"/>
      <c r="D93" s="174"/>
      <c r="E93" s="174"/>
      <c r="G93" s="174"/>
      <c r="H93" s="174"/>
      <c r="J93" s="174"/>
      <c r="K93" s="174"/>
      <c r="M93" s="174"/>
      <c r="N93" s="174"/>
      <c r="P93" s="174"/>
      <c r="Q93" s="174"/>
    </row>
    <row r="94" spans="1:17" x14ac:dyDescent="0.2">
      <c r="A94" s="74">
        <f t="shared" si="1"/>
        <v>0</v>
      </c>
      <c r="B94" s="172"/>
      <c r="D94" s="174"/>
      <c r="E94" s="174"/>
      <c r="G94" s="174"/>
      <c r="H94" s="174"/>
      <c r="J94" s="174"/>
      <c r="K94" s="174"/>
      <c r="M94" s="174"/>
      <c r="N94" s="174"/>
      <c r="P94" s="174"/>
      <c r="Q94" s="174"/>
    </row>
    <row r="95" spans="1:17" x14ac:dyDescent="0.2">
      <c r="A95" s="74">
        <f t="shared" si="1"/>
        <v>0</v>
      </c>
      <c r="B95" s="172"/>
      <c r="D95" s="174"/>
      <c r="E95" s="174"/>
      <c r="G95" s="174"/>
      <c r="H95" s="174"/>
      <c r="J95" s="174"/>
      <c r="K95" s="174"/>
      <c r="M95" s="174"/>
      <c r="N95" s="174"/>
      <c r="P95" s="174"/>
      <c r="Q95" s="174"/>
    </row>
    <row r="96" spans="1:17" x14ac:dyDescent="0.2">
      <c r="A96" s="74">
        <f t="shared" si="1"/>
        <v>0</v>
      </c>
      <c r="B96" s="172"/>
      <c r="D96" s="174"/>
      <c r="E96" s="174"/>
      <c r="G96" s="174"/>
      <c r="H96" s="174"/>
      <c r="J96" s="174"/>
      <c r="K96" s="174"/>
      <c r="M96" s="174"/>
      <c r="N96" s="174"/>
      <c r="P96" s="174"/>
      <c r="Q96" s="174"/>
    </row>
    <row r="97" spans="1:17" x14ac:dyDescent="0.2">
      <c r="A97" s="74">
        <f t="shared" si="1"/>
        <v>0</v>
      </c>
      <c r="B97" s="172"/>
      <c r="D97" s="174"/>
      <c r="E97" s="174"/>
      <c r="G97" s="174"/>
      <c r="H97" s="174"/>
      <c r="J97" s="174"/>
      <c r="K97" s="174"/>
      <c r="M97" s="174"/>
      <c r="N97" s="174"/>
      <c r="P97" s="174"/>
      <c r="Q97" s="174"/>
    </row>
    <row r="98" spans="1:17" x14ac:dyDescent="0.2">
      <c r="A98" s="74">
        <f t="shared" si="1"/>
        <v>0</v>
      </c>
      <c r="B98" s="172"/>
      <c r="D98" s="174"/>
      <c r="E98" s="174"/>
      <c r="G98" s="174"/>
      <c r="H98" s="174"/>
      <c r="J98" s="174"/>
      <c r="K98" s="174"/>
      <c r="M98" s="174"/>
      <c r="N98" s="174"/>
      <c r="P98" s="174"/>
      <c r="Q98" s="174"/>
    </row>
    <row r="99" spans="1:17" x14ac:dyDescent="0.2">
      <c r="A99" s="74">
        <f t="shared" si="1"/>
        <v>0</v>
      </c>
      <c r="B99" s="172"/>
      <c r="D99" s="174"/>
      <c r="E99" s="174"/>
      <c r="G99" s="174"/>
      <c r="H99" s="174"/>
      <c r="J99" s="174"/>
      <c r="K99" s="174"/>
      <c r="M99" s="174"/>
      <c r="N99" s="174"/>
      <c r="P99" s="174"/>
      <c r="Q99" s="174"/>
    </row>
    <row r="100" spans="1:17" x14ac:dyDescent="0.2">
      <c r="A100" s="74">
        <f t="shared" si="1"/>
        <v>0</v>
      </c>
      <c r="B100" s="172"/>
      <c r="D100" s="174"/>
      <c r="E100" s="174"/>
      <c r="G100" s="174"/>
      <c r="H100" s="174"/>
      <c r="J100" s="174"/>
      <c r="K100" s="174"/>
      <c r="M100" s="174"/>
      <c r="N100" s="174"/>
      <c r="P100" s="174"/>
      <c r="Q100" s="174"/>
    </row>
    <row r="101" spans="1:17" x14ac:dyDescent="0.2">
      <c r="A101" s="74">
        <f t="shared" si="1"/>
        <v>0</v>
      </c>
      <c r="B101" s="172"/>
      <c r="D101" s="174"/>
      <c r="E101" s="174"/>
      <c r="G101" s="174"/>
      <c r="H101" s="174"/>
      <c r="J101" s="174"/>
      <c r="K101" s="174"/>
      <c r="M101" s="174"/>
      <c r="N101" s="174"/>
      <c r="P101" s="174"/>
      <c r="Q101" s="174"/>
    </row>
    <row r="102" spans="1:17" x14ac:dyDescent="0.2">
      <c r="A102" s="74">
        <f t="shared" si="1"/>
        <v>0</v>
      </c>
      <c r="B102" s="172"/>
      <c r="D102" s="174"/>
      <c r="E102" s="174"/>
      <c r="G102" s="174"/>
      <c r="H102" s="174"/>
      <c r="J102" s="174"/>
      <c r="K102" s="174"/>
      <c r="M102" s="174"/>
      <c r="N102" s="174"/>
      <c r="P102" s="174"/>
      <c r="Q102" s="174"/>
    </row>
    <row r="103" spans="1:17" x14ac:dyDescent="0.2">
      <c r="A103" s="74">
        <f t="shared" si="1"/>
        <v>0</v>
      </c>
      <c r="B103" s="172"/>
      <c r="D103" s="174"/>
      <c r="E103" s="174"/>
      <c r="G103" s="174"/>
      <c r="H103" s="174"/>
      <c r="J103" s="174"/>
      <c r="K103" s="174"/>
      <c r="M103" s="174"/>
      <c r="N103" s="174"/>
      <c r="P103" s="174"/>
      <c r="Q103" s="174"/>
    </row>
    <row r="104" spans="1:17" x14ac:dyDescent="0.2">
      <c r="A104" s="74">
        <f t="shared" si="1"/>
        <v>0</v>
      </c>
      <c r="B104" s="172"/>
      <c r="D104" s="174"/>
      <c r="E104" s="174"/>
      <c r="G104" s="174"/>
      <c r="H104" s="174"/>
      <c r="J104" s="174"/>
      <c r="K104" s="174"/>
      <c r="M104" s="174"/>
      <c r="N104" s="174"/>
      <c r="P104" s="174"/>
      <c r="Q104" s="174"/>
    </row>
    <row r="105" spans="1:17" x14ac:dyDescent="0.2">
      <c r="A105" s="74">
        <f t="shared" si="1"/>
        <v>0</v>
      </c>
      <c r="B105" s="172"/>
      <c r="D105" s="174"/>
      <c r="E105" s="174"/>
      <c r="G105" s="174"/>
      <c r="H105" s="174"/>
      <c r="J105" s="174"/>
      <c r="K105" s="174"/>
      <c r="M105" s="174"/>
      <c r="N105" s="174"/>
      <c r="P105" s="174"/>
      <c r="Q105" s="174"/>
    </row>
    <row r="106" spans="1:17" x14ac:dyDescent="0.2">
      <c r="A106" s="74">
        <f t="shared" si="1"/>
        <v>0</v>
      </c>
      <c r="B106" s="172"/>
      <c r="D106" s="174"/>
      <c r="E106" s="174"/>
      <c r="G106" s="174"/>
      <c r="H106" s="174"/>
      <c r="J106" s="174"/>
      <c r="K106" s="174"/>
      <c r="M106" s="174"/>
      <c r="N106" s="174"/>
      <c r="P106" s="174"/>
      <c r="Q106" s="174"/>
    </row>
    <row r="107" spans="1:17" x14ac:dyDescent="0.2">
      <c r="A107" s="74">
        <f t="shared" si="1"/>
        <v>0</v>
      </c>
      <c r="B107" s="172"/>
      <c r="D107" s="174"/>
      <c r="E107" s="174"/>
      <c r="G107" s="174"/>
      <c r="H107" s="174"/>
      <c r="J107" s="174"/>
      <c r="K107" s="174"/>
      <c r="M107" s="174"/>
      <c r="N107" s="174"/>
      <c r="P107" s="174"/>
      <c r="Q107" s="174"/>
    </row>
    <row r="108" spans="1:17" x14ac:dyDescent="0.2">
      <c r="A108" s="74">
        <f t="shared" si="1"/>
        <v>0</v>
      </c>
      <c r="B108" s="172"/>
      <c r="D108" s="174"/>
      <c r="E108" s="174"/>
      <c r="G108" s="174"/>
      <c r="H108" s="174"/>
      <c r="J108" s="174"/>
      <c r="K108" s="174"/>
      <c r="M108" s="174"/>
      <c r="N108" s="174"/>
      <c r="P108" s="174"/>
      <c r="Q108" s="174"/>
    </row>
    <row r="109" spans="1:17" x14ac:dyDescent="0.2">
      <c r="A109" s="74">
        <f t="shared" si="1"/>
        <v>0</v>
      </c>
      <c r="B109" s="172"/>
      <c r="D109" s="174"/>
      <c r="E109" s="174"/>
      <c r="G109" s="174"/>
      <c r="H109" s="174"/>
      <c r="J109" s="174"/>
      <c r="K109" s="174"/>
      <c r="M109" s="174"/>
      <c r="N109" s="174"/>
      <c r="P109" s="174"/>
      <c r="Q109" s="174"/>
    </row>
    <row r="110" spans="1:17" x14ac:dyDescent="0.2">
      <c r="A110" s="74">
        <f t="shared" si="1"/>
        <v>0</v>
      </c>
      <c r="B110" s="172"/>
      <c r="D110" s="174"/>
      <c r="E110" s="174"/>
      <c r="G110" s="174"/>
      <c r="H110" s="174"/>
      <c r="J110" s="174"/>
      <c r="K110" s="174"/>
      <c r="M110" s="174"/>
      <c r="N110" s="174"/>
      <c r="P110" s="174"/>
      <c r="Q110" s="174"/>
    </row>
    <row r="111" spans="1:17" x14ac:dyDescent="0.2">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D21" sqref="D21"/>
    </sheetView>
  </sheetViews>
  <sheetFormatPr defaultColWidth="9" defaultRowHeight="14.25" x14ac:dyDescent="0.2"/>
  <cols>
    <col min="1" max="1" width="2.75" style="72" customWidth="1"/>
    <col min="2" max="2" width="19.75" style="72" customWidth="1"/>
    <col min="3" max="5" width="30.625" style="72" customWidth="1"/>
    <col min="6" max="6" width="9.75" style="72" customWidth="1"/>
    <col min="7" max="7" width="15.25" style="72" customWidth="1"/>
    <col min="8" max="8" width="9" style="72"/>
    <col min="9" max="9" width="10" style="72" customWidth="1"/>
    <col min="10" max="16384" width="9" style="72"/>
  </cols>
  <sheetData>
    <row r="1" spans="1:11" ht="15" x14ac:dyDescent="0.25">
      <c r="B1" s="425" t="s">
        <v>473</v>
      </c>
      <c r="C1" s="425"/>
      <c r="D1" s="425"/>
    </row>
    <row r="2" spans="1:11" ht="14.25" customHeight="1" x14ac:dyDescent="0.2"/>
    <row r="3" spans="1:11" ht="15" x14ac:dyDescent="0.25">
      <c r="B3" s="56" t="s">
        <v>479</v>
      </c>
    </row>
    <row r="4" spans="1:11" x14ac:dyDescent="0.2">
      <c r="B4" s="140" t="s">
        <v>480</v>
      </c>
    </row>
    <row r="5" spans="1:11" hidden="1" x14ac:dyDescent="0.2"/>
    <row r="6" spans="1:11" ht="15" hidden="1" customHeight="1" x14ac:dyDescent="0.2">
      <c r="A6" s="77"/>
      <c r="B6" s="78"/>
      <c r="C6" s="78"/>
      <c r="D6" s="78"/>
      <c r="E6" s="78"/>
      <c r="F6" s="78"/>
      <c r="G6" s="78"/>
      <c r="H6" s="78"/>
      <c r="I6" s="78"/>
      <c r="J6" s="78"/>
      <c r="K6" s="78"/>
    </row>
    <row r="7" spans="1:11" ht="14.25" hidden="1" customHeight="1" x14ac:dyDescent="0.2">
      <c r="A7" s="77"/>
      <c r="B7" s="78"/>
      <c r="C7" s="78"/>
      <c r="D7" s="78"/>
      <c r="E7" s="78"/>
      <c r="F7" s="78"/>
      <c r="G7" s="78"/>
      <c r="H7" s="78"/>
      <c r="I7" s="78"/>
      <c r="J7" s="78"/>
      <c r="K7" s="78"/>
    </row>
    <row r="8" spans="1:11" x14ac:dyDescent="0.2">
      <c r="B8" s="78"/>
      <c r="C8" s="78"/>
      <c r="D8" s="78"/>
      <c r="E8" s="78"/>
      <c r="F8" s="78"/>
      <c r="G8" s="78"/>
      <c r="H8" s="78"/>
      <c r="I8" s="78"/>
      <c r="J8" s="78"/>
      <c r="K8" s="78"/>
    </row>
    <row r="9" spans="1:11" ht="15" x14ac:dyDescent="0.25">
      <c r="B9" s="56" t="s">
        <v>434</v>
      </c>
    </row>
    <row r="11" spans="1:11" ht="42.75" x14ac:dyDescent="0.2">
      <c r="B11" s="120" t="s">
        <v>252</v>
      </c>
      <c r="C11" s="120" t="s">
        <v>452</v>
      </c>
      <c r="D11" s="120" t="s">
        <v>453</v>
      </c>
      <c r="E11" s="120" t="s">
        <v>454</v>
      </c>
      <c r="F11" s="121" t="s">
        <v>295</v>
      </c>
      <c r="G11" s="121" t="s">
        <v>465</v>
      </c>
      <c r="H11" s="121" t="s">
        <v>460</v>
      </c>
      <c r="I11" s="121" t="s">
        <v>877</v>
      </c>
      <c r="J11" s="121" t="s">
        <v>294</v>
      </c>
    </row>
    <row r="12" spans="1:11" x14ac:dyDescent="0.2">
      <c r="B12" s="218" t="str">
        <f>IF(Capacity!B17=0,"",Capacity!B17)</f>
        <v/>
      </c>
      <c r="C12" s="132"/>
      <c r="D12" s="132"/>
      <c r="E12" s="132"/>
      <c r="F12" s="215" t="str">
        <f>IF(ROW(A1)&lt;=Capacity!$A$16,Capacity!E17,"")</f>
        <v/>
      </c>
      <c r="G12" s="216" t="str">
        <f>IF(ROW(A1)&lt;=Capacity!$A$16,'Capacity calculation (hide)'!BH5,"")</f>
        <v/>
      </c>
      <c r="H12" s="215" t="str">
        <f>IF(ROW(A1)&lt;=Capacity!$A$16,Capacity!H17,"")</f>
        <v/>
      </c>
      <c r="I12" s="217" t="str">
        <f>IF(ROW(A1)&lt;=Capacity!$A$16,'Capacity calculation (hide)'!DL5,"")</f>
        <v/>
      </c>
      <c r="J12" s="218" t="str">
        <f>IFERROR(IF(G12-F12 &lt;0, "Under","Over"),"")</f>
        <v/>
      </c>
    </row>
    <row r="13" spans="1:11" x14ac:dyDescent="0.2">
      <c r="B13" s="218" t="str">
        <f>IF(Capacity!B18=0,"",Capacity!B18)</f>
        <v/>
      </c>
      <c r="C13" s="132"/>
      <c r="D13" s="132"/>
      <c r="E13" s="132"/>
      <c r="F13" s="215" t="str">
        <f>IF(ROW(A2)&lt;=Capacity!$A$16,Capacity!E18,"")</f>
        <v/>
      </c>
      <c r="G13" s="216" t="str">
        <f>IF(ROW(A2)&lt;=Capacity!$A$16,'Capacity calculation (hide)'!BH6,"")</f>
        <v/>
      </c>
      <c r="H13" s="215" t="str">
        <f>IF(ROW(A2)&lt;=Capacity!$A$16,Capacity!H18,"")</f>
        <v/>
      </c>
      <c r="I13" s="217" t="str">
        <f>IF(ROW(A2)&lt;=Capacity!$A$16,'Capacity calculation (hide)'!DL6,"")</f>
        <v/>
      </c>
      <c r="J13" s="218" t="str">
        <f t="shared" ref="J13:J76" si="0">IFERROR(IF(G13-F13 &lt;0, "Under","Over"),"")</f>
        <v/>
      </c>
    </row>
    <row r="14" spans="1:11" x14ac:dyDescent="0.2">
      <c r="B14" s="218" t="str">
        <f>IF(Capacity!B19=0,"",Capacity!B19)</f>
        <v/>
      </c>
      <c r="C14" s="132"/>
      <c r="D14" s="132"/>
      <c r="E14" s="132"/>
      <c r="F14" s="215" t="str">
        <f>IF(ROW(A3)&lt;=Capacity!$A$16,Capacity!E19,"")</f>
        <v/>
      </c>
      <c r="G14" s="216" t="str">
        <f>IF(ROW(A3)&lt;=Capacity!$A$16,'Capacity calculation (hide)'!BH7,"")</f>
        <v/>
      </c>
      <c r="H14" s="215" t="str">
        <f>IF(ROW(A3)&lt;=Capacity!$A$16,Capacity!H19,"")</f>
        <v/>
      </c>
      <c r="I14" s="217" t="str">
        <f>IF(ROW(A3)&lt;=Capacity!$A$16,'Capacity calculation (hide)'!DL7,"")</f>
        <v/>
      </c>
      <c r="J14" s="218" t="str">
        <f t="shared" si="0"/>
        <v/>
      </c>
    </row>
    <row r="15" spans="1:11" x14ac:dyDescent="0.2">
      <c r="B15" s="218" t="str">
        <f>IF(Capacity!B20=0,"",Capacity!B20)</f>
        <v/>
      </c>
      <c r="C15" s="132"/>
      <c r="D15" s="132"/>
      <c r="E15" s="132"/>
      <c r="F15" s="215" t="str">
        <f>IF(ROW(A4)&lt;=Capacity!$A$16,Capacity!E20,"")</f>
        <v/>
      </c>
      <c r="G15" s="216" t="str">
        <f>IF(ROW(A4)&lt;=Capacity!$A$16,'Capacity calculation (hide)'!BH8,"")</f>
        <v/>
      </c>
      <c r="H15" s="215" t="str">
        <f>IF(ROW(A4)&lt;=Capacity!$A$16,Capacity!H20,"")</f>
        <v/>
      </c>
      <c r="I15" s="217" t="str">
        <f>IF(ROW(A4)&lt;=Capacity!$A$16,'Capacity calculation (hide)'!DL8,"")</f>
        <v/>
      </c>
      <c r="J15" s="218" t="str">
        <f t="shared" si="0"/>
        <v/>
      </c>
    </row>
    <row r="16" spans="1:11" x14ac:dyDescent="0.2">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(hide)'!DL9,"")</f>
        <v/>
      </c>
      <c r="J16" s="218" t="str">
        <f t="shared" si="0"/>
        <v/>
      </c>
    </row>
    <row r="17" spans="2:10" x14ac:dyDescent="0.2">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(hide)'!DL10,"")</f>
        <v/>
      </c>
      <c r="J17" s="218" t="str">
        <f t="shared" si="0"/>
        <v/>
      </c>
    </row>
    <row r="18" spans="2:10" x14ac:dyDescent="0.2">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t="15" hidden="1" x14ac:dyDescent="0.25">
      <c r="B115" s="56" t="s">
        <v>461</v>
      </c>
    </row>
    <row r="116" spans="2:10" hidden="1" x14ac:dyDescent="0.2"/>
    <row r="117" spans="2:10" ht="42.75" hidden="1" x14ac:dyDescent="0.2">
      <c r="B117" s="120" t="s">
        <v>252</v>
      </c>
      <c r="C117" s="120" t="s">
        <v>452</v>
      </c>
      <c r="D117" s="120" t="s">
        <v>453</v>
      </c>
      <c r="E117" s="120" t="s">
        <v>454</v>
      </c>
      <c r="F117" s="121" t="s">
        <v>295</v>
      </c>
      <c r="G117" s="121" t="s">
        <v>465</v>
      </c>
      <c r="H117" s="121" t="s">
        <v>460</v>
      </c>
      <c r="I117" s="121" t="s">
        <v>464</v>
      </c>
      <c r="J117" s="121" t="s">
        <v>294</v>
      </c>
    </row>
    <row r="118" spans="2:10" hidden="1" x14ac:dyDescent="0.2">
      <c r="B118" s="218" t="str">
        <f>IF(Capacity!N17=0,"",Capacity!N17)</f>
        <v/>
      </c>
      <c r="C118" s="132" t="s">
        <v>1253</v>
      </c>
      <c r="D118" s="132"/>
      <c r="E118" s="132"/>
      <c r="F118" s="215" t="str">
        <f>IF(ROW(A1)&lt;=Capacity!$M$16,Capacity!Q17,"")</f>
        <v/>
      </c>
      <c r="G118" s="320" t="str">
        <f>IF(ROW(A1)&lt;=Capacity!$M$16,'Capacity calculation (hide)'!BH112,"")</f>
        <v/>
      </c>
      <c r="H118" s="215" t="str">
        <f>IF(ROW(A1)&lt;=Capacity!$M$16,Capacity!T17,"")</f>
        <v/>
      </c>
      <c r="I118" s="217" t="str">
        <f>IF(ROW(A1)&lt;=Capacity!$M$16,'Capacity calculation (hide)'!DL111,"")</f>
        <v/>
      </c>
      <c r="J118" s="218" t="str">
        <f>IFERROR(IF(G118-F118 &lt;0, "Under","Over"),"")</f>
        <v/>
      </c>
    </row>
    <row r="119" spans="2:10" hidden="1" x14ac:dyDescent="0.2">
      <c r="B119" s="218" t="str">
        <f>IF(Capacity!N18=0,"",Capacity!N18)</f>
        <v/>
      </c>
      <c r="C119" s="132" t="s">
        <v>1253</v>
      </c>
      <c r="D119" s="132" t="s">
        <v>1252</v>
      </c>
      <c r="E119" s="132"/>
      <c r="F119" s="215" t="str">
        <f>IF(ROW(A2)&lt;=Capacity!$M$16,Capacity!Q18,"")</f>
        <v/>
      </c>
      <c r="G119" s="320" t="str">
        <f>IF(ROW(A2)&lt;=Capacity!$M$16,'Capacity calculation (hide)'!BH113,"")</f>
        <v/>
      </c>
      <c r="H119" s="215" t="str">
        <f>IF(ROW(A2)&lt;=Capacity!$M$16,Capacity!T18,"")</f>
        <v/>
      </c>
      <c r="I119" s="217" t="str">
        <f>IF(ROW(A2)&lt;=Capacity!$M$16,'Capacity calculation (hide)'!DL112,"")</f>
        <v/>
      </c>
      <c r="J119" s="218" t="str">
        <f t="shared" ref="J119:J182" si="2">IFERROR(IF(G119-F119 &lt;0, "Under","Over"),"")</f>
        <v/>
      </c>
    </row>
    <row r="120" spans="2:10" hidden="1" x14ac:dyDescent="0.2">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sheetProtection algorithmName="SHA-512" hashValue="FH72q9jbE4SE3gJ0MiSaPSiA4m4gJ3u24Z86sh4GK0M+wuLs/7JxGpPRVcLGTTFWRBtb6BrEchx2qTXyMD/uGA==" saltValue="m/fRmCfsVErMjuNkQqhVMQ==" spinCount="100000" sheet="1" objects="1" scenarios="1"/>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zoomScaleNormal="100" workbookViewId="0">
      <selection activeCell="M27" sqref="M27"/>
    </sheetView>
  </sheetViews>
  <sheetFormatPr defaultColWidth="9" defaultRowHeight="14.25" x14ac:dyDescent="0.2"/>
  <cols>
    <col min="1" max="1" width="0.25" style="67" customWidth="1"/>
    <col min="2" max="2" width="19.625" style="67" customWidth="1"/>
    <col min="3" max="6" width="9.125" style="67" customWidth="1"/>
    <col min="7" max="7" width="6.125" style="67" customWidth="1"/>
    <col min="8" max="9" width="2.125" style="67" customWidth="1"/>
    <col min="10" max="10" width="2.25" style="67" customWidth="1"/>
    <col min="11" max="12" width="2.125" style="67" customWidth="1"/>
    <col min="13" max="13" width="2.5" style="67" customWidth="1"/>
    <col min="14" max="16" width="2.125" style="67" customWidth="1"/>
    <col min="17" max="17" width="2.25" style="67" customWidth="1"/>
    <col min="18" max="19" width="2.125" style="67" customWidth="1"/>
    <col min="20" max="20" width="2.25" style="67" customWidth="1"/>
    <col min="21" max="21" width="2.125" style="67" customWidth="1"/>
    <col min="22" max="22" width="2.25" style="67" customWidth="1"/>
    <col min="23" max="25" width="2.125" style="67" customWidth="1"/>
    <col min="26" max="27" width="2.25" style="67" customWidth="1"/>
    <col min="28" max="28" width="2.125" style="67" customWidth="1"/>
    <col min="29" max="29" width="2.25" style="67" customWidth="1"/>
    <col min="30" max="30" width="2.125" style="67" customWidth="1"/>
    <col min="31" max="32" width="2.25" style="67" customWidth="1"/>
    <col min="33" max="33" width="2.125" style="67" customWidth="1"/>
    <col min="34" max="34" width="2.25" style="67" customWidth="1"/>
    <col min="35" max="36" width="2.125" style="67" customWidth="1"/>
    <col min="37" max="37" width="2.5" style="67" customWidth="1"/>
    <col min="38" max="40" width="2.125" style="67" customWidth="1"/>
    <col min="41" max="41" width="2.25" style="67" customWidth="1"/>
    <col min="42" max="44" width="2.125" style="67" customWidth="1"/>
    <col min="45" max="46" width="2.25" style="67" customWidth="1"/>
    <col min="47" max="48" width="2.125" style="67" customWidth="1"/>
    <col min="49" max="49" width="2.25" style="67" customWidth="1"/>
    <col min="50" max="50" width="2.125" style="67" customWidth="1"/>
    <col min="51" max="51" width="2.25" style="67" customWidth="1"/>
    <col min="52" max="52" width="2.125" style="67" customWidth="1"/>
    <col min="53" max="53" width="2.5" style="67" customWidth="1"/>
    <col min="54" max="57" width="2.125" style="67" customWidth="1"/>
    <col min="58" max="58" width="2.25" style="67" customWidth="1"/>
    <col min="59" max="59" width="2.125" style="67" customWidth="1"/>
    <col min="60" max="60" width="2.75" style="67" customWidth="1"/>
    <col min="61" max="61" width="6.5" style="67" bestFit="1" customWidth="1"/>
    <col min="62" max="66" width="9" style="67" customWidth="1"/>
    <col min="67" max="16384" width="9" style="67"/>
  </cols>
  <sheetData>
    <row r="2" spans="2:64" ht="15" x14ac:dyDescent="0.25">
      <c r="B2" s="2" t="s">
        <v>477</v>
      </c>
    </row>
    <row r="3" spans="2:64" x14ac:dyDescent="0.2">
      <c r="C3" s="45" t="s">
        <v>480</v>
      </c>
      <c r="D3" s="45" t="s">
        <v>481</v>
      </c>
    </row>
    <row r="4" spans="2:64" ht="28.5" x14ac:dyDescent="0.2">
      <c r="B4" s="80" t="str">
        <f>"Total Capacity 
("&amp;$C$16&amp;" per year):"</f>
        <v>Total Capacity 
(Patients per year):</v>
      </c>
      <c r="C4" s="221">
        <f>'Capacity calculation (hide)'!DL4</f>
        <v>0</v>
      </c>
      <c r="D4" s="221">
        <f>'Capacity calculation (hide)'!DL111</f>
        <v>0</v>
      </c>
      <c r="E4" s="135"/>
      <c r="F4" s="135"/>
    </row>
    <row r="5" spans="2:64" x14ac:dyDescent="0.2">
      <c r="H5" s="79"/>
      <c r="I5" s="79"/>
      <c r="J5" s="79"/>
      <c r="K5" s="79"/>
      <c r="L5" s="79"/>
      <c r="M5" s="79"/>
      <c r="N5" s="79"/>
      <c r="O5" s="79"/>
      <c r="P5" s="79"/>
      <c r="Q5" s="79"/>
      <c r="R5" s="79"/>
      <c r="S5" s="79"/>
      <c r="T5" s="79"/>
      <c r="U5" s="79"/>
      <c r="V5" s="79"/>
      <c r="W5" s="79"/>
      <c r="X5" s="79"/>
      <c r="Y5" s="79"/>
    </row>
    <row r="6" spans="2:64" ht="14.25" customHeight="1" x14ac:dyDescent="0.2">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
      <c r="B10" s="133" t="s">
        <v>471</v>
      </c>
      <c r="C10" s="397" t="s">
        <v>57</v>
      </c>
      <c r="D10" s="398"/>
      <c r="E10" s="399"/>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
      <c r="B11" s="134" t="s">
        <v>472</v>
      </c>
      <c r="C11" s="397" t="s">
        <v>57</v>
      </c>
      <c r="D11" s="398"/>
      <c r="E11" s="399"/>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ht="15"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
      <c r="B14" s="81" t="s">
        <v>1155</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
      <c r="B18" s="335" t="s">
        <v>1205</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
      <c r="B19" s="336" t="s">
        <v>1206</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ht="15" x14ac:dyDescent="0.25">
      <c r="B20" s="314" t="s">
        <v>1207</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2">
      <c r="B21" s="426" t="s">
        <v>1265</v>
      </c>
      <c r="C21" s="429" t="s">
        <v>486</v>
      </c>
      <c r="D21" s="430"/>
      <c r="E21" s="433" t="s">
        <v>483</v>
      </c>
      <c r="F21" s="434"/>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
      <c r="B22" s="427"/>
      <c r="C22" s="431"/>
      <c r="D22" s="432"/>
      <c r="E22" s="435"/>
      <c r="F22" s="436"/>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5" x14ac:dyDescent="0.2">
      <c r="B23" s="428"/>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1241</v>
      </c>
      <c r="BJ23" s="125"/>
      <c r="BK23" s="125"/>
      <c r="BL23" s="125"/>
    </row>
    <row r="24" spans="2:64" x14ac:dyDescent="0.2">
      <c r="B24" s="219" t="str">
        <f>IF(Capacity!N17="","",Capacity!N17)</f>
        <v/>
      </c>
      <c r="C24" s="220" t="str">
        <f>IF(B24="","",Capacity!Q17)</f>
        <v/>
      </c>
      <c r="D24" s="309" t="str">
        <f>IF(B24="","",Capacity!R17)</f>
        <v/>
      </c>
      <c r="E24" s="220" t="str">
        <f>IF(B24="","",IF(COUNTBLANK(H24:BG24)=52,SUM('Capacity calculation (hide)'!H112:BG112),52-COUNTBLANK(H24:BG24)))</f>
        <v/>
      </c>
      <c r="F24" s="310" t="str">
        <f>'Capacity calculation (hide)'!BI112</f>
        <v/>
      </c>
      <c r="H24" s="364"/>
      <c r="I24" s="364" t="s">
        <v>1236</v>
      </c>
      <c r="J24" s="364"/>
      <c r="K24" s="364" t="s">
        <v>1236</v>
      </c>
      <c r="L24" s="364"/>
      <c r="M24" s="364" t="s">
        <v>1236</v>
      </c>
      <c r="N24" s="364" t="s">
        <v>1236</v>
      </c>
      <c r="O24" s="364"/>
      <c r="P24" s="364"/>
      <c r="Q24" s="364" t="s">
        <v>1236</v>
      </c>
      <c r="R24" s="364" t="s">
        <v>1236</v>
      </c>
      <c r="S24" s="364"/>
      <c r="T24" s="364"/>
      <c r="U24" s="364" t="s">
        <v>1236</v>
      </c>
      <c r="V24" s="364"/>
      <c r="W24" s="364"/>
      <c r="X24" s="364"/>
      <c r="Y24" s="364"/>
      <c r="Z24" s="364"/>
      <c r="AA24" s="364"/>
      <c r="AB24" s="364"/>
      <c r="AC24" s="364"/>
      <c r="AD24" s="364"/>
      <c r="AE24" s="364"/>
      <c r="AF24" s="364"/>
      <c r="AG24" s="364"/>
      <c r="AH24" s="364"/>
      <c r="AI24" s="364" t="s">
        <v>1236</v>
      </c>
      <c r="AJ24" s="364" t="s">
        <v>1236</v>
      </c>
      <c r="AK24" s="364"/>
      <c r="AL24" s="364"/>
      <c r="AM24" s="364"/>
      <c r="AN24" s="364"/>
      <c r="AO24" s="364"/>
      <c r="AP24" s="364"/>
      <c r="AQ24" s="364"/>
      <c r="AR24" s="364" t="s">
        <v>1236</v>
      </c>
      <c r="AS24" s="364"/>
      <c r="AT24" s="364"/>
      <c r="AU24" s="364"/>
      <c r="AV24" s="364"/>
      <c r="AW24" s="364"/>
      <c r="AX24" s="364"/>
      <c r="AY24" s="364"/>
      <c r="AZ24" s="364"/>
      <c r="BA24" s="364"/>
      <c r="BB24" s="364"/>
      <c r="BC24" s="364"/>
      <c r="BD24" s="364"/>
      <c r="BE24" s="364"/>
      <c r="BF24" s="364"/>
      <c r="BG24" s="364"/>
      <c r="BH24" s="66"/>
      <c r="BI24" s="342" t="s">
        <v>1236</v>
      </c>
      <c r="BJ24" s="66"/>
      <c r="BK24" s="66"/>
      <c r="BL24" s="66"/>
    </row>
    <row r="25" spans="2:64" x14ac:dyDescent="0.2">
      <c r="B25" s="219" t="str">
        <f>IF(Capacity!N18="","",Capacity!N18)</f>
        <v/>
      </c>
      <c r="C25" s="220" t="str">
        <f>IF(B25="","",Capacity!Q18)</f>
        <v/>
      </c>
      <c r="D25" s="309" t="str">
        <f>IF(B25="","",Capacity!R18)</f>
        <v/>
      </c>
      <c r="E25" s="220" t="str">
        <f>IF(B25="","",IF(COUNTBLANK(H25:BG25)=52,SUM('Capacity calculation (hide)'!H113:BG113),52-COUNTBLANK(H25:BG25)))</f>
        <v/>
      </c>
      <c r="F25" s="310" t="str">
        <f>'Capacity calculation (hide)'!BI113</f>
        <v/>
      </c>
      <c r="H25" s="365"/>
      <c r="I25" s="364"/>
      <c r="J25" s="364"/>
      <c r="K25" s="364"/>
      <c r="L25" s="364"/>
      <c r="M25" s="364"/>
      <c r="N25" s="364"/>
      <c r="O25" s="364"/>
      <c r="P25" s="364" t="s">
        <v>1236</v>
      </c>
      <c r="Q25" s="364" t="s">
        <v>1236</v>
      </c>
      <c r="R25" s="364"/>
      <c r="S25" s="364"/>
      <c r="T25" s="364"/>
      <c r="U25" s="364" t="s">
        <v>1236</v>
      </c>
      <c r="V25" s="364"/>
      <c r="W25" s="364"/>
      <c r="X25" s="364"/>
      <c r="Y25" s="364"/>
      <c r="Z25" s="364"/>
      <c r="AA25" s="364"/>
      <c r="AB25" s="364"/>
      <c r="AC25" s="364"/>
      <c r="AD25" s="364"/>
      <c r="AE25" s="364"/>
      <c r="AF25" s="364"/>
      <c r="AG25" s="364" t="s">
        <v>1236</v>
      </c>
      <c r="AH25" s="364" t="s">
        <v>1236</v>
      </c>
      <c r="AI25" s="364" t="s">
        <v>1236</v>
      </c>
      <c r="AJ25" s="364" t="s">
        <v>1236</v>
      </c>
      <c r="AK25" s="364" t="s">
        <v>1236</v>
      </c>
      <c r="AL25" s="364" t="s">
        <v>1236</v>
      </c>
      <c r="AM25" s="364" t="s">
        <v>1236</v>
      </c>
      <c r="AN25" s="364" t="s">
        <v>1236</v>
      </c>
      <c r="AO25" s="364" t="s">
        <v>1236</v>
      </c>
      <c r="AP25" s="364" t="s">
        <v>1236</v>
      </c>
      <c r="AQ25" s="364"/>
      <c r="AR25" s="364"/>
      <c r="AS25" s="364"/>
      <c r="AT25" s="364"/>
      <c r="AU25" s="364"/>
      <c r="AV25" s="364"/>
      <c r="AW25" s="364"/>
      <c r="AX25" s="364"/>
      <c r="AY25" s="364"/>
      <c r="AZ25" s="364"/>
      <c r="BA25" s="364"/>
      <c r="BB25" s="364"/>
      <c r="BC25" s="364"/>
      <c r="BD25" s="364"/>
      <c r="BE25" s="364"/>
      <c r="BF25" s="364"/>
      <c r="BG25" s="366"/>
      <c r="BH25" s="66"/>
      <c r="BI25" s="342" t="s">
        <v>1236</v>
      </c>
    </row>
    <row r="26" spans="2:64" x14ac:dyDescent="0.2">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1236</v>
      </c>
    </row>
    <row r="27" spans="2:64" x14ac:dyDescent="0.2">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1236</v>
      </c>
    </row>
    <row r="28" spans="2:64" x14ac:dyDescent="0.2">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1236</v>
      </c>
    </row>
    <row r="29" spans="2:64" x14ac:dyDescent="0.2">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1236</v>
      </c>
    </row>
    <row r="30" spans="2:64" x14ac:dyDescent="0.2">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1236</v>
      </c>
    </row>
    <row r="31" spans="2:64" x14ac:dyDescent="0.2">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1236</v>
      </c>
    </row>
    <row r="32" spans="2:64" x14ac:dyDescent="0.2">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1236</v>
      </c>
    </row>
    <row r="33" spans="2:61" x14ac:dyDescent="0.2">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1236</v>
      </c>
    </row>
    <row r="34" spans="2:61" x14ac:dyDescent="0.2">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1236</v>
      </c>
    </row>
    <row r="35" spans="2:61" x14ac:dyDescent="0.2">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1236</v>
      </c>
    </row>
    <row r="36" spans="2:61" x14ac:dyDescent="0.2">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1236</v>
      </c>
    </row>
    <row r="37" spans="2:61" x14ac:dyDescent="0.2">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1236</v>
      </c>
    </row>
    <row r="38" spans="2:61" x14ac:dyDescent="0.2">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1236</v>
      </c>
    </row>
    <row r="39" spans="2:61" x14ac:dyDescent="0.2">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1236</v>
      </c>
    </row>
    <row r="40" spans="2:61" x14ac:dyDescent="0.2">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1236</v>
      </c>
    </row>
    <row r="41" spans="2:61" x14ac:dyDescent="0.2">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1236</v>
      </c>
    </row>
    <row r="42" spans="2:61" x14ac:dyDescent="0.2">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1236</v>
      </c>
    </row>
    <row r="43" spans="2:61" x14ac:dyDescent="0.2">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1236</v>
      </c>
    </row>
    <row r="44" spans="2:61" x14ac:dyDescent="0.2">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1236</v>
      </c>
    </row>
    <row r="45" spans="2:61" x14ac:dyDescent="0.2">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1236</v>
      </c>
    </row>
    <row r="46" spans="2:61" x14ac:dyDescent="0.2">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1236</v>
      </c>
    </row>
    <row r="47" spans="2:61" x14ac:dyDescent="0.2">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1236</v>
      </c>
    </row>
    <row r="48" spans="2:61" x14ac:dyDescent="0.2">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1236</v>
      </c>
    </row>
    <row r="49" spans="2:61" x14ac:dyDescent="0.2">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1236</v>
      </c>
    </row>
    <row r="50" spans="2:61" x14ac:dyDescent="0.2">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1236</v>
      </c>
    </row>
    <row r="51" spans="2:61" x14ac:dyDescent="0.2">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1236</v>
      </c>
    </row>
    <row r="52" spans="2:61" x14ac:dyDescent="0.2">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1236</v>
      </c>
    </row>
    <row r="53" spans="2:61" x14ac:dyDescent="0.2">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1236</v>
      </c>
    </row>
    <row r="54" spans="2:61" x14ac:dyDescent="0.2">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1236</v>
      </c>
    </row>
    <row r="55" spans="2:61" x14ac:dyDescent="0.2">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1236</v>
      </c>
    </row>
    <row r="56" spans="2:61" x14ac:dyDescent="0.2">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1236</v>
      </c>
    </row>
    <row r="57" spans="2:61" x14ac:dyDescent="0.2">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1236</v>
      </c>
    </row>
    <row r="58" spans="2:61" x14ac:dyDescent="0.2">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1236</v>
      </c>
    </row>
    <row r="59" spans="2:61" x14ac:dyDescent="0.2">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1236</v>
      </c>
    </row>
    <row r="60" spans="2:61" x14ac:dyDescent="0.2">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1236</v>
      </c>
    </row>
    <row r="61" spans="2:61" x14ac:dyDescent="0.2">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1236</v>
      </c>
    </row>
    <row r="62" spans="2:61" x14ac:dyDescent="0.2">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1236</v>
      </c>
    </row>
    <row r="63" spans="2:61" x14ac:dyDescent="0.2">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1236</v>
      </c>
    </row>
    <row r="64" spans="2:61" x14ac:dyDescent="0.2">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1236</v>
      </c>
    </row>
    <row r="65" spans="2:61" x14ac:dyDescent="0.2">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1236</v>
      </c>
    </row>
    <row r="66" spans="2:61" x14ac:dyDescent="0.2">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1236</v>
      </c>
    </row>
    <row r="67" spans="2:61" x14ac:dyDescent="0.2">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1236</v>
      </c>
    </row>
    <row r="68" spans="2:61" x14ac:dyDescent="0.2">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1236</v>
      </c>
    </row>
    <row r="69" spans="2:61" x14ac:dyDescent="0.2">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1236</v>
      </c>
    </row>
    <row r="70" spans="2:61" x14ac:dyDescent="0.2">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1236</v>
      </c>
    </row>
    <row r="71" spans="2:61" x14ac:dyDescent="0.2">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1236</v>
      </c>
    </row>
    <row r="72" spans="2:61" x14ac:dyDescent="0.2">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1236</v>
      </c>
    </row>
    <row r="73" spans="2:61" x14ac:dyDescent="0.2">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1236</v>
      </c>
    </row>
    <row r="74" spans="2:61" x14ac:dyDescent="0.2">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1236</v>
      </c>
    </row>
    <row r="75" spans="2:61" x14ac:dyDescent="0.2">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1236</v>
      </c>
    </row>
    <row r="76" spans="2:61" x14ac:dyDescent="0.2">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1236</v>
      </c>
    </row>
    <row r="77" spans="2:61" x14ac:dyDescent="0.2">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1236</v>
      </c>
    </row>
    <row r="78" spans="2:61" x14ac:dyDescent="0.2">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1236</v>
      </c>
    </row>
    <row r="79" spans="2:61" x14ac:dyDescent="0.2">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1236</v>
      </c>
    </row>
    <row r="80" spans="2:61" x14ac:dyDescent="0.2">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1236</v>
      </c>
    </row>
    <row r="81" spans="2:61" x14ac:dyDescent="0.2">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1236</v>
      </c>
    </row>
    <row r="82" spans="2:61" x14ac:dyDescent="0.2">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1236</v>
      </c>
    </row>
    <row r="83" spans="2:61" x14ac:dyDescent="0.2">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1236</v>
      </c>
    </row>
    <row r="84" spans="2:61" x14ac:dyDescent="0.2">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1236</v>
      </c>
    </row>
    <row r="85" spans="2:61" x14ac:dyDescent="0.2">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1236</v>
      </c>
    </row>
    <row r="86" spans="2:61" x14ac:dyDescent="0.2">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1236</v>
      </c>
    </row>
    <row r="87" spans="2:61" x14ac:dyDescent="0.2">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1236</v>
      </c>
    </row>
    <row r="88" spans="2:61" x14ac:dyDescent="0.2">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1236</v>
      </c>
    </row>
    <row r="89" spans="2:61" x14ac:dyDescent="0.2">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1236</v>
      </c>
    </row>
    <row r="90" spans="2:61" x14ac:dyDescent="0.2">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1236</v>
      </c>
    </row>
    <row r="91" spans="2:61" x14ac:dyDescent="0.2">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1236</v>
      </c>
    </row>
    <row r="92" spans="2:61" x14ac:dyDescent="0.2">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1236</v>
      </c>
    </row>
    <row r="93" spans="2:61" x14ac:dyDescent="0.2">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1236</v>
      </c>
    </row>
    <row r="94" spans="2:61" x14ac:dyDescent="0.2">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1236</v>
      </c>
    </row>
    <row r="95" spans="2:61" x14ac:dyDescent="0.2">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1236</v>
      </c>
    </row>
    <row r="96" spans="2:61" x14ac:dyDescent="0.2">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1236</v>
      </c>
    </row>
    <row r="97" spans="2:61" x14ac:dyDescent="0.2">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1236</v>
      </c>
    </row>
    <row r="98" spans="2:61" x14ac:dyDescent="0.2">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1236</v>
      </c>
    </row>
    <row r="99" spans="2:61" x14ac:dyDescent="0.2">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1236</v>
      </c>
    </row>
    <row r="100" spans="2:61" x14ac:dyDescent="0.2">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1236</v>
      </c>
    </row>
    <row r="101" spans="2:61" x14ac:dyDescent="0.2">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1236</v>
      </c>
    </row>
    <row r="102" spans="2:61" x14ac:dyDescent="0.2">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1236</v>
      </c>
    </row>
    <row r="103" spans="2:61" x14ac:dyDescent="0.2">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1236</v>
      </c>
    </row>
    <row r="104" spans="2:61" x14ac:dyDescent="0.2">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1236</v>
      </c>
    </row>
    <row r="105" spans="2:61" x14ac:dyDescent="0.2">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1236</v>
      </c>
    </row>
    <row r="106" spans="2:61" x14ac:dyDescent="0.2">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1236</v>
      </c>
    </row>
    <row r="107" spans="2:61" x14ac:dyDescent="0.2">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1236</v>
      </c>
    </row>
    <row r="108" spans="2:61" x14ac:dyDescent="0.2">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1236</v>
      </c>
    </row>
    <row r="109" spans="2:61" x14ac:dyDescent="0.2">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1236</v>
      </c>
    </row>
    <row r="110" spans="2:61" x14ac:dyDescent="0.2">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1236</v>
      </c>
    </row>
    <row r="111" spans="2:61" x14ac:dyDescent="0.2">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1236</v>
      </c>
    </row>
    <row r="112" spans="2:61" x14ac:dyDescent="0.2">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1236</v>
      </c>
    </row>
    <row r="113" spans="2:61" x14ac:dyDescent="0.2">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1236</v>
      </c>
    </row>
    <row r="114" spans="2:61" x14ac:dyDescent="0.2">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1236</v>
      </c>
    </row>
    <row r="115" spans="2:61" x14ac:dyDescent="0.2">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1236</v>
      </c>
    </row>
    <row r="116" spans="2:61" x14ac:dyDescent="0.2">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1236</v>
      </c>
    </row>
    <row r="117" spans="2:61" x14ac:dyDescent="0.2">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1236</v>
      </c>
    </row>
    <row r="118" spans="2:61" x14ac:dyDescent="0.2">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1236</v>
      </c>
    </row>
    <row r="119" spans="2:61" x14ac:dyDescent="0.2">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1236</v>
      </c>
    </row>
    <row r="120" spans="2:61" x14ac:dyDescent="0.2">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1236</v>
      </c>
    </row>
    <row r="121" spans="2:61" x14ac:dyDescent="0.2">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1236</v>
      </c>
    </row>
    <row r="122" spans="2:61" x14ac:dyDescent="0.2">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1236</v>
      </c>
    </row>
    <row r="123" spans="2:61" x14ac:dyDescent="0.2">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1236</v>
      </c>
    </row>
    <row r="124" spans="2:61" x14ac:dyDescent="0.2">
      <c r="B124" s="67" t="str">
        <f>IF(Capacity!B17="","",Capacity!B17)</f>
        <v/>
      </c>
      <c r="C124" s="220" t="str">
        <f>IF(B124="","",Capacity!E17)</f>
        <v/>
      </c>
      <c r="D124" s="309" t="str">
        <f>IF(B124="","",Capacity!F17)</f>
        <v/>
      </c>
      <c r="E124" s="220" t="str">
        <f>IF(B124="","",IF(COUNTBLANK(H124:BG124)=52,SUM('Capacity calculation (hide)'!H5:BG5),52-COUNTBLANK(H124:BG124)))</f>
        <v/>
      </c>
      <c r="F124" s="310" t="str">
        <f>'Capacity calculation (hide)'!BI5</f>
        <v/>
      </c>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1236</v>
      </c>
    </row>
    <row r="125" spans="2:61" x14ac:dyDescent="0.2">
      <c r="B125" s="67" t="str">
        <f>IF(Capacity!B18="","",Capacity!B18)</f>
        <v/>
      </c>
      <c r="C125" s="220" t="str">
        <f>IF(B125="","",Capacity!E18)</f>
        <v/>
      </c>
      <c r="D125" s="309" t="str">
        <f>IF(B125="","",Capacity!F18)</f>
        <v/>
      </c>
      <c r="E125" s="220" t="str">
        <f>IF(B125="","",IF(COUNTBLANK(H125:BG125)=52,SUM('Capacity calculation (hide)'!H6:BG6),52-COUNTBLANK(H125:BG125)))</f>
        <v/>
      </c>
      <c r="F125" s="310" t="str">
        <f>'Capacity calculation (hide)'!BI6</f>
        <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1236</v>
      </c>
    </row>
    <row r="126" spans="2:61" x14ac:dyDescent="0.2">
      <c r="B126" s="67" t="str">
        <f>IF(Capacity!B19="","",Capacity!B19)</f>
        <v/>
      </c>
      <c r="C126" s="220" t="str">
        <f>IF(B126="","",Capacity!E19)</f>
        <v/>
      </c>
      <c r="D126" s="309" t="str">
        <f>IF(B126="","",Capacity!F19)</f>
        <v/>
      </c>
      <c r="E126" s="220" t="str">
        <f>IF(B126="","",IF(COUNTBLANK(H126:BG126)=52,SUM('Capacity calculation (hide)'!H7:BG7),52-COUNTBLANK(H126:BG126)))</f>
        <v/>
      </c>
      <c r="F126" s="310" t="str">
        <f>'Capacity calculation (hide)'!BI7</f>
        <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1236</v>
      </c>
    </row>
    <row r="127" spans="2:61" x14ac:dyDescent="0.2">
      <c r="B127" s="67" t="str">
        <f>IF(Capacity!B20="","",Capacity!B20)</f>
        <v/>
      </c>
      <c r="C127" s="220" t="str">
        <f>IF(B127="","",Capacity!E20)</f>
        <v/>
      </c>
      <c r="D127" s="309" t="str">
        <f>IF(B127="","",Capacity!F20)</f>
        <v/>
      </c>
      <c r="E127" s="220" t="str">
        <f>IF(B127="","",IF(COUNTBLANK(H127:BG127)=52,SUM('Capacity calculation (hide)'!H8:BG8),52-COUNTBLANK(H127:BG127)))</f>
        <v/>
      </c>
      <c r="F127" s="310" t="str">
        <f>'Capacity calculation (hide)'!BI8</f>
        <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1236</v>
      </c>
    </row>
    <row r="128" spans="2:61" x14ac:dyDescent="0.2">
      <c r="B128" s="67" t="str">
        <f>IF(Capacity!B21="","",Capacity!B21)</f>
        <v/>
      </c>
      <c r="C128" s="220" t="str">
        <f>IF(B128="","",Capacity!E21)</f>
        <v/>
      </c>
      <c r="D128" s="309" t="str">
        <f>IF(B128="","",Capacity!F21)</f>
        <v/>
      </c>
      <c r="E128" s="220" t="str">
        <f>IF(B128="","",IF(COUNTBLANK(H128:BG128)=52,SUM('Capacity calculation (hide)'!H9:BG9),52-COUNTBLANK(H128:BG128)))</f>
        <v/>
      </c>
      <c r="F128" s="310" t="str">
        <f>'Capacity calculation (hide)'!BI9</f>
        <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1236</v>
      </c>
    </row>
    <row r="129" spans="2:61" x14ac:dyDescent="0.2">
      <c r="B129" s="67" t="str">
        <f>IF(Capacity!B22="","",Capacity!B22)</f>
        <v/>
      </c>
      <c r="C129" s="220" t="str">
        <f>IF(B129="","",Capacity!E22)</f>
        <v/>
      </c>
      <c r="D129" s="309" t="str">
        <f>IF(B129="","",Capacity!F22)</f>
        <v/>
      </c>
      <c r="E129" s="220" t="str">
        <f>IF(B129="","",IF(COUNTBLANK(H129:BG129)=52,SUM('Capacity calculation (hide)'!H10:BG10),52-COUNTBLANK(H129:BG129)))</f>
        <v/>
      </c>
      <c r="F129" s="310" t="str">
        <f>'Capacity calculation (hide)'!BI10</f>
        <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1236</v>
      </c>
    </row>
    <row r="130" spans="2:61" x14ac:dyDescent="0.2">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1236</v>
      </c>
    </row>
    <row r="131" spans="2:61" x14ac:dyDescent="0.2">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1236</v>
      </c>
    </row>
    <row r="132" spans="2:61" x14ac:dyDescent="0.2">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1236</v>
      </c>
    </row>
    <row r="133" spans="2:61" x14ac:dyDescent="0.2">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1236</v>
      </c>
    </row>
    <row r="134" spans="2:61" x14ac:dyDescent="0.2">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1236</v>
      </c>
    </row>
    <row r="135" spans="2:61" x14ac:dyDescent="0.2">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1236</v>
      </c>
    </row>
    <row r="136" spans="2:61" x14ac:dyDescent="0.2">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1236</v>
      </c>
    </row>
    <row r="137" spans="2:61" x14ac:dyDescent="0.2">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1236</v>
      </c>
    </row>
    <row r="138" spans="2:61" x14ac:dyDescent="0.2">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1236</v>
      </c>
    </row>
    <row r="139" spans="2:61" x14ac:dyDescent="0.2">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1236</v>
      </c>
    </row>
    <row r="140" spans="2:61" x14ac:dyDescent="0.2">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1236</v>
      </c>
    </row>
    <row r="141" spans="2:61" x14ac:dyDescent="0.2">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1236</v>
      </c>
    </row>
    <row r="142" spans="2:61" x14ac:dyDescent="0.2">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1236</v>
      </c>
    </row>
    <row r="143" spans="2:61" x14ac:dyDescent="0.2">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1236</v>
      </c>
    </row>
    <row r="144" spans="2:61" x14ac:dyDescent="0.2">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1236</v>
      </c>
    </row>
    <row r="145" spans="2:61" x14ac:dyDescent="0.2">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1236</v>
      </c>
    </row>
    <row r="146" spans="2:61" x14ac:dyDescent="0.2">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1236</v>
      </c>
    </row>
    <row r="147" spans="2:61" x14ac:dyDescent="0.2">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1236</v>
      </c>
    </row>
    <row r="148" spans="2:61" x14ac:dyDescent="0.2">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1236</v>
      </c>
    </row>
    <row r="149" spans="2:61" x14ac:dyDescent="0.2">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1236</v>
      </c>
    </row>
    <row r="150" spans="2:61" x14ac:dyDescent="0.2">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1236</v>
      </c>
    </row>
    <row r="151" spans="2:61" x14ac:dyDescent="0.2">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1236</v>
      </c>
    </row>
    <row r="152" spans="2:61" x14ac:dyDescent="0.2">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1236</v>
      </c>
    </row>
    <row r="153" spans="2:61" x14ac:dyDescent="0.2">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1236</v>
      </c>
    </row>
    <row r="154" spans="2:61" x14ac:dyDescent="0.2">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1236</v>
      </c>
    </row>
    <row r="155" spans="2:61" x14ac:dyDescent="0.2">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1236</v>
      </c>
    </row>
    <row r="156" spans="2:61" x14ac:dyDescent="0.2">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1236</v>
      </c>
    </row>
    <row r="157" spans="2:61" x14ac:dyDescent="0.2">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1236</v>
      </c>
    </row>
    <row r="158" spans="2:61" x14ac:dyDescent="0.2">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1236</v>
      </c>
    </row>
    <row r="159" spans="2:61" x14ac:dyDescent="0.2">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1236</v>
      </c>
    </row>
    <row r="160" spans="2:61" x14ac:dyDescent="0.2">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1236</v>
      </c>
    </row>
    <row r="161" spans="2:61" x14ac:dyDescent="0.2">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1236</v>
      </c>
    </row>
    <row r="162" spans="2:61" x14ac:dyDescent="0.2">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1236</v>
      </c>
    </row>
    <row r="163" spans="2:61" x14ac:dyDescent="0.2">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1236</v>
      </c>
    </row>
    <row r="164" spans="2:61" x14ac:dyDescent="0.2">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1236</v>
      </c>
    </row>
    <row r="165" spans="2:61" x14ac:dyDescent="0.2">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1236</v>
      </c>
    </row>
    <row r="166" spans="2:61" x14ac:dyDescent="0.2">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1236</v>
      </c>
    </row>
    <row r="167" spans="2:61" x14ac:dyDescent="0.2">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1236</v>
      </c>
    </row>
    <row r="168" spans="2:61" x14ac:dyDescent="0.2">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1236</v>
      </c>
    </row>
    <row r="169" spans="2:61" x14ac:dyDescent="0.2">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1236</v>
      </c>
    </row>
    <row r="170" spans="2:61" x14ac:dyDescent="0.2">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1236</v>
      </c>
    </row>
    <row r="171" spans="2:61" x14ac:dyDescent="0.2">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1236</v>
      </c>
    </row>
    <row r="172" spans="2:61" x14ac:dyDescent="0.2">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1236</v>
      </c>
    </row>
    <row r="173" spans="2:61" x14ac:dyDescent="0.2">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1236</v>
      </c>
    </row>
    <row r="174" spans="2:61" x14ac:dyDescent="0.2">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1236</v>
      </c>
    </row>
    <row r="175" spans="2:61" x14ac:dyDescent="0.2">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1236</v>
      </c>
    </row>
    <row r="176" spans="2:61" x14ac:dyDescent="0.2">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1236</v>
      </c>
    </row>
    <row r="177" spans="2:61" x14ac:dyDescent="0.2">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1236</v>
      </c>
    </row>
    <row r="178" spans="2:61" x14ac:dyDescent="0.2">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1236</v>
      </c>
    </row>
    <row r="179" spans="2:61" x14ac:dyDescent="0.2">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1236</v>
      </c>
    </row>
    <row r="180" spans="2:61" x14ac:dyDescent="0.2">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1236</v>
      </c>
    </row>
    <row r="181" spans="2:61" x14ac:dyDescent="0.2">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1236</v>
      </c>
    </row>
    <row r="182" spans="2:61" x14ac:dyDescent="0.2">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1236</v>
      </c>
    </row>
    <row r="183" spans="2:61" x14ac:dyDescent="0.2">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1236</v>
      </c>
    </row>
    <row r="184" spans="2:61" x14ac:dyDescent="0.2">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1236</v>
      </c>
    </row>
    <row r="185" spans="2:61" x14ac:dyDescent="0.2">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1236</v>
      </c>
    </row>
    <row r="186" spans="2:61" x14ac:dyDescent="0.2">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1236</v>
      </c>
    </row>
    <row r="187" spans="2:61" x14ac:dyDescent="0.2">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1236</v>
      </c>
    </row>
    <row r="188" spans="2:61" x14ac:dyDescent="0.2">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1236</v>
      </c>
    </row>
    <row r="189" spans="2:61" x14ac:dyDescent="0.2">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1236</v>
      </c>
    </row>
    <row r="190" spans="2:61" x14ac:dyDescent="0.2">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1236</v>
      </c>
    </row>
    <row r="191" spans="2:61" x14ac:dyDescent="0.2">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1236</v>
      </c>
    </row>
    <row r="192" spans="2:61" x14ac:dyDescent="0.2">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1236</v>
      </c>
    </row>
    <row r="193" spans="2:61" x14ac:dyDescent="0.2">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1236</v>
      </c>
    </row>
    <row r="194" spans="2:61" x14ac:dyDescent="0.2">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1236</v>
      </c>
    </row>
    <row r="195" spans="2:61" x14ac:dyDescent="0.2">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1236</v>
      </c>
    </row>
    <row r="196" spans="2:61" x14ac:dyDescent="0.2">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1236</v>
      </c>
    </row>
    <row r="197" spans="2:61" x14ac:dyDescent="0.2">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1236</v>
      </c>
    </row>
    <row r="198" spans="2:61" x14ac:dyDescent="0.2">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1236</v>
      </c>
    </row>
    <row r="199" spans="2:61" x14ac:dyDescent="0.2">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1236</v>
      </c>
    </row>
    <row r="200" spans="2:61" x14ac:dyDescent="0.2">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1236</v>
      </c>
    </row>
    <row r="201" spans="2:61" x14ac:dyDescent="0.2">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1236</v>
      </c>
    </row>
    <row r="202" spans="2:61" x14ac:dyDescent="0.2">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1236</v>
      </c>
    </row>
    <row r="203" spans="2:61" x14ac:dyDescent="0.2">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1236</v>
      </c>
    </row>
    <row r="204" spans="2:61" x14ac:dyDescent="0.2">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1236</v>
      </c>
    </row>
    <row r="205" spans="2:61" x14ac:dyDescent="0.2">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1236</v>
      </c>
    </row>
    <row r="206" spans="2:61" x14ac:dyDescent="0.2">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1236</v>
      </c>
    </row>
    <row r="207" spans="2:61" x14ac:dyDescent="0.2">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1236</v>
      </c>
    </row>
    <row r="208" spans="2:61" x14ac:dyDescent="0.2">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1236</v>
      </c>
    </row>
    <row r="209" spans="2:61" x14ac:dyDescent="0.2">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1236</v>
      </c>
    </row>
    <row r="210" spans="2:61" x14ac:dyDescent="0.2">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1236</v>
      </c>
    </row>
    <row r="211" spans="2:61" x14ac:dyDescent="0.2">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1236</v>
      </c>
    </row>
    <row r="212" spans="2:61" x14ac:dyDescent="0.2">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1236</v>
      </c>
    </row>
    <row r="213" spans="2:61" x14ac:dyDescent="0.2">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1236</v>
      </c>
    </row>
    <row r="214" spans="2:61" x14ac:dyDescent="0.2">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1236</v>
      </c>
    </row>
    <row r="215" spans="2:61" x14ac:dyDescent="0.2">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1236</v>
      </c>
    </row>
    <row r="216" spans="2:61" x14ac:dyDescent="0.2">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1236</v>
      </c>
    </row>
    <row r="217" spans="2:61" x14ac:dyDescent="0.2">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1236</v>
      </c>
    </row>
    <row r="218" spans="2:61" x14ac:dyDescent="0.2">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1236</v>
      </c>
    </row>
    <row r="219" spans="2:61" x14ac:dyDescent="0.2">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1236</v>
      </c>
    </row>
    <row r="220" spans="2:61" x14ac:dyDescent="0.2">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1236</v>
      </c>
    </row>
    <row r="221" spans="2:61" x14ac:dyDescent="0.2">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1236</v>
      </c>
    </row>
    <row r="222" spans="2:61" x14ac:dyDescent="0.2">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1236</v>
      </c>
    </row>
    <row r="223" spans="2:61" x14ac:dyDescent="0.2">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1236</v>
      </c>
    </row>
    <row r="224" spans="2:61" x14ac:dyDescent="0.2">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2">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2">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2">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2">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2">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2">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2">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2">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2">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2">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2">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2">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2">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2">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2">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2">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2">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2">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2">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2">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2">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2">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171450</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58" sqref="F58"/>
    </sheetView>
  </sheetViews>
  <sheetFormatPr defaultColWidth="9" defaultRowHeight="14.25" x14ac:dyDescent="0.2"/>
  <cols>
    <col min="1" max="1" width="9.75" style="67" bestFit="1" customWidth="1"/>
    <col min="2" max="2" width="17.75" style="67" bestFit="1" customWidth="1"/>
    <col min="3" max="6" width="10.25" style="67" customWidth="1"/>
    <col min="7" max="7" width="16.625" style="67" customWidth="1"/>
    <col min="8" max="9" width="10.25" style="67" customWidth="1"/>
    <col min="10" max="19" width="9" style="67" customWidth="1"/>
    <col min="20" max="20" width="14.75" style="67" customWidth="1"/>
    <col min="21" max="100" width="9" style="67" customWidth="1"/>
    <col min="101" max="101" width="9.75" style="67" bestFit="1" customWidth="1"/>
    <col min="102" max="103" width="9" style="67"/>
    <col min="104" max="104" width="10" style="67" bestFit="1" customWidth="1"/>
    <col min="105" max="208" width="9" style="67" customWidth="1"/>
    <col min="209" max="16384" width="9" style="67"/>
  </cols>
  <sheetData>
    <row r="1" spans="1:72" x14ac:dyDescent="0.2">
      <c r="B1" s="67" t="s">
        <v>292</v>
      </c>
      <c r="C1" s="67">
        <v>1</v>
      </c>
    </row>
    <row r="2" spans="1:72" x14ac:dyDescent="0.2">
      <c r="A2" s="67" t="s">
        <v>442</v>
      </c>
      <c r="H2" s="67" t="s">
        <v>1162</v>
      </c>
      <c r="I2" s="67">
        <f t="array" aca="1" ref="I2" ca="1">IF(OR(I6:I105-H6:H105&lt;0,K6:K105-J6:J105&lt;0,M6:M105-L6:L105&lt;0,O6:O105-N6:N105&lt;0,Q6:Q105-P6:P105&lt;0),1,0)</f>
        <v>0</v>
      </c>
    </row>
    <row r="3" spans="1:72" x14ac:dyDescent="0.2">
      <c r="T3" s="67" t="s">
        <v>449</v>
      </c>
    </row>
    <row r="4" spans="1:72" ht="15" x14ac:dyDescent="0.25">
      <c r="B4" s="2"/>
      <c r="C4" s="2"/>
      <c r="D4" s="2" t="s">
        <v>468</v>
      </c>
      <c r="E4" s="2"/>
      <c r="F4" s="2"/>
      <c r="G4" s="115"/>
      <c r="H4" s="2" t="s">
        <v>444</v>
      </c>
      <c r="I4" s="2"/>
      <c r="J4" s="2" t="s">
        <v>445</v>
      </c>
      <c r="K4" s="2"/>
      <c r="L4" s="2" t="s">
        <v>446</v>
      </c>
      <c r="M4" s="2"/>
      <c r="N4" s="2" t="s">
        <v>447</v>
      </c>
      <c r="O4" s="2"/>
      <c r="P4" s="2" t="s">
        <v>448</v>
      </c>
      <c r="Q4" s="2"/>
      <c r="U4" s="2" t="s">
        <v>248</v>
      </c>
    </row>
    <row r="5" spans="1:72" ht="15" x14ac:dyDescent="0.25">
      <c r="A5" s="67" t="s">
        <v>1161</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
      <c r="A6" s="317">
        <f ca="1">B6+6</f>
        <v>44766</v>
      </c>
      <c r="B6" s="87">
        <f ca="1">IF('Critical resources'!$D$3="",TODAY()-WEEKDAY(TODAY(),3)+7,'Critical resources'!D3-WEEKDAY('Critical resources'!D3,3))</f>
        <v>44760</v>
      </c>
      <c r="C6" s="67">
        <v>1</v>
      </c>
      <c r="D6" s="67">
        <f ca="1">YEAR(B6)</f>
        <v>2022</v>
      </c>
      <c r="E6" s="67" t="str">
        <f t="shared" ref="E6:E54" ca="1" si="0">IF(TEXT(B6,"MMM")=TEXT(B5,"MMM")," ",TEXT(B6,"MMM"))</f>
        <v>Jul</v>
      </c>
      <c r="F6" s="67">
        <f ca="1">WEEKNUM(B6,21)</f>
        <v>29</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
      <c r="A7" s="317">
        <f t="shared" ref="A7:A58" ca="1" si="6">B7+6</f>
        <v>44773</v>
      </c>
      <c r="B7" s="87">
        <f ca="1">B6+7</f>
        <v>44767</v>
      </c>
      <c r="C7" s="67">
        <v>2</v>
      </c>
      <c r="D7" s="67" t="str">
        <f ca="1">IF(YEAR(B7)=YEAR(B6),"",YEAR(B7))</f>
        <v/>
      </c>
      <c r="E7" s="67" t="str">
        <f t="shared" ca="1" si="0"/>
        <v xml:space="preserve"> </v>
      </c>
      <c r="F7" s="67">
        <f t="shared" ref="F7:F58" ca="1" si="7">WEEKNUM(B7,21)</f>
        <v>30</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
      <c r="A8" s="317">
        <f t="shared" ca="1" si="6"/>
        <v>44780</v>
      </c>
      <c r="B8" s="87">
        <f t="shared" ref="B8:B58" ca="1" si="9">B7+7</f>
        <v>44774</v>
      </c>
      <c r="C8" s="67">
        <v>3</v>
      </c>
      <c r="D8" s="67" t="str">
        <f t="shared" ref="D8:D57" ca="1" si="10">IF(YEAR(B8)=YEAR(B7),"",YEAR(B8))</f>
        <v/>
      </c>
      <c r="E8" s="67" t="str">
        <f t="shared" ca="1" si="0"/>
        <v>Aug</v>
      </c>
      <c r="F8" s="67">
        <f t="shared" ca="1" si="7"/>
        <v>31</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
      <c r="A9" s="317">
        <f t="shared" ca="1" si="6"/>
        <v>44787</v>
      </c>
      <c r="B9" s="87">
        <f t="shared" ca="1" si="9"/>
        <v>44781</v>
      </c>
      <c r="C9" s="67">
        <v>4</v>
      </c>
      <c r="D9" s="67" t="str">
        <f t="shared" ca="1" si="10"/>
        <v/>
      </c>
      <c r="E9" s="67" t="str">
        <f t="shared" ca="1" si="0"/>
        <v xml:space="preserve"> </v>
      </c>
      <c r="F9" s="67">
        <f t="shared" ca="1" si="7"/>
        <v>32</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
      <c r="A10" s="317">
        <f t="shared" ca="1" si="6"/>
        <v>44794</v>
      </c>
      <c r="B10" s="87">
        <f t="shared" ca="1" si="9"/>
        <v>44788</v>
      </c>
      <c r="C10" s="67">
        <v>5</v>
      </c>
      <c r="D10" s="67" t="str">
        <f t="shared" ca="1" si="10"/>
        <v/>
      </c>
      <c r="E10" s="67" t="str">
        <f t="shared" ca="1" si="0"/>
        <v xml:space="preserve"> </v>
      </c>
      <c r="F10" s="67">
        <f t="shared" ca="1" si="7"/>
        <v>33</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
      <c r="A11" s="317">
        <f t="shared" ca="1" si="6"/>
        <v>44801</v>
      </c>
      <c r="B11" s="87">
        <f t="shared" ca="1" si="9"/>
        <v>44795</v>
      </c>
      <c r="C11" s="67">
        <v>6</v>
      </c>
      <c r="D11" s="67" t="str">
        <f t="shared" ca="1" si="10"/>
        <v/>
      </c>
      <c r="E11" s="67" t="str">
        <f t="shared" ca="1" si="0"/>
        <v xml:space="preserve"> </v>
      </c>
      <c r="F11" s="67">
        <f t="shared" ca="1" si="7"/>
        <v>34</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
      <c r="A12" s="317">
        <f t="shared" ca="1" si="6"/>
        <v>44808</v>
      </c>
      <c r="B12" s="87">
        <f t="shared" ca="1" si="9"/>
        <v>44802</v>
      </c>
      <c r="C12" s="67">
        <v>7</v>
      </c>
      <c r="D12" s="67" t="str">
        <f t="shared" ca="1" si="10"/>
        <v/>
      </c>
      <c r="E12" s="67" t="str">
        <f t="shared" ca="1" si="0"/>
        <v xml:space="preserve"> </v>
      </c>
      <c r="F12" s="67">
        <f t="shared" ca="1" si="7"/>
        <v>35</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
      <c r="A13" s="317">
        <f t="shared" ca="1" si="6"/>
        <v>44815</v>
      </c>
      <c r="B13" s="87">
        <f t="shared" ca="1" si="9"/>
        <v>44809</v>
      </c>
      <c r="C13" s="67">
        <v>8</v>
      </c>
      <c r="D13" s="67" t="str">
        <f t="shared" ca="1" si="10"/>
        <v/>
      </c>
      <c r="E13" s="67" t="str">
        <f t="shared" ca="1" si="0"/>
        <v>Sep</v>
      </c>
      <c r="F13" s="67">
        <f t="shared" ca="1" si="7"/>
        <v>36</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
      <c r="A14" s="317">
        <f t="shared" ca="1" si="6"/>
        <v>44822</v>
      </c>
      <c r="B14" s="87">
        <f t="shared" ca="1" si="9"/>
        <v>44816</v>
      </c>
      <c r="C14" s="67">
        <v>9</v>
      </c>
      <c r="D14" s="67" t="str">
        <f t="shared" ca="1" si="10"/>
        <v/>
      </c>
      <c r="E14" s="67" t="str">
        <f t="shared" ca="1" si="0"/>
        <v xml:space="preserve"> </v>
      </c>
      <c r="F14" s="67">
        <f t="shared" ca="1" si="7"/>
        <v>37</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
      <c r="A15" s="317">
        <f t="shared" ca="1" si="6"/>
        <v>44829</v>
      </c>
      <c r="B15" s="87">
        <f t="shared" ca="1" si="9"/>
        <v>44823</v>
      </c>
      <c r="C15" s="67">
        <v>10</v>
      </c>
      <c r="D15" s="67" t="str">
        <f t="shared" ca="1" si="10"/>
        <v/>
      </c>
      <c r="E15" s="67" t="str">
        <f t="shared" ca="1" si="0"/>
        <v xml:space="preserve"> </v>
      </c>
      <c r="F15" s="67">
        <f t="shared" ca="1" si="7"/>
        <v>38</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
      <c r="A16" s="317">
        <f t="shared" ca="1" si="6"/>
        <v>44836</v>
      </c>
      <c r="B16" s="87">
        <f t="shared" ca="1" si="9"/>
        <v>44830</v>
      </c>
      <c r="C16" s="67">
        <v>11</v>
      </c>
      <c r="D16" s="67" t="str">
        <f t="shared" ca="1" si="10"/>
        <v/>
      </c>
      <c r="E16" s="67" t="str">
        <f t="shared" ca="1" si="0"/>
        <v xml:space="preserve"> </v>
      </c>
      <c r="F16" s="67">
        <f t="shared" ca="1" si="7"/>
        <v>39</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
      <c r="A17" s="317">
        <f t="shared" ca="1" si="6"/>
        <v>44843</v>
      </c>
      <c r="B17" s="87">
        <f t="shared" ca="1" si="9"/>
        <v>44837</v>
      </c>
      <c r="C17" s="67">
        <v>12</v>
      </c>
      <c r="D17" s="67" t="str">
        <f t="shared" ca="1" si="10"/>
        <v/>
      </c>
      <c r="E17" s="67" t="str">
        <f t="shared" ca="1" si="0"/>
        <v>Oct</v>
      </c>
      <c r="F17" s="67">
        <f t="shared" ca="1" si="7"/>
        <v>40</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
      <c r="A18" s="317">
        <f t="shared" ca="1" si="6"/>
        <v>44850</v>
      </c>
      <c r="B18" s="87">
        <f t="shared" ca="1" si="9"/>
        <v>44844</v>
      </c>
      <c r="C18" s="67">
        <v>13</v>
      </c>
      <c r="D18" s="67" t="str">
        <f t="shared" ca="1" si="10"/>
        <v/>
      </c>
      <c r="E18" s="67" t="str">
        <f t="shared" ca="1" si="0"/>
        <v xml:space="preserve"> </v>
      </c>
      <c r="F18" s="67">
        <f t="shared" ca="1" si="7"/>
        <v>41</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
      <c r="A19" s="317">
        <f t="shared" ca="1" si="6"/>
        <v>44857</v>
      </c>
      <c r="B19" s="87">
        <f t="shared" ca="1" si="9"/>
        <v>44851</v>
      </c>
      <c r="C19" s="67">
        <v>14</v>
      </c>
      <c r="D19" s="67" t="str">
        <f t="shared" ca="1" si="10"/>
        <v/>
      </c>
      <c r="E19" s="67" t="str">
        <f t="shared" ca="1" si="0"/>
        <v xml:space="preserve"> </v>
      </c>
      <c r="F19" s="67">
        <f t="shared" ca="1" si="7"/>
        <v>42</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
      <c r="A20" s="317">
        <f t="shared" ca="1" si="6"/>
        <v>44864</v>
      </c>
      <c r="B20" s="87">
        <f t="shared" ca="1" si="9"/>
        <v>44858</v>
      </c>
      <c r="C20" s="67">
        <v>15</v>
      </c>
      <c r="D20" s="67" t="str">
        <f t="shared" ca="1" si="10"/>
        <v/>
      </c>
      <c r="E20" s="67" t="str">
        <f t="shared" ca="1" si="0"/>
        <v xml:space="preserve"> </v>
      </c>
      <c r="F20" s="67">
        <f t="shared" ca="1" si="7"/>
        <v>43</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
      <c r="A21" s="317">
        <f t="shared" ca="1" si="6"/>
        <v>44871</v>
      </c>
      <c r="B21" s="87">
        <f t="shared" ca="1" si="9"/>
        <v>44865</v>
      </c>
      <c r="C21" s="67">
        <v>16</v>
      </c>
      <c r="D21" s="67" t="str">
        <f t="shared" ca="1" si="10"/>
        <v/>
      </c>
      <c r="E21" s="67" t="str">
        <f t="shared" ca="1" si="0"/>
        <v xml:space="preserve"> </v>
      </c>
      <c r="F21" s="67">
        <f t="shared" ca="1" si="7"/>
        <v>44</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
      <c r="A22" s="317">
        <f t="shared" ca="1" si="6"/>
        <v>44878</v>
      </c>
      <c r="B22" s="87">
        <f t="shared" ca="1" si="9"/>
        <v>44872</v>
      </c>
      <c r="C22" s="67">
        <v>17</v>
      </c>
      <c r="D22" s="67" t="str">
        <f t="shared" ca="1" si="10"/>
        <v/>
      </c>
      <c r="E22" s="67" t="str">
        <f t="shared" ca="1" si="0"/>
        <v>Nov</v>
      </c>
      <c r="F22" s="67">
        <f t="shared" ca="1" si="7"/>
        <v>45</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
      <c r="A23" s="317">
        <f t="shared" ca="1" si="6"/>
        <v>44885</v>
      </c>
      <c r="B23" s="87">
        <f t="shared" ca="1" si="9"/>
        <v>44879</v>
      </c>
      <c r="C23" s="67">
        <v>18</v>
      </c>
      <c r="D23" s="67" t="str">
        <f t="shared" ca="1" si="10"/>
        <v/>
      </c>
      <c r="E23" s="67" t="str">
        <f t="shared" ca="1" si="0"/>
        <v xml:space="preserve"> </v>
      </c>
      <c r="F23" s="67">
        <f t="shared" ca="1" si="7"/>
        <v>46</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
      <c r="A24" s="317">
        <f t="shared" ca="1" si="6"/>
        <v>44892</v>
      </c>
      <c r="B24" s="87">
        <f t="shared" ca="1" si="9"/>
        <v>44886</v>
      </c>
      <c r="C24" s="67">
        <v>19</v>
      </c>
      <c r="D24" s="67" t="str">
        <f t="shared" ca="1" si="10"/>
        <v/>
      </c>
      <c r="E24" s="67" t="str">
        <f t="shared" ca="1" si="0"/>
        <v xml:space="preserve"> </v>
      </c>
      <c r="F24" s="67">
        <f t="shared" ca="1" si="7"/>
        <v>47</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
      <c r="A25" s="317">
        <f t="shared" ca="1" si="6"/>
        <v>44899</v>
      </c>
      <c r="B25" s="87">
        <f t="shared" ca="1" si="9"/>
        <v>44893</v>
      </c>
      <c r="C25" s="67">
        <v>20</v>
      </c>
      <c r="D25" s="67" t="str">
        <f t="shared" ca="1" si="10"/>
        <v/>
      </c>
      <c r="E25" s="67" t="str">
        <f t="shared" ca="1" si="0"/>
        <v xml:space="preserve"> </v>
      </c>
      <c r="F25" s="67">
        <f t="shared" ca="1" si="7"/>
        <v>48</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
      <c r="A26" s="317">
        <f t="shared" ca="1" si="6"/>
        <v>44906</v>
      </c>
      <c r="B26" s="87">
        <f t="shared" ca="1" si="9"/>
        <v>44900</v>
      </c>
      <c r="C26" s="67">
        <v>21</v>
      </c>
      <c r="D26" s="67" t="str">
        <f t="shared" ca="1" si="10"/>
        <v/>
      </c>
      <c r="E26" s="67" t="str">
        <f t="shared" ca="1" si="0"/>
        <v>Dec</v>
      </c>
      <c r="F26" s="67">
        <f t="shared" ca="1" si="7"/>
        <v>49</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
      <c r="A27" s="317">
        <f t="shared" ca="1" si="6"/>
        <v>44913</v>
      </c>
      <c r="B27" s="87">
        <f t="shared" ca="1" si="9"/>
        <v>44907</v>
      </c>
      <c r="C27" s="67">
        <v>22</v>
      </c>
      <c r="D27" s="67" t="str">
        <f t="shared" ca="1" si="10"/>
        <v/>
      </c>
      <c r="E27" s="67" t="str">
        <f t="shared" ca="1" si="0"/>
        <v xml:space="preserve"> </v>
      </c>
      <c r="F27" s="67">
        <f t="shared" ca="1" si="7"/>
        <v>50</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
      <c r="A28" s="317">
        <f t="shared" ca="1" si="6"/>
        <v>44920</v>
      </c>
      <c r="B28" s="87">
        <f t="shared" ca="1" si="9"/>
        <v>44914</v>
      </c>
      <c r="C28" s="67">
        <v>23</v>
      </c>
      <c r="D28" s="67" t="str">
        <f t="shared" ca="1" si="10"/>
        <v/>
      </c>
      <c r="E28" s="67" t="str">
        <f t="shared" ca="1" si="0"/>
        <v xml:space="preserve"> </v>
      </c>
      <c r="F28" s="67">
        <f t="shared" ca="1" si="7"/>
        <v>51</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
      <c r="A29" s="317">
        <f t="shared" ca="1" si="6"/>
        <v>44927</v>
      </c>
      <c r="B29" s="87">
        <f t="shared" ca="1" si="9"/>
        <v>44921</v>
      </c>
      <c r="C29" s="67">
        <v>24</v>
      </c>
      <c r="D29" s="67" t="str">
        <f t="shared" ca="1" si="10"/>
        <v/>
      </c>
      <c r="E29" s="67" t="str">
        <f t="shared" ca="1" si="0"/>
        <v xml:space="preserve"> </v>
      </c>
      <c r="F29" s="67">
        <f t="shared" ca="1" si="7"/>
        <v>52</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
      <c r="A30" s="317">
        <f t="shared" ca="1" si="6"/>
        <v>44934</v>
      </c>
      <c r="B30" s="87">
        <f t="shared" ca="1" si="9"/>
        <v>44928</v>
      </c>
      <c r="C30" s="67">
        <v>25</v>
      </c>
      <c r="D30" s="67">
        <f t="shared" ca="1" si="10"/>
        <v>2023</v>
      </c>
      <c r="E30" s="67" t="str">
        <f t="shared" ca="1" si="0"/>
        <v>Jan</v>
      </c>
      <c r="F30" s="67">
        <f t="shared" ca="1" si="7"/>
        <v>1</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
      <c r="A31" s="317">
        <f t="shared" ca="1" si="6"/>
        <v>44941</v>
      </c>
      <c r="B31" s="87">
        <f t="shared" ca="1" si="9"/>
        <v>44935</v>
      </c>
      <c r="C31" s="67">
        <v>26</v>
      </c>
      <c r="D31" s="67" t="str">
        <f t="shared" ca="1" si="10"/>
        <v/>
      </c>
      <c r="E31" s="67" t="str">
        <f t="shared" ca="1" si="0"/>
        <v xml:space="preserve"> </v>
      </c>
      <c r="F31" s="67">
        <f t="shared" ca="1" si="7"/>
        <v>2</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
      <c r="A32" s="317">
        <f t="shared" ca="1" si="6"/>
        <v>44948</v>
      </c>
      <c r="B32" s="87">
        <f t="shared" ca="1" si="9"/>
        <v>44942</v>
      </c>
      <c r="C32" s="67">
        <v>27</v>
      </c>
      <c r="D32" s="67" t="str">
        <f t="shared" ca="1" si="10"/>
        <v/>
      </c>
      <c r="E32" s="67" t="str">
        <f t="shared" ca="1" si="0"/>
        <v xml:space="preserve"> </v>
      </c>
      <c r="F32" s="67">
        <f t="shared" ca="1" si="7"/>
        <v>3</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
      <c r="A33" s="317">
        <f t="shared" ca="1" si="6"/>
        <v>44955</v>
      </c>
      <c r="B33" s="87">
        <f t="shared" ca="1" si="9"/>
        <v>44949</v>
      </c>
      <c r="C33" s="67">
        <v>28</v>
      </c>
      <c r="D33" s="67" t="str">
        <f t="shared" ca="1" si="10"/>
        <v/>
      </c>
      <c r="E33" s="67" t="str">
        <f t="shared" ca="1" si="0"/>
        <v xml:space="preserve"> </v>
      </c>
      <c r="F33" s="67">
        <f t="shared" ca="1" si="7"/>
        <v>4</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
      <c r="A34" s="317">
        <f t="shared" ca="1" si="6"/>
        <v>44962</v>
      </c>
      <c r="B34" s="87">
        <f t="shared" ca="1" si="9"/>
        <v>44956</v>
      </c>
      <c r="C34" s="67">
        <v>29</v>
      </c>
      <c r="D34" s="67" t="str">
        <f t="shared" ca="1" si="10"/>
        <v/>
      </c>
      <c r="E34" s="67" t="str">
        <f t="shared" ca="1" si="0"/>
        <v xml:space="preserve"> </v>
      </c>
      <c r="F34" s="67">
        <f t="shared" ca="1" si="7"/>
        <v>5</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
      <c r="A35" s="317">
        <f t="shared" ca="1" si="6"/>
        <v>44969</v>
      </c>
      <c r="B35" s="87">
        <f t="shared" ca="1" si="9"/>
        <v>44963</v>
      </c>
      <c r="C35" s="67">
        <v>30</v>
      </c>
      <c r="D35" s="67" t="str">
        <f t="shared" ca="1" si="10"/>
        <v/>
      </c>
      <c r="E35" s="67" t="str">
        <f t="shared" ca="1" si="0"/>
        <v>Feb</v>
      </c>
      <c r="F35" s="67">
        <f t="shared" ca="1" si="7"/>
        <v>6</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
      <c r="A36" s="317">
        <f t="shared" ca="1" si="6"/>
        <v>44976</v>
      </c>
      <c r="B36" s="87">
        <f t="shared" ca="1" si="9"/>
        <v>44970</v>
      </c>
      <c r="C36" s="67">
        <v>31</v>
      </c>
      <c r="D36" s="67" t="str">
        <f t="shared" ca="1" si="10"/>
        <v/>
      </c>
      <c r="E36" s="67" t="str">
        <f t="shared" ca="1" si="0"/>
        <v xml:space="preserve"> </v>
      </c>
      <c r="F36" s="67">
        <f t="shared" ca="1" si="7"/>
        <v>7</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
      <c r="A37" s="317">
        <f t="shared" ca="1" si="6"/>
        <v>44983</v>
      </c>
      <c r="B37" s="87">
        <f t="shared" ca="1" si="9"/>
        <v>44977</v>
      </c>
      <c r="C37" s="67">
        <v>32</v>
      </c>
      <c r="D37" s="67" t="str">
        <f t="shared" ca="1" si="10"/>
        <v/>
      </c>
      <c r="E37" s="67" t="str">
        <f t="shared" ca="1" si="0"/>
        <v xml:space="preserve"> </v>
      </c>
      <c r="F37" s="67">
        <f t="shared" ca="1" si="7"/>
        <v>8</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
      <c r="A38" s="317">
        <f t="shared" ca="1" si="6"/>
        <v>44990</v>
      </c>
      <c r="B38" s="87">
        <f t="shared" ca="1" si="9"/>
        <v>44984</v>
      </c>
      <c r="C38" s="67">
        <v>33</v>
      </c>
      <c r="D38" s="67" t="str">
        <f t="shared" ca="1" si="10"/>
        <v/>
      </c>
      <c r="E38" s="67" t="str">
        <f t="shared" ca="1" si="0"/>
        <v xml:space="preserve"> </v>
      </c>
      <c r="F38" s="67">
        <f t="shared" ca="1" si="7"/>
        <v>9</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
      <c r="A39" s="317">
        <f t="shared" ca="1" si="6"/>
        <v>44997</v>
      </c>
      <c r="B39" s="87">
        <f t="shared" ca="1" si="9"/>
        <v>44991</v>
      </c>
      <c r="C39" s="67">
        <v>34</v>
      </c>
      <c r="D39" s="67" t="str">
        <f t="shared" ca="1" si="10"/>
        <v/>
      </c>
      <c r="E39" s="67" t="str">
        <f t="shared" ca="1" si="0"/>
        <v>Mar</v>
      </c>
      <c r="F39" s="67">
        <f t="shared" ca="1" si="7"/>
        <v>10</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
      <c r="A40" s="317">
        <f t="shared" ca="1" si="6"/>
        <v>45004</v>
      </c>
      <c r="B40" s="87">
        <f t="shared" ca="1" si="9"/>
        <v>44998</v>
      </c>
      <c r="C40" s="67">
        <v>35</v>
      </c>
      <c r="D40" s="67" t="str">
        <f t="shared" ca="1" si="10"/>
        <v/>
      </c>
      <c r="E40" s="67" t="str">
        <f t="shared" ca="1" si="0"/>
        <v xml:space="preserve"> </v>
      </c>
      <c r="F40" s="67">
        <f t="shared" ca="1" si="7"/>
        <v>11</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
      <c r="A41" s="317">
        <f t="shared" ca="1" si="6"/>
        <v>45011</v>
      </c>
      <c r="B41" s="87">
        <f t="shared" ca="1" si="9"/>
        <v>45005</v>
      </c>
      <c r="C41" s="67">
        <v>36</v>
      </c>
      <c r="D41" s="67" t="str">
        <f t="shared" ca="1" si="10"/>
        <v/>
      </c>
      <c r="E41" s="67" t="str">
        <f t="shared" ca="1" si="0"/>
        <v xml:space="preserve"> </v>
      </c>
      <c r="F41" s="67">
        <f t="shared" ca="1" si="7"/>
        <v>12</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
      <c r="A42" s="317">
        <f t="shared" ca="1" si="6"/>
        <v>45018</v>
      </c>
      <c r="B42" s="87">
        <f t="shared" ca="1" si="9"/>
        <v>45012</v>
      </c>
      <c r="C42" s="67">
        <v>37</v>
      </c>
      <c r="D42" s="67" t="str">
        <f t="shared" ca="1" si="10"/>
        <v/>
      </c>
      <c r="E42" s="67" t="str">
        <f t="shared" ca="1" si="0"/>
        <v xml:space="preserve"> </v>
      </c>
      <c r="F42" s="67">
        <f t="shared" ca="1" si="7"/>
        <v>13</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
      <c r="A43" s="317">
        <f t="shared" ca="1" si="6"/>
        <v>45025</v>
      </c>
      <c r="B43" s="87">
        <f t="shared" ca="1" si="9"/>
        <v>45019</v>
      </c>
      <c r="C43" s="67">
        <v>38</v>
      </c>
      <c r="D43" s="67" t="str">
        <f t="shared" ca="1" si="10"/>
        <v/>
      </c>
      <c r="E43" s="67" t="str">
        <f t="shared" ca="1" si="0"/>
        <v>Apr</v>
      </c>
      <c r="F43" s="67">
        <f t="shared" ca="1" si="7"/>
        <v>14</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
      <c r="A44" s="317">
        <f t="shared" ca="1" si="6"/>
        <v>45032</v>
      </c>
      <c r="B44" s="87">
        <f t="shared" ca="1" si="9"/>
        <v>45026</v>
      </c>
      <c r="C44" s="67">
        <v>39</v>
      </c>
      <c r="D44" s="67" t="str">
        <f t="shared" ca="1" si="10"/>
        <v/>
      </c>
      <c r="E44" s="67" t="str">
        <f t="shared" ca="1" si="0"/>
        <v xml:space="preserve"> </v>
      </c>
      <c r="F44" s="67">
        <f t="shared" ca="1" si="7"/>
        <v>15</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
      <c r="A45" s="317">
        <f t="shared" ca="1" si="6"/>
        <v>45039</v>
      </c>
      <c r="B45" s="87">
        <f t="shared" ca="1" si="9"/>
        <v>45033</v>
      </c>
      <c r="C45" s="67">
        <v>40</v>
      </c>
      <c r="D45" s="67" t="str">
        <f t="shared" ca="1" si="10"/>
        <v/>
      </c>
      <c r="E45" s="67" t="str">
        <f t="shared" ca="1" si="0"/>
        <v xml:space="preserve"> </v>
      </c>
      <c r="F45" s="67">
        <f t="shared" ca="1" si="7"/>
        <v>16</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
      <c r="A46" s="317">
        <f t="shared" ca="1" si="6"/>
        <v>45046</v>
      </c>
      <c r="B46" s="87">
        <f t="shared" ca="1" si="9"/>
        <v>45040</v>
      </c>
      <c r="C46" s="67">
        <v>41</v>
      </c>
      <c r="D46" s="67" t="str">
        <f t="shared" ca="1" si="10"/>
        <v/>
      </c>
      <c r="E46" s="67" t="str">
        <f t="shared" ca="1" si="0"/>
        <v xml:space="preserve"> </v>
      </c>
      <c r="F46" s="67">
        <f t="shared" ca="1" si="7"/>
        <v>17</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
      <c r="A47" s="317">
        <f t="shared" ca="1" si="6"/>
        <v>45053</v>
      </c>
      <c r="B47" s="87">
        <f t="shared" ca="1" si="9"/>
        <v>45047</v>
      </c>
      <c r="C47" s="67">
        <v>42</v>
      </c>
      <c r="D47" s="67" t="str">
        <f t="shared" ca="1" si="10"/>
        <v/>
      </c>
      <c r="E47" s="67" t="str">
        <f t="shared" ca="1" si="0"/>
        <v>May</v>
      </c>
      <c r="F47" s="67">
        <f t="shared" ca="1" si="7"/>
        <v>18</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
      <c r="A48" s="317">
        <f t="shared" ca="1" si="6"/>
        <v>45060</v>
      </c>
      <c r="B48" s="87">
        <f t="shared" ca="1" si="9"/>
        <v>45054</v>
      </c>
      <c r="C48" s="67">
        <v>43</v>
      </c>
      <c r="D48" s="67" t="str">
        <f t="shared" ca="1" si="10"/>
        <v/>
      </c>
      <c r="E48" s="67" t="str">
        <f t="shared" ca="1" si="0"/>
        <v xml:space="preserve"> </v>
      </c>
      <c r="F48" s="67">
        <f t="shared" ca="1" si="7"/>
        <v>19</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
      <c r="A49" s="317">
        <f t="shared" ca="1" si="6"/>
        <v>45067</v>
      </c>
      <c r="B49" s="87">
        <f t="shared" ca="1" si="9"/>
        <v>45061</v>
      </c>
      <c r="C49" s="67">
        <v>44</v>
      </c>
      <c r="D49" s="67" t="str">
        <f t="shared" ca="1" si="10"/>
        <v/>
      </c>
      <c r="E49" s="67" t="str">
        <f t="shared" ca="1" si="0"/>
        <v xml:space="preserve"> </v>
      </c>
      <c r="F49" s="67">
        <f t="shared" ca="1" si="7"/>
        <v>20</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
      <c r="A50" s="317">
        <f t="shared" ca="1" si="6"/>
        <v>45074</v>
      </c>
      <c r="B50" s="87">
        <f t="shared" ca="1" si="9"/>
        <v>45068</v>
      </c>
      <c r="C50" s="67">
        <v>45</v>
      </c>
      <c r="D50" s="67" t="str">
        <f t="shared" ca="1" si="10"/>
        <v/>
      </c>
      <c r="E50" s="67" t="str">
        <f t="shared" ca="1" si="0"/>
        <v xml:space="preserve"> </v>
      </c>
      <c r="F50" s="67">
        <f t="shared" ca="1" si="7"/>
        <v>21</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
      <c r="A51" s="317">
        <f t="shared" ca="1" si="6"/>
        <v>45081</v>
      </c>
      <c r="B51" s="87">
        <f t="shared" ca="1" si="9"/>
        <v>45075</v>
      </c>
      <c r="C51" s="67">
        <v>46</v>
      </c>
      <c r="D51" s="67" t="str">
        <f t="shared" ca="1" si="10"/>
        <v/>
      </c>
      <c r="E51" s="67" t="str">
        <f t="shared" ca="1" si="0"/>
        <v xml:space="preserve"> </v>
      </c>
      <c r="F51" s="67">
        <f t="shared" ca="1" si="7"/>
        <v>22</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
      <c r="A52" s="317">
        <f t="shared" ca="1" si="6"/>
        <v>45088</v>
      </c>
      <c r="B52" s="87">
        <f t="shared" ca="1" si="9"/>
        <v>45082</v>
      </c>
      <c r="C52" s="67">
        <v>47</v>
      </c>
      <c r="D52" s="67" t="str">
        <f t="shared" ca="1" si="10"/>
        <v/>
      </c>
      <c r="E52" s="67" t="str">
        <f t="shared" ca="1" si="0"/>
        <v>Jun</v>
      </c>
      <c r="F52" s="67">
        <f t="shared" ca="1" si="7"/>
        <v>23</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
      <c r="A53" s="317">
        <f t="shared" ca="1" si="6"/>
        <v>45095</v>
      </c>
      <c r="B53" s="87">
        <f t="shared" ca="1" si="9"/>
        <v>45089</v>
      </c>
      <c r="C53" s="67">
        <v>48</v>
      </c>
      <c r="D53" s="67" t="str">
        <f t="shared" ca="1" si="10"/>
        <v/>
      </c>
      <c r="E53" s="67" t="str">
        <f t="shared" ca="1" si="0"/>
        <v xml:space="preserve"> </v>
      </c>
      <c r="F53" s="67">
        <f t="shared" ca="1" si="7"/>
        <v>24</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
      <c r="A54" s="317">
        <f t="shared" ca="1" si="6"/>
        <v>45102</v>
      </c>
      <c r="B54" s="87">
        <f t="shared" ca="1" si="9"/>
        <v>45096</v>
      </c>
      <c r="C54" s="67">
        <v>49</v>
      </c>
      <c r="D54" s="67" t="str">
        <f t="shared" ca="1" si="10"/>
        <v/>
      </c>
      <c r="E54" s="67" t="str">
        <f t="shared" ca="1" si="0"/>
        <v xml:space="preserve"> </v>
      </c>
      <c r="F54" s="67">
        <f t="shared" ca="1" si="7"/>
        <v>25</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
      <c r="A55" s="317">
        <f t="shared" ca="1" si="6"/>
        <v>45109</v>
      </c>
      <c r="B55" s="87">
        <f t="shared" ca="1" si="9"/>
        <v>45103</v>
      </c>
      <c r="C55" s="67">
        <v>50</v>
      </c>
      <c r="D55" s="67" t="str">
        <f t="shared" ca="1" si="10"/>
        <v/>
      </c>
      <c r="E55" s="67" t="str">
        <f ca="1">IF(TEXT(B55,"MMM")=TEXT(B54,"MMM")," ",TEXT(B55,"MMM"))</f>
        <v xml:space="preserve"> </v>
      </c>
      <c r="F55" s="67">
        <f t="shared" ca="1" si="7"/>
        <v>26</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
      <c r="A56" s="317">
        <f t="shared" ca="1" si="6"/>
        <v>45116</v>
      </c>
      <c r="B56" s="87">
        <f t="shared" ca="1" si="9"/>
        <v>45110</v>
      </c>
      <c r="C56" s="67">
        <v>51</v>
      </c>
      <c r="D56" s="67" t="str">
        <f t="shared" ca="1" si="10"/>
        <v/>
      </c>
      <c r="E56" s="67" t="str">
        <f t="shared" ref="E56:E58" ca="1" si="25">IF(TEXT(B56,"MMM")=TEXT(B55,"MMM")," ",TEXT(B56,"MMM"))</f>
        <v>Jul</v>
      </c>
      <c r="F56" s="67">
        <f t="shared" ca="1" si="7"/>
        <v>27</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
      <c r="A57" s="317">
        <f t="shared" ca="1" si="6"/>
        <v>45123</v>
      </c>
      <c r="B57" s="87">
        <f t="shared" ca="1" si="9"/>
        <v>45117</v>
      </c>
      <c r="C57" s="67">
        <v>52</v>
      </c>
      <c r="D57" s="67" t="str">
        <f t="shared" ca="1" si="10"/>
        <v/>
      </c>
      <c r="E57" s="67" t="str">
        <f t="shared" ca="1" si="25"/>
        <v xml:space="preserve"> </v>
      </c>
      <c r="F57" s="67">
        <f t="shared" ca="1" si="7"/>
        <v>28</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
      <c r="A58" s="317">
        <f t="shared" ca="1" si="6"/>
        <v>45130</v>
      </c>
      <c r="B58" s="317">
        <f t="shared" ca="1" si="9"/>
        <v>45124</v>
      </c>
      <c r="C58" s="67">
        <v>53</v>
      </c>
      <c r="E58" s="67" t="str">
        <f t="shared" ca="1" si="25"/>
        <v xml:space="preserve"> </v>
      </c>
      <c r="F58" s="67">
        <f t="shared" ca="1" si="7"/>
        <v>29</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
      <c r="B106" s="87"/>
    </row>
    <row r="107" spans="2:72" x14ac:dyDescent="0.2">
      <c r="B107" s="87"/>
    </row>
    <row r="108" spans="2:72" x14ac:dyDescent="0.2">
      <c r="B108" s="87"/>
    </row>
    <row r="109" spans="2:72" x14ac:dyDescent="0.2">
      <c r="B109" s="87"/>
    </row>
    <row r="110" spans="2:72" x14ac:dyDescent="0.2">
      <c r="B110" s="87"/>
    </row>
    <row r="111" spans="2:72" x14ac:dyDescent="0.2">
      <c r="B111" s="87"/>
    </row>
    <row r="112" spans="2:72" x14ac:dyDescent="0.2">
      <c r="B112" s="87"/>
    </row>
    <row r="113" spans="2:207" x14ac:dyDescent="0.2">
      <c r="B113" s="87"/>
    </row>
    <row r="114" spans="2:207" x14ac:dyDescent="0.2">
      <c r="B114" s="87"/>
    </row>
    <row r="115" spans="2:207" x14ac:dyDescent="0.2">
      <c r="B115" s="87"/>
    </row>
    <row r="116" spans="2:207" x14ac:dyDescent="0.2">
      <c r="B116" s="87"/>
    </row>
    <row r="117" spans="2:207" x14ac:dyDescent="0.2">
      <c r="B117" s="87"/>
    </row>
    <row r="118" spans="2:207" x14ac:dyDescent="0.2">
      <c r="B118" s="87"/>
    </row>
    <row r="119" spans="2:207" x14ac:dyDescent="0.2">
      <c r="B119" s="87"/>
    </row>
    <row r="120" spans="2:207" x14ac:dyDescent="0.2">
      <c r="B120" s="87"/>
    </row>
    <row r="121" spans="2:207" x14ac:dyDescent="0.2">
      <c r="B121" s="87"/>
    </row>
    <row r="123" spans="2:207" x14ac:dyDescent="0.2">
      <c r="B123" s="87"/>
      <c r="CW123" s="70"/>
      <c r="CZ123" s="87"/>
      <c r="GY123" s="70"/>
    </row>
    <row r="124" spans="2:207" x14ac:dyDescent="0.2">
      <c r="B124" s="87"/>
      <c r="CW124" s="70"/>
      <c r="CZ124" s="87"/>
      <c r="GY124" s="70"/>
    </row>
    <row r="125" spans="2:207" x14ac:dyDescent="0.2">
      <c r="B125" s="87"/>
      <c r="CW125" s="70"/>
      <c r="CZ125" s="87"/>
      <c r="GY125" s="70"/>
    </row>
    <row r="126" spans="2:207" x14ac:dyDescent="0.2">
      <c r="B126" s="87"/>
      <c r="CW126" s="70"/>
      <c r="CZ126" s="87"/>
      <c r="GY126" s="70"/>
    </row>
    <row r="127" spans="2:207" x14ac:dyDescent="0.2">
      <c r="B127" s="87"/>
      <c r="CW127" s="70"/>
      <c r="CZ127" s="87"/>
      <c r="GY127" s="70"/>
    </row>
    <row r="128" spans="2:207" x14ac:dyDescent="0.2">
      <c r="B128" s="87"/>
      <c r="CW128" s="70"/>
      <c r="CZ128" s="87"/>
      <c r="GY128" s="70"/>
    </row>
    <row r="129" spans="2:207" x14ac:dyDescent="0.2">
      <c r="B129" s="87"/>
      <c r="CW129" s="70"/>
      <c r="CZ129" s="87"/>
      <c r="GY129" s="70"/>
    </row>
    <row r="130" spans="2:207" x14ac:dyDescent="0.2">
      <c r="B130" s="87"/>
      <c r="CW130" s="70"/>
      <c r="CZ130" s="87"/>
      <c r="GY130" s="70"/>
    </row>
    <row r="131" spans="2:207" x14ac:dyDescent="0.2">
      <c r="B131" s="87"/>
      <c r="CW131" s="70"/>
      <c r="CZ131" s="87"/>
      <c r="GY131" s="70"/>
    </row>
    <row r="132" spans="2:207" x14ac:dyDescent="0.2">
      <c r="B132" s="87"/>
      <c r="CW132" s="70"/>
      <c r="CZ132" s="87"/>
      <c r="GY132" s="70"/>
    </row>
    <row r="133" spans="2:207" x14ac:dyDescent="0.2">
      <c r="B133" s="87"/>
      <c r="CW133" s="70"/>
      <c r="CZ133" s="87"/>
      <c r="GY133" s="70"/>
    </row>
    <row r="134" spans="2:207" x14ac:dyDescent="0.2">
      <c r="B134" s="87"/>
      <c r="CW134" s="70"/>
      <c r="CZ134" s="87"/>
      <c r="GY134" s="70"/>
    </row>
    <row r="135" spans="2:207" x14ac:dyDescent="0.2">
      <c r="B135" s="87"/>
      <c r="CW135" s="70"/>
      <c r="CZ135" s="87"/>
      <c r="GY135" s="70"/>
    </row>
    <row r="136" spans="2:207" x14ac:dyDescent="0.2">
      <c r="B136" s="87"/>
      <c r="CW136" s="70"/>
      <c r="CZ136" s="87"/>
      <c r="GY136" s="70"/>
    </row>
    <row r="137" spans="2:207" x14ac:dyDescent="0.2">
      <c r="B137" s="87"/>
      <c r="CW137" s="70"/>
      <c r="CZ137" s="87"/>
      <c r="GY137" s="70"/>
    </row>
    <row r="138" spans="2:207" x14ac:dyDescent="0.2">
      <c r="B138" s="87"/>
      <c r="CW138" s="70"/>
      <c r="CZ138" s="87"/>
      <c r="GY138" s="70"/>
    </row>
    <row r="139" spans="2:207" x14ac:dyDescent="0.2">
      <c r="B139" s="87"/>
      <c r="CW139" s="70"/>
      <c r="CZ139" s="87"/>
      <c r="GY139" s="70"/>
    </row>
    <row r="140" spans="2:207" x14ac:dyDescent="0.2">
      <c r="B140" s="87"/>
      <c r="CW140" s="70"/>
      <c r="CZ140" s="87"/>
      <c r="GY140" s="70"/>
    </row>
    <row r="141" spans="2:207" x14ac:dyDescent="0.2">
      <c r="B141" s="87"/>
      <c r="CW141" s="70"/>
      <c r="CZ141" s="87"/>
      <c r="GY141" s="70"/>
    </row>
    <row r="142" spans="2:207" x14ac:dyDescent="0.2">
      <c r="B142" s="87"/>
      <c r="CW142" s="70"/>
      <c r="CZ142" s="87"/>
      <c r="GY142" s="70"/>
    </row>
    <row r="143" spans="2:207" x14ac:dyDescent="0.2">
      <c r="B143" s="87"/>
      <c r="CW143" s="70"/>
      <c r="CZ143" s="87"/>
      <c r="GY143" s="70"/>
    </row>
    <row r="144" spans="2:207" x14ac:dyDescent="0.2">
      <c r="B144" s="87"/>
      <c r="CW144" s="70"/>
      <c r="CZ144" s="87"/>
      <c r="GY144" s="70"/>
    </row>
    <row r="145" spans="2:207" x14ac:dyDescent="0.2">
      <c r="B145" s="87"/>
      <c r="CW145" s="70"/>
      <c r="CZ145" s="87"/>
      <c r="GY145" s="70"/>
    </row>
    <row r="146" spans="2:207" x14ac:dyDescent="0.2">
      <c r="B146" s="87"/>
      <c r="CW146" s="70"/>
      <c r="CZ146" s="87"/>
      <c r="GY146" s="70"/>
    </row>
    <row r="147" spans="2:207" x14ac:dyDescent="0.2">
      <c r="B147" s="87"/>
      <c r="CW147" s="70"/>
      <c r="CZ147" s="87"/>
      <c r="GY147" s="70"/>
    </row>
    <row r="148" spans="2:207" x14ac:dyDescent="0.2">
      <c r="B148" s="87"/>
      <c r="CW148" s="70"/>
      <c r="CZ148" s="87"/>
      <c r="GY148" s="70"/>
    </row>
    <row r="149" spans="2:207" x14ac:dyDescent="0.2">
      <c r="B149" s="87"/>
      <c r="CW149" s="70"/>
      <c r="CZ149" s="87"/>
      <c r="GY149" s="70"/>
    </row>
    <row r="150" spans="2:207" x14ac:dyDescent="0.2">
      <c r="B150" s="87"/>
      <c r="CW150" s="70"/>
      <c r="CZ150" s="87"/>
      <c r="GY150" s="70"/>
    </row>
    <row r="151" spans="2:207" x14ac:dyDescent="0.2">
      <c r="B151" s="87"/>
      <c r="CW151" s="70"/>
      <c r="CZ151" s="87"/>
      <c r="GY151" s="70"/>
    </row>
    <row r="152" spans="2:207" x14ac:dyDescent="0.2">
      <c r="B152" s="87"/>
      <c r="CW152" s="70"/>
      <c r="CZ152" s="87"/>
      <c r="GY152" s="70"/>
    </row>
    <row r="153" spans="2:207" x14ac:dyDescent="0.2">
      <c r="B153" s="87"/>
      <c r="CW153" s="70"/>
      <c r="CZ153" s="87"/>
      <c r="GY153" s="70"/>
    </row>
    <row r="154" spans="2:207" x14ac:dyDescent="0.2">
      <c r="B154" s="87"/>
      <c r="CW154" s="70"/>
      <c r="CZ154" s="87"/>
      <c r="GY154" s="70"/>
    </row>
    <row r="155" spans="2:207" x14ac:dyDescent="0.2">
      <c r="B155" s="87"/>
      <c r="CW155" s="70"/>
      <c r="CZ155" s="87"/>
      <c r="GY155" s="70"/>
    </row>
    <row r="156" spans="2:207" x14ac:dyDescent="0.2">
      <c r="B156" s="87"/>
      <c r="CW156" s="70"/>
      <c r="CZ156" s="87"/>
      <c r="GY156" s="70"/>
    </row>
    <row r="157" spans="2:207" x14ac:dyDescent="0.2">
      <c r="B157" s="87"/>
      <c r="CW157" s="70"/>
      <c r="CZ157" s="87"/>
      <c r="GY157" s="70"/>
    </row>
    <row r="158" spans="2:207" x14ac:dyDescent="0.2">
      <c r="B158" s="87"/>
      <c r="CW158" s="70"/>
      <c r="CZ158" s="87"/>
      <c r="GY158" s="70"/>
    </row>
    <row r="159" spans="2:207" x14ac:dyDescent="0.2">
      <c r="B159" s="87"/>
      <c r="CW159" s="70"/>
      <c r="CZ159" s="87"/>
      <c r="GY159" s="70"/>
    </row>
    <row r="160" spans="2:207" x14ac:dyDescent="0.2">
      <c r="B160" s="87"/>
      <c r="CW160" s="70"/>
      <c r="CZ160" s="87"/>
      <c r="GY160" s="70"/>
    </row>
    <row r="161" spans="2:207" x14ac:dyDescent="0.2">
      <c r="B161" s="87"/>
      <c r="CW161" s="70"/>
      <c r="CZ161" s="87"/>
      <c r="GY161" s="70"/>
    </row>
    <row r="162" spans="2:207" x14ac:dyDescent="0.2">
      <c r="B162" s="87"/>
      <c r="CW162" s="70"/>
      <c r="CZ162" s="87"/>
      <c r="GY162" s="70"/>
    </row>
    <row r="163" spans="2:207" x14ac:dyDescent="0.2">
      <c r="B163" s="87"/>
      <c r="CW163" s="70"/>
      <c r="CZ163" s="87"/>
      <c r="GY163" s="70"/>
    </row>
    <row r="164" spans="2:207" x14ac:dyDescent="0.2">
      <c r="B164" s="87"/>
      <c r="CW164" s="70"/>
      <c r="CZ164" s="87"/>
      <c r="GY164" s="70"/>
    </row>
    <row r="165" spans="2:207" x14ac:dyDescent="0.2">
      <c r="B165" s="87"/>
      <c r="CW165" s="70"/>
      <c r="CZ165" s="87"/>
      <c r="GY165" s="70"/>
    </row>
    <row r="166" spans="2:207" x14ac:dyDescent="0.2">
      <c r="B166" s="87"/>
      <c r="CW166" s="70"/>
      <c r="CZ166" s="87"/>
      <c r="GY166" s="70"/>
    </row>
    <row r="167" spans="2:207" x14ac:dyDescent="0.2">
      <c r="B167" s="87"/>
      <c r="CW167" s="70"/>
      <c r="CZ167" s="87"/>
      <c r="GY167" s="70"/>
    </row>
    <row r="168" spans="2:207" x14ac:dyDescent="0.2">
      <c r="B168" s="87"/>
      <c r="CW168" s="70"/>
      <c r="CZ168" s="87"/>
      <c r="GY168" s="70"/>
    </row>
    <row r="169" spans="2:207" x14ac:dyDescent="0.2">
      <c r="B169" s="87"/>
      <c r="CW169" s="70"/>
      <c r="CZ169" s="87"/>
      <c r="GY169" s="70"/>
    </row>
    <row r="170" spans="2:207" x14ac:dyDescent="0.2">
      <c r="B170" s="87"/>
      <c r="CW170" s="70"/>
      <c r="CZ170" s="87"/>
      <c r="GY170" s="70"/>
    </row>
    <row r="171" spans="2:207" x14ac:dyDescent="0.2">
      <c r="B171" s="87"/>
      <c r="CW171" s="70"/>
      <c r="CZ171" s="87"/>
      <c r="GY171" s="70"/>
    </row>
    <row r="172" spans="2:207" x14ac:dyDescent="0.2">
      <c r="B172" s="87"/>
      <c r="CW172" s="70"/>
      <c r="CZ172" s="87"/>
      <c r="GY172" s="70"/>
    </row>
    <row r="173" spans="2:207" x14ac:dyDescent="0.2">
      <c r="B173" s="87"/>
      <c r="CW173" s="70"/>
      <c r="CZ173" s="87"/>
      <c r="GY173" s="70"/>
    </row>
    <row r="174" spans="2:207" x14ac:dyDescent="0.2">
      <c r="B174" s="87"/>
      <c r="CW174" s="70"/>
      <c r="CZ174" s="87"/>
      <c r="GY174" s="70"/>
    </row>
    <row r="175" spans="2:207" x14ac:dyDescent="0.2">
      <c r="B175" s="87"/>
      <c r="CZ175" s="87"/>
    </row>
    <row r="176" spans="2:207" x14ac:dyDescent="0.2">
      <c r="B176" s="87"/>
      <c r="CW176" s="70"/>
      <c r="CZ176" s="87"/>
      <c r="GY176" s="70"/>
    </row>
    <row r="177" spans="2:102" x14ac:dyDescent="0.2">
      <c r="B177" s="87"/>
      <c r="CX177" s="70"/>
    </row>
    <row r="189" spans="2:102" x14ac:dyDescent="0.2">
      <c r="B189" s="87"/>
    </row>
    <row r="190" spans="2:102" x14ac:dyDescent="0.2">
      <c r="B190" s="87"/>
    </row>
    <row r="191" spans="2:102" x14ac:dyDescent="0.2">
      <c r="B191" s="87"/>
    </row>
    <row r="192" spans="2:102" x14ac:dyDescent="0.2">
      <c r="B192" s="87"/>
    </row>
    <row r="193" spans="2:2" x14ac:dyDescent="0.2">
      <c r="B193" s="87"/>
    </row>
    <row r="194" spans="2:2" x14ac:dyDescent="0.2">
      <c r="B194" s="87"/>
    </row>
    <row r="195" spans="2:2" x14ac:dyDescent="0.2">
      <c r="B195" s="87"/>
    </row>
    <row r="196" spans="2:2" x14ac:dyDescent="0.2">
      <c r="B196" s="87"/>
    </row>
    <row r="197" spans="2:2" x14ac:dyDescent="0.2">
      <c r="B197" s="87"/>
    </row>
    <row r="198" spans="2:2" x14ac:dyDescent="0.2">
      <c r="B198" s="87"/>
    </row>
    <row r="199" spans="2:2" x14ac:dyDescent="0.2">
      <c r="B199" s="87"/>
    </row>
    <row r="200" spans="2:2" x14ac:dyDescent="0.2">
      <c r="B200" s="87"/>
    </row>
    <row r="201" spans="2:2" x14ac:dyDescent="0.2">
      <c r="B201" s="87"/>
    </row>
    <row r="202" spans="2:2" x14ac:dyDescent="0.2">
      <c r="B202" s="87"/>
    </row>
    <row r="203" spans="2:2" x14ac:dyDescent="0.2">
      <c r="B203" s="87"/>
    </row>
    <row r="204" spans="2:2" x14ac:dyDescent="0.2">
      <c r="B204" s="87"/>
    </row>
    <row r="205" spans="2:2" x14ac:dyDescent="0.2">
      <c r="B205" s="87"/>
    </row>
    <row r="206" spans="2:2" x14ac:dyDescent="0.2">
      <c r="B206" s="87"/>
    </row>
    <row r="207" spans="2:2" x14ac:dyDescent="0.2">
      <c r="B207" s="87"/>
    </row>
    <row r="208" spans="2:2" x14ac:dyDescent="0.2">
      <c r="B208" s="87"/>
    </row>
    <row r="209" spans="2:2" x14ac:dyDescent="0.2">
      <c r="B209" s="87"/>
    </row>
    <row r="210" spans="2:2" x14ac:dyDescent="0.2">
      <c r="B210" s="87"/>
    </row>
    <row r="211" spans="2:2" x14ac:dyDescent="0.2">
      <c r="B211" s="87"/>
    </row>
    <row r="212" spans="2:2" x14ac:dyDescent="0.2">
      <c r="B212" s="87"/>
    </row>
    <row r="213" spans="2:2" x14ac:dyDescent="0.2">
      <c r="B213" s="87"/>
    </row>
    <row r="214" spans="2:2" x14ac:dyDescent="0.2">
      <c r="B214" s="87"/>
    </row>
    <row r="215" spans="2:2" x14ac:dyDescent="0.2">
      <c r="B215" s="87"/>
    </row>
    <row r="216" spans="2:2" x14ac:dyDescent="0.2">
      <c r="B216" s="87"/>
    </row>
    <row r="217" spans="2:2" x14ac:dyDescent="0.2">
      <c r="B217" s="87"/>
    </row>
    <row r="218" spans="2:2" x14ac:dyDescent="0.2">
      <c r="B218" s="87"/>
    </row>
    <row r="219" spans="2:2" x14ac:dyDescent="0.2">
      <c r="B219" s="87"/>
    </row>
    <row r="220" spans="2:2" x14ac:dyDescent="0.2">
      <c r="B220" s="87"/>
    </row>
    <row r="221" spans="2:2" x14ac:dyDescent="0.2">
      <c r="B221" s="87"/>
    </row>
    <row r="222" spans="2:2" x14ac:dyDescent="0.2">
      <c r="B222" s="87"/>
    </row>
    <row r="223" spans="2:2" x14ac:dyDescent="0.2">
      <c r="B223" s="87"/>
    </row>
    <row r="224" spans="2:2" x14ac:dyDescent="0.2">
      <c r="B224" s="87"/>
    </row>
    <row r="225" spans="2:2" x14ac:dyDescent="0.2">
      <c r="B225" s="87"/>
    </row>
    <row r="226" spans="2:2" x14ac:dyDescent="0.2">
      <c r="B226" s="87"/>
    </row>
    <row r="227" spans="2:2" x14ac:dyDescent="0.2">
      <c r="B227" s="87"/>
    </row>
    <row r="228" spans="2:2" x14ac:dyDescent="0.2">
      <c r="B228" s="87"/>
    </row>
    <row r="229" spans="2:2" x14ac:dyDescent="0.2">
      <c r="B229" s="87"/>
    </row>
    <row r="230" spans="2:2" x14ac:dyDescent="0.2">
      <c r="B230" s="87"/>
    </row>
    <row r="231" spans="2:2" x14ac:dyDescent="0.2">
      <c r="B231" s="87"/>
    </row>
    <row r="232" spans="2:2" x14ac:dyDescent="0.2">
      <c r="B232" s="87"/>
    </row>
    <row r="233" spans="2:2" x14ac:dyDescent="0.2">
      <c r="B233" s="87"/>
    </row>
    <row r="234" spans="2:2" x14ac:dyDescent="0.2">
      <c r="B234" s="87"/>
    </row>
    <row r="235" spans="2:2" x14ac:dyDescent="0.2">
      <c r="B235" s="87"/>
    </row>
    <row r="236" spans="2:2" x14ac:dyDescent="0.2">
      <c r="B236" s="87"/>
    </row>
    <row r="237" spans="2:2" x14ac:dyDescent="0.2">
      <c r="B237" s="87"/>
    </row>
    <row r="238" spans="2:2" x14ac:dyDescent="0.2">
      <c r="B238" s="87"/>
    </row>
    <row r="239" spans="2:2" x14ac:dyDescent="0.2">
      <c r="B239" s="87"/>
    </row>
    <row r="240" spans="2:2" x14ac:dyDescent="0.2">
      <c r="B240" s="87"/>
    </row>
    <row r="241" spans="2:2" x14ac:dyDescent="0.2">
      <c r="B241" s="87"/>
    </row>
    <row r="245" spans="2:2" x14ac:dyDescent="0.2">
      <c r="B245" s="87"/>
    </row>
    <row r="246" spans="2:2" x14ac:dyDescent="0.2">
      <c r="B246" s="87"/>
    </row>
    <row r="247" spans="2:2" x14ac:dyDescent="0.2">
      <c r="B247" s="87"/>
    </row>
    <row r="248" spans="2:2" x14ac:dyDescent="0.2">
      <c r="B248" s="87"/>
    </row>
    <row r="249" spans="2:2" x14ac:dyDescent="0.2">
      <c r="B249" s="87"/>
    </row>
    <row r="250" spans="2:2" x14ac:dyDescent="0.2">
      <c r="B250" s="87"/>
    </row>
    <row r="251" spans="2:2" x14ac:dyDescent="0.2">
      <c r="B251" s="87"/>
    </row>
    <row r="252" spans="2:2" x14ac:dyDescent="0.2">
      <c r="B252" s="87"/>
    </row>
    <row r="253" spans="2:2" x14ac:dyDescent="0.2">
      <c r="B253" s="87"/>
    </row>
    <row r="254" spans="2:2" x14ac:dyDescent="0.2">
      <c r="B254" s="87"/>
    </row>
    <row r="255" spans="2:2" x14ac:dyDescent="0.2">
      <c r="B255" s="87"/>
    </row>
    <row r="256" spans="2:2" x14ac:dyDescent="0.2">
      <c r="B256" s="87"/>
    </row>
    <row r="257" spans="2:2" x14ac:dyDescent="0.2">
      <c r="B257" s="87"/>
    </row>
    <row r="258" spans="2:2" x14ac:dyDescent="0.2">
      <c r="B258" s="87"/>
    </row>
    <row r="259" spans="2:2" x14ac:dyDescent="0.2">
      <c r="B259" s="87"/>
    </row>
    <row r="260" spans="2:2" x14ac:dyDescent="0.2">
      <c r="B260" s="87"/>
    </row>
    <row r="261" spans="2:2" x14ac:dyDescent="0.2">
      <c r="B261" s="87"/>
    </row>
    <row r="262" spans="2:2" x14ac:dyDescent="0.2">
      <c r="B262" s="87"/>
    </row>
    <row r="263" spans="2:2" x14ac:dyDescent="0.2">
      <c r="B263" s="87"/>
    </row>
    <row r="264" spans="2:2" x14ac:dyDescent="0.2">
      <c r="B264" s="87"/>
    </row>
    <row r="265" spans="2:2" x14ac:dyDescent="0.2">
      <c r="B265" s="87"/>
    </row>
    <row r="266" spans="2:2" x14ac:dyDescent="0.2">
      <c r="B266" s="87"/>
    </row>
    <row r="267" spans="2:2" x14ac:dyDescent="0.2">
      <c r="B267" s="87"/>
    </row>
    <row r="268" spans="2:2" x14ac:dyDescent="0.2">
      <c r="B268" s="87"/>
    </row>
    <row r="269" spans="2:2" x14ac:dyDescent="0.2">
      <c r="B269" s="87"/>
    </row>
    <row r="270" spans="2:2" x14ac:dyDescent="0.2">
      <c r="B270" s="87"/>
    </row>
    <row r="271" spans="2:2" x14ac:dyDescent="0.2">
      <c r="B271" s="87"/>
    </row>
    <row r="272" spans="2:2" x14ac:dyDescent="0.2">
      <c r="B272" s="87"/>
    </row>
    <row r="273" spans="2:2" x14ac:dyDescent="0.2">
      <c r="B273" s="87"/>
    </row>
    <row r="274" spans="2:2" x14ac:dyDescent="0.2">
      <c r="B274" s="87"/>
    </row>
    <row r="275" spans="2:2" x14ac:dyDescent="0.2">
      <c r="B275" s="87"/>
    </row>
    <row r="276" spans="2:2" x14ac:dyDescent="0.2">
      <c r="B276" s="87"/>
    </row>
    <row r="277" spans="2:2" x14ac:dyDescent="0.2">
      <c r="B277" s="87"/>
    </row>
    <row r="278" spans="2:2" x14ac:dyDescent="0.2">
      <c r="B278" s="87"/>
    </row>
    <row r="279" spans="2:2" x14ac:dyDescent="0.2">
      <c r="B279" s="87"/>
    </row>
    <row r="280" spans="2:2" x14ac:dyDescent="0.2">
      <c r="B280" s="87"/>
    </row>
    <row r="281" spans="2:2" x14ac:dyDescent="0.2">
      <c r="B281" s="87"/>
    </row>
    <row r="282" spans="2:2" x14ac:dyDescent="0.2">
      <c r="B282" s="87"/>
    </row>
    <row r="283" spans="2:2" x14ac:dyDescent="0.2">
      <c r="B283" s="87"/>
    </row>
    <row r="284" spans="2:2" x14ac:dyDescent="0.2">
      <c r="B284" s="87"/>
    </row>
    <row r="285" spans="2:2" x14ac:dyDescent="0.2">
      <c r="B285" s="87"/>
    </row>
    <row r="286" spans="2:2" x14ac:dyDescent="0.2">
      <c r="B286" s="87"/>
    </row>
    <row r="287" spans="2:2" x14ac:dyDescent="0.2">
      <c r="B287" s="87"/>
    </row>
    <row r="288" spans="2:2" x14ac:dyDescent="0.2">
      <c r="B288" s="87"/>
    </row>
    <row r="289" spans="2:2" x14ac:dyDescent="0.2">
      <c r="B289" s="87"/>
    </row>
    <row r="290" spans="2:2" x14ac:dyDescent="0.2">
      <c r="B290" s="87"/>
    </row>
    <row r="291" spans="2:2" x14ac:dyDescent="0.2">
      <c r="B291" s="87"/>
    </row>
    <row r="292" spans="2:2" x14ac:dyDescent="0.2">
      <c r="B292" s="87"/>
    </row>
    <row r="293" spans="2:2" x14ac:dyDescent="0.2">
      <c r="B293" s="87"/>
    </row>
    <row r="294" spans="2:2" x14ac:dyDescent="0.2">
      <c r="B294" s="87"/>
    </row>
    <row r="295" spans="2:2" x14ac:dyDescent="0.2">
      <c r="B295" s="87"/>
    </row>
    <row r="296" spans="2:2" x14ac:dyDescent="0.2">
      <c r="B296" s="87"/>
    </row>
    <row r="297" spans="2:2" x14ac:dyDescent="0.2">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AP109" workbookViewId="0">
      <selection activeCell="BH112" sqref="BH112"/>
    </sheetView>
  </sheetViews>
  <sheetFormatPr defaultRowHeight="14.25" x14ac:dyDescent="0.2"/>
  <cols>
    <col min="1" max="1" width="9" style="67"/>
    <col min="2" max="2" width="12.125" customWidth="1"/>
    <col min="3" max="3" width="22.25" style="67" bestFit="1" customWidth="1"/>
    <col min="4" max="4" width="11.125" customWidth="1"/>
    <col min="60" max="60" width="17.625" bestFit="1" customWidth="1"/>
    <col min="61" max="61" width="24.25" bestFit="1" customWidth="1"/>
    <col min="62" max="62" width="27.75" style="67" bestFit="1" customWidth="1"/>
    <col min="63" max="114" width="9.75" bestFit="1" customWidth="1"/>
    <col min="115" max="115" width="9.75" style="67" bestFit="1" customWidth="1"/>
    <col min="116" max="116" width="22.75" bestFit="1" customWidth="1"/>
  </cols>
  <sheetData>
    <row r="1" spans="1:121" ht="15" x14ac:dyDescent="0.25">
      <c r="A1" s="67" t="s">
        <v>1242</v>
      </c>
      <c r="C1" s="2" t="s">
        <v>459</v>
      </c>
      <c r="D1" t="s">
        <v>467</v>
      </c>
      <c r="E1">
        <v>2</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44760</v>
      </c>
      <c r="BL1" s="317">
        <f ca="1">INDEX('Critical resources (hide)'!$B$6:$F$58,MATCH('Capacity calculation (hide)'!BL$3,'Critical resources (hide)'!$F$6:$F$58,0),1)</f>
        <v>44767</v>
      </c>
      <c r="BM1" s="317">
        <f ca="1">INDEX('Critical resources (hide)'!$B$6:$F$58,MATCH('Capacity calculation (hide)'!BM$3,'Critical resources (hide)'!$F$6:$F$58,0),1)</f>
        <v>44774</v>
      </c>
      <c r="BN1" s="317">
        <f ca="1">INDEX('Critical resources (hide)'!$B$6:$F$58,MATCH('Capacity calculation (hide)'!BN$3,'Critical resources (hide)'!$F$6:$F$58,0),1)</f>
        <v>44781</v>
      </c>
      <c r="BO1" s="317">
        <f ca="1">INDEX('Critical resources (hide)'!$B$6:$F$58,MATCH('Capacity calculation (hide)'!BO$3,'Critical resources (hide)'!$F$6:$F$58,0),1)</f>
        <v>44788</v>
      </c>
      <c r="BP1" s="317">
        <f ca="1">INDEX('Critical resources (hide)'!$B$6:$F$58,MATCH('Capacity calculation (hide)'!BP$3,'Critical resources (hide)'!$F$6:$F$58,0),1)</f>
        <v>44795</v>
      </c>
      <c r="BQ1" s="317">
        <f ca="1">INDEX('Critical resources (hide)'!$B$6:$F$58,MATCH('Capacity calculation (hide)'!BQ$3,'Critical resources (hide)'!$F$6:$F$58,0),1)</f>
        <v>44802</v>
      </c>
      <c r="BR1" s="317">
        <f ca="1">INDEX('Critical resources (hide)'!$B$6:$F$58,MATCH('Capacity calculation (hide)'!BR$3,'Critical resources (hide)'!$F$6:$F$58,0),1)</f>
        <v>44809</v>
      </c>
      <c r="BS1" s="317">
        <f ca="1">INDEX('Critical resources (hide)'!$B$6:$F$58,MATCH('Capacity calculation (hide)'!BS$3,'Critical resources (hide)'!$F$6:$F$58,0),1)</f>
        <v>44816</v>
      </c>
      <c r="BT1" s="317">
        <f ca="1">INDEX('Critical resources (hide)'!$B$6:$F$58,MATCH('Capacity calculation (hide)'!BT$3,'Critical resources (hide)'!$F$6:$F$58,0),1)</f>
        <v>44823</v>
      </c>
      <c r="BU1" s="317">
        <f ca="1">INDEX('Critical resources (hide)'!$B$6:$F$58,MATCH('Capacity calculation (hide)'!BU$3,'Critical resources (hide)'!$F$6:$F$58,0),1)</f>
        <v>44830</v>
      </c>
      <c r="BV1" s="317">
        <f ca="1">INDEX('Critical resources (hide)'!$B$6:$F$58,MATCH('Capacity calculation (hide)'!BV$3,'Critical resources (hide)'!$F$6:$F$58,0),1)</f>
        <v>44837</v>
      </c>
      <c r="BW1" s="317">
        <f ca="1">INDEX('Critical resources (hide)'!$B$6:$F$58,MATCH('Capacity calculation (hide)'!BW$3,'Critical resources (hide)'!$F$6:$F$58,0),1)</f>
        <v>44844</v>
      </c>
      <c r="BX1" s="317">
        <f ca="1">INDEX('Critical resources (hide)'!$B$6:$F$58,MATCH('Capacity calculation (hide)'!BX$3,'Critical resources (hide)'!$F$6:$F$58,0),1)</f>
        <v>44851</v>
      </c>
      <c r="BY1" s="317">
        <f ca="1">INDEX('Critical resources (hide)'!$B$6:$F$58,MATCH('Capacity calculation (hide)'!BY$3,'Critical resources (hide)'!$F$6:$F$58,0),1)</f>
        <v>44858</v>
      </c>
      <c r="BZ1" s="317">
        <f ca="1">INDEX('Critical resources (hide)'!$B$6:$F$58,MATCH('Capacity calculation (hide)'!BZ$3,'Critical resources (hide)'!$F$6:$F$58,0),1)</f>
        <v>44865</v>
      </c>
      <c r="CA1" s="317">
        <f ca="1">INDEX('Critical resources (hide)'!$B$6:$F$58,MATCH('Capacity calculation (hide)'!CA$3,'Critical resources (hide)'!$F$6:$F$58,0),1)</f>
        <v>44872</v>
      </c>
      <c r="CB1" s="317">
        <f ca="1">INDEX('Critical resources (hide)'!$B$6:$F$58,MATCH('Capacity calculation (hide)'!CB$3,'Critical resources (hide)'!$F$6:$F$58,0),1)</f>
        <v>44879</v>
      </c>
      <c r="CC1" s="317">
        <f ca="1">INDEX('Critical resources (hide)'!$B$6:$F$58,MATCH('Capacity calculation (hide)'!CC$3,'Critical resources (hide)'!$F$6:$F$58,0),1)</f>
        <v>44886</v>
      </c>
      <c r="CD1" s="317">
        <f ca="1">INDEX('Critical resources (hide)'!$B$6:$F$58,MATCH('Capacity calculation (hide)'!CD$3,'Critical resources (hide)'!$F$6:$F$58,0),1)</f>
        <v>44893</v>
      </c>
      <c r="CE1" s="317">
        <f ca="1">INDEX('Critical resources (hide)'!$B$6:$F$58,MATCH('Capacity calculation (hide)'!CE$3,'Critical resources (hide)'!$F$6:$F$58,0),1)</f>
        <v>44900</v>
      </c>
      <c r="CF1" s="317">
        <f ca="1">INDEX('Critical resources (hide)'!$B$6:$F$58,MATCH('Capacity calculation (hide)'!CF$3,'Critical resources (hide)'!$F$6:$F$58,0),1)</f>
        <v>44907</v>
      </c>
      <c r="CG1" s="317">
        <f ca="1">INDEX('Critical resources (hide)'!$B$6:$F$58,MATCH('Capacity calculation (hide)'!CG$3,'Critical resources (hide)'!$F$6:$F$58,0),1)</f>
        <v>44914</v>
      </c>
      <c r="CH1" s="317">
        <f ca="1">INDEX('Critical resources (hide)'!$B$6:$F$58,MATCH('Capacity calculation (hide)'!CH$3,'Critical resources (hide)'!$F$6:$F$58,0),1)</f>
        <v>44921</v>
      </c>
      <c r="CI1" s="317">
        <f ca="1">INDEX('Critical resources (hide)'!$B$6:$F$58,MATCH('Capacity calculation (hide)'!CI$3,'Critical resources (hide)'!$F$6:$F$58,0),1)</f>
        <v>44928</v>
      </c>
      <c r="CJ1" s="317">
        <f ca="1">INDEX('Critical resources (hide)'!$B$6:$F$58,MATCH('Capacity calculation (hide)'!CJ$3,'Critical resources (hide)'!$F$6:$F$58,0),1)</f>
        <v>44935</v>
      </c>
      <c r="CK1" s="317">
        <f ca="1">INDEX('Critical resources (hide)'!$B$6:$F$58,MATCH('Capacity calculation (hide)'!CK$3,'Critical resources (hide)'!$F$6:$F$58,0),1)</f>
        <v>44942</v>
      </c>
      <c r="CL1" s="317">
        <f ca="1">INDEX('Critical resources (hide)'!$B$6:$F$58,MATCH('Capacity calculation (hide)'!CL$3,'Critical resources (hide)'!$F$6:$F$58,0),1)</f>
        <v>44949</v>
      </c>
      <c r="CM1" s="317">
        <f ca="1">INDEX('Critical resources (hide)'!$B$6:$F$58,MATCH('Capacity calculation (hide)'!CM$3,'Critical resources (hide)'!$F$6:$F$58,0),1)</f>
        <v>44956</v>
      </c>
      <c r="CN1" s="317">
        <f ca="1">INDEX('Critical resources (hide)'!$B$6:$F$58,MATCH('Capacity calculation (hide)'!CN$3,'Critical resources (hide)'!$F$6:$F$58,0),1)</f>
        <v>44963</v>
      </c>
      <c r="CO1" s="317">
        <f ca="1">INDEX('Critical resources (hide)'!$B$6:$F$58,MATCH('Capacity calculation (hide)'!CO$3,'Critical resources (hide)'!$F$6:$F$58,0),1)</f>
        <v>44970</v>
      </c>
      <c r="CP1" s="317">
        <f ca="1">INDEX('Critical resources (hide)'!$B$6:$F$58,MATCH('Capacity calculation (hide)'!CP$3,'Critical resources (hide)'!$F$6:$F$58,0),1)</f>
        <v>44977</v>
      </c>
      <c r="CQ1" s="317">
        <f ca="1">INDEX('Critical resources (hide)'!$B$6:$F$58,MATCH('Capacity calculation (hide)'!CQ$3,'Critical resources (hide)'!$F$6:$F$58,0),1)</f>
        <v>44984</v>
      </c>
      <c r="CR1" s="317">
        <f ca="1">INDEX('Critical resources (hide)'!$B$6:$F$58,MATCH('Capacity calculation (hide)'!CR$3,'Critical resources (hide)'!$F$6:$F$58,0),1)</f>
        <v>44991</v>
      </c>
      <c r="CS1" s="317">
        <f ca="1">INDEX('Critical resources (hide)'!$B$6:$F$58,MATCH('Capacity calculation (hide)'!CS$3,'Critical resources (hide)'!$F$6:$F$58,0),1)</f>
        <v>44998</v>
      </c>
      <c r="CT1" s="317">
        <f ca="1">INDEX('Critical resources (hide)'!$B$6:$F$58,MATCH('Capacity calculation (hide)'!CT$3,'Critical resources (hide)'!$F$6:$F$58,0),1)</f>
        <v>45005</v>
      </c>
      <c r="CU1" s="317">
        <f ca="1">INDEX('Critical resources (hide)'!$B$6:$F$58,MATCH('Capacity calculation (hide)'!CU$3,'Critical resources (hide)'!$F$6:$F$58,0),1)</f>
        <v>45012</v>
      </c>
      <c r="CV1" s="317">
        <f ca="1">INDEX('Critical resources (hide)'!$B$6:$F$58,MATCH('Capacity calculation (hide)'!CV$3,'Critical resources (hide)'!$F$6:$F$58,0),1)</f>
        <v>45019</v>
      </c>
      <c r="CW1" s="317">
        <f ca="1">INDEX('Critical resources (hide)'!$B$6:$F$58,MATCH('Capacity calculation (hide)'!CW$3,'Critical resources (hide)'!$F$6:$F$58,0),1)</f>
        <v>45026</v>
      </c>
      <c r="CX1" s="317">
        <f ca="1">INDEX('Critical resources (hide)'!$B$6:$F$58,MATCH('Capacity calculation (hide)'!CX$3,'Critical resources (hide)'!$F$6:$F$58,0),1)</f>
        <v>45033</v>
      </c>
      <c r="CY1" s="317">
        <f ca="1">INDEX('Critical resources (hide)'!$B$6:$F$58,MATCH('Capacity calculation (hide)'!CY$3,'Critical resources (hide)'!$F$6:$F$58,0),1)</f>
        <v>45040</v>
      </c>
      <c r="CZ1" s="317">
        <f ca="1">INDEX('Critical resources (hide)'!$B$6:$F$58,MATCH('Capacity calculation (hide)'!CZ$3,'Critical resources (hide)'!$F$6:$F$58,0),1)</f>
        <v>45047</v>
      </c>
      <c r="DA1" s="317">
        <f ca="1">INDEX('Critical resources (hide)'!$B$6:$F$58,MATCH('Capacity calculation (hide)'!DA$3,'Critical resources (hide)'!$F$6:$F$58,0),1)</f>
        <v>45054</v>
      </c>
      <c r="DB1" s="317">
        <f ca="1">INDEX('Critical resources (hide)'!$B$6:$F$58,MATCH('Capacity calculation (hide)'!DB$3,'Critical resources (hide)'!$F$6:$F$58,0),1)</f>
        <v>45061</v>
      </c>
      <c r="DC1" s="317">
        <f ca="1">INDEX('Critical resources (hide)'!$B$6:$F$58,MATCH('Capacity calculation (hide)'!DC$3,'Critical resources (hide)'!$F$6:$F$58,0),1)</f>
        <v>45068</v>
      </c>
      <c r="DD1" s="317">
        <f ca="1">INDEX('Critical resources (hide)'!$B$6:$F$58,MATCH('Capacity calculation (hide)'!DD$3,'Critical resources (hide)'!$F$6:$F$58,0),1)</f>
        <v>45075</v>
      </c>
      <c r="DE1" s="317">
        <f ca="1">INDEX('Critical resources (hide)'!$B$6:$F$58,MATCH('Capacity calculation (hide)'!DE$3,'Critical resources (hide)'!$F$6:$F$58,0),1)</f>
        <v>45082</v>
      </c>
      <c r="DF1" s="317">
        <f ca="1">INDEX('Critical resources (hide)'!$B$6:$F$58,MATCH('Capacity calculation (hide)'!DF$3,'Critical resources (hide)'!$F$6:$F$58,0),1)</f>
        <v>45089</v>
      </c>
      <c r="DG1" s="317">
        <f ca="1">INDEX('Critical resources (hide)'!$B$6:$F$58,MATCH('Capacity calculation (hide)'!DG$3,'Critical resources (hide)'!$F$6:$F$58,0),1)</f>
        <v>45096</v>
      </c>
      <c r="DH1" s="317">
        <f ca="1">INDEX('Critical resources (hide)'!$B$6:$F$58,MATCH('Capacity calculation (hide)'!DH$3,'Critical resources (hide)'!$F$6:$F$58,0),1)</f>
        <v>45103</v>
      </c>
      <c r="DI1" s="317">
        <f ca="1">INDEX('Critical resources (hide)'!$B$6:$F$58,MATCH('Capacity calculation (hide)'!DI$3,'Critical resources (hide)'!$F$6:$F$58,0),1)</f>
        <v>45110</v>
      </c>
      <c r="DJ1" s="317">
        <f ca="1">INDEX('Critical resources (hide)'!$B$6:$F$58,MATCH('Capacity calculation (hide)'!DJ$3,'Critical resources (hide)'!$F$6:$F$58,0),1)</f>
        <v>45117</v>
      </c>
      <c r="DK1" s="317">
        <f ca="1">INDEX('Critical resources (hide)'!$B$6:$F$58,MATCH('Capacity calculation (hide)'!DK$3,'Critical resources (hide)'!$F$6:$F$58,0),1)</f>
        <v>44760</v>
      </c>
    </row>
    <row r="2" spans="1:121" ht="15"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87">
        <v>53</v>
      </c>
    </row>
    <row r="3" spans="1:121" ht="15"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29</v>
      </c>
      <c r="BL3" s="59">
        <f ca="1">OFFSET('Critical resources (hide)'!$F$6,COLUMN(B1)-1,0,1,1)</f>
        <v>30</v>
      </c>
      <c r="BM3" s="59">
        <f ca="1">OFFSET('Critical resources (hide)'!$F$6,COLUMN(C1)-1,0,1,1)</f>
        <v>31</v>
      </c>
      <c r="BN3" s="59">
        <f ca="1">OFFSET('Critical resources (hide)'!$F$6,COLUMN(D1)-1,0,1,1)</f>
        <v>32</v>
      </c>
      <c r="BO3" s="59">
        <f ca="1">OFFSET('Critical resources (hide)'!$F$6,COLUMN(E1)-1,0,1,1)</f>
        <v>33</v>
      </c>
      <c r="BP3" s="59">
        <f ca="1">OFFSET('Critical resources (hide)'!$F$6,COLUMN(F1)-1,0,1,1)</f>
        <v>34</v>
      </c>
      <c r="BQ3" s="59">
        <f ca="1">OFFSET('Critical resources (hide)'!$F$6,COLUMN(G1)-1,0,1,1)</f>
        <v>35</v>
      </c>
      <c r="BR3" s="59">
        <f ca="1">OFFSET('Critical resources (hide)'!$F$6,COLUMN(H1)-1,0,1,1)</f>
        <v>36</v>
      </c>
      <c r="BS3" s="59">
        <f ca="1">OFFSET('Critical resources (hide)'!$F$6,COLUMN(I1)-1,0,1,1)</f>
        <v>37</v>
      </c>
      <c r="BT3" s="59">
        <f ca="1">OFFSET('Critical resources (hide)'!$F$6,COLUMN(J1)-1,0,1,1)</f>
        <v>38</v>
      </c>
      <c r="BU3" s="59">
        <f ca="1">OFFSET('Critical resources (hide)'!$F$6,COLUMN(K1)-1,0,1,1)</f>
        <v>39</v>
      </c>
      <c r="BV3" s="59">
        <f ca="1">OFFSET('Critical resources (hide)'!$F$6,COLUMN(L1)-1,0,1,1)</f>
        <v>40</v>
      </c>
      <c r="BW3" s="59">
        <f ca="1">OFFSET('Critical resources (hide)'!$F$6,COLUMN(M1)-1,0,1,1)</f>
        <v>41</v>
      </c>
      <c r="BX3" s="59">
        <f ca="1">OFFSET('Critical resources (hide)'!$F$6,COLUMN(N1)-1,0,1,1)</f>
        <v>42</v>
      </c>
      <c r="BY3" s="59">
        <f ca="1">OFFSET('Critical resources (hide)'!$F$6,COLUMN(O1)-1,0,1,1)</f>
        <v>43</v>
      </c>
      <c r="BZ3" s="59">
        <f ca="1">OFFSET('Critical resources (hide)'!$F$6,COLUMN(P1)-1,0,1,1)</f>
        <v>44</v>
      </c>
      <c r="CA3" s="59">
        <f ca="1">OFFSET('Critical resources (hide)'!$F$6,COLUMN(Q1)-1,0,1,1)</f>
        <v>45</v>
      </c>
      <c r="CB3" s="59">
        <f ca="1">OFFSET('Critical resources (hide)'!$F$6,COLUMN(R1)-1,0,1,1)</f>
        <v>46</v>
      </c>
      <c r="CC3" s="59">
        <f ca="1">OFFSET('Critical resources (hide)'!$F$6,COLUMN(S1)-1,0,1,1)</f>
        <v>47</v>
      </c>
      <c r="CD3" s="59">
        <f ca="1">OFFSET('Critical resources (hide)'!$F$6,COLUMN(T1)-1,0,1,1)</f>
        <v>48</v>
      </c>
      <c r="CE3" s="59">
        <f ca="1">OFFSET('Critical resources (hide)'!$F$6,COLUMN(U1)-1,0,1,1)</f>
        <v>49</v>
      </c>
      <c r="CF3" s="59">
        <f ca="1">OFFSET('Critical resources (hide)'!$F$6,COLUMN(V1)-1,0,1,1)</f>
        <v>50</v>
      </c>
      <c r="CG3" s="59">
        <f ca="1">OFFSET('Critical resources (hide)'!$F$6,COLUMN(W1)-1,0,1,1)</f>
        <v>51</v>
      </c>
      <c r="CH3" s="59">
        <f ca="1">OFFSET('Critical resources (hide)'!$F$6,COLUMN(X1)-1,0,1,1)</f>
        <v>52</v>
      </c>
      <c r="CI3" s="59">
        <f ca="1">OFFSET('Critical resources (hide)'!$F$6,COLUMN(Y1)-1,0,1,1)</f>
        <v>1</v>
      </c>
      <c r="CJ3" s="59">
        <f ca="1">OFFSET('Critical resources (hide)'!$F$6,COLUMN(Z1)-1,0,1,1)</f>
        <v>2</v>
      </c>
      <c r="CK3" s="59">
        <f ca="1">OFFSET('Critical resources (hide)'!$F$6,COLUMN(AA1)-1,0,1,1)</f>
        <v>3</v>
      </c>
      <c r="CL3" s="59">
        <f ca="1">OFFSET('Critical resources (hide)'!$F$6,COLUMN(AB1)-1,0,1,1)</f>
        <v>4</v>
      </c>
      <c r="CM3" s="59">
        <f ca="1">OFFSET('Critical resources (hide)'!$F$6,COLUMN(AC1)-1,0,1,1)</f>
        <v>5</v>
      </c>
      <c r="CN3" s="59">
        <f ca="1">OFFSET('Critical resources (hide)'!$F$6,COLUMN(AD1)-1,0,1,1)</f>
        <v>6</v>
      </c>
      <c r="CO3" s="59">
        <f ca="1">OFFSET('Critical resources (hide)'!$F$6,COLUMN(AE1)-1,0,1,1)</f>
        <v>7</v>
      </c>
      <c r="CP3" s="59">
        <f ca="1">OFFSET('Critical resources (hide)'!$F$6,COLUMN(AF1)-1,0,1,1)</f>
        <v>8</v>
      </c>
      <c r="CQ3" s="59">
        <f ca="1">OFFSET('Critical resources (hide)'!$F$6,COLUMN(AG1)-1,0,1,1)</f>
        <v>9</v>
      </c>
      <c r="CR3" s="59">
        <f ca="1">OFFSET('Critical resources (hide)'!$F$6,COLUMN(AH1)-1,0,1,1)</f>
        <v>10</v>
      </c>
      <c r="CS3" s="59">
        <f ca="1">OFFSET('Critical resources (hide)'!$F$6,COLUMN(AI1)-1,0,1,1)</f>
        <v>11</v>
      </c>
      <c r="CT3" s="59">
        <f ca="1">OFFSET('Critical resources (hide)'!$F$6,COLUMN(AJ1)-1,0,1,1)</f>
        <v>12</v>
      </c>
      <c r="CU3" s="59">
        <f ca="1">OFFSET('Critical resources (hide)'!$F$6,COLUMN(AK1)-1,0,1,1)</f>
        <v>13</v>
      </c>
      <c r="CV3" s="59">
        <f ca="1">OFFSET('Critical resources (hide)'!$F$6,COLUMN(AL1)-1,0,1,1)</f>
        <v>14</v>
      </c>
      <c r="CW3" s="59">
        <f ca="1">OFFSET('Critical resources (hide)'!$F$6,COLUMN(AM1)-1,0,1,1)</f>
        <v>15</v>
      </c>
      <c r="CX3" s="59">
        <f ca="1">OFFSET('Critical resources (hide)'!$F$6,COLUMN(AN1)-1,0,1,1)</f>
        <v>16</v>
      </c>
      <c r="CY3" s="59">
        <f ca="1">OFFSET('Critical resources (hide)'!$F$6,COLUMN(AO1)-1,0,1,1)</f>
        <v>17</v>
      </c>
      <c r="CZ3" s="59">
        <f ca="1">OFFSET('Critical resources (hide)'!$F$6,COLUMN(AP1)-1,0,1,1)</f>
        <v>18</v>
      </c>
      <c r="DA3" s="59">
        <f ca="1">OFFSET('Critical resources (hide)'!$F$6,COLUMN(AQ1)-1,0,1,1)</f>
        <v>19</v>
      </c>
      <c r="DB3" s="59">
        <f ca="1">OFFSET('Critical resources (hide)'!$F$6,COLUMN(AR1)-1,0,1,1)</f>
        <v>20</v>
      </c>
      <c r="DC3" s="59">
        <f ca="1">OFFSET('Critical resources (hide)'!$F$6,COLUMN(AS1)-1,0,1,1)</f>
        <v>21</v>
      </c>
      <c r="DD3" s="59">
        <f ca="1">OFFSET('Critical resources (hide)'!$F$6,COLUMN(AT1)-1,0,1,1)</f>
        <v>22</v>
      </c>
      <c r="DE3" s="59">
        <f ca="1">OFFSET('Critical resources (hide)'!$F$6,COLUMN(AU1)-1,0,1,1)</f>
        <v>23</v>
      </c>
      <c r="DF3" s="59">
        <f ca="1">OFFSET('Critical resources (hide)'!$F$6,COLUMN(AV1)-1,0,1,1)</f>
        <v>24</v>
      </c>
      <c r="DG3" s="59">
        <f ca="1">OFFSET('Critical resources (hide)'!$F$6,COLUMN(AW1)-1,0,1,1)</f>
        <v>25</v>
      </c>
      <c r="DH3" s="59">
        <f ca="1">OFFSET('Critical resources (hide)'!$F$6,COLUMN(AX1)-1,0,1,1)</f>
        <v>26</v>
      </c>
      <c r="DI3" s="59">
        <f ca="1">OFFSET('Critical resources (hide)'!$F$6,COLUMN(AY1)-1,0,1,1)</f>
        <v>27</v>
      </c>
      <c r="DJ3" s="59">
        <f ca="1">OFFSET('Critical resources (hide)'!$F$6,COLUMN(AZ1)-1,0,1,1)</f>
        <v>28</v>
      </c>
      <c r="DK3" s="375">
        <f ca="1">DJ3+1</f>
        <v>29</v>
      </c>
      <c r="DL3" s="2" t="s">
        <v>462</v>
      </c>
      <c r="DM3" t="s">
        <v>463</v>
      </c>
    </row>
    <row r="4" spans="1:121" s="67" customFormat="1" ht="15"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si="0">SUM(BK5:BK104)</f>
        <v>0</v>
      </c>
      <c r="BL4" s="311">
        <f t="shared" si="0"/>
        <v>0</v>
      </c>
      <c r="BM4" s="311">
        <f t="shared" si="0"/>
        <v>0</v>
      </c>
      <c r="BN4" s="311">
        <f t="shared" si="0"/>
        <v>0</v>
      </c>
      <c r="BO4" s="311">
        <f t="shared" si="0"/>
        <v>0</v>
      </c>
      <c r="BP4" s="311">
        <f t="shared" si="0"/>
        <v>0</v>
      </c>
      <c r="BQ4" s="311">
        <f t="shared" si="0"/>
        <v>0</v>
      </c>
      <c r="BR4" s="311">
        <f t="shared" si="0"/>
        <v>0</v>
      </c>
      <c r="BS4" s="311">
        <f t="shared" si="0"/>
        <v>0</v>
      </c>
      <c r="BT4" s="311">
        <f t="shared" si="0"/>
        <v>0</v>
      </c>
      <c r="BU4" s="311">
        <f t="shared" si="0"/>
        <v>0</v>
      </c>
      <c r="BV4" s="311">
        <f t="shared" si="0"/>
        <v>0</v>
      </c>
      <c r="BW4" s="311">
        <f t="shared" si="0"/>
        <v>0</v>
      </c>
      <c r="BX4" s="311">
        <f t="shared" si="0"/>
        <v>0</v>
      </c>
      <c r="BY4" s="311">
        <f t="shared" si="0"/>
        <v>0</v>
      </c>
      <c r="BZ4" s="311">
        <f t="shared" si="0"/>
        <v>0</v>
      </c>
      <c r="CA4" s="311">
        <f t="shared" si="0"/>
        <v>0</v>
      </c>
      <c r="CB4" s="311">
        <f t="shared" si="0"/>
        <v>0</v>
      </c>
      <c r="CC4" s="311">
        <f t="shared" si="0"/>
        <v>0</v>
      </c>
      <c r="CD4" s="311">
        <f t="shared" si="0"/>
        <v>0</v>
      </c>
      <c r="CE4" s="311">
        <f t="shared" si="0"/>
        <v>0</v>
      </c>
      <c r="CF4" s="311">
        <f t="shared" si="0"/>
        <v>0</v>
      </c>
      <c r="CG4" s="311">
        <f t="shared" si="0"/>
        <v>0</v>
      </c>
      <c r="CH4" s="311">
        <f t="shared" si="0"/>
        <v>0</v>
      </c>
      <c r="CI4" s="311">
        <f t="shared" si="0"/>
        <v>0</v>
      </c>
      <c r="CJ4" s="311">
        <f t="shared" si="0"/>
        <v>0</v>
      </c>
      <c r="CK4" s="311">
        <f t="shared" si="0"/>
        <v>0</v>
      </c>
      <c r="CL4" s="311">
        <f t="shared" si="0"/>
        <v>0</v>
      </c>
      <c r="CM4" s="311">
        <f t="shared" si="0"/>
        <v>0</v>
      </c>
      <c r="CN4" s="311">
        <f t="shared" si="0"/>
        <v>0</v>
      </c>
      <c r="CO4" s="311">
        <f t="shared" si="0"/>
        <v>0</v>
      </c>
      <c r="CP4" s="311">
        <f t="shared" si="0"/>
        <v>0</v>
      </c>
      <c r="CQ4" s="311">
        <f t="shared" ref="CQ4:DJ4" si="1">SUM(CQ5:CQ104)</f>
        <v>0</v>
      </c>
      <c r="CR4" s="311">
        <f t="shared" si="1"/>
        <v>0</v>
      </c>
      <c r="CS4" s="311">
        <f t="shared" si="1"/>
        <v>0</v>
      </c>
      <c r="CT4" s="311">
        <f t="shared" si="1"/>
        <v>0</v>
      </c>
      <c r="CU4" s="311">
        <f t="shared" si="1"/>
        <v>0</v>
      </c>
      <c r="CV4" s="311">
        <f t="shared" si="1"/>
        <v>0</v>
      </c>
      <c r="CW4" s="311">
        <f t="shared" si="1"/>
        <v>0</v>
      </c>
      <c r="CX4" s="311">
        <f t="shared" si="1"/>
        <v>0</v>
      </c>
      <c r="CY4" s="311">
        <f t="shared" si="1"/>
        <v>0</v>
      </c>
      <c r="CZ4" s="311">
        <f t="shared" si="1"/>
        <v>0</v>
      </c>
      <c r="DA4" s="311">
        <f t="shared" si="1"/>
        <v>0</v>
      </c>
      <c r="DB4" s="311">
        <f t="shared" si="1"/>
        <v>0</v>
      </c>
      <c r="DC4" s="311">
        <f t="shared" si="1"/>
        <v>0</v>
      </c>
      <c r="DD4" s="311">
        <f t="shared" si="1"/>
        <v>0</v>
      </c>
      <c r="DE4" s="311">
        <f t="shared" si="1"/>
        <v>0</v>
      </c>
      <c r="DF4" s="311">
        <f t="shared" si="1"/>
        <v>0</v>
      </c>
      <c r="DG4" s="311">
        <f t="shared" si="1"/>
        <v>0</v>
      </c>
      <c r="DH4" s="311">
        <f t="shared" si="1"/>
        <v>0</v>
      </c>
      <c r="DI4" s="311">
        <f t="shared" si="1"/>
        <v>0</v>
      </c>
      <c r="DJ4" s="311">
        <f t="shared" si="1"/>
        <v>0</v>
      </c>
      <c r="DK4" s="388">
        <f>DJ4</f>
        <v>0</v>
      </c>
      <c r="DL4" s="136">
        <f>SUM(BK4:DK4)</f>
        <v>0</v>
      </c>
      <c r="DM4" s="5">
        <f>SUM(DM5:DM104)</f>
        <v>0</v>
      </c>
    </row>
    <row r="5" spans="1:121" x14ac:dyDescent="0.2">
      <c r="A5" s="67">
        <f>IF(Capacity!L17='Capacity summary'!BI124,1,0)</f>
        <v>1</v>
      </c>
      <c r="B5">
        <f>IF(Capacity!V17='Capacity summary'!BI24,1,0)</f>
        <v>1</v>
      </c>
      <c r="C5" s="67" t="str">
        <f>ROW(A1)&amp;". "&amp;Capacity!B17</f>
        <v xml:space="preserve">1. </v>
      </c>
      <c r="D5">
        <f>'Capacity setup'!C12</f>
        <v>0</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0</v>
      </c>
      <c r="BI5" s="5" t="str">
        <f>IF(BH5&gt;0,IF(BH5&lt;Capacity!E17,Capacity!F17,Capacity!H17/'Capacity calculation (hide)'!BH5),"")</f>
        <v/>
      </c>
      <c r="BK5" s="311">
        <f>IF($BI5&lt;&gt;"",IF('Capacity summary'!$D$14="Yes",IF(COUNTBLANK('Capacity summary'!$H124:$BG124)&lt;52,IF('Capacity summary'!H124&lt;&gt;"",IF(LOWER('Capacity summary'!H124)="x",$BI5*H5,VALUE('Capacity summary'!H124)),0),H5*$BI5),H5*$BI5),0)</f>
        <v>0</v>
      </c>
      <c r="BL5" s="311">
        <f>IF($BI5&lt;&gt;"",IF('Capacity summary'!$D$14="Yes",IF(COUNTBLANK('Capacity summary'!$H124:$BG124)&lt;52,IF('Capacity summary'!I124&lt;&gt;"",IF(LOWER('Capacity summary'!I124)="x",$BI5*I5,VALUE('Capacity summary'!I124)),0),I5*$BI5),I5*$BI5),0)</f>
        <v>0</v>
      </c>
      <c r="BM5" s="311">
        <f>IF($BI5&lt;&gt;"",IF('Capacity summary'!$D$14="Yes",IF(COUNTBLANK('Capacity summary'!$H124:$BG124)&lt;52,IF('Capacity summary'!J124&lt;&gt;"",IF(LOWER('Capacity summary'!J124)="x",$BI5*J5,VALUE('Capacity summary'!J124)),0),J5*$BI5),J5*$BI5),0)</f>
        <v>0</v>
      </c>
      <c r="BN5" s="311">
        <f>IF($BI5&lt;&gt;"",IF('Capacity summary'!$D$14="Yes",IF(COUNTBLANK('Capacity summary'!$H124:$BG124)&lt;52,IF('Capacity summary'!K124&lt;&gt;"",IF(LOWER('Capacity summary'!K124)="x",$BI5*K5,VALUE('Capacity summary'!K124)),0),K5*$BI5),K5*$BI5),0)</f>
        <v>0</v>
      </c>
      <c r="BO5" s="311">
        <f>IF($BI5&lt;&gt;"",IF('Capacity summary'!$D$14="Yes",IF(COUNTBLANK('Capacity summary'!$H124:$BG124)&lt;52,IF('Capacity summary'!L124&lt;&gt;"",IF(LOWER('Capacity summary'!L124)="x",$BI5*L5,VALUE('Capacity summary'!L124)),0),L5*$BI5),L5*$BI5),0)</f>
        <v>0</v>
      </c>
      <c r="BP5" s="311">
        <f>IF($BI5&lt;&gt;"",IF('Capacity summary'!$D$14="Yes",IF(COUNTBLANK('Capacity summary'!$H124:$BG124)&lt;52,IF('Capacity summary'!M124&lt;&gt;"",IF(LOWER('Capacity summary'!M124)="x",$BI5*M5,VALUE('Capacity summary'!M124)),0),M5*$BI5),M5*$BI5),0)</f>
        <v>0</v>
      </c>
      <c r="BQ5" s="311">
        <f>IF($BI5&lt;&gt;"",IF('Capacity summary'!$D$14="Yes",IF(COUNTBLANK('Capacity summary'!$H124:$BG124)&lt;52,IF('Capacity summary'!N124&lt;&gt;"",IF(LOWER('Capacity summary'!N124)="x",$BI5*N5,VALUE('Capacity summary'!N124)),0),N5*$BI5),N5*$BI5),0)</f>
        <v>0</v>
      </c>
      <c r="BR5" s="311">
        <f>IF($BI5&lt;&gt;"",IF('Capacity summary'!$D$14="Yes",IF(COUNTBLANK('Capacity summary'!$H124:$BG124)&lt;52,IF('Capacity summary'!O124&lt;&gt;"",IF(LOWER('Capacity summary'!O124)="x",$BI5*O5,VALUE('Capacity summary'!O124)),0),O5*$BI5),O5*$BI5),0)</f>
        <v>0</v>
      </c>
      <c r="BS5" s="311">
        <f>IF($BI5&lt;&gt;"",IF('Capacity summary'!$D$14="Yes",IF(COUNTBLANK('Capacity summary'!$H124:$BG124)&lt;52,IF('Capacity summary'!P124&lt;&gt;"",IF(LOWER('Capacity summary'!P124)="x",$BI5*P5,VALUE('Capacity summary'!P124)),0),P5*$BI5),P5*$BI5),0)</f>
        <v>0</v>
      </c>
      <c r="BT5" s="311">
        <f>IF($BI5&lt;&gt;"",IF('Capacity summary'!$D$14="Yes",IF(COUNTBLANK('Capacity summary'!$H124:$BG124)&lt;52,IF('Capacity summary'!Q124&lt;&gt;"",IF(LOWER('Capacity summary'!Q124)="x",$BI5*Q5,VALUE('Capacity summary'!Q124)),0),Q5*$BI5),Q5*$BI5),0)</f>
        <v>0</v>
      </c>
      <c r="BU5" s="311">
        <f>IF($BI5&lt;&gt;"",IF('Capacity summary'!$D$14="Yes",IF(COUNTBLANK('Capacity summary'!$H124:$BG124)&lt;52,IF('Capacity summary'!R124&lt;&gt;"",IF(LOWER('Capacity summary'!R124)="x",$BI5*R5,VALUE('Capacity summary'!R124)),0),R5*$BI5),R5*$BI5),0)</f>
        <v>0</v>
      </c>
      <c r="BV5" s="311">
        <f>IF($BI5&lt;&gt;"",IF('Capacity summary'!$D$14="Yes",IF(COUNTBLANK('Capacity summary'!$H124:$BG124)&lt;52,IF('Capacity summary'!S124&lt;&gt;"",IF(LOWER('Capacity summary'!S124)="x",$BI5*S5,VALUE('Capacity summary'!S124)),0),S5*$BI5),S5*$BI5),0)</f>
        <v>0</v>
      </c>
      <c r="BW5" s="311">
        <f>IF($BI5&lt;&gt;"",IF('Capacity summary'!$D$14="Yes",IF(COUNTBLANK('Capacity summary'!$H124:$BG124)&lt;52,IF('Capacity summary'!T124&lt;&gt;"",IF(LOWER('Capacity summary'!T124)="x",$BI5*T5,VALUE('Capacity summary'!T124)),0),T5*$BI5),T5*$BI5),0)</f>
        <v>0</v>
      </c>
      <c r="BX5" s="311">
        <f>IF($BI5&lt;&gt;"",IF('Capacity summary'!$D$14="Yes",IF(COUNTBLANK('Capacity summary'!$H124:$BG124)&lt;52,IF('Capacity summary'!U124&lt;&gt;"",IF(LOWER('Capacity summary'!U124)="x",$BI5*U5,VALUE('Capacity summary'!U124)),0),U5*$BI5),U5*$BI5),0)</f>
        <v>0</v>
      </c>
      <c r="BY5" s="311">
        <f>IF($BI5&lt;&gt;"",IF('Capacity summary'!$D$14="Yes",IF(COUNTBLANK('Capacity summary'!$H124:$BG124)&lt;52,IF('Capacity summary'!V124&lt;&gt;"",IF(LOWER('Capacity summary'!V124)="x",$BI5*V5,VALUE('Capacity summary'!V124)),0),V5*$BI5),V5*$BI5),0)</f>
        <v>0</v>
      </c>
      <c r="BZ5" s="311">
        <f>IF($BI5&lt;&gt;"",IF('Capacity summary'!$D$14="Yes",IF(COUNTBLANK('Capacity summary'!$H124:$BG124)&lt;52,IF('Capacity summary'!W124&lt;&gt;"",IF(LOWER('Capacity summary'!W124)="x",$BI5*W5,VALUE('Capacity summary'!W124)),0),W5*$BI5),W5*$BI5),0)</f>
        <v>0</v>
      </c>
      <c r="CA5" s="311">
        <f>IF($BI5&lt;&gt;"",IF('Capacity summary'!$D$14="Yes",IF(COUNTBLANK('Capacity summary'!$H124:$BG124)&lt;52,IF('Capacity summary'!X124&lt;&gt;"",IF(LOWER('Capacity summary'!X124)="x",$BI5*X5,VALUE('Capacity summary'!X124)),0),X5*$BI5),X5*$BI5),0)</f>
        <v>0</v>
      </c>
      <c r="CB5" s="311">
        <f>IF($BI5&lt;&gt;"",IF('Capacity summary'!$D$14="Yes",IF(COUNTBLANK('Capacity summary'!$H124:$BG124)&lt;52,IF('Capacity summary'!Y124&lt;&gt;"",IF(LOWER('Capacity summary'!Y124)="x",$BI5*Y5,VALUE('Capacity summary'!Y124)),0),Y5*$BI5),Y5*$BI5),0)</f>
        <v>0</v>
      </c>
      <c r="CC5" s="311">
        <f>IF($BI5&lt;&gt;"",IF('Capacity summary'!$D$14="Yes",IF(COUNTBLANK('Capacity summary'!$H124:$BG124)&lt;52,IF('Capacity summary'!Z124&lt;&gt;"",IF(LOWER('Capacity summary'!Z124)="x",$BI5*Z5,VALUE('Capacity summary'!Z124)),0),Z5*$BI5),Z5*$BI5),0)</f>
        <v>0</v>
      </c>
      <c r="CD5" s="311">
        <f>IF($BI5&lt;&gt;"",IF('Capacity summary'!$D$14="Yes",IF(COUNTBLANK('Capacity summary'!$H124:$BG124)&lt;52,IF('Capacity summary'!AA124&lt;&gt;"",IF(LOWER('Capacity summary'!AA124)="x",$BI5*AA5,VALUE('Capacity summary'!AA124)),0),AA5*$BI5),AA5*$BI5),0)</f>
        <v>0</v>
      </c>
      <c r="CE5" s="311">
        <f>IF($BI5&lt;&gt;"",IF('Capacity summary'!$D$14="Yes",IF(COUNTBLANK('Capacity summary'!$H124:$BG124)&lt;52,IF('Capacity summary'!AB124&lt;&gt;"",IF(LOWER('Capacity summary'!AB124)="x",$BI5*AB5,VALUE('Capacity summary'!AB124)),0),AB5*$BI5),AB5*$BI5),0)</f>
        <v>0</v>
      </c>
      <c r="CF5" s="311">
        <f>IF($BI5&lt;&gt;"",IF('Capacity summary'!$D$14="Yes",IF(COUNTBLANK('Capacity summary'!$H124:$BG124)&lt;52,IF('Capacity summary'!AC124&lt;&gt;"",IF(LOWER('Capacity summary'!AC124)="x",$BI5*AC5,VALUE('Capacity summary'!AC124)),0),AC5*$BI5),AC5*$BI5),0)</f>
        <v>0</v>
      </c>
      <c r="CG5" s="311">
        <f>IF($BI5&lt;&gt;"",IF('Capacity summary'!$D$14="Yes",IF(COUNTBLANK('Capacity summary'!$H124:$BG124)&lt;52,IF('Capacity summary'!AD124&lt;&gt;"",IF(LOWER('Capacity summary'!AD124)="x",$BI5*AD5,VALUE('Capacity summary'!AD124)),0),AD5*$BI5),AD5*$BI5),0)</f>
        <v>0</v>
      </c>
      <c r="CH5" s="311">
        <f>IF($BI5&lt;&gt;"",IF('Capacity summary'!$D$14="Yes",IF(COUNTBLANK('Capacity summary'!$H124:$BG124)&lt;52,IF('Capacity summary'!AE124&lt;&gt;"",IF(LOWER('Capacity summary'!AE124)="x",$BI5*AE5,VALUE('Capacity summary'!AE124)),0),AE5*$BI5),AE5*$BI5),0)</f>
        <v>0</v>
      </c>
      <c r="CI5" s="311">
        <f>IF($BI5&lt;&gt;"",IF('Capacity summary'!$D$14="Yes",IF(COUNTBLANK('Capacity summary'!$H124:$BG124)&lt;52,IF('Capacity summary'!AF124&lt;&gt;"",IF(LOWER('Capacity summary'!AF124)="x",$BI5*AF5,VALUE('Capacity summary'!AF124)),0),AF5*$BI5),AF5*$BI5),0)</f>
        <v>0</v>
      </c>
      <c r="CJ5" s="311">
        <f>IF($BI5&lt;&gt;"",IF('Capacity summary'!$D$14="Yes",IF(COUNTBLANK('Capacity summary'!$H124:$BG124)&lt;52,IF('Capacity summary'!AG124&lt;&gt;"",IF(LOWER('Capacity summary'!AG124)="x",$BI5*AG5,VALUE('Capacity summary'!AG124)),0),AG5*$BI5),AG5*$BI5),0)</f>
        <v>0</v>
      </c>
      <c r="CK5" s="311">
        <f>IF($BI5&lt;&gt;"",IF('Capacity summary'!$D$14="Yes",IF(COUNTBLANK('Capacity summary'!$H124:$BG124)&lt;52,IF('Capacity summary'!AH124&lt;&gt;"",IF(LOWER('Capacity summary'!AH124)="x",$BI5*AH5,VALUE('Capacity summary'!AH124)),0),AH5*$BI5),AH5*$BI5),0)</f>
        <v>0</v>
      </c>
      <c r="CL5" s="311">
        <f>IF($BI5&lt;&gt;"",IF('Capacity summary'!$D$14="Yes",IF(COUNTBLANK('Capacity summary'!$H124:$BG124)&lt;52,IF('Capacity summary'!AI124&lt;&gt;"",IF(LOWER('Capacity summary'!AI124)="x",$BI5*AI5,VALUE('Capacity summary'!AI124)),0),AI5*$BI5),AI5*$BI5),0)</f>
        <v>0</v>
      </c>
      <c r="CM5" s="311">
        <f>IF($BI5&lt;&gt;"",IF('Capacity summary'!$D$14="Yes",IF(COUNTBLANK('Capacity summary'!$H124:$BG124)&lt;52,IF('Capacity summary'!AJ124&lt;&gt;"",IF(LOWER('Capacity summary'!AJ124)="x",$BI5*AJ5,VALUE('Capacity summary'!AJ124)),0),AJ5*$BI5),AJ5*$BI5),0)</f>
        <v>0</v>
      </c>
      <c r="CN5" s="311">
        <f>IF($BI5&lt;&gt;"",IF('Capacity summary'!$D$14="Yes",IF(COUNTBLANK('Capacity summary'!$H124:$BG124)&lt;52,IF('Capacity summary'!AK124&lt;&gt;"",IF(LOWER('Capacity summary'!AK124)="x",$BI5*AK5,VALUE('Capacity summary'!AK124)),0),AK5*$BI5),AK5*$BI5),0)</f>
        <v>0</v>
      </c>
      <c r="CO5" s="311">
        <f>IF($BI5&lt;&gt;"",IF('Capacity summary'!$D$14="Yes",IF(COUNTBLANK('Capacity summary'!$H124:$BG124)&lt;52,IF('Capacity summary'!AL124&lt;&gt;"",IF(LOWER('Capacity summary'!AL124)="x",$BI5*AL5,VALUE('Capacity summary'!AL124)),0),AL5*$BI5),AL5*$BI5),0)</f>
        <v>0</v>
      </c>
      <c r="CP5" s="311">
        <f>IF($BI5&lt;&gt;"",IF('Capacity summary'!$D$14="Yes",IF(COUNTBLANK('Capacity summary'!$H124:$BG124)&lt;52,IF('Capacity summary'!AM124&lt;&gt;"",IF(LOWER('Capacity summary'!AM124)="x",$BI5*AM5,VALUE('Capacity summary'!AM124)),0),AM5*$BI5),AM5*$BI5),0)</f>
        <v>0</v>
      </c>
      <c r="CQ5" s="311">
        <f>IF($BI5&lt;&gt;"",IF('Capacity summary'!$D$14="Yes",IF(COUNTBLANK('Capacity summary'!$H124:$BG124)&lt;52,IF('Capacity summary'!AN124&lt;&gt;"",IF(LOWER('Capacity summary'!AN124)="x",$BI5*AN5,VALUE('Capacity summary'!AN124)),0),AN5*$BI5),AN5*$BI5),0)</f>
        <v>0</v>
      </c>
      <c r="CR5" s="311">
        <f>IF($BI5&lt;&gt;"",IF('Capacity summary'!$D$14="Yes",IF(COUNTBLANK('Capacity summary'!$H124:$BG124)&lt;52,IF('Capacity summary'!AO124&lt;&gt;"",IF(LOWER('Capacity summary'!AO124)="x",$BI5*AO5,VALUE('Capacity summary'!AO124)),0),AO5*$BI5),AO5*$BI5),0)</f>
        <v>0</v>
      </c>
      <c r="CS5" s="311">
        <f>IF($BI5&lt;&gt;"",IF('Capacity summary'!$D$14="Yes",IF(COUNTBLANK('Capacity summary'!$H124:$BG124)&lt;52,IF('Capacity summary'!AP124&lt;&gt;"",IF(LOWER('Capacity summary'!AP124)="x",$BI5*AP5,VALUE('Capacity summary'!AP124)),0),AP5*$BI5),AP5*$BI5),0)</f>
        <v>0</v>
      </c>
      <c r="CT5" s="311">
        <f>IF($BI5&lt;&gt;"",IF('Capacity summary'!$D$14="Yes",IF(COUNTBLANK('Capacity summary'!$H124:$BG124)&lt;52,IF('Capacity summary'!AQ124&lt;&gt;"",IF(LOWER('Capacity summary'!AQ124)="x",$BI5*AQ5,VALUE('Capacity summary'!AQ124)),0),AQ5*$BI5),AQ5*$BI5),0)</f>
        <v>0</v>
      </c>
      <c r="CU5" s="311">
        <f>IF($BI5&lt;&gt;"",IF('Capacity summary'!$D$14="Yes",IF(COUNTBLANK('Capacity summary'!$H124:$BG124)&lt;52,IF('Capacity summary'!AR124&lt;&gt;"",IF(LOWER('Capacity summary'!AR124)="x",$BI5*AR5,VALUE('Capacity summary'!AR124)),0),AR5*$BI5),AR5*$BI5),0)</f>
        <v>0</v>
      </c>
      <c r="CV5" s="311">
        <f>IF($BI5&lt;&gt;"",IF('Capacity summary'!$D$14="Yes",IF(COUNTBLANK('Capacity summary'!$H124:$BG124)&lt;52,IF('Capacity summary'!AS124&lt;&gt;"",IF(LOWER('Capacity summary'!AS124)="x",$BI5*AS5,VALUE('Capacity summary'!AS124)),0),AS5*$BI5),AS5*$BI5),0)</f>
        <v>0</v>
      </c>
      <c r="CW5" s="311">
        <f>IF($BI5&lt;&gt;"",IF('Capacity summary'!$D$14="Yes",IF(COUNTBLANK('Capacity summary'!$H124:$BG124)&lt;52,IF('Capacity summary'!AT124&lt;&gt;"",IF(LOWER('Capacity summary'!AT124)="x",$BI5*AT5,VALUE('Capacity summary'!AT124)),0),AT5*$BI5),AT5*$BI5),0)</f>
        <v>0</v>
      </c>
      <c r="CX5" s="311">
        <f>IF($BI5&lt;&gt;"",IF('Capacity summary'!$D$14="Yes",IF(COUNTBLANK('Capacity summary'!$H124:$BG124)&lt;52,IF('Capacity summary'!AU124&lt;&gt;"",IF(LOWER('Capacity summary'!AU124)="x",$BI5*AU5,VALUE('Capacity summary'!AU124)),0),AU5*$BI5),AU5*$BI5),0)</f>
        <v>0</v>
      </c>
      <c r="CY5" s="311">
        <f>IF($BI5&lt;&gt;"",IF('Capacity summary'!$D$14="Yes",IF(COUNTBLANK('Capacity summary'!$H124:$BG124)&lt;52,IF('Capacity summary'!AV124&lt;&gt;"",IF(LOWER('Capacity summary'!AV124)="x",$BI5*AV5,VALUE('Capacity summary'!AV124)),0),AV5*$BI5),AV5*$BI5),0)</f>
        <v>0</v>
      </c>
      <c r="CZ5" s="311">
        <f>IF($BI5&lt;&gt;"",IF('Capacity summary'!$D$14="Yes",IF(COUNTBLANK('Capacity summary'!$H124:$BG124)&lt;52,IF('Capacity summary'!AW124&lt;&gt;"",IF(LOWER('Capacity summary'!AW124)="x",$BI5*AW5,VALUE('Capacity summary'!AW124)),0),AW5*$BI5),AW5*$BI5),0)</f>
        <v>0</v>
      </c>
      <c r="DA5" s="311">
        <f>IF($BI5&lt;&gt;"",IF('Capacity summary'!$D$14="Yes",IF(COUNTBLANK('Capacity summary'!$H124:$BG124)&lt;52,IF('Capacity summary'!AX124&lt;&gt;"",IF(LOWER('Capacity summary'!AX124)="x",$BI5*AX5,VALUE('Capacity summary'!AX124)),0),AX5*$BI5),AX5*$BI5),0)</f>
        <v>0</v>
      </c>
      <c r="DB5" s="311">
        <f>IF($BI5&lt;&gt;"",IF('Capacity summary'!$D$14="Yes",IF(COUNTBLANK('Capacity summary'!$H124:$BG124)&lt;52,IF('Capacity summary'!AY124&lt;&gt;"",IF(LOWER('Capacity summary'!AY124)="x",$BI5*AY5,VALUE('Capacity summary'!AY124)),0),AY5*$BI5),AY5*$BI5),0)</f>
        <v>0</v>
      </c>
      <c r="DC5" s="311">
        <f>IF($BI5&lt;&gt;"",IF('Capacity summary'!$D$14="Yes",IF(COUNTBLANK('Capacity summary'!$H124:$BG124)&lt;52,IF('Capacity summary'!AZ124&lt;&gt;"",IF(LOWER('Capacity summary'!AZ124)="x",$BI5*AZ5,VALUE('Capacity summary'!AZ124)),0),AZ5*$BI5),AZ5*$BI5),0)</f>
        <v>0</v>
      </c>
      <c r="DD5" s="311">
        <f>IF($BI5&lt;&gt;"",IF('Capacity summary'!$D$14="Yes",IF(COUNTBLANK('Capacity summary'!$H124:$BG124)&lt;52,IF('Capacity summary'!BA124&lt;&gt;"",IF(LOWER('Capacity summary'!BA124)="x",$BI5*BA5,VALUE('Capacity summary'!BA124)),0),BA5*$BI5),BA5*$BI5),0)</f>
        <v>0</v>
      </c>
      <c r="DE5" s="311">
        <f>IF($BI5&lt;&gt;"",IF('Capacity summary'!$D$14="Yes",IF(COUNTBLANK('Capacity summary'!$H124:$BG124)&lt;52,IF('Capacity summary'!BB124&lt;&gt;"",IF(LOWER('Capacity summary'!BB124)="x",$BI5*BB5,VALUE('Capacity summary'!BB124)),0),BB5*$BI5),BB5*$BI5),0)</f>
        <v>0</v>
      </c>
      <c r="DF5" s="311">
        <f>IF($BI5&lt;&gt;"",IF('Capacity summary'!$D$14="Yes",IF(COUNTBLANK('Capacity summary'!$H124:$BG124)&lt;52,IF('Capacity summary'!BC124&lt;&gt;"",IF(LOWER('Capacity summary'!BC124)="x",$BI5*BC5,VALUE('Capacity summary'!BC124)),0),BC5*$BI5),BC5*$BI5),0)</f>
        <v>0</v>
      </c>
      <c r="DG5" s="311">
        <f>IF($BI5&lt;&gt;"",IF('Capacity summary'!$D$14="Yes",IF(COUNTBLANK('Capacity summary'!$H124:$BG124)&lt;52,IF('Capacity summary'!BD124&lt;&gt;"",IF(LOWER('Capacity summary'!BD124)="x",$BI5*BD5,VALUE('Capacity summary'!BD124)),0),BD5*$BI5),BD5*$BI5),0)</f>
        <v>0</v>
      </c>
      <c r="DH5" s="311">
        <f>IF($BI5&lt;&gt;"",IF('Capacity summary'!$D$14="Yes",IF(COUNTBLANK('Capacity summary'!$H124:$BG124)&lt;52,IF('Capacity summary'!BE124&lt;&gt;"",IF(LOWER('Capacity summary'!BE124)="x",$BI5*BE5,VALUE('Capacity summary'!BE124)),0),BE5*$BI5),BE5*$BI5),0)</f>
        <v>0</v>
      </c>
      <c r="DI5" s="311">
        <f>IF($BI5&lt;&gt;"",IF('Capacity summary'!$D$14="Yes",IF(COUNTBLANK('Capacity summary'!$H124:$BG124)&lt;52,IF('Capacity summary'!BF124&lt;&gt;"",IF(LOWER('Capacity summary'!BF124)="x",$BI5*BF5,VALUE('Capacity summary'!BF124)),0),BF5*$BI5),BF5*$BI5),0)</f>
        <v>0</v>
      </c>
      <c r="DJ5" s="311">
        <f>IF($BI5&lt;&gt;"",IF('Capacity summary'!$D$14="Yes",IF(COUNTBLANK('Capacity summary'!$H124:$BG124)&lt;52,IF('Capacity summary'!BG124&lt;&gt;"",IF(LOWER('Capacity summary'!BG124)="x",$BI5*BG5,VALUE('Capacity summary'!BG124)),0),BG5*$BI5),BG5*$BI5),0)</f>
        <v>0</v>
      </c>
      <c r="DK5" s="388">
        <f t="shared" ref="DK5:DK68" si="2">DJ5</f>
        <v>0</v>
      </c>
      <c r="DL5" s="136">
        <f t="shared" ref="DL5:DL68" si="3">SUM(BK5:DJ5)</f>
        <v>0</v>
      </c>
      <c r="DM5" s="311">
        <f>Capacity!H17</f>
        <v>0</v>
      </c>
      <c r="DQ5" s="5"/>
    </row>
    <row r="6" spans="1:121" x14ac:dyDescent="0.2">
      <c r="A6" s="67">
        <f>IF(Capacity!L18='Capacity summary'!BI125,1,0)</f>
        <v>1</v>
      </c>
      <c r="B6" s="67">
        <f>IF(Capacity!V18='Capacity summary'!BI25,1,0)</f>
        <v>1</v>
      </c>
      <c r="C6" s="67" t="str">
        <f>ROW(A2)&amp;". "&amp;Capacity!B18</f>
        <v xml:space="preserve">2. </v>
      </c>
      <c r="D6" s="67">
        <f>'Capacity setup'!C13</f>
        <v>0</v>
      </c>
      <c r="E6" s="67">
        <f>'Capacity setup'!D13</f>
        <v>0</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IF(ROW(C2)&lt;=Capacity!$A$16,IF('Capacity summary'!$D$14="No",SUM(H6:BG6),'Capacity summary'!$E125),0)</f>
        <v>0</v>
      </c>
      <c r="BI6" s="5" t="str">
        <f>IF(BH6&gt;0,IF(BH6&lt;Capacity!E18,Capacity!F18,Capacity!H18/'Capacity calculation (hide)'!BH6),"")</f>
        <v/>
      </c>
      <c r="BK6" s="311">
        <f>IF($BI6&lt;&gt;"",IF('Capacity summary'!$D$14="Yes",IF(COUNTBLANK('Capacity summary'!$H125:$BG125)&lt;52,IF('Capacity summary'!H125&lt;&gt;"",IF(LOWER('Capacity summary'!H125)="x",$BI6*H6,VALUE('Capacity summary'!H125)),0),H6*$BI6),H6*$BI6),0)</f>
        <v>0</v>
      </c>
      <c r="BL6" s="311">
        <f>IF($BI6&lt;&gt;"",IF('Capacity summary'!$D$14="Yes",IF(COUNTBLANK('Capacity summary'!$H125:$BG125)&lt;52,IF('Capacity summary'!I125&lt;&gt;"",IF(LOWER('Capacity summary'!I125)="x",$BI6*I6,VALUE('Capacity summary'!I125)),0),I6*$BI6),I6*$BI6),0)</f>
        <v>0</v>
      </c>
      <c r="BM6" s="311">
        <f>IF($BI6&lt;&gt;"",IF('Capacity summary'!$D$14="Yes",IF(COUNTBLANK('Capacity summary'!$H125:$BG125)&lt;52,IF('Capacity summary'!J125&lt;&gt;"",IF(LOWER('Capacity summary'!J125)="x",$BI6*J6,VALUE('Capacity summary'!J125)),0),J6*$BI6),J6*$BI6),0)</f>
        <v>0</v>
      </c>
      <c r="BN6" s="311">
        <f>IF($BI6&lt;&gt;"",IF('Capacity summary'!$D$14="Yes",IF(COUNTBLANK('Capacity summary'!$H125:$BG125)&lt;52,IF('Capacity summary'!K125&lt;&gt;"",IF(LOWER('Capacity summary'!K125)="x",$BI6*K6,VALUE('Capacity summary'!K125)),0),K6*$BI6),K6*$BI6),0)</f>
        <v>0</v>
      </c>
      <c r="BO6" s="311">
        <f>IF($BI6&lt;&gt;"",IF('Capacity summary'!$D$14="Yes",IF(COUNTBLANK('Capacity summary'!$H125:$BG125)&lt;52,IF('Capacity summary'!L125&lt;&gt;"",IF(LOWER('Capacity summary'!L125)="x",$BI6*L6,VALUE('Capacity summary'!L125)),0),L6*$BI6),L6*$BI6),0)</f>
        <v>0</v>
      </c>
      <c r="BP6" s="311">
        <f>IF($BI6&lt;&gt;"",IF('Capacity summary'!$D$14="Yes",IF(COUNTBLANK('Capacity summary'!$H125:$BG125)&lt;52,IF('Capacity summary'!M125&lt;&gt;"",IF(LOWER('Capacity summary'!M125)="x",$BI6*M6,VALUE('Capacity summary'!M125)),0),M6*$BI6),M6*$BI6),0)</f>
        <v>0</v>
      </c>
      <c r="BQ6" s="311">
        <f>IF($BI6&lt;&gt;"",IF('Capacity summary'!$D$14="Yes",IF(COUNTBLANK('Capacity summary'!$H125:$BG125)&lt;52,IF('Capacity summary'!N125&lt;&gt;"",IF(LOWER('Capacity summary'!N125)="x",$BI6*N6,VALUE('Capacity summary'!N125)),0),N6*$BI6),N6*$BI6),0)</f>
        <v>0</v>
      </c>
      <c r="BR6" s="311">
        <f>IF($BI6&lt;&gt;"",IF('Capacity summary'!$D$14="Yes",IF(COUNTBLANK('Capacity summary'!$H125:$BG125)&lt;52,IF('Capacity summary'!O125&lt;&gt;"",IF(LOWER('Capacity summary'!O125)="x",$BI6*O6,VALUE('Capacity summary'!O125)),0),O6*$BI6),O6*$BI6),0)</f>
        <v>0</v>
      </c>
      <c r="BS6" s="311">
        <f>IF($BI6&lt;&gt;"",IF('Capacity summary'!$D$14="Yes",IF(COUNTBLANK('Capacity summary'!$H125:$BG125)&lt;52,IF('Capacity summary'!P125&lt;&gt;"",IF(LOWER('Capacity summary'!P125)="x",$BI6*P6,VALUE('Capacity summary'!P125)),0),P6*$BI6),P6*$BI6),0)</f>
        <v>0</v>
      </c>
      <c r="BT6" s="311">
        <f>IF($BI6&lt;&gt;"",IF('Capacity summary'!$D$14="Yes",IF(COUNTBLANK('Capacity summary'!$H125:$BG125)&lt;52,IF('Capacity summary'!Q125&lt;&gt;"",IF(LOWER('Capacity summary'!Q125)="x",$BI6*Q6,VALUE('Capacity summary'!Q125)),0),Q6*$BI6),Q6*$BI6),0)</f>
        <v>0</v>
      </c>
      <c r="BU6" s="311">
        <f>IF($BI6&lt;&gt;"",IF('Capacity summary'!$D$14="Yes",IF(COUNTBLANK('Capacity summary'!$H125:$BG125)&lt;52,IF('Capacity summary'!R125&lt;&gt;"",IF(LOWER('Capacity summary'!R125)="x",$BI6*R6,VALUE('Capacity summary'!R125)),0),R6*$BI6),R6*$BI6),0)</f>
        <v>0</v>
      </c>
      <c r="BV6" s="311">
        <f>IF($BI6&lt;&gt;"",IF('Capacity summary'!$D$14="Yes",IF(COUNTBLANK('Capacity summary'!$H125:$BG125)&lt;52,IF('Capacity summary'!S125&lt;&gt;"",IF(LOWER('Capacity summary'!S125)="x",$BI6*S6,VALUE('Capacity summary'!S125)),0),S6*$BI6),S6*$BI6),0)</f>
        <v>0</v>
      </c>
      <c r="BW6" s="311">
        <f>IF($BI6&lt;&gt;"",IF('Capacity summary'!$D$14="Yes",IF(COUNTBLANK('Capacity summary'!$H125:$BG125)&lt;52,IF('Capacity summary'!T125&lt;&gt;"",IF(LOWER('Capacity summary'!T125)="x",$BI6*T6,VALUE('Capacity summary'!T125)),0),T6*$BI6),T6*$BI6),0)</f>
        <v>0</v>
      </c>
      <c r="BX6" s="311">
        <f>IF($BI6&lt;&gt;"",IF('Capacity summary'!$D$14="Yes",IF(COUNTBLANK('Capacity summary'!$H125:$BG125)&lt;52,IF('Capacity summary'!U125&lt;&gt;"",IF(LOWER('Capacity summary'!U125)="x",$BI6*U6,VALUE('Capacity summary'!U125)),0),U6*$BI6),U6*$BI6),0)</f>
        <v>0</v>
      </c>
      <c r="BY6" s="311">
        <f>IF($BI6&lt;&gt;"",IF('Capacity summary'!$D$14="Yes",IF(COUNTBLANK('Capacity summary'!$H125:$BG125)&lt;52,IF('Capacity summary'!V125&lt;&gt;"",IF(LOWER('Capacity summary'!V125)="x",$BI6*V6,VALUE('Capacity summary'!V125)),0),V6*$BI6),V6*$BI6),0)</f>
        <v>0</v>
      </c>
      <c r="BZ6" s="311">
        <f>IF($BI6&lt;&gt;"",IF('Capacity summary'!$D$14="Yes",IF(COUNTBLANK('Capacity summary'!$H125:$BG125)&lt;52,IF('Capacity summary'!W125&lt;&gt;"",IF(LOWER('Capacity summary'!W125)="x",$BI6*W6,VALUE('Capacity summary'!W125)),0),W6*$BI6),W6*$BI6),0)</f>
        <v>0</v>
      </c>
      <c r="CA6" s="311">
        <f>IF($BI6&lt;&gt;"",IF('Capacity summary'!$D$14="Yes",IF(COUNTBLANK('Capacity summary'!$H125:$BG125)&lt;52,IF('Capacity summary'!X125&lt;&gt;"",IF(LOWER('Capacity summary'!X125)="x",$BI6*X6,VALUE('Capacity summary'!X125)),0),X6*$BI6),X6*$BI6),0)</f>
        <v>0</v>
      </c>
      <c r="CB6" s="311">
        <f>IF($BI6&lt;&gt;"",IF('Capacity summary'!$D$14="Yes",IF(COUNTBLANK('Capacity summary'!$H125:$BG125)&lt;52,IF('Capacity summary'!Y125&lt;&gt;"",IF(LOWER('Capacity summary'!Y125)="x",$BI6*Y6,VALUE('Capacity summary'!Y125)),0),Y6*$BI6),Y6*$BI6),0)</f>
        <v>0</v>
      </c>
      <c r="CC6" s="311">
        <f>IF($BI6&lt;&gt;"",IF('Capacity summary'!$D$14="Yes",IF(COUNTBLANK('Capacity summary'!$H125:$BG125)&lt;52,IF('Capacity summary'!Z125&lt;&gt;"",IF(LOWER('Capacity summary'!Z125)="x",$BI6*Z6,VALUE('Capacity summary'!Z125)),0),Z6*$BI6),Z6*$BI6),0)</f>
        <v>0</v>
      </c>
      <c r="CD6" s="311">
        <f>IF($BI6&lt;&gt;"",IF('Capacity summary'!$D$14="Yes",IF(COUNTBLANK('Capacity summary'!$H125:$BG125)&lt;52,IF('Capacity summary'!AA125&lt;&gt;"",IF(LOWER('Capacity summary'!AA125)="x",$BI6*AA6,VALUE('Capacity summary'!AA125)),0),AA6*$BI6),AA6*$BI6),0)</f>
        <v>0</v>
      </c>
      <c r="CE6" s="311">
        <f>IF($BI6&lt;&gt;"",IF('Capacity summary'!$D$14="Yes",IF(COUNTBLANK('Capacity summary'!$H125:$BG125)&lt;52,IF('Capacity summary'!AB125&lt;&gt;"",IF(LOWER('Capacity summary'!AB125)="x",$BI6*AB6,VALUE('Capacity summary'!AB125)),0),AB6*$BI6),AB6*$BI6),0)</f>
        <v>0</v>
      </c>
      <c r="CF6" s="311">
        <f>IF($BI6&lt;&gt;"",IF('Capacity summary'!$D$14="Yes",IF(COUNTBLANK('Capacity summary'!$H125:$BG125)&lt;52,IF('Capacity summary'!AC125&lt;&gt;"",IF(LOWER('Capacity summary'!AC125)="x",$BI6*AC6,VALUE('Capacity summary'!AC125)),0),AC6*$BI6),AC6*$BI6),0)</f>
        <v>0</v>
      </c>
      <c r="CG6" s="311">
        <f>IF($BI6&lt;&gt;"",IF('Capacity summary'!$D$14="Yes",IF(COUNTBLANK('Capacity summary'!$H125:$BG125)&lt;52,IF('Capacity summary'!AD125&lt;&gt;"",IF(LOWER('Capacity summary'!AD125)="x",$BI6*AD6,VALUE('Capacity summary'!AD125)),0),AD6*$BI6),AD6*$BI6),0)</f>
        <v>0</v>
      </c>
      <c r="CH6" s="311">
        <f>IF($BI6&lt;&gt;"",IF('Capacity summary'!$D$14="Yes",IF(COUNTBLANK('Capacity summary'!$H125:$BG125)&lt;52,IF('Capacity summary'!AE125&lt;&gt;"",IF(LOWER('Capacity summary'!AE125)="x",$BI6*AE6,VALUE('Capacity summary'!AE125)),0),AE6*$BI6),AE6*$BI6),0)</f>
        <v>0</v>
      </c>
      <c r="CI6" s="311">
        <f>IF($BI6&lt;&gt;"",IF('Capacity summary'!$D$14="Yes",IF(COUNTBLANK('Capacity summary'!$H125:$BG125)&lt;52,IF('Capacity summary'!AF125&lt;&gt;"",IF(LOWER('Capacity summary'!AF125)="x",$BI6*AF6,VALUE('Capacity summary'!AF125)),0),AF6*$BI6),AF6*$BI6),0)</f>
        <v>0</v>
      </c>
      <c r="CJ6" s="311">
        <f>IF($BI6&lt;&gt;"",IF('Capacity summary'!$D$14="Yes",IF(COUNTBLANK('Capacity summary'!$H125:$BG125)&lt;52,IF('Capacity summary'!AG125&lt;&gt;"",IF(LOWER('Capacity summary'!AG125)="x",$BI6*AG6,VALUE('Capacity summary'!AG125)),0),AG6*$BI6),AG6*$BI6),0)</f>
        <v>0</v>
      </c>
      <c r="CK6" s="311">
        <f>IF($BI6&lt;&gt;"",IF('Capacity summary'!$D$14="Yes",IF(COUNTBLANK('Capacity summary'!$H125:$BG125)&lt;52,IF('Capacity summary'!AH125&lt;&gt;"",IF(LOWER('Capacity summary'!AH125)="x",$BI6*AH6,VALUE('Capacity summary'!AH125)),0),AH6*$BI6),AH6*$BI6),0)</f>
        <v>0</v>
      </c>
      <c r="CL6" s="311">
        <f>IF($BI6&lt;&gt;"",IF('Capacity summary'!$D$14="Yes",IF(COUNTBLANK('Capacity summary'!$H125:$BG125)&lt;52,IF('Capacity summary'!AI125&lt;&gt;"",IF(LOWER('Capacity summary'!AI125)="x",$BI6*AI6,VALUE('Capacity summary'!AI125)),0),AI6*$BI6),AI6*$BI6),0)</f>
        <v>0</v>
      </c>
      <c r="CM6" s="311">
        <f>IF($BI6&lt;&gt;"",IF('Capacity summary'!$D$14="Yes",IF(COUNTBLANK('Capacity summary'!$H125:$BG125)&lt;52,IF('Capacity summary'!AJ125&lt;&gt;"",IF(LOWER('Capacity summary'!AJ125)="x",$BI6*AJ6,VALUE('Capacity summary'!AJ125)),0),AJ6*$BI6),AJ6*$BI6),0)</f>
        <v>0</v>
      </c>
      <c r="CN6" s="311">
        <f>IF($BI6&lt;&gt;"",IF('Capacity summary'!$D$14="Yes",IF(COUNTBLANK('Capacity summary'!$H125:$BG125)&lt;52,IF('Capacity summary'!AK125&lt;&gt;"",IF(LOWER('Capacity summary'!AK125)="x",$BI6*AK6,VALUE('Capacity summary'!AK125)),0),AK6*$BI6),AK6*$BI6),0)</f>
        <v>0</v>
      </c>
      <c r="CO6" s="311">
        <f>IF($BI6&lt;&gt;"",IF('Capacity summary'!$D$14="Yes",IF(COUNTBLANK('Capacity summary'!$H125:$BG125)&lt;52,IF('Capacity summary'!AL125&lt;&gt;"",IF(LOWER('Capacity summary'!AL125)="x",$BI6*AL6,VALUE('Capacity summary'!AL125)),0),AL6*$BI6),AL6*$BI6),0)</f>
        <v>0</v>
      </c>
      <c r="CP6" s="311">
        <f>IF($BI6&lt;&gt;"",IF('Capacity summary'!$D$14="Yes",IF(COUNTBLANK('Capacity summary'!$H125:$BG125)&lt;52,IF('Capacity summary'!AM125&lt;&gt;"",IF(LOWER('Capacity summary'!AM125)="x",$BI6*AM6,VALUE('Capacity summary'!AM125)),0),AM6*$BI6),AM6*$BI6),0)</f>
        <v>0</v>
      </c>
      <c r="CQ6" s="311">
        <f>IF($BI6&lt;&gt;"",IF('Capacity summary'!$D$14="Yes",IF(COUNTBLANK('Capacity summary'!$H125:$BG125)&lt;52,IF('Capacity summary'!AN125&lt;&gt;"",IF(LOWER('Capacity summary'!AN125)="x",$BI6*AN6,VALUE('Capacity summary'!AN125)),0),AN6*$BI6),AN6*$BI6),0)</f>
        <v>0</v>
      </c>
      <c r="CR6" s="311">
        <f>IF($BI6&lt;&gt;"",IF('Capacity summary'!$D$14="Yes",IF(COUNTBLANK('Capacity summary'!$H125:$BG125)&lt;52,IF('Capacity summary'!AO125&lt;&gt;"",IF(LOWER('Capacity summary'!AO125)="x",$BI6*AO6,VALUE('Capacity summary'!AO125)),0),AO6*$BI6),AO6*$BI6),0)</f>
        <v>0</v>
      </c>
      <c r="CS6" s="311">
        <f>IF($BI6&lt;&gt;"",IF('Capacity summary'!$D$14="Yes",IF(COUNTBLANK('Capacity summary'!$H125:$BG125)&lt;52,IF('Capacity summary'!AP125&lt;&gt;"",IF(LOWER('Capacity summary'!AP125)="x",$BI6*AP6,VALUE('Capacity summary'!AP125)),0),AP6*$BI6),AP6*$BI6),0)</f>
        <v>0</v>
      </c>
      <c r="CT6" s="311">
        <f>IF($BI6&lt;&gt;"",IF('Capacity summary'!$D$14="Yes",IF(COUNTBLANK('Capacity summary'!$H125:$BG125)&lt;52,IF('Capacity summary'!AQ125&lt;&gt;"",IF(LOWER('Capacity summary'!AQ125)="x",$BI6*AQ6,VALUE('Capacity summary'!AQ125)),0),AQ6*$BI6),AQ6*$BI6),0)</f>
        <v>0</v>
      </c>
      <c r="CU6" s="311">
        <f>IF($BI6&lt;&gt;"",IF('Capacity summary'!$D$14="Yes",IF(COUNTBLANK('Capacity summary'!$H125:$BG125)&lt;52,IF('Capacity summary'!AR125&lt;&gt;"",IF(LOWER('Capacity summary'!AR125)="x",$BI6*AR6,VALUE('Capacity summary'!AR125)),0),AR6*$BI6),AR6*$BI6),0)</f>
        <v>0</v>
      </c>
      <c r="CV6" s="311">
        <f>IF($BI6&lt;&gt;"",IF('Capacity summary'!$D$14="Yes",IF(COUNTBLANK('Capacity summary'!$H125:$BG125)&lt;52,IF('Capacity summary'!AS125&lt;&gt;"",IF(LOWER('Capacity summary'!AS125)="x",$BI6*AS6,VALUE('Capacity summary'!AS125)),0),AS6*$BI6),AS6*$BI6),0)</f>
        <v>0</v>
      </c>
      <c r="CW6" s="311">
        <f>IF($BI6&lt;&gt;"",IF('Capacity summary'!$D$14="Yes",IF(COUNTBLANK('Capacity summary'!$H125:$BG125)&lt;52,IF('Capacity summary'!AT125&lt;&gt;"",IF(LOWER('Capacity summary'!AT125)="x",$BI6*AT6,VALUE('Capacity summary'!AT125)),0),AT6*$BI6),AT6*$BI6),0)</f>
        <v>0</v>
      </c>
      <c r="CX6" s="311">
        <f>IF($BI6&lt;&gt;"",IF('Capacity summary'!$D$14="Yes",IF(COUNTBLANK('Capacity summary'!$H125:$BG125)&lt;52,IF('Capacity summary'!AU125&lt;&gt;"",IF(LOWER('Capacity summary'!AU125)="x",$BI6*AU6,VALUE('Capacity summary'!AU125)),0),AU6*$BI6),AU6*$BI6),0)</f>
        <v>0</v>
      </c>
      <c r="CY6" s="311">
        <f>IF($BI6&lt;&gt;"",IF('Capacity summary'!$D$14="Yes",IF(COUNTBLANK('Capacity summary'!$H125:$BG125)&lt;52,IF('Capacity summary'!AV125&lt;&gt;"",IF(LOWER('Capacity summary'!AV125)="x",$BI6*AV6,VALUE('Capacity summary'!AV125)),0),AV6*$BI6),AV6*$BI6),0)</f>
        <v>0</v>
      </c>
      <c r="CZ6" s="311">
        <f>IF($BI6&lt;&gt;"",IF('Capacity summary'!$D$14="Yes",IF(COUNTBLANK('Capacity summary'!$H125:$BG125)&lt;52,IF('Capacity summary'!AW125&lt;&gt;"",IF(LOWER('Capacity summary'!AW125)="x",$BI6*AW6,VALUE('Capacity summary'!AW125)),0),AW6*$BI6),AW6*$BI6),0)</f>
        <v>0</v>
      </c>
      <c r="DA6" s="311">
        <f>IF($BI6&lt;&gt;"",IF('Capacity summary'!$D$14="Yes",IF(COUNTBLANK('Capacity summary'!$H125:$BG125)&lt;52,IF('Capacity summary'!AX125&lt;&gt;"",IF(LOWER('Capacity summary'!AX125)="x",$BI6*AX6,VALUE('Capacity summary'!AX125)),0),AX6*$BI6),AX6*$BI6),0)</f>
        <v>0</v>
      </c>
      <c r="DB6" s="311">
        <f>IF($BI6&lt;&gt;"",IF('Capacity summary'!$D$14="Yes",IF(COUNTBLANK('Capacity summary'!$H125:$BG125)&lt;52,IF('Capacity summary'!AY125&lt;&gt;"",IF(LOWER('Capacity summary'!AY125)="x",$BI6*AY6,VALUE('Capacity summary'!AY125)),0),AY6*$BI6),AY6*$BI6),0)</f>
        <v>0</v>
      </c>
      <c r="DC6" s="311">
        <f>IF($BI6&lt;&gt;"",IF('Capacity summary'!$D$14="Yes",IF(COUNTBLANK('Capacity summary'!$H125:$BG125)&lt;52,IF('Capacity summary'!AZ125&lt;&gt;"",IF(LOWER('Capacity summary'!AZ125)="x",$BI6*AZ6,VALUE('Capacity summary'!AZ125)),0),AZ6*$BI6),AZ6*$BI6),0)</f>
        <v>0</v>
      </c>
      <c r="DD6" s="311">
        <f>IF($BI6&lt;&gt;"",IF('Capacity summary'!$D$14="Yes",IF(COUNTBLANK('Capacity summary'!$H125:$BG125)&lt;52,IF('Capacity summary'!BA125&lt;&gt;"",IF(LOWER('Capacity summary'!BA125)="x",$BI6*BA6,VALUE('Capacity summary'!BA125)),0),BA6*$BI6),BA6*$BI6),0)</f>
        <v>0</v>
      </c>
      <c r="DE6" s="311">
        <f>IF($BI6&lt;&gt;"",IF('Capacity summary'!$D$14="Yes",IF(COUNTBLANK('Capacity summary'!$H125:$BG125)&lt;52,IF('Capacity summary'!BB125&lt;&gt;"",IF(LOWER('Capacity summary'!BB125)="x",$BI6*BB6,VALUE('Capacity summary'!BB125)),0),BB6*$BI6),BB6*$BI6),0)</f>
        <v>0</v>
      </c>
      <c r="DF6" s="311">
        <f>IF($BI6&lt;&gt;"",IF('Capacity summary'!$D$14="Yes",IF(COUNTBLANK('Capacity summary'!$H125:$BG125)&lt;52,IF('Capacity summary'!BC125&lt;&gt;"",IF(LOWER('Capacity summary'!BC125)="x",$BI6*BC6,VALUE('Capacity summary'!BC125)),0),BC6*$BI6),BC6*$BI6),0)</f>
        <v>0</v>
      </c>
      <c r="DG6" s="311">
        <f>IF($BI6&lt;&gt;"",IF('Capacity summary'!$D$14="Yes",IF(COUNTBLANK('Capacity summary'!$H125:$BG125)&lt;52,IF('Capacity summary'!BD125&lt;&gt;"",IF(LOWER('Capacity summary'!BD125)="x",$BI6*BD6,VALUE('Capacity summary'!BD125)),0),BD6*$BI6),BD6*$BI6),0)</f>
        <v>0</v>
      </c>
      <c r="DH6" s="311">
        <f>IF($BI6&lt;&gt;"",IF('Capacity summary'!$D$14="Yes",IF(COUNTBLANK('Capacity summary'!$H125:$BG125)&lt;52,IF('Capacity summary'!BE125&lt;&gt;"",IF(LOWER('Capacity summary'!BE125)="x",$BI6*BE6,VALUE('Capacity summary'!BE125)),0),BE6*$BI6),BE6*$BI6),0)</f>
        <v>0</v>
      </c>
      <c r="DI6" s="311">
        <f>IF($BI6&lt;&gt;"",IF('Capacity summary'!$D$14="Yes",IF(COUNTBLANK('Capacity summary'!$H125:$BG125)&lt;52,IF('Capacity summary'!BF125&lt;&gt;"",IF(LOWER('Capacity summary'!BF125)="x",$BI6*BF6,VALUE('Capacity summary'!BF125)),0),BF6*$BI6),BF6*$BI6),0)</f>
        <v>0</v>
      </c>
      <c r="DJ6" s="311">
        <f>IF($BI6&lt;&gt;"",IF('Capacity summary'!$D$14="Yes",IF(COUNTBLANK('Capacity summary'!$H125:$BG125)&lt;52,IF('Capacity summary'!BG125&lt;&gt;"",IF(LOWER('Capacity summary'!BG125)="x",$BI6*BG6,VALUE('Capacity summary'!BG125)),0),BG6*$BI6),BG6*$BI6),0)</f>
        <v>0</v>
      </c>
      <c r="DK6" s="388">
        <f t="shared" si="2"/>
        <v>0</v>
      </c>
      <c r="DL6" s="136">
        <f t="shared" si="3"/>
        <v>0</v>
      </c>
      <c r="DM6" s="311">
        <f>Capacity!H18</f>
        <v>0</v>
      </c>
      <c r="DQ6" s="5"/>
    </row>
    <row r="7" spans="1:121" x14ac:dyDescent="0.2">
      <c r="A7" s="67">
        <f>IF(Capacity!L19='Capacity summary'!BI126,1,0)</f>
        <v>1</v>
      </c>
      <c r="B7" s="67">
        <f>IF(Capacity!V19='Capacity summary'!BI26,1,0)</f>
        <v>1</v>
      </c>
      <c r="C7" s="67" t="str">
        <f>ROW(A3)&amp;". "&amp;Capacity!B19</f>
        <v xml:space="preserve">3. </v>
      </c>
      <c r="D7" s="67">
        <f>'Capacity setup'!C14</f>
        <v>0</v>
      </c>
      <c r="E7" s="67">
        <f>'Capacity setup'!D14</f>
        <v>0</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IF(ROW(C3)&lt;=Capacity!$A$16,IF('Capacity summary'!$D$14="No",SUM(H7:BG7),'Capacity summary'!$E126),0)</f>
        <v>0</v>
      </c>
      <c r="BI7" s="5" t="str">
        <f>IF(BH7&gt;0,IF(BH7&lt;Capacity!E19,Capacity!F19,Capacity!H19/'Capacity calculation (hide)'!BH7),"")</f>
        <v/>
      </c>
      <c r="BK7" s="311">
        <f>IF($BI7&lt;&gt;"",IF('Capacity summary'!$D$14="Yes",IF(COUNTBLANK('Capacity summary'!$H126:$BG126)&lt;52,IF('Capacity summary'!H126&lt;&gt;"",IF(LOWER('Capacity summary'!H126)="x",$BI7*H7,VALUE('Capacity summary'!H126)),0),H7*$BI7),H7*$BI7),0)</f>
        <v>0</v>
      </c>
      <c r="BL7" s="311">
        <f>IF($BI7&lt;&gt;"",IF('Capacity summary'!$D$14="Yes",IF(COUNTBLANK('Capacity summary'!$H126:$BG126)&lt;52,IF('Capacity summary'!I126&lt;&gt;"",IF(LOWER('Capacity summary'!I126)="x",$BI7*I7,VALUE('Capacity summary'!I126)),0),I7*$BI7),I7*$BI7),0)</f>
        <v>0</v>
      </c>
      <c r="BM7" s="311">
        <f>IF($BI7&lt;&gt;"",IF('Capacity summary'!$D$14="Yes",IF(COUNTBLANK('Capacity summary'!$H126:$BG126)&lt;52,IF('Capacity summary'!J126&lt;&gt;"",IF(LOWER('Capacity summary'!J126)="x",$BI7*J7,VALUE('Capacity summary'!J126)),0),J7*$BI7),J7*$BI7),0)</f>
        <v>0</v>
      </c>
      <c r="BN7" s="311">
        <f>IF($BI7&lt;&gt;"",IF('Capacity summary'!$D$14="Yes",IF(COUNTBLANK('Capacity summary'!$H126:$BG126)&lt;52,IF('Capacity summary'!K126&lt;&gt;"",IF(LOWER('Capacity summary'!K126)="x",$BI7*K7,VALUE('Capacity summary'!K126)),0),K7*$BI7),K7*$BI7),0)</f>
        <v>0</v>
      </c>
      <c r="BO7" s="311">
        <f>IF($BI7&lt;&gt;"",IF('Capacity summary'!$D$14="Yes",IF(COUNTBLANK('Capacity summary'!$H126:$BG126)&lt;52,IF('Capacity summary'!L126&lt;&gt;"",IF(LOWER('Capacity summary'!L126)="x",$BI7*L7,VALUE('Capacity summary'!L126)),0),L7*$BI7),L7*$BI7),0)</f>
        <v>0</v>
      </c>
      <c r="BP7" s="311">
        <f>IF($BI7&lt;&gt;"",IF('Capacity summary'!$D$14="Yes",IF(COUNTBLANK('Capacity summary'!$H126:$BG126)&lt;52,IF('Capacity summary'!M126&lt;&gt;"",IF(LOWER('Capacity summary'!M126)="x",$BI7*M7,VALUE('Capacity summary'!M126)),0),M7*$BI7),M7*$BI7),0)</f>
        <v>0</v>
      </c>
      <c r="BQ7" s="311">
        <f>IF($BI7&lt;&gt;"",IF('Capacity summary'!$D$14="Yes",IF(COUNTBLANK('Capacity summary'!$H126:$BG126)&lt;52,IF('Capacity summary'!N126&lt;&gt;"",IF(LOWER('Capacity summary'!N126)="x",$BI7*N7,VALUE('Capacity summary'!N126)),0),N7*$BI7),N7*$BI7),0)</f>
        <v>0</v>
      </c>
      <c r="BR7" s="311">
        <f>IF($BI7&lt;&gt;"",IF('Capacity summary'!$D$14="Yes",IF(COUNTBLANK('Capacity summary'!$H126:$BG126)&lt;52,IF('Capacity summary'!O126&lt;&gt;"",IF(LOWER('Capacity summary'!O126)="x",$BI7*O7,VALUE('Capacity summary'!O126)),0),O7*$BI7),O7*$BI7),0)</f>
        <v>0</v>
      </c>
      <c r="BS7" s="311">
        <f>IF($BI7&lt;&gt;"",IF('Capacity summary'!$D$14="Yes",IF(COUNTBLANK('Capacity summary'!$H126:$BG126)&lt;52,IF('Capacity summary'!P126&lt;&gt;"",IF(LOWER('Capacity summary'!P126)="x",$BI7*P7,VALUE('Capacity summary'!P126)),0),P7*$BI7),P7*$BI7),0)</f>
        <v>0</v>
      </c>
      <c r="BT7" s="311">
        <f>IF($BI7&lt;&gt;"",IF('Capacity summary'!$D$14="Yes",IF(COUNTBLANK('Capacity summary'!$H126:$BG126)&lt;52,IF('Capacity summary'!Q126&lt;&gt;"",IF(LOWER('Capacity summary'!Q126)="x",$BI7*Q7,VALUE('Capacity summary'!Q126)),0),Q7*$BI7),Q7*$BI7),0)</f>
        <v>0</v>
      </c>
      <c r="BU7" s="311">
        <f>IF($BI7&lt;&gt;"",IF('Capacity summary'!$D$14="Yes",IF(COUNTBLANK('Capacity summary'!$H126:$BG126)&lt;52,IF('Capacity summary'!R126&lt;&gt;"",IF(LOWER('Capacity summary'!R126)="x",$BI7*R7,VALUE('Capacity summary'!R126)),0),R7*$BI7),R7*$BI7),0)</f>
        <v>0</v>
      </c>
      <c r="BV7" s="311">
        <f>IF($BI7&lt;&gt;"",IF('Capacity summary'!$D$14="Yes",IF(COUNTBLANK('Capacity summary'!$H126:$BG126)&lt;52,IF('Capacity summary'!S126&lt;&gt;"",IF(LOWER('Capacity summary'!S126)="x",$BI7*S7,VALUE('Capacity summary'!S126)),0),S7*$BI7),S7*$BI7),0)</f>
        <v>0</v>
      </c>
      <c r="BW7" s="311">
        <f>IF($BI7&lt;&gt;"",IF('Capacity summary'!$D$14="Yes",IF(COUNTBLANK('Capacity summary'!$H126:$BG126)&lt;52,IF('Capacity summary'!T126&lt;&gt;"",IF(LOWER('Capacity summary'!T126)="x",$BI7*T7,VALUE('Capacity summary'!T126)),0),T7*$BI7),T7*$BI7),0)</f>
        <v>0</v>
      </c>
      <c r="BX7" s="311">
        <f>IF($BI7&lt;&gt;"",IF('Capacity summary'!$D$14="Yes",IF(COUNTBLANK('Capacity summary'!$H126:$BG126)&lt;52,IF('Capacity summary'!U126&lt;&gt;"",IF(LOWER('Capacity summary'!U126)="x",$BI7*U7,VALUE('Capacity summary'!U126)),0),U7*$BI7),U7*$BI7),0)</f>
        <v>0</v>
      </c>
      <c r="BY7" s="311">
        <f>IF($BI7&lt;&gt;"",IF('Capacity summary'!$D$14="Yes",IF(COUNTBLANK('Capacity summary'!$H126:$BG126)&lt;52,IF('Capacity summary'!V126&lt;&gt;"",IF(LOWER('Capacity summary'!V126)="x",$BI7*V7,VALUE('Capacity summary'!V126)),0),V7*$BI7),V7*$BI7),0)</f>
        <v>0</v>
      </c>
      <c r="BZ7" s="311">
        <f>IF($BI7&lt;&gt;"",IF('Capacity summary'!$D$14="Yes",IF(COUNTBLANK('Capacity summary'!$H126:$BG126)&lt;52,IF('Capacity summary'!W126&lt;&gt;"",IF(LOWER('Capacity summary'!W126)="x",$BI7*W7,VALUE('Capacity summary'!W126)),0),W7*$BI7),W7*$BI7),0)</f>
        <v>0</v>
      </c>
      <c r="CA7" s="311">
        <f>IF($BI7&lt;&gt;"",IF('Capacity summary'!$D$14="Yes",IF(COUNTBLANK('Capacity summary'!$H126:$BG126)&lt;52,IF('Capacity summary'!X126&lt;&gt;"",IF(LOWER('Capacity summary'!X126)="x",$BI7*X7,VALUE('Capacity summary'!X126)),0),X7*$BI7),X7*$BI7),0)</f>
        <v>0</v>
      </c>
      <c r="CB7" s="311">
        <f>IF($BI7&lt;&gt;"",IF('Capacity summary'!$D$14="Yes",IF(COUNTBLANK('Capacity summary'!$H126:$BG126)&lt;52,IF('Capacity summary'!Y126&lt;&gt;"",IF(LOWER('Capacity summary'!Y126)="x",$BI7*Y7,VALUE('Capacity summary'!Y126)),0),Y7*$BI7),Y7*$BI7),0)</f>
        <v>0</v>
      </c>
      <c r="CC7" s="311">
        <f>IF($BI7&lt;&gt;"",IF('Capacity summary'!$D$14="Yes",IF(COUNTBLANK('Capacity summary'!$H126:$BG126)&lt;52,IF('Capacity summary'!Z126&lt;&gt;"",IF(LOWER('Capacity summary'!Z126)="x",$BI7*Z7,VALUE('Capacity summary'!Z126)),0),Z7*$BI7),Z7*$BI7),0)</f>
        <v>0</v>
      </c>
      <c r="CD7" s="311">
        <f>IF($BI7&lt;&gt;"",IF('Capacity summary'!$D$14="Yes",IF(COUNTBLANK('Capacity summary'!$H126:$BG126)&lt;52,IF('Capacity summary'!AA126&lt;&gt;"",IF(LOWER('Capacity summary'!AA126)="x",$BI7*AA7,VALUE('Capacity summary'!AA126)),0),AA7*$BI7),AA7*$BI7),0)</f>
        <v>0</v>
      </c>
      <c r="CE7" s="311">
        <f>IF($BI7&lt;&gt;"",IF('Capacity summary'!$D$14="Yes",IF(COUNTBLANK('Capacity summary'!$H126:$BG126)&lt;52,IF('Capacity summary'!AB126&lt;&gt;"",IF(LOWER('Capacity summary'!AB126)="x",$BI7*AB7,VALUE('Capacity summary'!AB126)),0),AB7*$BI7),AB7*$BI7),0)</f>
        <v>0</v>
      </c>
      <c r="CF7" s="311">
        <f>IF($BI7&lt;&gt;"",IF('Capacity summary'!$D$14="Yes",IF(COUNTBLANK('Capacity summary'!$H126:$BG126)&lt;52,IF('Capacity summary'!AC126&lt;&gt;"",IF(LOWER('Capacity summary'!AC126)="x",$BI7*AC7,VALUE('Capacity summary'!AC126)),0),AC7*$BI7),AC7*$BI7),0)</f>
        <v>0</v>
      </c>
      <c r="CG7" s="311">
        <f>IF($BI7&lt;&gt;"",IF('Capacity summary'!$D$14="Yes",IF(COUNTBLANK('Capacity summary'!$H126:$BG126)&lt;52,IF('Capacity summary'!AD126&lt;&gt;"",IF(LOWER('Capacity summary'!AD126)="x",$BI7*AD7,VALUE('Capacity summary'!AD126)),0),AD7*$BI7),AD7*$BI7),0)</f>
        <v>0</v>
      </c>
      <c r="CH7" s="311">
        <f>IF($BI7&lt;&gt;"",IF('Capacity summary'!$D$14="Yes",IF(COUNTBLANK('Capacity summary'!$H126:$BG126)&lt;52,IF('Capacity summary'!AE126&lt;&gt;"",IF(LOWER('Capacity summary'!AE126)="x",$BI7*AE7,VALUE('Capacity summary'!AE126)),0),AE7*$BI7),AE7*$BI7),0)</f>
        <v>0</v>
      </c>
      <c r="CI7" s="311">
        <f>IF($BI7&lt;&gt;"",IF('Capacity summary'!$D$14="Yes",IF(COUNTBLANK('Capacity summary'!$H126:$BG126)&lt;52,IF('Capacity summary'!AF126&lt;&gt;"",IF(LOWER('Capacity summary'!AF126)="x",$BI7*AF7,VALUE('Capacity summary'!AF126)),0),AF7*$BI7),AF7*$BI7),0)</f>
        <v>0</v>
      </c>
      <c r="CJ7" s="311">
        <f>IF($BI7&lt;&gt;"",IF('Capacity summary'!$D$14="Yes",IF(COUNTBLANK('Capacity summary'!$H126:$BG126)&lt;52,IF('Capacity summary'!AG126&lt;&gt;"",IF(LOWER('Capacity summary'!AG126)="x",$BI7*AG7,VALUE('Capacity summary'!AG126)),0),AG7*$BI7),AG7*$BI7),0)</f>
        <v>0</v>
      </c>
      <c r="CK7" s="311">
        <f>IF($BI7&lt;&gt;"",IF('Capacity summary'!$D$14="Yes",IF(COUNTBLANK('Capacity summary'!$H126:$BG126)&lt;52,IF('Capacity summary'!AH126&lt;&gt;"",IF(LOWER('Capacity summary'!AH126)="x",$BI7*AH7,VALUE('Capacity summary'!AH126)),0),AH7*$BI7),AH7*$BI7),0)</f>
        <v>0</v>
      </c>
      <c r="CL7" s="311">
        <f>IF($BI7&lt;&gt;"",IF('Capacity summary'!$D$14="Yes",IF(COUNTBLANK('Capacity summary'!$H126:$BG126)&lt;52,IF('Capacity summary'!AI126&lt;&gt;"",IF(LOWER('Capacity summary'!AI126)="x",$BI7*AI7,VALUE('Capacity summary'!AI126)),0),AI7*$BI7),AI7*$BI7),0)</f>
        <v>0</v>
      </c>
      <c r="CM7" s="311">
        <f>IF($BI7&lt;&gt;"",IF('Capacity summary'!$D$14="Yes",IF(COUNTBLANK('Capacity summary'!$H126:$BG126)&lt;52,IF('Capacity summary'!AJ126&lt;&gt;"",IF(LOWER('Capacity summary'!AJ126)="x",$BI7*AJ7,VALUE('Capacity summary'!AJ126)),0),AJ7*$BI7),AJ7*$BI7),0)</f>
        <v>0</v>
      </c>
      <c r="CN7" s="311">
        <f>IF($BI7&lt;&gt;"",IF('Capacity summary'!$D$14="Yes",IF(COUNTBLANK('Capacity summary'!$H126:$BG126)&lt;52,IF('Capacity summary'!AK126&lt;&gt;"",IF(LOWER('Capacity summary'!AK126)="x",$BI7*AK7,VALUE('Capacity summary'!AK126)),0),AK7*$BI7),AK7*$BI7),0)</f>
        <v>0</v>
      </c>
      <c r="CO7" s="311">
        <f>IF($BI7&lt;&gt;"",IF('Capacity summary'!$D$14="Yes",IF(COUNTBLANK('Capacity summary'!$H126:$BG126)&lt;52,IF('Capacity summary'!AL126&lt;&gt;"",IF(LOWER('Capacity summary'!AL126)="x",$BI7*AL7,VALUE('Capacity summary'!AL126)),0),AL7*$BI7),AL7*$BI7),0)</f>
        <v>0</v>
      </c>
      <c r="CP7" s="311">
        <f>IF($BI7&lt;&gt;"",IF('Capacity summary'!$D$14="Yes",IF(COUNTBLANK('Capacity summary'!$H126:$BG126)&lt;52,IF('Capacity summary'!AM126&lt;&gt;"",IF(LOWER('Capacity summary'!AM126)="x",$BI7*AM7,VALUE('Capacity summary'!AM126)),0),AM7*$BI7),AM7*$BI7),0)</f>
        <v>0</v>
      </c>
      <c r="CQ7" s="311">
        <f>IF($BI7&lt;&gt;"",IF('Capacity summary'!$D$14="Yes",IF(COUNTBLANK('Capacity summary'!$H126:$BG126)&lt;52,IF('Capacity summary'!AN126&lt;&gt;"",IF(LOWER('Capacity summary'!AN126)="x",$BI7*AN7,VALUE('Capacity summary'!AN126)),0),AN7*$BI7),AN7*$BI7),0)</f>
        <v>0</v>
      </c>
      <c r="CR7" s="311">
        <f>IF($BI7&lt;&gt;"",IF('Capacity summary'!$D$14="Yes",IF(COUNTBLANK('Capacity summary'!$H126:$BG126)&lt;52,IF('Capacity summary'!AO126&lt;&gt;"",IF(LOWER('Capacity summary'!AO126)="x",$BI7*AO7,VALUE('Capacity summary'!AO126)),0),AO7*$BI7),AO7*$BI7),0)</f>
        <v>0</v>
      </c>
      <c r="CS7" s="311">
        <f>IF($BI7&lt;&gt;"",IF('Capacity summary'!$D$14="Yes",IF(COUNTBLANK('Capacity summary'!$H126:$BG126)&lt;52,IF('Capacity summary'!AP126&lt;&gt;"",IF(LOWER('Capacity summary'!AP126)="x",$BI7*AP7,VALUE('Capacity summary'!AP126)),0),AP7*$BI7),AP7*$BI7),0)</f>
        <v>0</v>
      </c>
      <c r="CT7" s="311">
        <f>IF($BI7&lt;&gt;"",IF('Capacity summary'!$D$14="Yes",IF(COUNTBLANK('Capacity summary'!$H126:$BG126)&lt;52,IF('Capacity summary'!AQ126&lt;&gt;"",IF(LOWER('Capacity summary'!AQ126)="x",$BI7*AQ7,VALUE('Capacity summary'!AQ126)),0),AQ7*$BI7),AQ7*$BI7),0)</f>
        <v>0</v>
      </c>
      <c r="CU7" s="311">
        <f>IF($BI7&lt;&gt;"",IF('Capacity summary'!$D$14="Yes",IF(COUNTBLANK('Capacity summary'!$H126:$BG126)&lt;52,IF('Capacity summary'!AR126&lt;&gt;"",IF(LOWER('Capacity summary'!AR126)="x",$BI7*AR7,VALUE('Capacity summary'!AR126)),0),AR7*$BI7),AR7*$BI7),0)</f>
        <v>0</v>
      </c>
      <c r="CV7" s="311">
        <f>IF($BI7&lt;&gt;"",IF('Capacity summary'!$D$14="Yes",IF(COUNTBLANK('Capacity summary'!$H126:$BG126)&lt;52,IF('Capacity summary'!AS126&lt;&gt;"",IF(LOWER('Capacity summary'!AS126)="x",$BI7*AS7,VALUE('Capacity summary'!AS126)),0),AS7*$BI7),AS7*$BI7),0)</f>
        <v>0</v>
      </c>
      <c r="CW7" s="311">
        <f>IF($BI7&lt;&gt;"",IF('Capacity summary'!$D$14="Yes",IF(COUNTBLANK('Capacity summary'!$H126:$BG126)&lt;52,IF('Capacity summary'!AT126&lt;&gt;"",IF(LOWER('Capacity summary'!AT126)="x",$BI7*AT7,VALUE('Capacity summary'!AT126)),0),AT7*$BI7),AT7*$BI7),0)</f>
        <v>0</v>
      </c>
      <c r="CX7" s="311">
        <f>IF($BI7&lt;&gt;"",IF('Capacity summary'!$D$14="Yes",IF(COUNTBLANK('Capacity summary'!$H126:$BG126)&lt;52,IF('Capacity summary'!AU126&lt;&gt;"",IF(LOWER('Capacity summary'!AU126)="x",$BI7*AU7,VALUE('Capacity summary'!AU126)),0),AU7*$BI7),AU7*$BI7),0)</f>
        <v>0</v>
      </c>
      <c r="CY7" s="311">
        <f>IF($BI7&lt;&gt;"",IF('Capacity summary'!$D$14="Yes",IF(COUNTBLANK('Capacity summary'!$H126:$BG126)&lt;52,IF('Capacity summary'!AV126&lt;&gt;"",IF(LOWER('Capacity summary'!AV126)="x",$BI7*AV7,VALUE('Capacity summary'!AV126)),0),AV7*$BI7),AV7*$BI7),0)</f>
        <v>0</v>
      </c>
      <c r="CZ7" s="311">
        <f>IF($BI7&lt;&gt;"",IF('Capacity summary'!$D$14="Yes",IF(COUNTBLANK('Capacity summary'!$H126:$BG126)&lt;52,IF('Capacity summary'!AW126&lt;&gt;"",IF(LOWER('Capacity summary'!AW126)="x",$BI7*AW7,VALUE('Capacity summary'!AW126)),0),AW7*$BI7),AW7*$BI7),0)</f>
        <v>0</v>
      </c>
      <c r="DA7" s="311">
        <f>IF($BI7&lt;&gt;"",IF('Capacity summary'!$D$14="Yes",IF(COUNTBLANK('Capacity summary'!$H126:$BG126)&lt;52,IF('Capacity summary'!AX126&lt;&gt;"",IF(LOWER('Capacity summary'!AX126)="x",$BI7*AX7,VALUE('Capacity summary'!AX126)),0),AX7*$BI7),AX7*$BI7),0)</f>
        <v>0</v>
      </c>
      <c r="DB7" s="311">
        <f>IF($BI7&lt;&gt;"",IF('Capacity summary'!$D$14="Yes",IF(COUNTBLANK('Capacity summary'!$H126:$BG126)&lt;52,IF('Capacity summary'!AY126&lt;&gt;"",IF(LOWER('Capacity summary'!AY126)="x",$BI7*AY7,VALUE('Capacity summary'!AY126)),0),AY7*$BI7),AY7*$BI7),0)</f>
        <v>0</v>
      </c>
      <c r="DC7" s="311">
        <f>IF($BI7&lt;&gt;"",IF('Capacity summary'!$D$14="Yes",IF(COUNTBLANK('Capacity summary'!$H126:$BG126)&lt;52,IF('Capacity summary'!AZ126&lt;&gt;"",IF(LOWER('Capacity summary'!AZ126)="x",$BI7*AZ7,VALUE('Capacity summary'!AZ126)),0),AZ7*$BI7),AZ7*$BI7),0)</f>
        <v>0</v>
      </c>
      <c r="DD7" s="311">
        <f>IF($BI7&lt;&gt;"",IF('Capacity summary'!$D$14="Yes",IF(COUNTBLANK('Capacity summary'!$H126:$BG126)&lt;52,IF('Capacity summary'!BA126&lt;&gt;"",IF(LOWER('Capacity summary'!BA126)="x",$BI7*BA7,VALUE('Capacity summary'!BA126)),0),BA7*$BI7),BA7*$BI7),0)</f>
        <v>0</v>
      </c>
      <c r="DE7" s="311">
        <f>IF($BI7&lt;&gt;"",IF('Capacity summary'!$D$14="Yes",IF(COUNTBLANK('Capacity summary'!$H126:$BG126)&lt;52,IF('Capacity summary'!BB126&lt;&gt;"",IF(LOWER('Capacity summary'!BB126)="x",$BI7*BB7,VALUE('Capacity summary'!BB126)),0),BB7*$BI7),BB7*$BI7),0)</f>
        <v>0</v>
      </c>
      <c r="DF7" s="311">
        <f>IF($BI7&lt;&gt;"",IF('Capacity summary'!$D$14="Yes",IF(COUNTBLANK('Capacity summary'!$H126:$BG126)&lt;52,IF('Capacity summary'!BC126&lt;&gt;"",IF(LOWER('Capacity summary'!BC126)="x",$BI7*BC7,VALUE('Capacity summary'!BC126)),0),BC7*$BI7),BC7*$BI7),0)</f>
        <v>0</v>
      </c>
      <c r="DG7" s="311">
        <f>IF($BI7&lt;&gt;"",IF('Capacity summary'!$D$14="Yes",IF(COUNTBLANK('Capacity summary'!$H126:$BG126)&lt;52,IF('Capacity summary'!BD126&lt;&gt;"",IF(LOWER('Capacity summary'!BD126)="x",$BI7*BD7,VALUE('Capacity summary'!BD126)),0),BD7*$BI7),BD7*$BI7),0)</f>
        <v>0</v>
      </c>
      <c r="DH7" s="311">
        <f>IF($BI7&lt;&gt;"",IF('Capacity summary'!$D$14="Yes",IF(COUNTBLANK('Capacity summary'!$H126:$BG126)&lt;52,IF('Capacity summary'!BE126&lt;&gt;"",IF(LOWER('Capacity summary'!BE126)="x",$BI7*BE7,VALUE('Capacity summary'!BE126)),0),BE7*$BI7),BE7*$BI7),0)</f>
        <v>0</v>
      </c>
      <c r="DI7" s="311">
        <f>IF($BI7&lt;&gt;"",IF('Capacity summary'!$D$14="Yes",IF(COUNTBLANK('Capacity summary'!$H126:$BG126)&lt;52,IF('Capacity summary'!BF126&lt;&gt;"",IF(LOWER('Capacity summary'!BF126)="x",$BI7*BF7,VALUE('Capacity summary'!BF126)),0),BF7*$BI7),BF7*$BI7),0)</f>
        <v>0</v>
      </c>
      <c r="DJ7" s="311">
        <f>IF($BI7&lt;&gt;"",IF('Capacity summary'!$D$14="Yes",IF(COUNTBLANK('Capacity summary'!$H126:$BG126)&lt;52,IF('Capacity summary'!BG126&lt;&gt;"",IF(LOWER('Capacity summary'!BG126)="x",$BI7*BG7,VALUE('Capacity summary'!BG126)),0),BG7*$BI7),BG7*$BI7),0)</f>
        <v>0</v>
      </c>
      <c r="DK7" s="388">
        <f t="shared" si="2"/>
        <v>0</v>
      </c>
      <c r="DL7" s="136">
        <f t="shared" si="3"/>
        <v>0</v>
      </c>
      <c r="DM7" s="311">
        <f>Capacity!H19</f>
        <v>0</v>
      </c>
      <c r="DQ7" s="5"/>
    </row>
    <row r="8" spans="1:121" x14ac:dyDescent="0.2">
      <c r="A8" s="67">
        <f>IF(Capacity!L20='Capacity summary'!BI127,1,0)</f>
        <v>1</v>
      </c>
      <c r="B8" s="67">
        <f>IF(Capacity!V20='Capacity summary'!BI27,1,0)</f>
        <v>1</v>
      </c>
      <c r="C8" s="67" t="str">
        <f>ROW(A4)&amp;". "&amp;Capacity!B20</f>
        <v xml:space="preserve">4. </v>
      </c>
      <c r="D8" s="67">
        <f>'Capacity setup'!C15</f>
        <v>0</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IF(ROW(C4)&lt;=Capacity!$A$16,IF('Capacity summary'!$D$14="No",SUM(H8:BG8),'Capacity summary'!$E127),0)</f>
        <v>0</v>
      </c>
      <c r="BI8" s="5" t="str">
        <f>IF(BH8&gt;0,IF(BH8&lt;Capacity!E20,Capacity!F20,Capacity!H20/'Capacity calculation (hide)'!BH8),"")</f>
        <v/>
      </c>
      <c r="BK8" s="311">
        <f>IF($BI8&lt;&gt;"",IF('Capacity summary'!$D$14="Yes",IF(COUNTBLANK('Capacity summary'!$H127:$BG127)&lt;52,IF('Capacity summary'!H127&lt;&gt;"",IF(LOWER('Capacity summary'!H127)="x",$BI8*H8,VALUE('Capacity summary'!H127)),0),H8*$BI8),H8*$BI8),0)</f>
        <v>0</v>
      </c>
      <c r="BL8" s="311">
        <f>IF($BI8&lt;&gt;"",IF('Capacity summary'!$D$14="Yes",IF(COUNTBLANK('Capacity summary'!$H127:$BG127)&lt;52,IF('Capacity summary'!I127&lt;&gt;"",IF(LOWER('Capacity summary'!I127)="x",$BI8*I8,VALUE('Capacity summary'!I127)),0),I8*$BI8),I8*$BI8),0)</f>
        <v>0</v>
      </c>
      <c r="BM8" s="311">
        <f>IF($BI8&lt;&gt;"",IF('Capacity summary'!$D$14="Yes",IF(COUNTBLANK('Capacity summary'!$H127:$BG127)&lt;52,IF('Capacity summary'!J127&lt;&gt;"",IF(LOWER('Capacity summary'!J127)="x",$BI8*J8,VALUE('Capacity summary'!J127)),0),J8*$BI8),J8*$BI8),0)</f>
        <v>0</v>
      </c>
      <c r="BN8" s="311">
        <f>IF($BI8&lt;&gt;"",IF('Capacity summary'!$D$14="Yes",IF(COUNTBLANK('Capacity summary'!$H127:$BG127)&lt;52,IF('Capacity summary'!K127&lt;&gt;"",IF(LOWER('Capacity summary'!K127)="x",$BI8*K8,VALUE('Capacity summary'!K127)),0),K8*$BI8),K8*$BI8),0)</f>
        <v>0</v>
      </c>
      <c r="BO8" s="311">
        <f>IF($BI8&lt;&gt;"",IF('Capacity summary'!$D$14="Yes",IF(COUNTBLANK('Capacity summary'!$H127:$BG127)&lt;52,IF('Capacity summary'!L127&lt;&gt;"",IF(LOWER('Capacity summary'!L127)="x",$BI8*L8,VALUE('Capacity summary'!L127)),0),L8*$BI8),L8*$BI8),0)</f>
        <v>0</v>
      </c>
      <c r="BP8" s="311">
        <f>IF($BI8&lt;&gt;"",IF('Capacity summary'!$D$14="Yes",IF(COUNTBLANK('Capacity summary'!$H127:$BG127)&lt;52,IF('Capacity summary'!M127&lt;&gt;"",IF(LOWER('Capacity summary'!M127)="x",$BI8*M8,VALUE('Capacity summary'!M127)),0),M8*$BI8),M8*$BI8),0)</f>
        <v>0</v>
      </c>
      <c r="BQ8" s="311">
        <f>IF($BI8&lt;&gt;"",IF('Capacity summary'!$D$14="Yes",IF(COUNTBLANK('Capacity summary'!$H127:$BG127)&lt;52,IF('Capacity summary'!N127&lt;&gt;"",IF(LOWER('Capacity summary'!N127)="x",$BI8*N8,VALUE('Capacity summary'!N127)),0),N8*$BI8),N8*$BI8),0)</f>
        <v>0</v>
      </c>
      <c r="BR8" s="311">
        <f>IF($BI8&lt;&gt;"",IF('Capacity summary'!$D$14="Yes",IF(COUNTBLANK('Capacity summary'!$H127:$BG127)&lt;52,IF('Capacity summary'!O127&lt;&gt;"",IF(LOWER('Capacity summary'!O127)="x",$BI8*O8,VALUE('Capacity summary'!O127)),0),O8*$BI8),O8*$BI8),0)</f>
        <v>0</v>
      </c>
      <c r="BS8" s="311">
        <f>IF($BI8&lt;&gt;"",IF('Capacity summary'!$D$14="Yes",IF(COUNTBLANK('Capacity summary'!$H127:$BG127)&lt;52,IF('Capacity summary'!P127&lt;&gt;"",IF(LOWER('Capacity summary'!P127)="x",$BI8*P8,VALUE('Capacity summary'!P127)),0),P8*$BI8),P8*$BI8),0)</f>
        <v>0</v>
      </c>
      <c r="BT8" s="311">
        <f>IF($BI8&lt;&gt;"",IF('Capacity summary'!$D$14="Yes",IF(COUNTBLANK('Capacity summary'!$H127:$BG127)&lt;52,IF('Capacity summary'!Q127&lt;&gt;"",IF(LOWER('Capacity summary'!Q127)="x",$BI8*Q8,VALUE('Capacity summary'!Q127)),0),Q8*$BI8),Q8*$BI8),0)</f>
        <v>0</v>
      </c>
      <c r="BU8" s="311">
        <f>IF($BI8&lt;&gt;"",IF('Capacity summary'!$D$14="Yes",IF(COUNTBLANK('Capacity summary'!$H127:$BG127)&lt;52,IF('Capacity summary'!R127&lt;&gt;"",IF(LOWER('Capacity summary'!R127)="x",$BI8*R8,VALUE('Capacity summary'!R127)),0),R8*$BI8),R8*$BI8),0)</f>
        <v>0</v>
      </c>
      <c r="BV8" s="311">
        <f>IF($BI8&lt;&gt;"",IF('Capacity summary'!$D$14="Yes",IF(COUNTBLANK('Capacity summary'!$H127:$BG127)&lt;52,IF('Capacity summary'!S127&lt;&gt;"",IF(LOWER('Capacity summary'!S127)="x",$BI8*S8,VALUE('Capacity summary'!S127)),0),S8*$BI8),S8*$BI8),0)</f>
        <v>0</v>
      </c>
      <c r="BW8" s="311">
        <f>IF($BI8&lt;&gt;"",IF('Capacity summary'!$D$14="Yes",IF(COUNTBLANK('Capacity summary'!$H127:$BG127)&lt;52,IF('Capacity summary'!T127&lt;&gt;"",IF(LOWER('Capacity summary'!T127)="x",$BI8*T8,VALUE('Capacity summary'!T127)),0),T8*$BI8),T8*$BI8),0)</f>
        <v>0</v>
      </c>
      <c r="BX8" s="311">
        <f>IF($BI8&lt;&gt;"",IF('Capacity summary'!$D$14="Yes",IF(COUNTBLANK('Capacity summary'!$H127:$BG127)&lt;52,IF('Capacity summary'!U127&lt;&gt;"",IF(LOWER('Capacity summary'!U127)="x",$BI8*U8,VALUE('Capacity summary'!U127)),0),U8*$BI8),U8*$BI8),0)</f>
        <v>0</v>
      </c>
      <c r="BY8" s="311">
        <f>IF($BI8&lt;&gt;"",IF('Capacity summary'!$D$14="Yes",IF(COUNTBLANK('Capacity summary'!$H127:$BG127)&lt;52,IF('Capacity summary'!V127&lt;&gt;"",IF(LOWER('Capacity summary'!V127)="x",$BI8*V8,VALUE('Capacity summary'!V127)),0),V8*$BI8),V8*$BI8),0)</f>
        <v>0</v>
      </c>
      <c r="BZ8" s="311">
        <f>IF($BI8&lt;&gt;"",IF('Capacity summary'!$D$14="Yes",IF(COUNTBLANK('Capacity summary'!$H127:$BG127)&lt;52,IF('Capacity summary'!W127&lt;&gt;"",IF(LOWER('Capacity summary'!W127)="x",$BI8*W8,VALUE('Capacity summary'!W127)),0),W8*$BI8),W8*$BI8),0)</f>
        <v>0</v>
      </c>
      <c r="CA8" s="311">
        <f>IF($BI8&lt;&gt;"",IF('Capacity summary'!$D$14="Yes",IF(COUNTBLANK('Capacity summary'!$H127:$BG127)&lt;52,IF('Capacity summary'!X127&lt;&gt;"",IF(LOWER('Capacity summary'!X127)="x",$BI8*X8,VALUE('Capacity summary'!X127)),0),X8*$BI8),X8*$BI8),0)</f>
        <v>0</v>
      </c>
      <c r="CB8" s="311">
        <f>IF($BI8&lt;&gt;"",IF('Capacity summary'!$D$14="Yes",IF(COUNTBLANK('Capacity summary'!$H127:$BG127)&lt;52,IF('Capacity summary'!Y127&lt;&gt;"",IF(LOWER('Capacity summary'!Y127)="x",$BI8*Y8,VALUE('Capacity summary'!Y127)),0),Y8*$BI8),Y8*$BI8),0)</f>
        <v>0</v>
      </c>
      <c r="CC8" s="311">
        <f>IF($BI8&lt;&gt;"",IF('Capacity summary'!$D$14="Yes",IF(COUNTBLANK('Capacity summary'!$H127:$BG127)&lt;52,IF('Capacity summary'!Z127&lt;&gt;"",IF(LOWER('Capacity summary'!Z127)="x",$BI8*Z8,VALUE('Capacity summary'!Z127)),0),Z8*$BI8),Z8*$BI8),0)</f>
        <v>0</v>
      </c>
      <c r="CD8" s="311">
        <f>IF($BI8&lt;&gt;"",IF('Capacity summary'!$D$14="Yes",IF(COUNTBLANK('Capacity summary'!$H127:$BG127)&lt;52,IF('Capacity summary'!AA127&lt;&gt;"",IF(LOWER('Capacity summary'!AA127)="x",$BI8*AA8,VALUE('Capacity summary'!AA127)),0),AA8*$BI8),AA8*$BI8),0)</f>
        <v>0</v>
      </c>
      <c r="CE8" s="311">
        <f>IF($BI8&lt;&gt;"",IF('Capacity summary'!$D$14="Yes",IF(COUNTBLANK('Capacity summary'!$H127:$BG127)&lt;52,IF('Capacity summary'!AB127&lt;&gt;"",IF(LOWER('Capacity summary'!AB127)="x",$BI8*AB8,VALUE('Capacity summary'!AB127)),0),AB8*$BI8),AB8*$BI8),0)</f>
        <v>0</v>
      </c>
      <c r="CF8" s="311">
        <f>IF($BI8&lt;&gt;"",IF('Capacity summary'!$D$14="Yes",IF(COUNTBLANK('Capacity summary'!$H127:$BG127)&lt;52,IF('Capacity summary'!AC127&lt;&gt;"",IF(LOWER('Capacity summary'!AC127)="x",$BI8*AC8,VALUE('Capacity summary'!AC127)),0),AC8*$BI8),AC8*$BI8),0)</f>
        <v>0</v>
      </c>
      <c r="CG8" s="311">
        <f>IF($BI8&lt;&gt;"",IF('Capacity summary'!$D$14="Yes",IF(COUNTBLANK('Capacity summary'!$H127:$BG127)&lt;52,IF('Capacity summary'!AD127&lt;&gt;"",IF(LOWER('Capacity summary'!AD127)="x",$BI8*AD8,VALUE('Capacity summary'!AD127)),0),AD8*$BI8),AD8*$BI8),0)</f>
        <v>0</v>
      </c>
      <c r="CH8" s="311">
        <f>IF($BI8&lt;&gt;"",IF('Capacity summary'!$D$14="Yes",IF(COUNTBLANK('Capacity summary'!$H127:$BG127)&lt;52,IF('Capacity summary'!AE127&lt;&gt;"",IF(LOWER('Capacity summary'!AE127)="x",$BI8*AE8,VALUE('Capacity summary'!AE127)),0),AE8*$BI8),AE8*$BI8),0)</f>
        <v>0</v>
      </c>
      <c r="CI8" s="311">
        <f>IF($BI8&lt;&gt;"",IF('Capacity summary'!$D$14="Yes",IF(COUNTBLANK('Capacity summary'!$H127:$BG127)&lt;52,IF('Capacity summary'!AF127&lt;&gt;"",IF(LOWER('Capacity summary'!AF127)="x",$BI8*AF8,VALUE('Capacity summary'!AF127)),0),AF8*$BI8),AF8*$BI8),0)</f>
        <v>0</v>
      </c>
      <c r="CJ8" s="311">
        <f>IF($BI8&lt;&gt;"",IF('Capacity summary'!$D$14="Yes",IF(COUNTBLANK('Capacity summary'!$H127:$BG127)&lt;52,IF('Capacity summary'!AG127&lt;&gt;"",IF(LOWER('Capacity summary'!AG127)="x",$BI8*AG8,VALUE('Capacity summary'!AG127)),0),AG8*$BI8),AG8*$BI8),0)</f>
        <v>0</v>
      </c>
      <c r="CK8" s="311">
        <f>IF($BI8&lt;&gt;"",IF('Capacity summary'!$D$14="Yes",IF(COUNTBLANK('Capacity summary'!$H127:$BG127)&lt;52,IF('Capacity summary'!AH127&lt;&gt;"",IF(LOWER('Capacity summary'!AH127)="x",$BI8*AH8,VALUE('Capacity summary'!AH127)),0),AH8*$BI8),AH8*$BI8),0)</f>
        <v>0</v>
      </c>
      <c r="CL8" s="311">
        <f>IF($BI8&lt;&gt;"",IF('Capacity summary'!$D$14="Yes",IF(COUNTBLANK('Capacity summary'!$H127:$BG127)&lt;52,IF('Capacity summary'!AI127&lt;&gt;"",IF(LOWER('Capacity summary'!AI127)="x",$BI8*AI8,VALUE('Capacity summary'!AI127)),0),AI8*$BI8),AI8*$BI8),0)</f>
        <v>0</v>
      </c>
      <c r="CM8" s="311">
        <f>IF($BI8&lt;&gt;"",IF('Capacity summary'!$D$14="Yes",IF(COUNTBLANK('Capacity summary'!$H127:$BG127)&lt;52,IF('Capacity summary'!AJ127&lt;&gt;"",IF(LOWER('Capacity summary'!AJ127)="x",$BI8*AJ8,VALUE('Capacity summary'!AJ127)),0),AJ8*$BI8),AJ8*$BI8),0)</f>
        <v>0</v>
      </c>
      <c r="CN8" s="311">
        <f>IF($BI8&lt;&gt;"",IF('Capacity summary'!$D$14="Yes",IF(COUNTBLANK('Capacity summary'!$H127:$BG127)&lt;52,IF('Capacity summary'!AK127&lt;&gt;"",IF(LOWER('Capacity summary'!AK127)="x",$BI8*AK8,VALUE('Capacity summary'!AK127)),0),AK8*$BI8),AK8*$BI8),0)</f>
        <v>0</v>
      </c>
      <c r="CO8" s="311">
        <f>IF($BI8&lt;&gt;"",IF('Capacity summary'!$D$14="Yes",IF(COUNTBLANK('Capacity summary'!$H127:$BG127)&lt;52,IF('Capacity summary'!AL127&lt;&gt;"",IF(LOWER('Capacity summary'!AL127)="x",$BI8*AL8,VALUE('Capacity summary'!AL127)),0),AL8*$BI8),AL8*$BI8),0)</f>
        <v>0</v>
      </c>
      <c r="CP8" s="311">
        <f>IF($BI8&lt;&gt;"",IF('Capacity summary'!$D$14="Yes",IF(COUNTBLANK('Capacity summary'!$H127:$BG127)&lt;52,IF('Capacity summary'!AM127&lt;&gt;"",IF(LOWER('Capacity summary'!AM127)="x",$BI8*AM8,VALUE('Capacity summary'!AM127)),0),AM8*$BI8),AM8*$BI8),0)</f>
        <v>0</v>
      </c>
      <c r="CQ8" s="311">
        <f>IF($BI8&lt;&gt;"",IF('Capacity summary'!$D$14="Yes",IF(COUNTBLANK('Capacity summary'!$H127:$BG127)&lt;52,IF('Capacity summary'!AN127&lt;&gt;"",IF(LOWER('Capacity summary'!AN127)="x",$BI8*AN8,VALUE('Capacity summary'!AN127)),0),AN8*$BI8),AN8*$BI8),0)</f>
        <v>0</v>
      </c>
      <c r="CR8" s="311">
        <f>IF($BI8&lt;&gt;"",IF('Capacity summary'!$D$14="Yes",IF(COUNTBLANK('Capacity summary'!$H127:$BG127)&lt;52,IF('Capacity summary'!AO127&lt;&gt;"",IF(LOWER('Capacity summary'!AO127)="x",$BI8*AO8,VALUE('Capacity summary'!AO127)),0),AO8*$BI8),AO8*$BI8),0)</f>
        <v>0</v>
      </c>
      <c r="CS8" s="311">
        <f>IF($BI8&lt;&gt;"",IF('Capacity summary'!$D$14="Yes",IF(COUNTBLANK('Capacity summary'!$H127:$BG127)&lt;52,IF('Capacity summary'!AP127&lt;&gt;"",IF(LOWER('Capacity summary'!AP127)="x",$BI8*AP8,VALUE('Capacity summary'!AP127)),0),AP8*$BI8),AP8*$BI8),0)</f>
        <v>0</v>
      </c>
      <c r="CT8" s="311">
        <f>IF($BI8&lt;&gt;"",IF('Capacity summary'!$D$14="Yes",IF(COUNTBLANK('Capacity summary'!$H127:$BG127)&lt;52,IF('Capacity summary'!AQ127&lt;&gt;"",IF(LOWER('Capacity summary'!AQ127)="x",$BI8*AQ8,VALUE('Capacity summary'!AQ127)),0),AQ8*$BI8),AQ8*$BI8),0)</f>
        <v>0</v>
      </c>
      <c r="CU8" s="311">
        <f>IF($BI8&lt;&gt;"",IF('Capacity summary'!$D$14="Yes",IF(COUNTBLANK('Capacity summary'!$H127:$BG127)&lt;52,IF('Capacity summary'!AR127&lt;&gt;"",IF(LOWER('Capacity summary'!AR127)="x",$BI8*AR8,VALUE('Capacity summary'!AR127)),0),AR8*$BI8),AR8*$BI8),0)</f>
        <v>0</v>
      </c>
      <c r="CV8" s="311">
        <f>IF($BI8&lt;&gt;"",IF('Capacity summary'!$D$14="Yes",IF(COUNTBLANK('Capacity summary'!$H127:$BG127)&lt;52,IF('Capacity summary'!AS127&lt;&gt;"",IF(LOWER('Capacity summary'!AS127)="x",$BI8*AS8,VALUE('Capacity summary'!AS127)),0),AS8*$BI8),AS8*$BI8),0)</f>
        <v>0</v>
      </c>
      <c r="CW8" s="311">
        <f>IF($BI8&lt;&gt;"",IF('Capacity summary'!$D$14="Yes",IF(COUNTBLANK('Capacity summary'!$H127:$BG127)&lt;52,IF('Capacity summary'!AT127&lt;&gt;"",IF(LOWER('Capacity summary'!AT127)="x",$BI8*AT8,VALUE('Capacity summary'!AT127)),0),AT8*$BI8),AT8*$BI8),0)</f>
        <v>0</v>
      </c>
      <c r="CX8" s="311">
        <f>IF($BI8&lt;&gt;"",IF('Capacity summary'!$D$14="Yes",IF(COUNTBLANK('Capacity summary'!$H127:$BG127)&lt;52,IF('Capacity summary'!AU127&lt;&gt;"",IF(LOWER('Capacity summary'!AU127)="x",$BI8*AU8,VALUE('Capacity summary'!AU127)),0),AU8*$BI8),AU8*$BI8),0)</f>
        <v>0</v>
      </c>
      <c r="CY8" s="311">
        <f>IF($BI8&lt;&gt;"",IF('Capacity summary'!$D$14="Yes",IF(COUNTBLANK('Capacity summary'!$H127:$BG127)&lt;52,IF('Capacity summary'!AV127&lt;&gt;"",IF(LOWER('Capacity summary'!AV127)="x",$BI8*AV8,VALUE('Capacity summary'!AV127)),0),AV8*$BI8),AV8*$BI8),0)</f>
        <v>0</v>
      </c>
      <c r="CZ8" s="311">
        <f>IF($BI8&lt;&gt;"",IF('Capacity summary'!$D$14="Yes",IF(COUNTBLANK('Capacity summary'!$H127:$BG127)&lt;52,IF('Capacity summary'!AW127&lt;&gt;"",IF(LOWER('Capacity summary'!AW127)="x",$BI8*AW8,VALUE('Capacity summary'!AW127)),0),AW8*$BI8),AW8*$BI8),0)</f>
        <v>0</v>
      </c>
      <c r="DA8" s="311">
        <f>IF($BI8&lt;&gt;"",IF('Capacity summary'!$D$14="Yes",IF(COUNTBLANK('Capacity summary'!$H127:$BG127)&lt;52,IF('Capacity summary'!AX127&lt;&gt;"",IF(LOWER('Capacity summary'!AX127)="x",$BI8*AX8,VALUE('Capacity summary'!AX127)),0),AX8*$BI8),AX8*$BI8),0)</f>
        <v>0</v>
      </c>
      <c r="DB8" s="311">
        <f>IF($BI8&lt;&gt;"",IF('Capacity summary'!$D$14="Yes",IF(COUNTBLANK('Capacity summary'!$H127:$BG127)&lt;52,IF('Capacity summary'!AY127&lt;&gt;"",IF(LOWER('Capacity summary'!AY127)="x",$BI8*AY8,VALUE('Capacity summary'!AY127)),0),AY8*$BI8),AY8*$BI8),0)</f>
        <v>0</v>
      </c>
      <c r="DC8" s="311">
        <f>IF($BI8&lt;&gt;"",IF('Capacity summary'!$D$14="Yes",IF(COUNTBLANK('Capacity summary'!$H127:$BG127)&lt;52,IF('Capacity summary'!AZ127&lt;&gt;"",IF(LOWER('Capacity summary'!AZ127)="x",$BI8*AZ8,VALUE('Capacity summary'!AZ127)),0),AZ8*$BI8),AZ8*$BI8),0)</f>
        <v>0</v>
      </c>
      <c r="DD8" s="311">
        <f>IF($BI8&lt;&gt;"",IF('Capacity summary'!$D$14="Yes",IF(COUNTBLANK('Capacity summary'!$H127:$BG127)&lt;52,IF('Capacity summary'!BA127&lt;&gt;"",IF(LOWER('Capacity summary'!BA127)="x",$BI8*BA8,VALUE('Capacity summary'!BA127)),0),BA8*$BI8),BA8*$BI8),0)</f>
        <v>0</v>
      </c>
      <c r="DE8" s="311">
        <f>IF($BI8&lt;&gt;"",IF('Capacity summary'!$D$14="Yes",IF(COUNTBLANK('Capacity summary'!$H127:$BG127)&lt;52,IF('Capacity summary'!BB127&lt;&gt;"",IF(LOWER('Capacity summary'!BB127)="x",$BI8*BB8,VALUE('Capacity summary'!BB127)),0),BB8*$BI8),BB8*$BI8),0)</f>
        <v>0</v>
      </c>
      <c r="DF8" s="311">
        <f>IF($BI8&lt;&gt;"",IF('Capacity summary'!$D$14="Yes",IF(COUNTBLANK('Capacity summary'!$H127:$BG127)&lt;52,IF('Capacity summary'!BC127&lt;&gt;"",IF(LOWER('Capacity summary'!BC127)="x",$BI8*BC8,VALUE('Capacity summary'!BC127)),0),BC8*$BI8),BC8*$BI8),0)</f>
        <v>0</v>
      </c>
      <c r="DG8" s="311">
        <f>IF($BI8&lt;&gt;"",IF('Capacity summary'!$D$14="Yes",IF(COUNTBLANK('Capacity summary'!$H127:$BG127)&lt;52,IF('Capacity summary'!BD127&lt;&gt;"",IF(LOWER('Capacity summary'!BD127)="x",$BI8*BD8,VALUE('Capacity summary'!BD127)),0),BD8*$BI8),BD8*$BI8),0)</f>
        <v>0</v>
      </c>
      <c r="DH8" s="311">
        <f>IF($BI8&lt;&gt;"",IF('Capacity summary'!$D$14="Yes",IF(COUNTBLANK('Capacity summary'!$H127:$BG127)&lt;52,IF('Capacity summary'!BE127&lt;&gt;"",IF(LOWER('Capacity summary'!BE127)="x",$BI8*BE8,VALUE('Capacity summary'!BE127)),0),BE8*$BI8),BE8*$BI8),0)</f>
        <v>0</v>
      </c>
      <c r="DI8" s="311">
        <f>IF($BI8&lt;&gt;"",IF('Capacity summary'!$D$14="Yes",IF(COUNTBLANK('Capacity summary'!$H127:$BG127)&lt;52,IF('Capacity summary'!BF127&lt;&gt;"",IF(LOWER('Capacity summary'!BF127)="x",$BI8*BF8,VALUE('Capacity summary'!BF127)),0),BF8*$BI8),BF8*$BI8),0)</f>
        <v>0</v>
      </c>
      <c r="DJ8" s="311">
        <f>IF($BI8&lt;&gt;"",IF('Capacity summary'!$D$14="Yes",IF(COUNTBLANK('Capacity summary'!$H127:$BG127)&lt;52,IF('Capacity summary'!BG127&lt;&gt;"",IF(LOWER('Capacity summary'!BG127)="x",$BI8*BG8,VALUE('Capacity summary'!BG127)),0),BG8*$BI8),BG8*$BI8),0)</f>
        <v>0</v>
      </c>
      <c r="DK8" s="388">
        <f t="shared" si="2"/>
        <v>0</v>
      </c>
      <c r="DL8" s="136">
        <f t="shared" si="3"/>
        <v>0</v>
      </c>
      <c r="DM8" s="311">
        <f>Capacity!H20</f>
        <v>0</v>
      </c>
      <c r="DQ8" s="5"/>
    </row>
    <row r="9" spans="1:121" x14ac:dyDescent="0.2">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0</v>
      </c>
      <c r="BI9" s="5" t="str">
        <f>IF(BH9&gt;0,IF(BH9&lt;Capacity!E21,Capacity!F21,Capacity!H21/'Capacity calculation (hide)'!BH9),"")</f>
        <v/>
      </c>
      <c r="BK9" s="311">
        <f>IF($BI9&lt;&gt;"",IF('Capacity summary'!$D$14="Yes",IF(COUNTBLANK('Capacity summary'!$H128:$BG128)&lt;52,IF('Capacity summary'!H128&lt;&gt;"",IF(LOWER('Capacity summary'!H128)="x",$BI9*H9,VALUE('Capacity summary'!H128)),0),H9*$BI9),H9*$BI9),0)</f>
        <v>0</v>
      </c>
      <c r="BL9" s="311">
        <f>IF($BI9&lt;&gt;"",IF('Capacity summary'!$D$14="Yes",IF(COUNTBLANK('Capacity summary'!$H128:$BG128)&lt;52,IF('Capacity summary'!I128&lt;&gt;"",IF(LOWER('Capacity summary'!I128)="x",$BI9*I9,VALUE('Capacity summary'!I128)),0),I9*$BI9),I9*$BI9),0)</f>
        <v>0</v>
      </c>
      <c r="BM9" s="311">
        <f>IF($BI9&lt;&gt;"",IF('Capacity summary'!$D$14="Yes",IF(COUNTBLANK('Capacity summary'!$H128:$BG128)&lt;52,IF('Capacity summary'!J128&lt;&gt;"",IF(LOWER('Capacity summary'!J128)="x",$BI9*J9,VALUE('Capacity summary'!J128)),0),J9*$BI9),J9*$BI9),0)</f>
        <v>0</v>
      </c>
      <c r="BN9" s="311">
        <f>IF($BI9&lt;&gt;"",IF('Capacity summary'!$D$14="Yes",IF(COUNTBLANK('Capacity summary'!$H128:$BG128)&lt;52,IF('Capacity summary'!K128&lt;&gt;"",IF(LOWER('Capacity summary'!K128)="x",$BI9*K9,VALUE('Capacity summary'!K128)),0),K9*$BI9),K9*$BI9),0)</f>
        <v>0</v>
      </c>
      <c r="BO9" s="311">
        <f>IF($BI9&lt;&gt;"",IF('Capacity summary'!$D$14="Yes",IF(COUNTBLANK('Capacity summary'!$H128:$BG128)&lt;52,IF('Capacity summary'!L128&lt;&gt;"",IF(LOWER('Capacity summary'!L128)="x",$BI9*L9,VALUE('Capacity summary'!L128)),0),L9*$BI9),L9*$BI9),0)</f>
        <v>0</v>
      </c>
      <c r="BP9" s="311">
        <f>IF($BI9&lt;&gt;"",IF('Capacity summary'!$D$14="Yes",IF(COUNTBLANK('Capacity summary'!$H128:$BG128)&lt;52,IF('Capacity summary'!M128&lt;&gt;"",IF(LOWER('Capacity summary'!M128)="x",$BI9*M9,VALUE('Capacity summary'!M128)),0),M9*$BI9),M9*$BI9),0)</f>
        <v>0</v>
      </c>
      <c r="BQ9" s="311">
        <f>IF($BI9&lt;&gt;"",IF('Capacity summary'!$D$14="Yes",IF(COUNTBLANK('Capacity summary'!$H128:$BG128)&lt;52,IF('Capacity summary'!N128&lt;&gt;"",IF(LOWER('Capacity summary'!N128)="x",$BI9*N9,VALUE('Capacity summary'!N128)),0),N9*$BI9),N9*$BI9),0)</f>
        <v>0</v>
      </c>
      <c r="BR9" s="311">
        <f>IF($BI9&lt;&gt;"",IF('Capacity summary'!$D$14="Yes",IF(COUNTBLANK('Capacity summary'!$H128:$BG128)&lt;52,IF('Capacity summary'!O128&lt;&gt;"",IF(LOWER('Capacity summary'!O128)="x",$BI9*O9,VALUE('Capacity summary'!O128)),0),O9*$BI9),O9*$BI9),0)</f>
        <v>0</v>
      </c>
      <c r="BS9" s="311">
        <f>IF($BI9&lt;&gt;"",IF('Capacity summary'!$D$14="Yes",IF(COUNTBLANK('Capacity summary'!$H128:$BG128)&lt;52,IF('Capacity summary'!P128&lt;&gt;"",IF(LOWER('Capacity summary'!P128)="x",$BI9*P9,VALUE('Capacity summary'!P128)),0),P9*$BI9),P9*$BI9),0)</f>
        <v>0</v>
      </c>
      <c r="BT9" s="311">
        <f>IF($BI9&lt;&gt;"",IF('Capacity summary'!$D$14="Yes",IF(COUNTBLANK('Capacity summary'!$H128:$BG128)&lt;52,IF('Capacity summary'!Q128&lt;&gt;"",IF(LOWER('Capacity summary'!Q128)="x",$BI9*Q9,VALUE('Capacity summary'!Q128)),0),Q9*$BI9),Q9*$BI9),0)</f>
        <v>0</v>
      </c>
      <c r="BU9" s="311">
        <f>IF($BI9&lt;&gt;"",IF('Capacity summary'!$D$14="Yes",IF(COUNTBLANK('Capacity summary'!$H128:$BG128)&lt;52,IF('Capacity summary'!R128&lt;&gt;"",IF(LOWER('Capacity summary'!R128)="x",$BI9*R9,VALUE('Capacity summary'!R128)),0),R9*$BI9),R9*$BI9),0)</f>
        <v>0</v>
      </c>
      <c r="BV9" s="311">
        <f>IF($BI9&lt;&gt;"",IF('Capacity summary'!$D$14="Yes",IF(COUNTBLANK('Capacity summary'!$H128:$BG128)&lt;52,IF('Capacity summary'!S128&lt;&gt;"",IF(LOWER('Capacity summary'!S128)="x",$BI9*S9,VALUE('Capacity summary'!S128)),0),S9*$BI9),S9*$BI9),0)</f>
        <v>0</v>
      </c>
      <c r="BW9" s="311">
        <f>IF($BI9&lt;&gt;"",IF('Capacity summary'!$D$14="Yes",IF(COUNTBLANK('Capacity summary'!$H128:$BG128)&lt;52,IF('Capacity summary'!T128&lt;&gt;"",IF(LOWER('Capacity summary'!T128)="x",$BI9*T9,VALUE('Capacity summary'!T128)),0),T9*$BI9),T9*$BI9),0)</f>
        <v>0</v>
      </c>
      <c r="BX9" s="311">
        <f>IF($BI9&lt;&gt;"",IF('Capacity summary'!$D$14="Yes",IF(COUNTBLANK('Capacity summary'!$H128:$BG128)&lt;52,IF('Capacity summary'!U128&lt;&gt;"",IF(LOWER('Capacity summary'!U128)="x",$BI9*U9,VALUE('Capacity summary'!U128)),0),U9*$BI9),U9*$BI9),0)</f>
        <v>0</v>
      </c>
      <c r="BY9" s="311">
        <f>IF($BI9&lt;&gt;"",IF('Capacity summary'!$D$14="Yes",IF(COUNTBLANK('Capacity summary'!$H128:$BG128)&lt;52,IF('Capacity summary'!V128&lt;&gt;"",IF(LOWER('Capacity summary'!V128)="x",$BI9*V9,VALUE('Capacity summary'!V128)),0),V9*$BI9),V9*$BI9),0)</f>
        <v>0</v>
      </c>
      <c r="BZ9" s="311">
        <f>IF($BI9&lt;&gt;"",IF('Capacity summary'!$D$14="Yes",IF(COUNTBLANK('Capacity summary'!$H128:$BG128)&lt;52,IF('Capacity summary'!W128&lt;&gt;"",IF(LOWER('Capacity summary'!W128)="x",$BI9*W9,VALUE('Capacity summary'!W128)),0),W9*$BI9),W9*$BI9),0)</f>
        <v>0</v>
      </c>
      <c r="CA9" s="311">
        <f>IF($BI9&lt;&gt;"",IF('Capacity summary'!$D$14="Yes",IF(COUNTBLANK('Capacity summary'!$H128:$BG128)&lt;52,IF('Capacity summary'!X128&lt;&gt;"",IF(LOWER('Capacity summary'!X128)="x",$BI9*X9,VALUE('Capacity summary'!X128)),0),X9*$BI9),X9*$BI9),0)</f>
        <v>0</v>
      </c>
      <c r="CB9" s="311">
        <f>IF($BI9&lt;&gt;"",IF('Capacity summary'!$D$14="Yes",IF(COUNTBLANK('Capacity summary'!$H128:$BG128)&lt;52,IF('Capacity summary'!Y128&lt;&gt;"",IF(LOWER('Capacity summary'!Y128)="x",$BI9*Y9,VALUE('Capacity summary'!Y128)),0),Y9*$BI9),Y9*$BI9),0)</f>
        <v>0</v>
      </c>
      <c r="CC9" s="311">
        <f>IF($BI9&lt;&gt;"",IF('Capacity summary'!$D$14="Yes",IF(COUNTBLANK('Capacity summary'!$H128:$BG128)&lt;52,IF('Capacity summary'!Z128&lt;&gt;"",IF(LOWER('Capacity summary'!Z128)="x",$BI9*Z9,VALUE('Capacity summary'!Z128)),0),Z9*$BI9),Z9*$BI9),0)</f>
        <v>0</v>
      </c>
      <c r="CD9" s="311">
        <f>IF($BI9&lt;&gt;"",IF('Capacity summary'!$D$14="Yes",IF(COUNTBLANK('Capacity summary'!$H128:$BG128)&lt;52,IF('Capacity summary'!AA128&lt;&gt;"",IF(LOWER('Capacity summary'!AA128)="x",$BI9*AA9,VALUE('Capacity summary'!AA128)),0),AA9*$BI9),AA9*$BI9),0)</f>
        <v>0</v>
      </c>
      <c r="CE9" s="311">
        <f>IF($BI9&lt;&gt;"",IF('Capacity summary'!$D$14="Yes",IF(COUNTBLANK('Capacity summary'!$H128:$BG128)&lt;52,IF('Capacity summary'!AB128&lt;&gt;"",IF(LOWER('Capacity summary'!AB128)="x",$BI9*AB9,VALUE('Capacity summary'!AB128)),0),AB9*$BI9),AB9*$BI9),0)</f>
        <v>0</v>
      </c>
      <c r="CF9" s="311">
        <f>IF($BI9&lt;&gt;"",IF('Capacity summary'!$D$14="Yes",IF(COUNTBLANK('Capacity summary'!$H128:$BG128)&lt;52,IF('Capacity summary'!AC128&lt;&gt;"",IF(LOWER('Capacity summary'!AC128)="x",$BI9*AC9,VALUE('Capacity summary'!AC128)),0),AC9*$BI9),AC9*$BI9),0)</f>
        <v>0</v>
      </c>
      <c r="CG9" s="311">
        <f>IF($BI9&lt;&gt;"",IF('Capacity summary'!$D$14="Yes",IF(COUNTBLANK('Capacity summary'!$H128:$BG128)&lt;52,IF('Capacity summary'!AD128&lt;&gt;"",IF(LOWER('Capacity summary'!AD128)="x",$BI9*AD9,VALUE('Capacity summary'!AD128)),0),AD9*$BI9),AD9*$BI9),0)</f>
        <v>0</v>
      </c>
      <c r="CH9" s="311">
        <f>IF($BI9&lt;&gt;"",IF('Capacity summary'!$D$14="Yes",IF(COUNTBLANK('Capacity summary'!$H128:$BG128)&lt;52,IF('Capacity summary'!AE128&lt;&gt;"",IF(LOWER('Capacity summary'!AE128)="x",$BI9*AE9,VALUE('Capacity summary'!AE128)),0),AE9*$BI9),AE9*$BI9),0)</f>
        <v>0</v>
      </c>
      <c r="CI9" s="311">
        <f>IF($BI9&lt;&gt;"",IF('Capacity summary'!$D$14="Yes",IF(COUNTBLANK('Capacity summary'!$H128:$BG128)&lt;52,IF('Capacity summary'!AF128&lt;&gt;"",IF(LOWER('Capacity summary'!AF128)="x",$BI9*AF9,VALUE('Capacity summary'!AF128)),0),AF9*$BI9),AF9*$BI9),0)</f>
        <v>0</v>
      </c>
      <c r="CJ9" s="311">
        <f>IF($BI9&lt;&gt;"",IF('Capacity summary'!$D$14="Yes",IF(COUNTBLANK('Capacity summary'!$H128:$BG128)&lt;52,IF('Capacity summary'!AG128&lt;&gt;"",IF(LOWER('Capacity summary'!AG128)="x",$BI9*AG9,VALUE('Capacity summary'!AG128)),0),AG9*$BI9),AG9*$BI9),0)</f>
        <v>0</v>
      </c>
      <c r="CK9" s="311">
        <f>IF($BI9&lt;&gt;"",IF('Capacity summary'!$D$14="Yes",IF(COUNTBLANK('Capacity summary'!$H128:$BG128)&lt;52,IF('Capacity summary'!AH128&lt;&gt;"",IF(LOWER('Capacity summary'!AH128)="x",$BI9*AH9,VALUE('Capacity summary'!AH128)),0),AH9*$BI9),AH9*$BI9),0)</f>
        <v>0</v>
      </c>
      <c r="CL9" s="311">
        <f>IF($BI9&lt;&gt;"",IF('Capacity summary'!$D$14="Yes",IF(COUNTBLANK('Capacity summary'!$H128:$BG128)&lt;52,IF('Capacity summary'!AI128&lt;&gt;"",IF(LOWER('Capacity summary'!AI128)="x",$BI9*AI9,VALUE('Capacity summary'!AI128)),0),AI9*$BI9),AI9*$BI9),0)</f>
        <v>0</v>
      </c>
      <c r="CM9" s="311">
        <f>IF($BI9&lt;&gt;"",IF('Capacity summary'!$D$14="Yes",IF(COUNTBLANK('Capacity summary'!$H128:$BG128)&lt;52,IF('Capacity summary'!AJ128&lt;&gt;"",IF(LOWER('Capacity summary'!AJ128)="x",$BI9*AJ9,VALUE('Capacity summary'!AJ128)),0),AJ9*$BI9),AJ9*$BI9),0)</f>
        <v>0</v>
      </c>
      <c r="CN9" s="311">
        <f>IF($BI9&lt;&gt;"",IF('Capacity summary'!$D$14="Yes",IF(COUNTBLANK('Capacity summary'!$H128:$BG128)&lt;52,IF('Capacity summary'!AK128&lt;&gt;"",IF(LOWER('Capacity summary'!AK128)="x",$BI9*AK9,VALUE('Capacity summary'!AK128)),0),AK9*$BI9),AK9*$BI9),0)</f>
        <v>0</v>
      </c>
      <c r="CO9" s="311">
        <f>IF($BI9&lt;&gt;"",IF('Capacity summary'!$D$14="Yes",IF(COUNTBLANK('Capacity summary'!$H128:$BG128)&lt;52,IF('Capacity summary'!AL128&lt;&gt;"",IF(LOWER('Capacity summary'!AL128)="x",$BI9*AL9,VALUE('Capacity summary'!AL128)),0),AL9*$BI9),AL9*$BI9),0)</f>
        <v>0</v>
      </c>
      <c r="CP9" s="311">
        <f>IF($BI9&lt;&gt;"",IF('Capacity summary'!$D$14="Yes",IF(COUNTBLANK('Capacity summary'!$H128:$BG128)&lt;52,IF('Capacity summary'!AM128&lt;&gt;"",IF(LOWER('Capacity summary'!AM128)="x",$BI9*AM9,VALUE('Capacity summary'!AM128)),0),AM9*$BI9),AM9*$BI9),0)</f>
        <v>0</v>
      </c>
      <c r="CQ9" s="311">
        <f>IF($BI9&lt;&gt;"",IF('Capacity summary'!$D$14="Yes",IF(COUNTBLANK('Capacity summary'!$H128:$BG128)&lt;52,IF('Capacity summary'!AN128&lt;&gt;"",IF(LOWER('Capacity summary'!AN128)="x",$BI9*AN9,VALUE('Capacity summary'!AN128)),0),AN9*$BI9),AN9*$BI9),0)</f>
        <v>0</v>
      </c>
      <c r="CR9" s="311">
        <f>IF($BI9&lt;&gt;"",IF('Capacity summary'!$D$14="Yes",IF(COUNTBLANK('Capacity summary'!$H128:$BG128)&lt;52,IF('Capacity summary'!AO128&lt;&gt;"",IF(LOWER('Capacity summary'!AO128)="x",$BI9*AO9,VALUE('Capacity summary'!AO128)),0),AO9*$BI9),AO9*$BI9),0)</f>
        <v>0</v>
      </c>
      <c r="CS9" s="311">
        <f>IF($BI9&lt;&gt;"",IF('Capacity summary'!$D$14="Yes",IF(COUNTBLANK('Capacity summary'!$H128:$BG128)&lt;52,IF('Capacity summary'!AP128&lt;&gt;"",IF(LOWER('Capacity summary'!AP128)="x",$BI9*AP9,VALUE('Capacity summary'!AP128)),0),AP9*$BI9),AP9*$BI9),0)</f>
        <v>0</v>
      </c>
      <c r="CT9" s="311">
        <f>IF($BI9&lt;&gt;"",IF('Capacity summary'!$D$14="Yes",IF(COUNTBLANK('Capacity summary'!$H128:$BG128)&lt;52,IF('Capacity summary'!AQ128&lt;&gt;"",IF(LOWER('Capacity summary'!AQ128)="x",$BI9*AQ9,VALUE('Capacity summary'!AQ128)),0),AQ9*$BI9),AQ9*$BI9),0)</f>
        <v>0</v>
      </c>
      <c r="CU9" s="311">
        <f>IF($BI9&lt;&gt;"",IF('Capacity summary'!$D$14="Yes",IF(COUNTBLANK('Capacity summary'!$H128:$BG128)&lt;52,IF('Capacity summary'!AR128&lt;&gt;"",IF(LOWER('Capacity summary'!AR128)="x",$BI9*AR9,VALUE('Capacity summary'!AR128)),0),AR9*$BI9),AR9*$BI9),0)</f>
        <v>0</v>
      </c>
      <c r="CV9" s="311">
        <f>IF($BI9&lt;&gt;"",IF('Capacity summary'!$D$14="Yes",IF(COUNTBLANK('Capacity summary'!$H128:$BG128)&lt;52,IF('Capacity summary'!AS128&lt;&gt;"",IF(LOWER('Capacity summary'!AS128)="x",$BI9*AS9,VALUE('Capacity summary'!AS128)),0),AS9*$BI9),AS9*$BI9),0)</f>
        <v>0</v>
      </c>
      <c r="CW9" s="311">
        <f>IF($BI9&lt;&gt;"",IF('Capacity summary'!$D$14="Yes",IF(COUNTBLANK('Capacity summary'!$H128:$BG128)&lt;52,IF('Capacity summary'!AT128&lt;&gt;"",IF(LOWER('Capacity summary'!AT128)="x",$BI9*AT9,VALUE('Capacity summary'!AT128)),0),AT9*$BI9),AT9*$BI9),0)</f>
        <v>0</v>
      </c>
      <c r="CX9" s="311">
        <f>IF($BI9&lt;&gt;"",IF('Capacity summary'!$D$14="Yes",IF(COUNTBLANK('Capacity summary'!$H128:$BG128)&lt;52,IF('Capacity summary'!AU128&lt;&gt;"",IF(LOWER('Capacity summary'!AU128)="x",$BI9*AU9,VALUE('Capacity summary'!AU128)),0),AU9*$BI9),AU9*$BI9),0)</f>
        <v>0</v>
      </c>
      <c r="CY9" s="311">
        <f>IF($BI9&lt;&gt;"",IF('Capacity summary'!$D$14="Yes",IF(COUNTBLANK('Capacity summary'!$H128:$BG128)&lt;52,IF('Capacity summary'!AV128&lt;&gt;"",IF(LOWER('Capacity summary'!AV128)="x",$BI9*AV9,VALUE('Capacity summary'!AV128)),0),AV9*$BI9),AV9*$BI9),0)</f>
        <v>0</v>
      </c>
      <c r="CZ9" s="311">
        <f>IF($BI9&lt;&gt;"",IF('Capacity summary'!$D$14="Yes",IF(COUNTBLANK('Capacity summary'!$H128:$BG128)&lt;52,IF('Capacity summary'!AW128&lt;&gt;"",IF(LOWER('Capacity summary'!AW128)="x",$BI9*AW9,VALUE('Capacity summary'!AW128)),0),AW9*$BI9),AW9*$BI9),0)</f>
        <v>0</v>
      </c>
      <c r="DA9" s="311">
        <f>IF($BI9&lt;&gt;"",IF('Capacity summary'!$D$14="Yes",IF(COUNTBLANK('Capacity summary'!$H128:$BG128)&lt;52,IF('Capacity summary'!AX128&lt;&gt;"",IF(LOWER('Capacity summary'!AX128)="x",$BI9*AX9,VALUE('Capacity summary'!AX128)),0),AX9*$BI9),AX9*$BI9),0)</f>
        <v>0</v>
      </c>
      <c r="DB9" s="311">
        <f>IF($BI9&lt;&gt;"",IF('Capacity summary'!$D$14="Yes",IF(COUNTBLANK('Capacity summary'!$H128:$BG128)&lt;52,IF('Capacity summary'!AY128&lt;&gt;"",IF(LOWER('Capacity summary'!AY128)="x",$BI9*AY9,VALUE('Capacity summary'!AY128)),0),AY9*$BI9),AY9*$BI9),0)</f>
        <v>0</v>
      </c>
      <c r="DC9" s="311">
        <f>IF($BI9&lt;&gt;"",IF('Capacity summary'!$D$14="Yes",IF(COUNTBLANK('Capacity summary'!$H128:$BG128)&lt;52,IF('Capacity summary'!AZ128&lt;&gt;"",IF(LOWER('Capacity summary'!AZ128)="x",$BI9*AZ9,VALUE('Capacity summary'!AZ128)),0),AZ9*$BI9),AZ9*$BI9),0)</f>
        <v>0</v>
      </c>
      <c r="DD9" s="311">
        <f>IF($BI9&lt;&gt;"",IF('Capacity summary'!$D$14="Yes",IF(COUNTBLANK('Capacity summary'!$H128:$BG128)&lt;52,IF('Capacity summary'!BA128&lt;&gt;"",IF(LOWER('Capacity summary'!BA128)="x",$BI9*BA9,VALUE('Capacity summary'!BA128)),0),BA9*$BI9),BA9*$BI9),0)</f>
        <v>0</v>
      </c>
      <c r="DE9" s="311">
        <f>IF($BI9&lt;&gt;"",IF('Capacity summary'!$D$14="Yes",IF(COUNTBLANK('Capacity summary'!$H128:$BG128)&lt;52,IF('Capacity summary'!BB128&lt;&gt;"",IF(LOWER('Capacity summary'!BB128)="x",$BI9*BB9,VALUE('Capacity summary'!BB128)),0),BB9*$BI9),BB9*$BI9),0)</f>
        <v>0</v>
      </c>
      <c r="DF9" s="311">
        <f>IF($BI9&lt;&gt;"",IF('Capacity summary'!$D$14="Yes",IF(COUNTBLANK('Capacity summary'!$H128:$BG128)&lt;52,IF('Capacity summary'!BC128&lt;&gt;"",IF(LOWER('Capacity summary'!BC128)="x",$BI9*BC9,VALUE('Capacity summary'!BC128)),0),BC9*$BI9),BC9*$BI9),0)</f>
        <v>0</v>
      </c>
      <c r="DG9" s="311">
        <f>IF($BI9&lt;&gt;"",IF('Capacity summary'!$D$14="Yes",IF(COUNTBLANK('Capacity summary'!$H128:$BG128)&lt;52,IF('Capacity summary'!BD128&lt;&gt;"",IF(LOWER('Capacity summary'!BD128)="x",$BI9*BD9,VALUE('Capacity summary'!BD128)),0),BD9*$BI9),BD9*$BI9),0)</f>
        <v>0</v>
      </c>
      <c r="DH9" s="311">
        <f>IF($BI9&lt;&gt;"",IF('Capacity summary'!$D$14="Yes",IF(COUNTBLANK('Capacity summary'!$H128:$BG128)&lt;52,IF('Capacity summary'!BE128&lt;&gt;"",IF(LOWER('Capacity summary'!BE128)="x",$BI9*BE9,VALUE('Capacity summary'!BE128)),0),BE9*$BI9),BE9*$BI9),0)</f>
        <v>0</v>
      </c>
      <c r="DI9" s="311">
        <f>IF($BI9&lt;&gt;"",IF('Capacity summary'!$D$14="Yes",IF(COUNTBLANK('Capacity summary'!$H128:$BG128)&lt;52,IF('Capacity summary'!BF128&lt;&gt;"",IF(LOWER('Capacity summary'!BF128)="x",$BI9*BF9,VALUE('Capacity summary'!BF128)),0),BF9*$BI9),BF9*$BI9),0)</f>
        <v>0</v>
      </c>
      <c r="DJ9" s="311">
        <f>IF($BI9&lt;&gt;"",IF('Capacity summary'!$D$14="Yes",IF(COUNTBLANK('Capacity summary'!$H128:$BG128)&lt;52,IF('Capacity summary'!BG128&lt;&gt;"",IF(LOWER('Capacity summary'!BG128)="x",$BI9*BG9,VALUE('Capacity summary'!BG128)),0),BG9*$BI9),BG9*$BI9),0)</f>
        <v>0</v>
      </c>
      <c r="DK9" s="388">
        <f t="shared" si="2"/>
        <v>0</v>
      </c>
      <c r="DL9" s="136">
        <f t="shared" si="3"/>
        <v>0</v>
      </c>
      <c r="DM9" s="311" t="str">
        <f>Capacity!H21</f>
        <v/>
      </c>
      <c r="DQ9" s="5"/>
    </row>
    <row r="10" spans="1:121" x14ac:dyDescent="0.2">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1">
        <f>IF($BI10&lt;&gt;"",IF('Capacity summary'!$D$14="Yes",IF(COUNTBLANK('Capacity summary'!$H129:$BG129)&lt;52,IF('Capacity summary'!H129&lt;&gt;"",IF(LOWER('Capacity summary'!H129)="x",$BI10*H10,VALUE('Capacity summary'!H129)),0),H10*$BI10),H10*$BI10),0)</f>
        <v>0</v>
      </c>
      <c r="BL10" s="311">
        <f>IF($BI10&lt;&gt;"",IF('Capacity summary'!$D$14="Yes",IF(COUNTBLANK('Capacity summary'!$H129:$BG129)&lt;52,IF('Capacity summary'!I129&lt;&gt;"",IF(LOWER('Capacity summary'!I129)="x",$BI10*I10,VALUE('Capacity summary'!I129)),0),I10*$BI10),I10*$BI10),0)</f>
        <v>0</v>
      </c>
      <c r="BM10" s="311">
        <f>IF($BI10&lt;&gt;"",IF('Capacity summary'!$D$14="Yes",IF(COUNTBLANK('Capacity summary'!$H129:$BG129)&lt;52,IF('Capacity summary'!J129&lt;&gt;"",IF(LOWER('Capacity summary'!J129)="x",$BI10*J10,VALUE('Capacity summary'!J129)),0),J10*$BI10),J10*$BI10),0)</f>
        <v>0</v>
      </c>
      <c r="BN10" s="311">
        <f>IF($BI10&lt;&gt;"",IF('Capacity summary'!$D$14="Yes",IF(COUNTBLANK('Capacity summary'!$H129:$BG129)&lt;52,IF('Capacity summary'!K129&lt;&gt;"",IF(LOWER('Capacity summary'!K129)="x",$BI10*K10,VALUE('Capacity summary'!K129)),0),K10*$BI10),K10*$BI10),0)</f>
        <v>0</v>
      </c>
      <c r="BO10" s="311">
        <f>IF($BI10&lt;&gt;"",IF('Capacity summary'!$D$14="Yes",IF(COUNTBLANK('Capacity summary'!$H129:$BG129)&lt;52,IF('Capacity summary'!L129&lt;&gt;"",IF(LOWER('Capacity summary'!L129)="x",$BI10*L10,VALUE('Capacity summary'!L129)),0),L10*$BI10),L10*$BI10),0)</f>
        <v>0</v>
      </c>
      <c r="BP10" s="311">
        <f>IF($BI10&lt;&gt;"",IF('Capacity summary'!$D$14="Yes",IF(COUNTBLANK('Capacity summary'!$H129:$BG129)&lt;52,IF('Capacity summary'!M129&lt;&gt;"",IF(LOWER('Capacity summary'!M129)="x",$BI10*M10,VALUE('Capacity summary'!M129)),0),M10*$BI10),M10*$BI10),0)</f>
        <v>0</v>
      </c>
      <c r="BQ10" s="311">
        <f>IF($BI10&lt;&gt;"",IF('Capacity summary'!$D$14="Yes",IF(COUNTBLANK('Capacity summary'!$H129:$BG129)&lt;52,IF('Capacity summary'!N129&lt;&gt;"",IF(LOWER('Capacity summary'!N129)="x",$BI10*N10,VALUE('Capacity summary'!N129)),0),N10*$BI10),N10*$BI10),0)</f>
        <v>0</v>
      </c>
      <c r="BR10" s="311">
        <f>IF($BI10&lt;&gt;"",IF('Capacity summary'!$D$14="Yes",IF(COUNTBLANK('Capacity summary'!$H129:$BG129)&lt;52,IF('Capacity summary'!O129&lt;&gt;"",IF(LOWER('Capacity summary'!O129)="x",$BI10*O10,VALUE('Capacity summary'!O129)),0),O10*$BI10),O10*$BI10),0)</f>
        <v>0</v>
      </c>
      <c r="BS10" s="311">
        <f>IF($BI10&lt;&gt;"",IF('Capacity summary'!$D$14="Yes",IF(COUNTBLANK('Capacity summary'!$H129:$BG129)&lt;52,IF('Capacity summary'!P129&lt;&gt;"",IF(LOWER('Capacity summary'!P129)="x",$BI10*P10,VALUE('Capacity summary'!P129)),0),P10*$BI10),P10*$BI10),0)</f>
        <v>0</v>
      </c>
      <c r="BT10" s="311">
        <f>IF($BI10&lt;&gt;"",IF('Capacity summary'!$D$14="Yes",IF(COUNTBLANK('Capacity summary'!$H129:$BG129)&lt;52,IF('Capacity summary'!Q129&lt;&gt;"",IF(LOWER('Capacity summary'!Q129)="x",$BI10*Q10,VALUE('Capacity summary'!Q129)),0),Q10*$BI10),Q10*$BI10),0)</f>
        <v>0</v>
      </c>
      <c r="BU10" s="311">
        <f>IF($BI10&lt;&gt;"",IF('Capacity summary'!$D$14="Yes",IF(COUNTBLANK('Capacity summary'!$H129:$BG129)&lt;52,IF('Capacity summary'!R129&lt;&gt;"",IF(LOWER('Capacity summary'!R129)="x",$BI10*R10,VALUE('Capacity summary'!R129)),0),R10*$BI10),R10*$BI10),0)</f>
        <v>0</v>
      </c>
      <c r="BV10" s="311">
        <f>IF($BI10&lt;&gt;"",IF('Capacity summary'!$D$14="Yes",IF(COUNTBLANK('Capacity summary'!$H129:$BG129)&lt;52,IF('Capacity summary'!S129&lt;&gt;"",IF(LOWER('Capacity summary'!S129)="x",$BI10*S10,VALUE('Capacity summary'!S129)),0),S10*$BI10),S10*$BI10),0)</f>
        <v>0</v>
      </c>
      <c r="BW10" s="311">
        <f>IF($BI10&lt;&gt;"",IF('Capacity summary'!$D$14="Yes",IF(COUNTBLANK('Capacity summary'!$H129:$BG129)&lt;52,IF('Capacity summary'!T129&lt;&gt;"",IF(LOWER('Capacity summary'!T129)="x",$BI10*T10,VALUE('Capacity summary'!T129)),0),T10*$BI10),T10*$BI10),0)</f>
        <v>0</v>
      </c>
      <c r="BX10" s="311">
        <f>IF($BI10&lt;&gt;"",IF('Capacity summary'!$D$14="Yes",IF(COUNTBLANK('Capacity summary'!$H129:$BG129)&lt;52,IF('Capacity summary'!U129&lt;&gt;"",IF(LOWER('Capacity summary'!U129)="x",$BI10*U10,VALUE('Capacity summary'!U129)),0),U10*$BI10),U10*$BI10),0)</f>
        <v>0</v>
      </c>
      <c r="BY10" s="311">
        <f>IF($BI10&lt;&gt;"",IF('Capacity summary'!$D$14="Yes",IF(COUNTBLANK('Capacity summary'!$H129:$BG129)&lt;52,IF('Capacity summary'!V129&lt;&gt;"",IF(LOWER('Capacity summary'!V129)="x",$BI10*V10,VALUE('Capacity summary'!V129)),0),V10*$BI10),V10*$BI10),0)</f>
        <v>0</v>
      </c>
      <c r="BZ10" s="311">
        <f>IF($BI10&lt;&gt;"",IF('Capacity summary'!$D$14="Yes",IF(COUNTBLANK('Capacity summary'!$H129:$BG129)&lt;52,IF('Capacity summary'!W129&lt;&gt;"",IF(LOWER('Capacity summary'!W129)="x",$BI10*W10,VALUE('Capacity summary'!W129)),0),W10*$BI10),W10*$BI10),0)</f>
        <v>0</v>
      </c>
      <c r="CA10" s="311">
        <f>IF($BI10&lt;&gt;"",IF('Capacity summary'!$D$14="Yes",IF(COUNTBLANK('Capacity summary'!$H129:$BG129)&lt;52,IF('Capacity summary'!X129&lt;&gt;"",IF(LOWER('Capacity summary'!X129)="x",$BI10*X10,VALUE('Capacity summary'!X129)),0),X10*$BI10),X10*$BI10),0)</f>
        <v>0</v>
      </c>
      <c r="CB10" s="311">
        <f>IF($BI10&lt;&gt;"",IF('Capacity summary'!$D$14="Yes",IF(COUNTBLANK('Capacity summary'!$H129:$BG129)&lt;52,IF('Capacity summary'!Y129&lt;&gt;"",IF(LOWER('Capacity summary'!Y129)="x",$BI10*Y10,VALUE('Capacity summary'!Y129)),0),Y10*$BI10),Y10*$BI10),0)</f>
        <v>0</v>
      </c>
      <c r="CC10" s="311">
        <f>IF($BI10&lt;&gt;"",IF('Capacity summary'!$D$14="Yes",IF(COUNTBLANK('Capacity summary'!$H129:$BG129)&lt;52,IF('Capacity summary'!Z129&lt;&gt;"",IF(LOWER('Capacity summary'!Z129)="x",$BI10*Z10,VALUE('Capacity summary'!Z129)),0),Z10*$BI10),Z10*$BI10),0)</f>
        <v>0</v>
      </c>
      <c r="CD10" s="311">
        <f>IF($BI10&lt;&gt;"",IF('Capacity summary'!$D$14="Yes",IF(COUNTBLANK('Capacity summary'!$H129:$BG129)&lt;52,IF('Capacity summary'!AA129&lt;&gt;"",IF(LOWER('Capacity summary'!AA129)="x",$BI10*AA10,VALUE('Capacity summary'!AA129)),0),AA10*$BI10),AA10*$BI10),0)</f>
        <v>0</v>
      </c>
      <c r="CE10" s="311">
        <f>IF($BI10&lt;&gt;"",IF('Capacity summary'!$D$14="Yes",IF(COUNTBLANK('Capacity summary'!$H129:$BG129)&lt;52,IF('Capacity summary'!AB129&lt;&gt;"",IF(LOWER('Capacity summary'!AB129)="x",$BI10*AB10,VALUE('Capacity summary'!AB129)),0),AB10*$BI10),AB10*$BI10),0)</f>
        <v>0</v>
      </c>
      <c r="CF10" s="311">
        <f>IF($BI10&lt;&gt;"",IF('Capacity summary'!$D$14="Yes",IF(COUNTBLANK('Capacity summary'!$H129:$BG129)&lt;52,IF('Capacity summary'!AC129&lt;&gt;"",IF(LOWER('Capacity summary'!AC129)="x",$BI10*AC10,VALUE('Capacity summary'!AC129)),0),AC10*$BI10),AC10*$BI10),0)</f>
        <v>0</v>
      </c>
      <c r="CG10" s="311">
        <f>IF($BI10&lt;&gt;"",IF('Capacity summary'!$D$14="Yes",IF(COUNTBLANK('Capacity summary'!$H129:$BG129)&lt;52,IF('Capacity summary'!AD129&lt;&gt;"",IF(LOWER('Capacity summary'!AD129)="x",$BI10*AD10,VALUE('Capacity summary'!AD129)),0),AD10*$BI10),AD10*$BI10),0)</f>
        <v>0</v>
      </c>
      <c r="CH10" s="311">
        <f>IF($BI10&lt;&gt;"",IF('Capacity summary'!$D$14="Yes",IF(COUNTBLANK('Capacity summary'!$H129:$BG129)&lt;52,IF('Capacity summary'!AE129&lt;&gt;"",IF(LOWER('Capacity summary'!AE129)="x",$BI10*AE10,VALUE('Capacity summary'!AE129)),0),AE10*$BI10),AE10*$BI10),0)</f>
        <v>0</v>
      </c>
      <c r="CI10" s="311">
        <f>IF($BI10&lt;&gt;"",IF('Capacity summary'!$D$14="Yes",IF(COUNTBLANK('Capacity summary'!$H129:$BG129)&lt;52,IF('Capacity summary'!AF129&lt;&gt;"",IF(LOWER('Capacity summary'!AF129)="x",$BI10*AF10,VALUE('Capacity summary'!AF129)),0),AF10*$BI10),AF10*$BI10),0)</f>
        <v>0</v>
      </c>
      <c r="CJ10" s="311">
        <f>IF($BI10&lt;&gt;"",IF('Capacity summary'!$D$14="Yes",IF(COUNTBLANK('Capacity summary'!$H129:$BG129)&lt;52,IF('Capacity summary'!AG129&lt;&gt;"",IF(LOWER('Capacity summary'!AG129)="x",$BI10*AG10,VALUE('Capacity summary'!AG129)),0),AG10*$BI10),AG10*$BI10),0)</f>
        <v>0</v>
      </c>
      <c r="CK10" s="311">
        <f>IF($BI10&lt;&gt;"",IF('Capacity summary'!$D$14="Yes",IF(COUNTBLANK('Capacity summary'!$H129:$BG129)&lt;52,IF('Capacity summary'!AH129&lt;&gt;"",IF(LOWER('Capacity summary'!AH129)="x",$BI10*AH10,VALUE('Capacity summary'!AH129)),0),AH10*$BI10),AH10*$BI10),0)</f>
        <v>0</v>
      </c>
      <c r="CL10" s="311">
        <f>IF($BI10&lt;&gt;"",IF('Capacity summary'!$D$14="Yes",IF(COUNTBLANK('Capacity summary'!$H129:$BG129)&lt;52,IF('Capacity summary'!AI129&lt;&gt;"",IF(LOWER('Capacity summary'!AI129)="x",$BI10*AI10,VALUE('Capacity summary'!AI129)),0),AI10*$BI10),AI10*$BI10),0)</f>
        <v>0</v>
      </c>
      <c r="CM10" s="311">
        <f>IF($BI10&lt;&gt;"",IF('Capacity summary'!$D$14="Yes",IF(COUNTBLANK('Capacity summary'!$H129:$BG129)&lt;52,IF('Capacity summary'!AJ129&lt;&gt;"",IF(LOWER('Capacity summary'!AJ129)="x",$BI10*AJ10,VALUE('Capacity summary'!AJ129)),0),AJ10*$BI10),AJ10*$BI10),0)</f>
        <v>0</v>
      </c>
      <c r="CN10" s="311">
        <f>IF($BI10&lt;&gt;"",IF('Capacity summary'!$D$14="Yes",IF(COUNTBLANK('Capacity summary'!$H129:$BG129)&lt;52,IF('Capacity summary'!AK129&lt;&gt;"",IF(LOWER('Capacity summary'!AK129)="x",$BI10*AK10,VALUE('Capacity summary'!AK129)),0),AK10*$BI10),AK10*$BI10),0)</f>
        <v>0</v>
      </c>
      <c r="CO10" s="311">
        <f>IF($BI10&lt;&gt;"",IF('Capacity summary'!$D$14="Yes",IF(COUNTBLANK('Capacity summary'!$H129:$BG129)&lt;52,IF('Capacity summary'!AL129&lt;&gt;"",IF(LOWER('Capacity summary'!AL129)="x",$BI10*AL10,VALUE('Capacity summary'!AL129)),0),AL10*$BI10),AL10*$BI10),0)</f>
        <v>0</v>
      </c>
      <c r="CP10" s="311">
        <f>IF($BI10&lt;&gt;"",IF('Capacity summary'!$D$14="Yes",IF(COUNTBLANK('Capacity summary'!$H129:$BG129)&lt;52,IF('Capacity summary'!AM129&lt;&gt;"",IF(LOWER('Capacity summary'!AM129)="x",$BI10*AM10,VALUE('Capacity summary'!AM129)),0),AM10*$BI10),AM10*$BI10),0)</f>
        <v>0</v>
      </c>
      <c r="CQ10" s="311">
        <f>IF($BI10&lt;&gt;"",IF('Capacity summary'!$D$14="Yes",IF(COUNTBLANK('Capacity summary'!$H129:$BG129)&lt;52,IF('Capacity summary'!AN129&lt;&gt;"",IF(LOWER('Capacity summary'!AN129)="x",$BI10*AN10,VALUE('Capacity summary'!AN129)),0),AN10*$BI10),AN10*$BI10),0)</f>
        <v>0</v>
      </c>
      <c r="CR10" s="311">
        <f>IF($BI10&lt;&gt;"",IF('Capacity summary'!$D$14="Yes",IF(COUNTBLANK('Capacity summary'!$H129:$BG129)&lt;52,IF('Capacity summary'!AO129&lt;&gt;"",IF(LOWER('Capacity summary'!AO129)="x",$BI10*AO10,VALUE('Capacity summary'!AO129)),0),AO10*$BI10),AO10*$BI10),0)</f>
        <v>0</v>
      </c>
      <c r="CS10" s="311">
        <f>IF($BI10&lt;&gt;"",IF('Capacity summary'!$D$14="Yes",IF(COUNTBLANK('Capacity summary'!$H129:$BG129)&lt;52,IF('Capacity summary'!AP129&lt;&gt;"",IF(LOWER('Capacity summary'!AP129)="x",$BI10*AP10,VALUE('Capacity summary'!AP129)),0),AP10*$BI10),AP10*$BI10),0)</f>
        <v>0</v>
      </c>
      <c r="CT10" s="311">
        <f>IF($BI10&lt;&gt;"",IF('Capacity summary'!$D$14="Yes",IF(COUNTBLANK('Capacity summary'!$H129:$BG129)&lt;52,IF('Capacity summary'!AQ129&lt;&gt;"",IF(LOWER('Capacity summary'!AQ129)="x",$BI10*AQ10,VALUE('Capacity summary'!AQ129)),0),AQ10*$BI10),AQ10*$BI10),0)</f>
        <v>0</v>
      </c>
      <c r="CU10" s="311">
        <f>IF($BI10&lt;&gt;"",IF('Capacity summary'!$D$14="Yes",IF(COUNTBLANK('Capacity summary'!$H129:$BG129)&lt;52,IF('Capacity summary'!AR129&lt;&gt;"",IF(LOWER('Capacity summary'!AR129)="x",$BI10*AR10,VALUE('Capacity summary'!AR129)),0),AR10*$BI10),AR10*$BI10),0)</f>
        <v>0</v>
      </c>
      <c r="CV10" s="311">
        <f>IF($BI10&lt;&gt;"",IF('Capacity summary'!$D$14="Yes",IF(COUNTBLANK('Capacity summary'!$H129:$BG129)&lt;52,IF('Capacity summary'!AS129&lt;&gt;"",IF(LOWER('Capacity summary'!AS129)="x",$BI10*AS10,VALUE('Capacity summary'!AS129)),0),AS10*$BI10),AS10*$BI10),0)</f>
        <v>0</v>
      </c>
      <c r="CW10" s="311">
        <f>IF($BI10&lt;&gt;"",IF('Capacity summary'!$D$14="Yes",IF(COUNTBLANK('Capacity summary'!$H129:$BG129)&lt;52,IF('Capacity summary'!AT129&lt;&gt;"",IF(LOWER('Capacity summary'!AT129)="x",$BI10*AT10,VALUE('Capacity summary'!AT129)),0),AT10*$BI10),AT10*$BI10),0)</f>
        <v>0</v>
      </c>
      <c r="CX10" s="311">
        <f>IF($BI10&lt;&gt;"",IF('Capacity summary'!$D$14="Yes",IF(COUNTBLANK('Capacity summary'!$H129:$BG129)&lt;52,IF('Capacity summary'!AU129&lt;&gt;"",IF(LOWER('Capacity summary'!AU129)="x",$BI10*AU10,VALUE('Capacity summary'!AU129)),0),AU10*$BI10),AU10*$BI10),0)</f>
        <v>0</v>
      </c>
      <c r="CY10" s="311">
        <f>IF($BI10&lt;&gt;"",IF('Capacity summary'!$D$14="Yes",IF(COUNTBLANK('Capacity summary'!$H129:$BG129)&lt;52,IF('Capacity summary'!AV129&lt;&gt;"",IF(LOWER('Capacity summary'!AV129)="x",$BI10*AV10,VALUE('Capacity summary'!AV129)),0),AV10*$BI10),AV10*$BI10),0)</f>
        <v>0</v>
      </c>
      <c r="CZ10" s="311">
        <f>IF($BI10&lt;&gt;"",IF('Capacity summary'!$D$14="Yes",IF(COUNTBLANK('Capacity summary'!$H129:$BG129)&lt;52,IF('Capacity summary'!AW129&lt;&gt;"",IF(LOWER('Capacity summary'!AW129)="x",$BI10*AW10,VALUE('Capacity summary'!AW129)),0),AW10*$BI10),AW10*$BI10),0)</f>
        <v>0</v>
      </c>
      <c r="DA10" s="311">
        <f>IF($BI10&lt;&gt;"",IF('Capacity summary'!$D$14="Yes",IF(COUNTBLANK('Capacity summary'!$H129:$BG129)&lt;52,IF('Capacity summary'!AX129&lt;&gt;"",IF(LOWER('Capacity summary'!AX129)="x",$BI10*AX10,VALUE('Capacity summary'!AX129)),0),AX10*$BI10),AX10*$BI10),0)</f>
        <v>0</v>
      </c>
      <c r="DB10" s="311">
        <f>IF($BI10&lt;&gt;"",IF('Capacity summary'!$D$14="Yes",IF(COUNTBLANK('Capacity summary'!$H129:$BG129)&lt;52,IF('Capacity summary'!AY129&lt;&gt;"",IF(LOWER('Capacity summary'!AY129)="x",$BI10*AY10,VALUE('Capacity summary'!AY129)),0),AY10*$BI10),AY10*$BI10),0)</f>
        <v>0</v>
      </c>
      <c r="DC10" s="311">
        <f>IF($BI10&lt;&gt;"",IF('Capacity summary'!$D$14="Yes",IF(COUNTBLANK('Capacity summary'!$H129:$BG129)&lt;52,IF('Capacity summary'!AZ129&lt;&gt;"",IF(LOWER('Capacity summary'!AZ129)="x",$BI10*AZ10,VALUE('Capacity summary'!AZ129)),0),AZ10*$BI10),AZ10*$BI10),0)</f>
        <v>0</v>
      </c>
      <c r="DD10" s="311">
        <f>IF($BI10&lt;&gt;"",IF('Capacity summary'!$D$14="Yes",IF(COUNTBLANK('Capacity summary'!$H129:$BG129)&lt;52,IF('Capacity summary'!BA129&lt;&gt;"",IF(LOWER('Capacity summary'!BA129)="x",$BI10*BA10,VALUE('Capacity summary'!BA129)),0),BA10*$BI10),BA10*$BI10),0)</f>
        <v>0</v>
      </c>
      <c r="DE10" s="311">
        <f>IF($BI10&lt;&gt;"",IF('Capacity summary'!$D$14="Yes",IF(COUNTBLANK('Capacity summary'!$H129:$BG129)&lt;52,IF('Capacity summary'!BB129&lt;&gt;"",IF(LOWER('Capacity summary'!BB129)="x",$BI10*BB10,VALUE('Capacity summary'!BB129)),0),BB10*$BI10),BB10*$BI10),0)</f>
        <v>0</v>
      </c>
      <c r="DF10" s="311">
        <f>IF($BI10&lt;&gt;"",IF('Capacity summary'!$D$14="Yes",IF(COUNTBLANK('Capacity summary'!$H129:$BG129)&lt;52,IF('Capacity summary'!BC129&lt;&gt;"",IF(LOWER('Capacity summary'!BC129)="x",$BI10*BC10,VALUE('Capacity summary'!BC129)),0),BC10*$BI10),BC10*$BI10),0)</f>
        <v>0</v>
      </c>
      <c r="DG10" s="311">
        <f>IF($BI10&lt;&gt;"",IF('Capacity summary'!$D$14="Yes",IF(COUNTBLANK('Capacity summary'!$H129:$BG129)&lt;52,IF('Capacity summary'!BD129&lt;&gt;"",IF(LOWER('Capacity summary'!BD129)="x",$BI10*BD10,VALUE('Capacity summary'!BD129)),0),BD10*$BI10),BD10*$BI10),0)</f>
        <v>0</v>
      </c>
      <c r="DH10" s="311">
        <f>IF($BI10&lt;&gt;"",IF('Capacity summary'!$D$14="Yes",IF(COUNTBLANK('Capacity summary'!$H129:$BG129)&lt;52,IF('Capacity summary'!BE129&lt;&gt;"",IF(LOWER('Capacity summary'!BE129)="x",$BI10*BE10,VALUE('Capacity summary'!BE129)),0),BE10*$BI10),BE10*$BI10),0)</f>
        <v>0</v>
      </c>
      <c r="DI10" s="311">
        <f>IF($BI10&lt;&gt;"",IF('Capacity summary'!$D$14="Yes",IF(COUNTBLANK('Capacity summary'!$H129:$BG129)&lt;52,IF('Capacity summary'!BF129&lt;&gt;"",IF(LOWER('Capacity summary'!BF129)="x",$BI10*BF10,VALUE('Capacity summary'!BF129)),0),BF10*$BI10),BF10*$BI10),0)</f>
        <v>0</v>
      </c>
      <c r="DJ10" s="311">
        <f>IF($BI10&lt;&gt;"",IF('Capacity summary'!$D$14="Yes",IF(COUNTBLANK('Capacity summary'!$H129:$BG129)&lt;52,IF('Capacity summary'!BG129&lt;&gt;"",IF(LOWER('Capacity summary'!BG129)="x",$BI10*BG10,VALUE('Capacity summary'!BG129)),0),BG10*$BI10),BG10*$BI10),0)</f>
        <v>0</v>
      </c>
      <c r="DK10" s="388">
        <f t="shared" si="2"/>
        <v>0</v>
      </c>
      <c r="DL10" s="136">
        <f t="shared" si="3"/>
        <v>0</v>
      </c>
      <c r="DM10" s="311" t="str">
        <f>Capacity!H22</f>
        <v/>
      </c>
      <c r="DQ10" s="5"/>
    </row>
    <row r="11" spans="1:121" x14ac:dyDescent="0.2">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88">
        <f t="shared" si="2"/>
        <v>0</v>
      </c>
      <c r="DL11" s="136">
        <f t="shared" si="3"/>
        <v>0</v>
      </c>
      <c r="DM11" s="311" t="str">
        <f>Capacity!H23</f>
        <v/>
      </c>
      <c r="DQ11" s="5"/>
    </row>
    <row r="12" spans="1:121" x14ac:dyDescent="0.2">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88">
        <f t="shared" si="2"/>
        <v>0</v>
      </c>
      <c r="DL12" s="136">
        <f t="shared" si="3"/>
        <v>0</v>
      </c>
      <c r="DM12" s="311" t="str">
        <f>Capacity!H24</f>
        <v/>
      </c>
      <c r="DQ12" s="5"/>
    </row>
    <row r="13" spans="1:121" x14ac:dyDescent="0.2">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88">
        <f t="shared" si="2"/>
        <v>0</v>
      </c>
      <c r="DL13" s="136">
        <f t="shared" si="3"/>
        <v>0</v>
      </c>
      <c r="DM13" s="311" t="str">
        <f>Capacity!H25</f>
        <v/>
      </c>
      <c r="DQ13" s="5"/>
    </row>
    <row r="14" spans="1:121" x14ac:dyDescent="0.2">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88">
        <f t="shared" si="2"/>
        <v>0</v>
      </c>
      <c r="DL14" s="136">
        <f t="shared" si="3"/>
        <v>0</v>
      </c>
      <c r="DM14" s="311" t="str">
        <f>Capacity!H26</f>
        <v/>
      </c>
      <c r="DQ14" s="5"/>
    </row>
    <row r="15" spans="1:121" x14ac:dyDescent="0.2">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88">
        <f t="shared" si="2"/>
        <v>0</v>
      </c>
      <c r="DL15" s="136">
        <f t="shared" si="3"/>
        <v>0</v>
      </c>
      <c r="DM15" s="311" t="str">
        <f>Capacity!H27</f>
        <v/>
      </c>
      <c r="DQ15" s="5"/>
    </row>
    <row r="16" spans="1:121" x14ac:dyDescent="0.2">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88">
        <f t="shared" si="2"/>
        <v>0</v>
      </c>
      <c r="DL16" s="136">
        <f t="shared" si="3"/>
        <v>0</v>
      </c>
      <c r="DM16" s="311" t="str">
        <f>Capacity!H28</f>
        <v/>
      </c>
      <c r="DQ16" s="5"/>
    </row>
    <row r="17" spans="1:121" x14ac:dyDescent="0.2">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88">
        <f t="shared" si="2"/>
        <v>0</v>
      </c>
      <c r="DL17" s="136">
        <f t="shared" si="3"/>
        <v>0</v>
      </c>
      <c r="DM17" s="311" t="str">
        <f>Capacity!H29</f>
        <v/>
      </c>
      <c r="DQ17" s="5"/>
    </row>
    <row r="18" spans="1:121" x14ac:dyDescent="0.2">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88">
        <f t="shared" si="2"/>
        <v>0</v>
      </c>
      <c r="DL18" s="136">
        <f t="shared" si="3"/>
        <v>0</v>
      </c>
      <c r="DM18" s="311" t="str">
        <f>Capacity!H30</f>
        <v/>
      </c>
      <c r="DQ18" s="5"/>
    </row>
    <row r="19" spans="1:121" x14ac:dyDescent="0.2">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88">
        <f t="shared" si="2"/>
        <v>0</v>
      </c>
      <c r="DL19" s="136">
        <f t="shared" si="3"/>
        <v>0</v>
      </c>
      <c r="DM19" s="311" t="str">
        <f>Capacity!H31</f>
        <v/>
      </c>
      <c r="DQ19" s="5"/>
    </row>
    <row r="20" spans="1:121" x14ac:dyDescent="0.2">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88">
        <f t="shared" si="2"/>
        <v>0</v>
      </c>
      <c r="DL20" s="136">
        <f t="shared" si="3"/>
        <v>0</v>
      </c>
      <c r="DM20" s="311" t="str">
        <f>Capacity!H32</f>
        <v/>
      </c>
      <c r="DQ20" s="5"/>
    </row>
    <row r="21" spans="1:121" x14ac:dyDescent="0.2">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88">
        <f t="shared" si="2"/>
        <v>0</v>
      </c>
      <c r="DL21" s="136">
        <f t="shared" si="3"/>
        <v>0</v>
      </c>
      <c r="DM21" s="311" t="str">
        <f>Capacity!H33</f>
        <v/>
      </c>
      <c r="DQ21" s="5"/>
    </row>
    <row r="22" spans="1:121" x14ac:dyDescent="0.2">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88">
        <f t="shared" si="2"/>
        <v>0</v>
      </c>
      <c r="DL22" s="136">
        <f t="shared" si="3"/>
        <v>0</v>
      </c>
      <c r="DM22" s="311" t="str">
        <f>Capacity!H34</f>
        <v/>
      </c>
      <c r="DQ22" s="5"/>
    </row>
    <row r="23" spans="1:121" x14ac:dyDescent="0.2">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88">
        <f t="shared" si="2"/>
        <v>0</v>
      </c>
      <c r="DL23" s="136">
        <f t="shared" si="3"/>
        <v>0</v>
      </c>
      <c r="DM23" s="311" t="str">
        <f>Capacity!H35</f>
        <v/>
      </c>
      <c r="DQ23" s="5"/>
    </row>
    <row r="24" spans="1:121" x14ac:dyDescent="0.2">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88">
        <f t="shared" si="2"/>
        <v>0</v>
      </c>
      <c r="DL24" s="136">
        <f t="shared" si="3"/>
        <v>0</v>
      </c>
      <c r="DM24" s="311" t="str">
        <f>Capacity!H36</f>
        <v/>
      </c>
      <c r="DQ24" s="5"/>
    </row>
    <row r="25" spans="1:121" x14ac:dyDescent="0.2">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88">
        <f t="shared" si="2"/>
        <v>0</v>
      </c>
      <c r="DL25" s="136">
        <f t="shared" si="3"/>
        <v>0</v>
      </c>
      <c r="DM25" s="311" t="str">
        <f>Capacity!H37</f>
        <v/>
      </c>
      <c r="DQ25" s="5"/>
    </row>
    <row r="26" spans="1:121" x14ac:dyDescent="0.2">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88">
        <f t="shared" si="2"/>
        <v>0</v>
      </c>
      <c r="DL26" s="136">
        <f t="shared" si="3"/>
        <v>0</v>
      </c>
      <c r="DM26" s="311" t="str">
        <f>Capacity!H38</f>
        <v/>
      </c>
      <c r="DQ26" s="5"/>
    </row>
    <row r="27" spans="1:121" x14ac:dyDescent="0.2">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88">
        <f t="shared" si="2"/>
        <v>0</v>
      </c>
      <c r="DL27" s="136">
        <f t="shared" si="3"/>
        <v>0</v>
      </c>
      <c r="DM27" s="311" t="str">
        <f>Capacity!H39</f>
        <v/>
      </c>
      <c r="DQ27" s="5"/>
    </row>
    <row r="28" spans="1:121" x14ac:dyDescent="0.2">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88">
        <f t="shared" si="2"/>
        <v>0</v>
      </c>
      <c r="DL28" s="136">
        <f t="shared" si="3"/>
        <v>0</v>
      </c>
      <c r="DM28" s="311" t="str">
        <f>Capacity!H40</f>
        <v/>
      </c>
      <c r="DQ28" s="5"/>
    </row>
    <row r="29" spans="1:121" x14ac:dyDescent="0.2">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88">
        <f t="shared" si="2"/>
        <v>0</v>
      </c>
      <c r="DL29" s="136">
        <f t="shared" si="3"/>
        <v>0</v>
      </c>
      <c r="DM29" s="311" t="str">
        <f>Capacity!H41</f>
        <v/>
      </c>
      <c r="DQ29" s="5"/>
    </row>
    <row r="30" spans="1:121" x14ac:dyDescent="0.2">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88">
        <f t="shared" si="2"/>
        <v>0</v>
      </c>
      <c r="DL30" s="136">
        <f t="shared" si="3"/>
        <v>0</v>
      </c>
      <c r="DM30" s="311" t="str">
        <f>Capacity!H42</f>
        <v/>
      </c>
      <c r="DQ30" s="5"/>
    </row>
    <row r="31" spans="1:121" x14ac:dyDescent="0.2">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88">
        <f t="shared" si="2"/>
        <v>0</v>
      </c>
      <c r="DL31" s="136">
        <f t="shared" si="3"/>
        <v>0</v>
      </c>
      <c r="DM31" s="311" t="str">
        <f>Capacity!H43</f>
        <v/>
      </c>
      <c r="DQ31" s="5"/>
    </row>
    <row r="32" spans="1:121" x14ac:dyDescent="0.2">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88">
        <f t="shared" si="2"/>
        <v>0</v>
      </c>
      <c r="DL32" s="136">
        <f t="shared" si="3"/>
        <v>0</v>
      </c>
      <c r="DM32" s="311" t="str">
        <f>Capacity!H44</f>
        <v/>
      </c>
      <c r="DQ32" s="5"/>
    </row>
    <row r="33" spans="1:121" x14ac:dyDescent="0.2">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88">
        <f t="shared" si="2"/>
        <v>0</v>
      </c>
      <c r="DL33" s="136">
        <f t="shared" si="3"/>
        <v>0</v>
      </c>
      <c r="DM33" s="311" t="str">
        <f>Capacity!H45</f>
        <v/>
      </c>
      <c r="DQ33" s="5"/>
    </row>
    <row r="34" spans="1:121" x14ac:dyDescent="0.2">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88">
        <f t="shared" si="2"/>
        <v>0</v>
      </c>
      <c r="DL34" s="136">
        <f t="shared" si="3"/>
        <v>0</v>
      </c>
      <c r="DM34" s="311" t="str">
        <f>Capacity!H46</f>
        <v/>
      </c>
      <c r="DQ34" s="5"/>
    </row>
    <row r="35" spans="1:121" x14ac:dyDescent="0.2">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88">
        <f t="shared" si="2"/>
        <v>0</v>
      </c>
      <c r="DL35" s="136">
        <f t="shared" si="3"/>
        <v>0</v>
      </c>
      <c r="DM35" s="311" t="str">
        <f>Capacity!H47</f>
        <v/>
      </c>
      <c r="DQ35" s="5"/>
    </row>
    <row r="36" spans="1:121" x14ac:dyDescent="0.2">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88">
        <f t="shared" si="2"/>
        <v>0</v>
      </c>
      <c r="DL36" s="136">
        <f t="shared" si="3"/>
        <v>0</v>
      </c>
      <c r="DM36" s="311" t="str">
        <f>Capacity!H48</f>
        <v/>
      </c>
      <c r="DQ36" s="5"/>
    </row>
    <row r="37" spans="1:121" x14ac:dyDescent="0.2">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88">
        <f t="shared" si="2"/>
        <v>0</v>
      </c>
      <c r="DL37" s="136">
        <f t="shared" si="3"/>
        <v>0</v>
      </c>
      <c r="DM37" s="311" t="str">
        <f>Capacity!H49</f>
        <v/>
      </c>
      <c r="DQ37" s="5"/>
    </row>
    <row r="38" spans="1:121" x14ac:dyDescent="0.2">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88">
        <f t="shared" si="2"/>
        <v>0</v>
      </c>
      <c r="DL38" s="136">
        <f t="shared" si="3"/>
        <v>0</v>
      </c>
      <c r="DM38" s="311" t="str">
        <f>Capacity!H50</f>
        <v/>
      </c>
      <c r="DQ38" s="5"/>
    </row>
    <row r="39" spans="1:121" x14ac:dyDescent="0.2">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88">
        <f t="shared" si="2"/>
        <v>0</v>
      </c>
      <c r="DL39" s="136">
        <f t="shared" si="3"/>
        <v>0</v>
      </c>
      <c r="DM39" s="311" t="str">
        <f>Capacity!H51</f>
        <v/>
      </c>
      <c r="DQ39" s="5"/>
    </row>
    <row r="40" spans="1:121" x14ac:dyDescent="0.2">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88">
        <f t="shared" si="2"/>
        <v>0</v>
      </c>
      <c r="DL40" s="136">
        <f t="shared" si="3"/>
        <v>0</v>
      </c>
      <c r="DM40" s="311" t="str">
        <f>Capacity!H52</f>
        <v/>
      </c>
      <c r="DQ40" s="5"/>
    </row>
    <row r="41" spans="1:121" x14ac:dyDescent="0.2">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88">
        <f t="shared" si="2"/>
        <v>0</v>
      </c>
      <c r="DL41" s="136">
        <f t="shared" si="3"/>
        <v>0</v>
      </c>
      <c r="DM41" s="311" t="str">
        <f>Capacity!H53</f>
        <v/>
      </c>
      <c r="DQ41" s="5"/>
    </row>
    <row r="42" spans="1:121" x14ac:dyDescent="0.2">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88">
        <f t="shared" si="2"/>
        <v>0</v>
      </c>
      <c r="DL42" s="136">
        <f t="shared" si="3"/>
        <v>0</v>
      </c>
      <c r="DM42" s="311" t="str">
        <f>Capacity!H54</f>
        <v/>
      </c>
      <c r="DQ42" s="5"/>
    </row>
    <row r="43" spans="1:121" x14ac:dyDescent="0.2">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88">
        <f t="shared" si="2"/>
        <v>0</v>
      </c>
      <c r="DL43" s="136">
        <f t="shared" si="3"/>
        <v>0</v>
      </c>
      <c r="DM43" s="311" t="str">
        <f>Capacity!H55</f>
        <v/>
      </c>
      <c r="DQ43" s="5"/>
    </row>
    <row r="44" spans="1:121" x14ac:dyDescent="0.2">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88">
        <f t="shared" si="2"/>
        <v>0</v>
      </c>
      <c r="DL44" s="136">
        <f t="shared" si="3"/>
        <v>0</v>
      </c>
      <c r="DM44" s="311" t="str">
        <f>Capacity!H56</f>
        <v/>
      </c>
      <c r="DQ44" s="5"/>
    </row>
    <row r="45" spans="1:121" x14ac:dyDescent="0.2">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88">
        <f t="shared" si="2"/>
        <v>0</v>
      </c>
      <c r="DL45" s="136">
        <f t="shared" si="3"/>
        <v>0</v>
      </c>
      <c r="DM45" s="311" t="str">
        <f>Capacity!H57</f>
        <v/>
      </c>
      <c r="DQ45" s="5"/>
    </row>
    <row r="46" spans="1:121" x14ac:dyDescent="0.2">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88">
        <f t="shared" si="2"/>
        <v>0</v>
      </c>
      <c r="DL46" s="136">
        <f t="shared" si="3"/>
        <v>0</v>
      </c>
      <c r="DM46" s="311" t="str">
        <f>Capacity!H58</f>
        <v/>
      </c>
      <c r="DQ46" s="5"/>
    </row>
    <row r="47" spans="1:121" x14ac:dyDescent="0.2">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88">
        <f t="shared" si="2"/>
        <v>0</v>
      </c>
      <c r="DL47" s="136">
        <f t="shared" si="3"/>
        <v>0</v>
      </c>
      <c r="DM47" s="311" t="str">
        <f>Capacity!H59</f>
        <v/>
      </c>
      <c r="DQ47" s="5"/>
    </row>
    <row r="48" spans="1:121" x14ac:dyDescent="0.2">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88">
        <f t="shared" si="2"/>
        <v>0</v>
      </c>
      <c r="DL48" s="136">
        <f t="shared" si="3"/>
        <v>0</v>
      </c>
      <c r="DM48" s="311" t="str">
        <f>Capacity!H60</f>
        <v/>
      </c>
      <c r="DQ48" s="5"/>
    </row>
    <row r="49" spans="1:121" x14ac:dyDescent="0.2">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88">
        <f t="shared" si="2"/>
        <v>0</v>
      </c>
      <c r="DL49" s="136">
        <f t="shared" si="3"/>
        <v>0</v>
      </c>
      <c r="DM49" s="311" t="str">
        <f>Capacity!H61</f>
        <v/>
      </c>
      <c r="DQ49" s="5"/>
    </row>
    <row r="50" spans="1:121" x14ac:dyDescent="0.2">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88">
        <f t="shared" si="2"/>
        <v>0</v>
      </c>
      <c r="DL50" s="136">
        <f t="shared" si="3"/>
        <v>0</v>
      </c>
      <c r="DM50" s="311" t="str">
        <f>Capacity!H62</f>
        <v/>
      </c>
      <c r="DQ50" s="5"/>
    </row>
    <row r="51" spans="1:121" x14ac:dyDescent="0.2">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88">
        <f t="shared" si="2"/>
        <v>0</v>
      </c>
      <c r="DL51" s="136">
        <f t="shared" si="3"/>
        <v>0</v>
      </c>
      <c r="DM51" s="311" t="str">
        <f>Capacity!H63</f>
        <v/>
      </c>
      <c r="DQ51" s="5"/>
    </row>
    <row r="52" spans="1:121" x14ac:dyDescent="0.2">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88">
        <f t="shared" si="2"/>
        <v>0</v>
      </c>
      <c r="DL52" s="136">
        <f t="shared" si="3"/>
        <v>0</v>
      </c>
      <c r="DM52" s="311" t="str">
        <f>Capacity!H64</f>
        <v/>
      </c>
      <c r="DQ52" s="5"/>
    </row>
    <row r="53" spans="1:121" x14ac:dyDescent="0.2">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88">
        <f t="shared" si="2"/>
        <v>0</v>
      </c>
      <c r="DL53" s="136">
        <f t="shared" si="3"/>
        <v>0</v>
      </c>
      <c r="DM53" s="311" t="str">
        <f>Capacity!H65</f>
        <v/>
      </c>
      <c r="DQ53" s="5"/>
    </row>
    <row r="54" spans="1:121" x14ac:dyDescent="0.2">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88">
        <f t="shared" si="2"/>
        <v>0</v>
      </c>
      <c r="DL54" s="136">
        <f t="shared" si="3"/>
        <v>0</v>
      </c>
      <c r="DM54" s="311" t="str">
        <f>Capacity!H66</f>
        <v/>
      </c>
      <c r="DQ54" s="5"/>
    </row>
    <row r="55" spans="1:121" x14ac:dyDescent="0.2">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88">
        <f t="shared" si="2"/>
        <v>0</v>
      </c>
      <c r="DL55" s="136">
        <f t="shared" si="3"/>
        <v>0</v>
      </c>
      <c r="DM55" s="311" t="str">
        <f>Capacity!H67</f>
        <v/>
      </c>
      <c r="DQ55" s="5"/>
    </row>
    <row r="56" spans="1:121" x14ac:dyDescent="0.2">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88">
        <f t="shared" si="2"/>
        <v>0</v>
      </c>
      <c r="DL56" s="136">
        <f t="shared" si="3"/>
        <v>0</v>
      </c>
      <c r="DM56" s="311" t="str">
        <f>Capacity!H68</f>
        <v/>
      </c>
      <c r="DQ56" s="5"/>
    </row>
    <row r="57" spans="1:121" x14ac:dyDescent="0.2">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88">
        <f t="shared" si="2"/>
        <v>0</v>
      </c>
      <c r="DL57" s="136">
        <f t="shared" si="3"/>
        <v>0</v>
      </c>
      <c r="DM57" s="311" t="str">
        <f>Capacity!H69</f>
        <v/>
      </c>
    </row>
    <row r="58" spans="1:121" x14ac:dyDescent="0.2">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88">
        <f t="shared" si="2"/>
        <v>0</v>
      </c>
      <c r="DL58" s="136">
        <f t="shared" si="3"/>
        <v>0</v>
      </c>
      <c r="DM58" s="311" t="str">
        <f>Capacity!H70</f>
        <v/>
      </c>
    </row>
    <row r="59" spans="1:121" x14ac:dyDescent="0.2">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88">
        <f t="shared" si="2"/>
        <v>0</v>
      </c>
      <c r="DL59" s="136">
        <f t="shared" si="3"/>
        <v>0</v>
      </c>
      <c r="DM59" s="311" t="str">
        <f>Capacity!H71</f>
        <v/>
      </c>
    </row>
    <row r="60" spans="1:121" x14ac:dyDescent="0.2">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88">
        <f t="shared" si="2"/>
        <v>0</v>
      </c>
      <c r="DL60" s="136">
        <f t="shared" si="3"/>
        <v>0</v>
      </c>
      <c r="DM60" s="311" t="str">
        <f>Capacity!H72</f>
        <v/>
      </c>
    </row>
    <row r="61" spans="1:121" x14ac:dyDescent="0.2">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88">
        <f t="shared" si="2"/>
        <v>0</v>
      </c>
      <c r="DL61" s="136">
        <f t="shared" si="3"/>
        <v>0</v>
      </c>
      <c r="DM61" s="311" t="str">
        <f>Capacity!H73</f>
        <v/>
      </c>
    </row>
    <row r="62" spans="1:121" x14ac:dyDescent="0.2">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88">
        <f t="shared" si="2"/>
        <v>0</v>
      </c>
      <c r="DL62" s="136">
        <f t="shared" si="3"/>
        <v>0</v>
      </c>
      <c r="DM62" s="311" t="str">
        <f>Capacity!H74</f>
        <v/>
      </c>
    </row>
    <row r="63" spans="1:121" x14ac:dyDescent="0.2">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88">
        <f t="shared" si="2"/>
        <v>0</v>
      </c>
      <c r="DL63" s="136">
        <f t="shared" si="3"/>
        <v>0</v>
      </c>
      <c r="DM63" s="311" t="str">
        <f>Capacity!H75</f>
        <v/>
      </c>
    </row>
    <row r="64" spans="1:121" x14ac:dyDescent="0.2">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88">
        <f t="shared" si="2"/>
        <v>0</v>
      </c>
      <c r="DL64" s="136">
        <f t="shared" si="3"/>
        <v>0</v>
      </c>
      <c r="DM64" s="311" t="str">
        <f>Capacity!H76</f>
        <v/>
      </c>
    </row>
    <row r="65" spans="1:117" x14ac:dyDescent="0.2">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88">
        <f t="shared" si="2"/>
        <v>0</v>
      </c>
      <c r="DL65" s="136">
        <f t="shared" si="3"/>
        <v>0</v>
      </c>
      <c r="DM65" s="311" t="str">
        <f>Capacity!H77</f>
        <v/>
      </c>
    </row>
    <row r="66" spans="1:117" x14ac:dyDescent="0.2">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88">
        <f t="shared" si="2"/>
        <v>0</v>
      </c>
      <c r="DL66" s="136">
        <f t="shared" si="3"/>
        <v>0</v>
      </c>
      <c r="DM66" s="311" t="str">
        <f>Capacity!H78</f>
        <v/>
      </c>
    </row>
    <row r="67" spans="1:117" x14ac:dyDescent="0.2">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88">
        <f t="shared" si="2"/>
        <v>0</v>
      </c>
      <c r="DL67" s="136">
        <f t="shared" si="3"/>
        <v>0</v>
      </c>
      <c r="DM67" s="311" t="str">
        <f>Capacity!H79</f>
        <v/>
      </c>
    </row>
    <row r="68" spans="1:117" x14ac:dyDescent="0.2">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88">
        <f t="shared" si="2"/>
        <v>0</v>
      </c>
      <c r="DL68" s="136">
        <f t="shared" si="3"/>
        <v>0</v>
      </c>
      <c r="DM68" s="311" t="str">
        <f>Capacity!H80</f>
        <v/>
      </c>
    </row>
    <row r="69" spans="1:117" x14ac:dyDescent="0.2">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88">
        <f t="shared" ref="DK69:DK104" si="4">DJ69</f>
        <v>0</v>
      </c>
      <c r="DL69" s="136">
        <f t="shared" ref="DL69:DL104" si="5">SUM(BK69:DJ69)</f>
        <v>0</v>
      </c>
      <c r="DM69" s="311" t="str">
        <f>Capacity!H81</f>
        <v/>
      </c>
    </row>
    <row r="70" spans="1:117" x14ac:dyDescent="0.2">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88">
        <f t="shared" si="4"/>
        <v>0</v>
      </c>
      <c r="DL70" s="136">
        <f t="shared" si="5"/>
        <v>0</v>
      </c>
      <c r="DM70" s="311" t="str">
        <f>Capacity!H82</f>
        <v/>
      </c>
    </row>
    <row r="71" spans="1:117" x14ac:dyDescent="0.2">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88">
        <f t="shared" si="4"/>
        <v>0</v>
      </c>
      <c r="DL71" s="136">
        <f t="shared" si="5"/>
        <v>0</v>
      </c>
      <c r="DM71" s="311" t="str">
        <f>Capacity!H83</f>
        <v/>
      </c>
    </row>
    <row r="72" spans="1:117" x14ac:dyDescent="0.2">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88">
        <f t="shared" si="4"/>
        <v>0</v>
      </c>
      <c r="DL72" s="136">
        <f t="shared" si="5"/>
        <v>0</v>
      </c>
      <c r="DM72" s="311" t="str">
        <f>Capacity!H84</f>
        <v/>
      </c>
    </row>
    <row r="73" spans="1:117" x14ac:dyDescent="0.2">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88">
        <f t="shared" si="4"/>
        <v>0</v>
      </c>
      <c r="DL73" s="136">
        <f t="shared" si="5"/>
        <v>0</v>
      </c>
      <c r="DM73" s="311" t="str">
        <f>Capacity!H85</f>
        <v/>
      </c>
    </row>
    <row r="74" spans="1:117" x14ac:dyDescent="0.2">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88">
        <f t="shared" si="4"/>
        <v>0</v>
      </c>
      <c r="DL74" s="136">
        <f t="shared" si="5"/>
        <v>0</v>
      </c>
      <c r="DM74" s="311" t="str">
        <f>Capacity!H86</f>
        <v/>
      </c>
    </row>
    <row r="75" spans="1:117" x14ac:dyDescent="0.2">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88">
        <f t="shared" si="4"/>
        <v>0</v>
      </c>
      <c r="DL75" s="136">
        <f t="shared" si="5"/>
        <v>0</v>
      </c>
      <c r="DM75" s="311" t="str">
        <f>Capacity!H87</f>
        <v/>
      </c>
    </row>
    <row r="76" spans="1:117" x14ac:dyDescent="0.2">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88">
        <f t="shared" si="4"/>
        <v>0</v>
      </c>
      <c r="DL76" s="136">
        <f t="shared" si="5"/>
        <v>0</v>
      </c>
      <c r="DM76" s="311" t="str">
        <f>Capacity!H88</f>
        <v/>
      </c>
    </row>
    <row r="77" spans="1:117" x14ac:dyDescent="0.2">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88">
        <f t="shared" si="4"/>
        <v>0</v>
      </c>
      <c r="DL77" s="136">
        <f t="shared" si="5"/>
        <v>0</v>
      </c>
      <c r="DM77" s="311" t="str">
        <f>Capacity!H89</f>
        <v/>
      </c>
    </row>
    <row r="78" spans="1:117" x14ac:dyDescent="0.2">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88">
        <f t="shared" si="4"/>
        <v>0</v>
      </c>
      <c r="DL78" s="136">
        <f t="shared" si="5"/>
        <v>0</v>
      </c>
      <c r="DM78" s="311" t="str">
        <f>Capacity!H90</f>
        <v/>
      </c>
    </row>
    <row r="79" spans="1:117" x14ac:dyDescent="0.2">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88">
        <f t="shared" si="4"/>
        <v>0</v>
      </c>
      <c r="DL79" s="136">
        <f t="shared" si="5"/>
        <v>0</v>
      </c>
      <c r="DM79" s="311" t="str">
        <f>Capacity!H91</f>
        <v/>
      </c>
    </row>
    <row r="80" spans="1:117" x14ac:dyDescent="0.2">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88">
        <f t="shared" si="4"/>
        <v>0</v>
      </c>
      <c r="DL80" s="136">
        <f t="shared" si="5"/>
        <v>0</v>
      </c>
      <c r="DM80" s="311" t="str">
        <f>Capacity!H92</f>
        <v/>
      </c>
    </row>
    <row r="81" spans="1:117" x14ac:dyDescent="0.2">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88">
        <f t="shared" si="4"/>
        <v>0</v>
      </c>
      <c r="DL81" s="136">
        <f t="shared" si="5"/>
        <v>0</v>
      </c>
      <c r="DM81" s="311" t="str">
        <f>Capacity!H93</f>
        <v/>
      </c>
    </row>
    <row r="82" spans="1:117" x14ac:dyDescent="0.2">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88">
        <f t="shared" si="4"/>
        <v>0</v>
      </c>
      <c r="DL82" s="136">
        <f t="shared" si="5"/>
        <v>0</v>
      </c>
      <c r="DM82" s="311" t="str">
        <f>Capacity!H94</f>
        <v/>
      </c>
    </row>
    <row r="83" spans="1:117" x14ac:dyDescent="0.2">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88">
        <f t="shared" si="4"/>
        <v>0</v>
      </c>
      <c r="DL83" s="136">
        <f t="shared" si="5"/>
        <v>0</v>
      </c>
      <c r="DM83" s="311" t="str">
        <f>Capacity!H95</f>
        <v/>
      </c>
    </row>
    <row r="84" spans="1:117" x14ac:dyDescent="0.2">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88">
        <f t="shared" si="4"/>
        <v>0</v>
      </c>
      <c r="DL84" s="136">
        <f t="shared" si="5"/>
        <v>0</v>
      </c>
      <c r="DM84" s="311" t="str">
        <f>Capacity!H96</f>
        <v/>
      </c>
    </row>
    <row r="85" spans="1:117" x14ac:dyDescent="0.2">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88">
        <f t="shared" si="4"/>
        <v>0</v>
      </c>
      <c r="DL85" s="136">
        <f t="shared" si="5"/>
        <v>0</v>
      </c>
      <c r="DM85" s="311" t="str">
        <f>Capacity!H97</f>
        <v/>
      </c>
    </row>
    <row r="86" spans="1:117" x14ac:dyDescent="0.2">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88">
        <f t="shared" si="4"/>
        <v>0</v>
      </c>
      <c r="DL86" s="136">
        <f t="shared" si="5"/>
        <v>0</v>
      </c>
      <c r="DM86" s="311" t="str">
        <f>Capacity!H98</f>
        <v/>
      </c>
    </row>
    <row r="87" spans="1:117" x14ac:dyDescent="0.2">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88">
        <f t="shared" si="4"/>
        <v>0</v>
      </c>
      <c r="DL87" s="136">
        <f t="shared" si="5"/>
        <v>0</v>
      </c>
      <c r="DM87" s="311" t="str">
        <f>Capacity!H99</f>
        <v/>
      </c>
    </row>
    <row r="88" spans="1:117" x14ac:dyDescent="0.2">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88">
        <f t="shared" si="4"/>
        <v>0</v>
      </c>
      <c r="DL88" s="136">
        <f t="shared" si="5"/>
        <v>0</v>
      </c>
      <c r="DM88" s="311" t="str">
        <f>Capacity!H100</f>
        <v/>
      </c>
    </row>
    <row r="89" spans="1:117" x14ac:dyDescent="0.2">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88">
        <f t="shared" si="4"/>
        <v>0</v>
      </c>
      <c r="DL89" s="136">
        <f t="shared" si="5"/>
        <v>0</v>
      </c>
      <c r="DM89" s="311" t="str">
        <f>Capacity!H101</f>
        <v/>
      </c>
    </row>
    <row r="90" spans="1:117" x14ac:dyDescent="0.2">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88">
        <f t="shared" si="4"/>
        <v>0</v>
      </c>
      <c r="DL90" s="136">
        <f t="shared" si="5"/>
        <v>0</v>
      </c>
      <c r="DM90" s="311" t="str">
        <f>Capacity!H102</f>
        <v/>
      </c>
    </row>
    <row r="91" spans="1:117" x14ac:dyDescent="0.2">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88">
        <f t="shared" si="4"/>
        <v>0</v>
      </c>
      <c r="DL91" s="136">
        <f t="shared" si="5"/>
        <v>0</v>
      </c>
      <c r="DM91" s="311" t="str">
        <f>Capacity!H103</f>
        <v/>
      </c>
    </row>
    <row r="92" spans="1:117" x14ac:dyDescent="0.2">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88">
        <f t="shared" si="4"/>
        <v>0</v>
      </c>
      <c r="DL92" s="136">
        <f t="shared" si="5"/>
        <v>0</v>
      </c>
      <c r="DM92" s="311" t="str">
        <f>Capacity!H104</f>
        <v/>
      </c>
    </row>
    <row r="93" spans="1:117" x14ac:dyDescent="0.2">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88">
        <f t="shared" si="4"/>
        <v>0</v>
      </c>
      <c r="DL93" s="136">
        <f t="shared" si="5"/>
        <v>0</v>
      </c>
      <c r="DM93" s="311" t="str">
        <f>Capacity!H105</f>
        <v/>
      </c>
    </row>
    <row r="94" spans="1:117" x14ac:dyDescent="0.2">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88">
        <f t="shared" si="4"/>
        <v>0</v>
      </c>
      <c r="DL94" s="136">
        <f t="shared" si="5"/>
        <v>0</v>
      </c>
      <c r="DM94" s="311" t="str">
        <f>Capacity!H106</f>
        <v/>
      </c>
    </row>
    <row r="95" spans="1:117" x14ac:dyDescent="0.2">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88">
        <f t="shared" si="4"/>
        <v>0</v>
      </c>
      <c r="DL95" s="136">
        <f t="shared" si="5"/>
        <v>0</v>
      </c>
      <c r="DM95" s="311" t="str">
        <f>Capacity!H107</f>
        <v/>
      </c>
    </row>
    <row r="96" spans="1:117" x14ac:dyDescent="0.2">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88">
        <f t="shared" si="4"/>
        <v>0</v>
      </c>
      <c r="DL96" s="136">
        <f t="shared" si="5"/>
        <v>0</v>
      </c>
      <c r="DM96" s="311" t="str">
        <f>Capacity!H108</f>
        <v/>
      </c>
    </row>
    <row r="97" spans="1:117" x14ac:dyDescent="0.2">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88">
        <f t="shared" si="4"/>
        <v>0</v>
      </c>
      <c r="DL97" s="136">
        <f t="shared" si="5"/>
        <v>0</v>
      </c>
      <c r="DM97" s="311" t="str">
        <f>Capacity!H109</f>
        <v/>
      </c>
    </row>
    <row r="98" spans="1:117" x14ac:dyDescent="0.2">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88">
        <f t="shared" si="4"/>
        <v>0</v>
      </c>
      <c r="DL98" s="136">
        <f t="shared" si="5"/>
        <v>0</v>
      </c>
      <c r="DM98" s="311" t="str">
        <f>Capacity!H110</f>
        <v/>
      </c>
    </row>
    <row r="99" spans="1:117" x14ac:dyDescent="0.2">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88">
        <f t="shared" si="4"/>
        <v>0</v>
      </c>
      <c r="DL99" s="136">
        <f t="shared" si="5"/>
        <v>0</v>
      </c>
      <c r="DM99" s="311" t="str">
        <f>Capacity!H111</f>
        <v/>
      </c>
    </row>
    <row r="100" spans="1:117" x14ac:dyDescent="0.2">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88">
        <f t="shared" si="4"/>
        <v>0</v>
      </c>
      <c r="DL100" s="136">
        <f t="shared" si="5"/>
        <v>0</v>
      </c>
      <c r="DM100" s="311" t="str">
        <f>Capacity!H112</f>
        <v/>
      </c>
    </row>
    <row r="101" spans="1:117" x14ac:dyDescent="0.2">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88">
        <f t="shared" si="4"/>
        <v>0</v>
      </c>
      <c r="DL101" s="136">
        <f t="shared" si="5"/>
        <v>0</v>
      </c>
      <c r="DM101" s="311" t="str">
        <f>Capacity!H113</f>
        <v/>
      </c>
    </row>
    <row r="102" spans="1:117" x14ac:dyDescent="0.2">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88">
        <f t="shared" si="4"/>
        <v>0</v>
      </c>
      <c r="DL102" s="136">
        <f t="shared" si="5"/>
        <v>0</v>
      </c>
      <c r="DM102" s="311" t="str">
        <f>Capacity!H114</f>
        <v/>
      </c>
    </row>
    <row r="103" spans="1:117" x14ac:dyDescent="0.2">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88">
        <f t="shared" si="4"/>
        <v>0</v>
      </c>
      <c r="DL103" s="136">
        <f t="shared" si="5"/>
        <v>0</v>
      </c>
      <c r="DM103" s="311" t="str">
        <f>Capacity!H115</f>
        <v/>
      </c>
    </row>
    <row r="104" spans="1:117" x14ac:dyDescent="0.2">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88">
        <f t="shared" si="4"/>
        <v>0</v>
      </c>
      <c r="DL104" s="136">
        <f t="shared" si="5"/>
        <v>0</v>
      </c>
      <c r="DM104" s="311" t="str">
        <f>Capacity!H116</f>
        <v/>
      </c>
    </row>
    <row r="105" spans="1:117" x14ac:dyDescent="0.2">
      <c r="B105" s="67"/>
    </row>
    <row r="106" spans="1:117" x14ac:dyDescent="0.2">
      <c r="B106" s="67"/>
    </row>
    <row r="107" spans="1:117" x14ac:dyDescent="0.2">
      <c r="B107" s="67"/>
    </row>
    <row r="108" spans="1:117" x14ac:dyDescent="0.2">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ht="15"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87">
        <v>53</v>
      </c>
      <c r="DL109" s="2" t="s">
        <v>462</v>
      </c>
    </row>
    <row r="110" spans="1:117" x14ac:dyDescent="0.2">
      <c r="C110" t="s">
        <v>466</v>
      </c>
      <c r="H110" s="67"/>
      <c r="BJ110"/>
      <c r="BK110">
        <f ca="1">BK3</f>
        <v>29</v>
      </c>
      <c r="BL110" s="67">
        <f t="shared" ref="BL110:DJ110" ca="1" si="6">BL3</f>
        <v>30</v>
      </c>
      <c r="BM110" s="67">
        <f t="shared" ca="1" si="6"/>
        <v>31</v>
      </c>
      <c r="BN110" s="67">
        <f t="shared" ca="1" si="6"/>
        <v>32</v>
      </c>
      <c r="BO110" s="67">
        <f t="shared" ca="1" si="6"/>
        <v>33</v>
      </c>
      <c r="BP110" s="67">
        <f t="shared" ca="1" si="6"/>
        <v>34</v>
      </c>
      <c r="BQ110" s="67">
        <f t="shared" ca="1" si="6"/>
        <v>35</v>
      </c>
      <c r="BR110" s="67">
        <f t="shared" ca="1" si="6"/>
        <v>36</v>
      </c>
      <c r="BS110" s="67">
        <f t="shared" ca="1" si="6"/>
        <v>37</v>
      </c>
      <c r="BT110" s="67">
        <f t="shared" ca="1" si="6"/>
        <v>38</v>
      </c>
      <c r="BU110" s="67">
        <f t="shared" ca="1" si="6"/>
        <v>39</v>
      </c>
      <c r="BV110" s="67">
        <f t="shared" ca="1" si="6"/>
        <v>40</v>
      </c>
      <c r="BW110" s="67">
        <f t="shared" ca="1" si="6"/>
        <v>41</v>
      </c>
      <c r="BX110" s="67">
        <f t="shared" ca="1" si="6"/>
        <v>42</v>
      </c>
      <c r="BY110" s="67">
        <f t="shared" ca="1" si="6"/>
        <v>43</v>
      </c>
      <c r="BZ110" s="67">
        <f t="shared" ca="1" si="6"/>
        <v>44</v>
      </c>
      <c r="CA110" s="67">
        <f t="shared" ca="1" si="6"/>
        <v>45</v>
      </c>
      <c r="CB110" s="67">
        <f t="shared" ca="1" si="6"/>
        <v>46</v>
      </c>
      <c r="CC110" s="67">
        <f t="shared" ca="1" si="6"/>
        <v>47</v>
      </c>
      <c r="CD110" s="67">
        <f t="shared" ca="1" si="6"/>
        <v>48</v>
      </c>
      <c r="CE110" s="67">
        <f t="shared" ca="1" si="6"/>
        <v>49</v>
      </c>
      <c r="CF110" s="67">
        <f t="shared" ca="1" si="6"/>
        <v>50</v>
      </c>
      <c r="CG110" s="67">
        <f t="shared" ca="1" si="6"/>
        <v>51</v>
      </c>
      <c r="CH110" s="67">
        <f t="shared" ca="1" si="6"/>
        <v>52</v>
      </c>
      <c r="CI110" s="67">
        <f t="shared" ca="1" si="6"/>
        <v>1</v>
      </c>
      <c r="CJ110" s="67">
        <f t="shared" ca="1" si="6"/>
        <v>2</v>
      </c>
      <c r="CK110" s="67">
        <f t="shared" ca="1" si="6"/>
        <v>3</v>
      </c>
      <c r="CL110" s="67">
        <f t="shared" ca="1" si="6"/>
        <v>4</v>
      </c>
      <c r="CM110" s="67">
        <f t="shared" ca="1" si="6"/>
        <v>5</v>
      </c>
      <c r="CN110" s="67">
        <f t="shared" ca="1" si="6"/>
        <v>6</v>
      </c>
      <c r="CO110" s="67">
        <f t="shared" ca="1" si="6"/>
        <v>7</v>
      </c>
      <c r="CP110" s="67">
        <f t="shared" ca="1" si="6"/>
        <v>8</v>
      </c>
      <c r="CQ110" s="67">
        <f t="shared" ca="1" si="6"/>
        <v>9</v>
      </c>
      <c r="CR110" s="67">
        <f t="shared" ca="1" si="6"/>
        <v>10</v>
      </c>
      <c r="CS110" s="67">
        <f t="shared" ca="1" si="6"/>
        <v>11</v>
      </c>
      <c r="CT110" s="67">
        <f t="shared" ca="1" si="6"/>
        <v>12</v>
      </c>
      <c r="CU110" s="67">
        <f t="shared" ca="1" si="6"/>
        <v>13</v>
      </c>
      <c r="CV110" s="67">
        <f t="shared" ca="1" si="6"/>
        <v>14</v>
      </c>
      <c r="CW110" s="67">
        <f t="shared" ca="1" si="6"/>
        <v>15</v>
      </c>
      <c r="CX110" s="67">
        <f t="shared" ca="1" si="6"/>
        <v>16</v>
      </c>
      <c r="CY110" s="67">
        <f t="shared" ca="1" si="6"/>
        <v>17</v>
      </c>
      <c r="CZ110" s="67">
        <f t="shared" ca="1" si="6"/>
        <v>18</v>
      </c>
      <c r="DA110" s="67">
        <f t="shared" ca="1" si="6"/>
        <v>19</v>
      </c>
      <c r="DB110" s="67">
        <f t="shared" ca="1" si="6"/>
        <v>20</v>
      </c>
      <c r="DC110" s="67">
        <f t="shared" ca="1" si="6"/>
        <v>21</v>
      </c>
      <c r="DD110" s="67">
        <f t="shared" ca="1" si="6"/>
        <v>22</v>
      </c>
      <c r="DE110" s="67">
        <f t="shared" ca="1" si="6"/>
        <v>23</v>
      </c>
      <c r="DF110" s="67">
        <f t="shared" ca="1" si="6"/>
        <v>24</v>
      </c>
      <c r="DG110" s="67">
        <f t="shared" ca="1" si="6"/>
        <v>25</v>
      </c>
      <c r="DH110" s="67">
        <f t="shared" ca="1" si="6"/>
        <v>26</v>
      </c>
      <c r="DI110" s="67">
        <f t="shared" ca="1" si="6"/>
        <v>27</v>
      </c>
      <c r="DJ110" s="67">
        <f t="shared" ca="1" si="6"/>
        <v>28</v>
      </c>
      <c r="DK110" s="375">
        <f ca="1">DJ110+1</f>
        <v>29</v>
      </c>
      <c r="DL110" s="5">
        <f>SUM(DL111:DL211)</f>
        <v>0</v>
      </c>
    </row>
    <row r="111" spans="1:117" x14ac:dyDescent="0.2">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7">SUM(BL112:BL211)</f>
        <v>0</v>
      </c>
      <c r="BM111" s="5">
        <f t="shared" si="7"/>
        <v>0</v>
      </c>
      <c r="BN111" s="5">
        <f t="shared" si="7"/>
        <v>0</v>
      </c>
      <c r="BO111" s="5">
        <f t="shared" si="7"/>
        <v>0</v>
      </c>
      <c r="BP111" s="5">
        <f t="shared" si="7"/>
        <v>0</v>
      </c>
      <c r="BQ111" s="5">
        <f t="shared" si="7"/>
        <v>0</v>
      </c>
      <c r="BR111" s="5">
        <f t="shared" si="7"/>
        <v>0</v>
      </c>
      <c r="BS111" s="5">
        <f t="shared" si="7"/>
        <v>0</v>
      </c>
      <c r="BT111" s="5">
        <f t="shared" si="7"/>
        <v>0</v>
      </c>
      <c r="BU111" s="5">
        <f t="shared" si="7"/>
        <v>0</v>
      </c>
      <c r="BV111" s="5">
        <f t="shared" si="7"/>
        <v>0</v>
      </c>
      <c r="BW111" s="5">
        <f t="shared" si="7"/>
        <v>0</v>
      </c>
      <c r="BX111" s="5">
        <f t="shared" si="7"/>
        <v>0</v>
      </c>
      <c r="BY111" s="5">
        <f t="shared" si="7"/>
        <v>0</v>
      </c>
      <c r="BZ111" s="5">
        <f t="shared" si="7"/>
        <v>0</v>
      </c>
      <c r="CA111" s="5">
        <f t="shared" si="7"/>
        <v>0</v>
      </c>
      <c r="CB111" s="5">
        <f t="shared" si="7"/>
        <v>0</v>
      </c>
      <c r="CC111" s="5">
        <f t="shared" si="7"/>
        <v>0</v>
      </c>
      <c r="CD111" s="5">
        <f t="shared" si="7"/>
        <v>0</v>
      </c>
      <c r="CE111" s="5">
        <f t="shared" si="7"/>
        <v>0</v>
      </c>
      <c r="CF111" s="5">
        <f t="shared" si="7"/>
        <v>0</v>
      </c>
      <c r="CG111" s="5">
        <f t="shared" si="7"/>
        <v>0</v>
      </c>
      <c r="CH111" s="5">
        <f t="shared" si="7"/>
        <v>0</v>
      </c>
      <c r="CI111" s="5">
        <f t="shared" si="7"/>
        <v>0</v>
      </c>
      <c r="CJ111" s="5">
        <f t="shared" si="7"/>
        <v>0</v>
      </c>
      <c r="CK111" s="5">
        <f t="shared" si="7"/>
        <v>0</v>
      </c>
      <c r="CL111" s="5">
        <f t="shared" si="7"/>
        <v>0</v>
      </c>
      <c r="CM111" s="5">
        <f t="shared" si="7"/>
        <v>0</v>
      </c>
      <c r="CN111" s="5">
        <f t="shared" si="7"/>
        <v>0</v>
      </c>
      <c r="CO111" s="5">
        <f t="shared" si="7"/>
        <v>0</v>
      </c>
      <c r="CP111" s="5">
        <f t="shared" si="7"/>
        <v>0</v>
      </c>
      <c r="CQ111" s="5">
        <f t="shared" si="7"/>
        <v>0</v>
      </c>
      <c r="CR111" s="5">
        <f t="shared" si="7"/>
        <v>0</v>
      </c>
      <c r="CS111" s="5">
        <f t="shared" si="7"/>
        <v>0</v>
      </c>
      <c r="CT111" s="5">
        <f t="shared" si="7"/>
        <v>0</v>
      </c>
      <c r="CU111" s="5">
        <f t="shared" si="7"/>
        <v>0</v>
      </c>
      <c r="CV111" s="5">
        <f t="shared" si="7"/>
        <v>0</v>
      </c>
      <c r="CW111" s="5">
        <f t="shared" si="7"/>
        <v>0</v>
      </c>
      <c r="CX111" s="5">
        <f t="shared" si="7"/>
        <v>0</v>
      </c>
      <c r="CY111" s="5">
        <f t="shared" si="7"/>
        <v>0</v>
      </c>
      <c r="CZ111" s="5">
        <f t="shared" si="7"/>
        <v>0</v>
      </c>
      <c r="DA111" s="5">
        <f t="shared" si="7"/>
        <v>0</v>
      </c>
      <c r="DB111" s="5">
        <f t="shared" si="7"/>
        <v>0</v>
      </c>
      <c r="DC111" s="5">
        <f t="shared" si="7"/>
        <v>0</v>
      </c>
      <c r="DD111" s="5">
        <f t="shared" si="7"/>
        <v>0</v>
      </c>
      <c r="DE111" s="5">
        <f t="shared" si="7"/>
        <v>0</v>
      </c>
      <c r="DF111" s="5">
        <f t="shared" si="7"/>
        <v>0</v>
      </c>
      <c r="DG111" s="5">
        <f t="shared" si="7"/>
        <v>0</v>
      </c>
      <c r="DH111" s="5">
        <f t="shared" si="7"/>
        <v>0</v>
      </c>
      <c r="DI111" s="5">
        <f t="shared" si="7"/>
        <v>0</v>
      </c>
      <c r="DJ111" s="5">
        <f t="shared" si="7"/>
        <v>0</v>
      </c>
      <c r="DK111" s="388">
        <f>DJ111</f>
        <v>0</v>
      </c>
      <c r="DL111" s="5">
        <f>SUM(BK111:DK111)</f>
        <v>0</v>
      </c>
    </row>
    <row r="112" spans="1:117" x14ac:dyDescent="0.2">
      <c r="C112" t="str">
        <f>ROW(A1)&amp;". "&amp;Capacity!N17</f>
        <v xml:space="preserve">1. </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0</v>
      </c>
      <c r="BI112" t="str">
        <f>IF(BH112&gt;0,IF(BH112&lt;Capacity!Q17,Capacity!R17,Capacity!T17/'Capacity calculation (hide)'!BH112),"")</f>
        <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388">
        <f t="shared" ref="DK112:DK175" si="8">DJ112</f>
        <v>0</v>
      </c>
      <c r="DL112" s="5">
        <f t="shared" ref="DL112:DL175" si="9">SUM(BK112:DJ112)</f>
        <v>0</v>
      </c>
    </row>
    <row r="113" spans="3:116" x14ac:dyDescent="0.2">
      <c r="C113" s="67" t="str">
        <f>ROW(A2)&amp;". "&amp;Capacity!N18</f>
        <v xml:space="preserve">2. </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388">
        <f t="shared" si="8"/>
        <v>0</v>
      </c>
      <c r="DL113" s="5">
        <f t="shared" si="9"/>
        <v>0</v>
      </c>
    </row>
    <row r="114" spans="3:116" x14ac:dyDescent="0.2">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88">
        <f t="shared" si="8"/>
        <v>0</v>
      </c>
      <c r="DL114" s="5">
        <f t="shared" si="9"/>
        <v>0</v>
      </c>
    </row>
    <row r="115" spans="3:116" x14ac:dyDescent="0.2">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88">
        <f t="shared" si="8"/>
        <v>0</v>
      </c>
      <c r="DL115" s="5">
        <f t="shared" si="9"/>
        <v>0</v>
      </c>
    </row>
    <row r="116" spans="3:116" x14ac:dyDescent="0.2">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88">
        <f t="shared" si="8"/>
        <v>0</v>
      </c>
      <c r="DL116" s="5">
        <f t="shared" si="9"/>
        <v>0</v>
      </c>
    </row>
    <row r="117" spans="3:116" x14ac:dyDescent="0.2">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88">
        <f t="shared" si="8"/>
        <v>0</v>
      </c>
      <c r="DL117" s="5">
        <f t="shared" si="9"/>
        <v>0</v>
      </c>
    </row>
    <row r="118" spans="3:116" x14ac:dyDescent="0.2">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88">
        <f t="shared" si="8"/>
        <v>0</v>
      </c>
      <c r="DL118" s="5">
        <f t="shared" si="9"/>
        <v>0</v>
      </c>
    </row>
    <row r="119" spans="3:116" x14ac:dyDescent="0.2">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88">
        <f t="shared" si="8"/>
        <v>0</v>
      </c>
      <c r="DL119" s="5">
        <f t="shared" si="9"/>
        <v>0</v>
      </c>
    </row>
    <row r="120" spans="3:116" x14ac:dyDescent="0.2">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88">
        <f t="shared" si="8"/>
        <v>0</v>
      </c>
      <c r="DL120" s="5">
        <f t="shared" si="9"/>
        <v>0</v>
      </c>
    </row>
    <row r="121" spans="3:116" x14ac:dyDescent="0.2">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88">
        <f t="shared" si="8"/>
        <v>0</v>
      </c>
      <c r="DL121" s="5">
        <f t="shared" si="9"/>
        <v>0</v>
      </c>
    </row>
    <row r="122" spans="3:116" x14ac:dyDescent="0.2">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88">
        <f t="shared" si="8"/>
        <v>0</v>
      </c>
      <c r="DL122" s="5">
        <f t="shared" si="9"/>
        <v>0</v>
      </c>
    </row>
    <row r="123" spans="3:116" x14ac:dyDescent="0.2">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88">
        <f t="shared" si="8"/>
        <v>0</v>
      </c>
      <c r="DL123" s="5">
        <f t="shared" si="9"/>
        <v>0</v>
      </c>
    </row>
    <row r="124" spans="3:116" x14ac:dyDescent="0.2">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88">
        <f t="shared" si="8"/>
        <v>0</v>
      </c>
      <c r="DL124" s="5">
        <f t="shared" si="9"/>
        <v>0</v>
      </c>
    </row>
    <row r="125" spans="3:116" x14ac:dyDescent="0.2">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88">
        <f t="shared" si="8"/>
        <v>0</v>
      </c>
      <c r="DL125" s="5">
        <f t="shared" si="9"/>
        <v>0</v>
      </c>
    </row>
    <row r="126" spans="3:116" x14ac:dyDescent="0.2">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88">
        <f t="shared" si="8"/>
        <v>0</v>
      </c>
      <c r="DL126" s="5">
        <f t="shared" si="9"/>
        <v>0</v>
      </c>
    </row>
    <row r="127" spans="3:116" x14ac:dyDescent="0.2">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88">
        <f t="shared" si="8"/>
        <v>0</v>
      </c>
      <c r="DL127" s="5">
        <f t="shared" si="9"/>
        <v>0</v>
      </c>
    </row>
    <row r="128" spans="3:116" x14ac:dyDescent="0.2">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88">
        <f t="shared" si="8"/>
        <v>0</v>
      </c>
      <c r="DL128" s="5">
        <f t="shared" si="9"/>
        <v>0</v>
      </c>
    </row>
    <row r="129" spans="3:116" x14ac:dyDescent="0.2">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88">
        <f t="shared" si="8"/>
        <v>0</v>
      </c>
      <c r="DL129" s="5">
        <f t="shared" si="9"/>
        <v>0</v>
      </c>
    </row>
    <row r="130" spans="3:116" x14ac:dyDescent="0.2">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88">
        <f t="shared" si="8"/>
        <v>0</v>
      </c>
      <c r="DL130" s="5">
        <f t="shared" si="9"/>
        <v>0</v>
      </c>
    </row>
    <row r="131" spans="3:116" x14ac:dyDescent="0.2">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88">
        <f t="shared" si="8"/>
        <v>0</v>
      </c>
      <c r="DL131" s="5">
        <f t="shared" si="9"/>
        <v>0</v>
      </c>
    </row>
    <row r="132" spans="3:116" x14ac:dyDescent="0.2">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88">
        <f t="shared" si="8"/>
        <v>0</v>
      </c>
      <c r="DL132" s="5">
        <f t="shared" si="9"/>
        <v>0</v>
      </c>
    </row>
    <row r="133" spans="3:116" x14ac:dyDescent="0.2">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88">
        <f t="shared" si="8"/>
        <v>0</v>
      </c>
      <c r="DL133" s="5">
        <f t="shared" si="9"/>
        <v>0</v>
      </c>
    </row>
    <row r="134" spans="3:116" x14ac:dyDescent="0.2">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88">
        <f t="shared" si="8"/>
        <v>0</v>
      </c>
      <c r="DL134" s="5">
        <f t="shared" si="9"/>
        <v>0</v>
      </c>
    </row>
    <row r="135" spans="3:116" x14ac:dyDescent="0.2">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88">
        <f t="shared" si="8"/>
        <v>0</v>
      </c>
      <c r="DL135" s="5">
        <f t="shared" si="9"/>
        <v>0</v>
      </c>
    </row>
    <row r="136" spans="3:116" x14ac:dyDescent="0.2">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88">
        <f t="shared" si="8"/>
        <v>0</v>
      </c>
      <c r="DL136" s="5">
        <f t="shared" si="9"/>
        <v>0</v>
      </c>
    </row>
    <row r="137" spans="3:116" x14ac:dyDescent="0.2">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88">
        <f t="shared" si="8"/>
        <v>0</v>
      </c>
      <c r="DL137" s="5">
        <f t="shared" si="9"/>
        <v>0</v>
      </c>
    </row>
    <row r="138" spans="3:116" x14ac:dyDescent="0.2">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88">
        <f t="shared" si="8"/>
        <v>0</v>
      </c>
      <c r="DL138" s="5">
        <f t="shared" si="9"/>
        <v>0</v>
      </c>
    </row>
    <row r="139" spans="3:116" x14ac:dyDescent="0.2">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88">
        <f t="shared" si="8"/>
        <v>0</v>
      </c>
      <c r="DL139" s="5">
        <f t="shared" si="9"/>
        <v>0</v>
      </c>
    </row>
    <row r="140" spans="3:116" x14ac:dyDescent="0.2">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88">
        <f t="shared" si="8"/>
        <v>0</v>
      </c>
      <c r="DL140" s="5">
        <f t="shared" si="9"/>
        <v>0</v>
      </c>
    </row>
    <row r="141" spans="3:116" x14ac:dyDescent="0.2">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88">
        <f t="shared" si="8"/>
        <v>0</v>
      </c>
      <c r="DL141" s="5">
        <f t="shared" si="9"/>
        <v>0</v>
      </c>
    </row>
    <row r="142" spans="3:116" x14ac:dyDescent="0.2">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88">
        <f t="shared" si="8"/>
        <v>0</v>
      </c>
      <c r="DL142" s="5">
        <f t="shared" si="9"/>
        <v>0</v>
      </c>
    </row>
    <row r="143" spans="3:116" x14ac:dyDescent="0.2">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88">
        <f t="shared" si="8"/>
        <v>0</v>
      </c>
      <c r="DL143" s="5">
        <f t="shared" si="9"/>
        <v>0</v>
      </c>
    </row>
    <row r="144" spans="3:116" x14ac:dyDescent="0.2">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88">
        <f t="shared" si="8"/>
        <v>0</v>
      </c>
      <c r="DL144" s="5">
        <f t="shared" si="9"/>
        <v>0</v>
      </c>
    </row>
    <row r="145" spans="3:116" x14ac:dyDescent="0.2">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88">
        <f t="shared" si="8"/>
        <v>0</v>
      </c>
      <c r="DL145" s="5">
        <f t="shared" si="9"/>
        <v>0</v>
      </c>
    </row>
    <row r="146" spans="3:116" x14ac:dyDescent="0.2">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88">
        <f t="shared" si="8"/>
        <v>0</v>
      </c>
      <c r="DL146" s="5">
        <f t="shared" si="9"/>
        <v>0</v>
      </c>
    </row>
    <row r="147" spans="3:116" x14ac:dyDescent="0.2">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88">
        <f t="shared" si="8"/>
        <v>0</v>
      </c>
      <c r="DL147" s="5">
        <f t="shared" si="9"/>
        <v>0</v>
      </c>
    </row>
    <row r="148" spans="3:116" x14ac:dyDescent="0.2">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88">
        <f t="shared" si="8"/>
        <v>0</v>
      </c>
      <c r="DL148" s="5">
        <f t="shared" si="9"/>
        <v>0</v>
      </c>
    </row>
    <row r="149" spans="3:116" x14ac:dyDescent="0.2">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88">
        <f t="shared" si="8"/>
        <v>0</v>
      </c>
      <c r="DL149" s="5">
        <f t="shared" si="9"/>
        <v>0</v>
      </c>
    </row>
    <row r="150" spans="3:116" x14ac:dyDescent="0.2">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88">
        <f t="shared" si="8"/>
        <v>0</v>
      </c>
      <c r="DL150" s="5">
        <f t="shared" si="9"/>
        <v>0</v>
      </c>
    </row>
    <row r="151" spans="3:116" x14ac:dyDescent="0.2">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88">
        <f t="shared" si="8"/>
        <v>0</v>
      </c>
      <c r="DL151" s="5">
        <f t="shared" si="9"/>
        <v>0</v>
      </c>
    </row>
    <row r="152" spans="3:116" x14ac:dyDescent="0.2">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88">
        <f t="shared" si="8"/>
        <v>0</v>
      </c>
      <c r="DL152" s="5">
        <f t="shared" si="9"/>
        <v>0</v>
      </c>
    </row>
    <row r="153" spans="3:116" x14ac:dyDescent="0.2">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88">
        <f t="shared" si="8"/>
        <v>0</v>
      </c>
      <c r="DL153" s="5">
        <f t="shared" si="9"/>
        <v>0</v>
      </c>
    </row>
    <row r="154" spans="3:116" x14ac:dyDescent="0.2">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88">
        <f t="shared" si="8"/>
        <v>0</v>
      </c>
      <c r="DL154" s="5">
        <f t="shared" si="9"/>
        <v>0</v>
      </c>
    </row>
    <row r="155" spans="3:116" x14ac:dyDescent="0.2">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88">
        <f t="shared" si="8"/>
        <v>0</v>
      </c>
      <c r="DL155" s="5">
        <f t="shared" si="9"/>
        <v>0</v>
      </c>
    </row>
    <row r="156" spans="3:116" x14ac:dyDescent="0.2">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88">
        <f t="shared" si="8"/>
        <v>0</v>
      </c>
      <c r="DL156" s="5">
        <f t="shared" si="9"/>
        <v>0</v>
      </c>
    </row>
    <row r="157" spans="3:116" x14ac:dyDescent="0.2">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88">
        <f t="shared" si="8"/>
        <v>0</v>
      </c>
      <c r="DL157" s="5">
        <f t="shared" si="9"/>
        <v>0</v>
      </c>
    </row>
    <row r="158" spans="3:116" x14ac:dyDescent="0.2">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88">
        <f t="shared" si="8"/>
        <v>0</v>
      </c>
      <c r="DL158" s="5">
        <f t="shared" si="9"/>
        <v>0</v>
      </c>
    </row>
    <row r="159" spans="3:116" x14ac:dyDescent="0.2">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88">
        <f t="shared" si="8"/>
        <v>0</v>
      </c>
      <c r="DL159" s="5">
        <f t="shared" si="9"/>
        <v>0</v>
      </c>
    </row>
    <row r="160" spans="3:116" x14ac:dyDescent="0.2">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88">
        <f t="shared" si="8"/>
        <v>0</v>
      </c>
      <c r="DL160" s="5">
        <f t="shared" si="9"/>
        <v>0</v>
      </c>
    </row>
    <row r="161" spans="3:116" x14ac:dyDescent="0.2">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88">
        <f t="shared" si="8"/>
        <v>0</v>
      </c>
      <c r="DL161" s="5">
        <f t="shared" si="9"/>
        <v>0</v>
      </c>
    </row>
    <row r="162" spans="3:116" x14ac:dyDescent="0.2">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88">
        <f t="shared" si="8"/>
        <v>0</v>
      </c>
      <c r="DL162" s="5">
        <f t="shared" si="9"/>
        <v>0</v>
      </c>
    </row>
    <row r="163" spans="3:116" x14ac:dyDescent="0.2">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88">
        <f t="shared" si="8"/>
        <v>0</v>
      </c>
      <c r="DL163" s="5">
        <f t="shared" si="9"/>
        <v>0</v>
      </c>
    </row>
    <row r="164" spans="3:116" x14ac:dyDescent="0.2">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88">
        <f t="shared" si="8"/>
        <v>0</v>
      </c>
      <c r="DL164" s="5">
        <f t="shared" si="9"/>
        <v>0</v>
      </c>
    </row>
    <row r="165" spans="3:116" x14ac:dyDescent="0.2">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88">
        <f t="shared" si="8"/>
        <v>0</v>
      </c>
      <c r="DL165" s="5">
        <f t="shared" si="9"/>
        <v>0</v>
      </c>
    </row>
    <row r="166" spans="3:116" x14ac:dyDescent="0.2">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88">
        <f t="shared" si="8"/>
        <v>0</v>
      </c>
      <c r="DL166" s="5">
        <f t="shared" si="9"/>
        <v>0</v>
      </c>
    </row>
    <row r="167" spans="3:116" x14ac:dyDescent="0.2">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88">
        <f t="shared" si="8"/>
        <v>0</v>
      </c>
      <c r="DL167" s="5">
        <f t="shared" si="9"/>
        <v>0</v>
      </c>
    </row>
    <row r="168" spans="3:116" x14ac:dyDescent="0.2">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88">
        <f t="shared" si="8"/>
        <v>0</v>
      </c>
      <c r="DL168" s="5">
        <f t="shared" si="9"/>
        <v>0</v>
      </c>
    </row>
    <row r="169" spans="3:116" x14ac:dyDescent="0.2">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88">
        <f t="shared" si="8"/>
        <v>0</v>
      </c>
      <c r="DL169" s="5">
        <f t="shared" si="9"/>
        <v>0</v>
      </c>
    </row>
    <row r="170" spans="3:116" x14ac:dyDescent="0.2">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88">
        <f t="shared" si="8"/>
        <v>0</v>
      </c>
      <c r="DL170" s="5">
        <f t="shared" si="9"/>
        <v>0</v>
      </c>
    </row>
    <row r="171" spans="3:116" x14ac:dyDescent="0.2">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88">
        <f t="shared" si="8"/>
        <v>0</v>
      </c>
      <c r="DL171" s="5">
        <f t="shared" si="9"/>
        <v>0</v>
      </c>
    </row>
    <row r="172" spans="3:116" x14ac:dyDescent="0.2">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88">
        <f t="shared" si="8"/>
        <v>0</v>
      </c>
      <c r="DL172" s="5">
        <f t="shared" si="9"/>
        <v>0</v>
      </c>
    </row>
    <row r="173" spans="3:116" x14ac:dyDescent="0.2">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88">
        <f t="shared" si="8"/>
        <v>0</v>
      </c>
      <c r="DL173" s="5">
        <f t="shared" si="9"/>
        <v>0</v>
      </c>
    </row>
    <row r="174" spans="3:116" x14ac:dyDescent="0.2">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88">
        <f t="shared" si="8"/>
        <v>0</v>
      </c>
      <c r="DL174" s="5">
        <f t="shared" si="9"/>
        <v>0</v>
      </c>
    </row>
    <row r="175" spans="3:116" x14ac:dyDescent="0.2">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88">
        <f t="shared" si="8"/>
        <v>0</v>
      </c>
      <c r="DL175" s="5">
        <f t="shared" si="9"/>
        <v>0</v>
      </c>
    </row>
    <row r="176" spans="3:116" x14ac:dyDescent="0.2">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88">
        <f t="shared" ref="DK176:DK211" si="10">DJ176</f>
        <v>0</v>
      </c>
      <c r="DL176" s="5">
        <f t="shared" ref="DL176:DL211" si="11">SUM(BK176:DJ176)</f>
        <v>0</v>
      </c>
    </row>
    <row r="177" spans="3:116" x14ac:dyDescent="0.2">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88">
        <f t="shared" si="10"/>
        <v>0</v>
      </c>
      <c r="DL177" s="5">
        <f t="shared" si="11"/>
        <v>0</v>
      </c>
    </row>
    <row r="178" spans="3:116" x14ac:dyDescent="0.2">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88">
        <f t="shared" si="10"/>
        <v>0</v>
      </c>
      <c r="DL178" s="5">
        <f t="shared" si="11"/>
        <v>0</v>
      </c>
    </row>
    <row r="179" spans="3:116" x14ac:dyDescent="0.2">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88">
        <f t="shared" si="10"/>
        <v>0</v>
      </c>
      <c r="DL179" s="5">
        <f t="shared" si="11"/>
        <v>0</v>
      </c>
    </row>
    <row r="180" spans="3:116" x14ac:dyDescent="0.2">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88">
        <f t="shared" si="10"/>
        <v>0</v>
      </c>
      <c r="DL180" s="5">
        <f t="shared" si="11"/>
        <v>0</v>
      </c>
    </row>
    <row r="181" spans="3:116" x14ac:dyDescent="0.2">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88">
        <f t="shared" si="10"/>
        <v>0</v>
      </c>
      <c r="DL181" s="5">
        <f t="shared" si="11"/>
        <v>0</v>
      </c>
    </row>
    <row r="182" spans="3:116" x14ac:dyDescent="0.2">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88">
        <f t="shared" si="10"/>
        <v>0</v>
      </c>
      <c r="DL182" s="5">
        <f t="shared" si="11"/>
        <v>0</v>
      </c>
    </row>
    <row r="183" spans="3:116" x14ac:dyDescent="0.2">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88">
        <f t="shared" si="10"/>
        <v>0</v>
      </c>
      <c r="DL183" s="5">
        <f t="shared" si="11"/>
        <v>0</v>
      </c>
    </row>
    <row r="184" spans="3:116" x14ac:dyDescent="0.2">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88">
        <f t="shared" si="10"/>
        <v>0</v>
      </c>
      <c r="DL184" s="5">
        <f t="shared" si="11"/>
        <v>0</v>
      </c>
    </row>
    <row r="185" spans="3:116" x14ac:dyDescent="0.2">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88">
        <f t="shared" si="10"/>
        <v>0</v>
      </c>
      <c r="DL185" s="5">
        <f t="shared" si="11"/>
        <v>0</v>
      </c>
    </row>
    <row r="186" spans="3:116" x14ac:dyDescent="0.2">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88">
        <f t="shared" si="10"/>
        <v>0</v>
      </c>
      <c r="DL186" s="5">
        <f t="shared" si="11"/>
        <v>0</v>
      </c>
    </row>
    <row r="187" spans="3:116" x14ac:dyDescent="0.2">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88">
        <f t="shared" si="10"/>
        <v>0</v>
      </c>
      <c r="DL187" s="5">
        <f t="shared" si="11"/>
        <v>0</v>
      </c>
    </row>
    <row r="188" spans="3:116" x14ac:dyDescent="0.2">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88">
        <f t="shared" si="10"/>
        <v>0</v>
      </c>
      <c r="DL188" s="5">
        <f t="shared" si="11"/>
        <v>0</v>
      </c>
    </row>
    <row r="189" spans="3:116" x14ac:dyDescent="0.2">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88">
        <f t="shared" si="10"/>
        <v>0</v>
      </c>
      <c r="DL189" s="5">
        <f t="shared" si="11"/>
        <v>0</v>
      </c>
    </row>
    <row r="190" spans="3:116" x14ac:dyDescent="0.2">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88">
        <f t="shared" si="10"/>
        <v>0</v>
      </c>
      <c r="DL190" s="5">
        <f t="shared" si="11"/>
        <v>0</v>
      </c>
    </row>
    <row r="191" spans="3:116" x14ac:dyDescent="0.2">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88">
        <f t="shared" si="10"/>
        <v>0</v>
      </c>
      <c r="DL191" s="5">
        <f t="shared" si="11"/>
        <v>0</v>
      </c>
    </row>
    <row r="192" spans="3:116" x14ac:dyDescent="0.2">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88">
        <f t="shared" si="10"/>
        <v>0</v>
      </c>
      <c r="DL192" s="5">
        <f t="shared" si="11"/>
        <v>0</v>
      </c>
    </row>
    <row r="193" spans="3:116" x14ac:dyDescent="0.2">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88">
        <f t="shared" si="10"/>
        <v>0</v>
      </c>
      <c r="DL193" s="5">
        <f t="shared" si="11"/>
        <v>0</v>
      </c>
    </row>
    <row r="194" spans="3:116" x14ac:dyDescent="0.2">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88">
        <f t="shared" si="10"/>
        <v>0</v>
      </c>
      <c r="DL194" s="5">
        <f t="shared" si="11"/>
        <v>0</v>
      </c>
    </row>
    <row r="195" spans="3:116" x14ac:dyDescent="0.2">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88">
        <f t="shared" si="10"/>
        <v>0</v>
      </c>
      <c r="DL195" s="5">
        <f t="shared" si="11"/>
        <v>0</v>
      </c>
    </row>
    <row r="196" spans="3:116" x14ac:dyDescent="0.2">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88">
        <f t="shared" si="10"/>
        <v>0</v>
      </c>
      <c r="DL196" s="5">
        <f t="shared" si="11"/>
        <v>0</v>
      </c>
    </row>
    <row r="197" spans="3:116" x14ac:dyDescent="0.2">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88">
        <f t="shared" si="10"/>
        <v>0</v>
      </c>
      <c r="DL197" s="5">
        <f t="shared" si="11"/>
        <v>0</v>
      </c>
    </row>
    <row r="198" spans="3:116" x14ac:dyDescent="0.2">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88">
        <f t="shared" si="10"/>
        <v>0</v>
      </c>
      <c r="DL198" s="5">
        <f t="shared" si="11"/>
        <v>0</v>
      </c>
    </row>
    <row r="199" spans="3:116" x14ac:dyDescent="0.2">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88">
        <f t="shared" si="10"/>
        <v>0</v>
      </c>
      <c r="DL199" s="5">
        <f t="shared" si="11"/>
        <v>0</v>
      </c>
    </row>
    <row r="200" spans="3:116" x14ac:dyDescent="0.2">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88">
        <f t="shared" si="10"/>
        <v>0</v>
      </c>
      <c r="DL200" s="5">
        <f t="shared" si="11"/>
        <v>0</v>
      </c>
    </row>
    <row r="201" spans="3:116" x14ac:dyDescent="0.2">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88">
        <f t="shared" si="10"/>
        <v>0</v>
      </c>
      <c r="DL201" s="5">
        <f t="shared" si="11"/>
        <v>0</v>
      </c>
    </row>
    <row r="202" spans="3:116" x14ac:dyDescent="0.2">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88">
        <f t="shared" si="10"/>
        <v>0</v>
      </c>
      <c r="DL202" s="5">
        <f t="shared" si="11"/>
        <v>0</v>
      </c>
    </row>
    <row r="203" spans="3:116" x14ac:dyDescent="0.2">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88">
        <f t="shared" si="10"/>
        <v>0</v>
      </c>
      <c r="DL203" s="5">
        <f t="shared" si="11"/>
        <v>0</v>
      </c>
    </row>
    <row r="204" spans="3:116" x14ac:dyDescent="0.2">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88">
        <f t="shared" si="10"/>
        <v>0</v>
      </c>
      <c r="DL204" s="5">
        <f t="shared" si="11"/>
        <v>0</v>
      </c>
    </row>
    <row r="205" spans="3:116" x14ac:dyDescent="0.2">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88">
        <f t="shared" si="10"/>
        <v>0</v>
      </c>
      <c r="DL205" s="5">
        <f t="shared" si="11"/>
        <v>0</v>
      </c>
    </row>
    <row r="206" spans="3:116" x14ac:dyDescent="0.2">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88">
        <f t="shared" si="10"/>
        <v>0</v>
      </c>
      <c r="DL206" s="5">
        <f t="shared" si="11"/>
        <v>0</v>
      </c>
    </row>
    <row r="207" spans="3:116" x14ac:dyDescent="0.2">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88">
        <f t="shared" si="10"/>
        <v>0</v>
      </c>
      <c r="DL207" s="5">
        <f t="shared" si="11"/>
        <v>0</v>
      </c>
    </row>
    <row r="208" spans="3:116" x14ac:dyDescent="0.2">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88">
        <f t="shared" si="10"/>
        <v>0</v>
      </c>
      <c r="DL208" s="5">
        <f t="shared" si="11"/>
        <v>0</v>
      </c>
    </row>
    <row r="209" spans="2:116" x14ac:dyDescent="0.2">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88">
        <f t="shared" si="10"/>
        <v>0</v>
      </c>
      <c r="DL209" s="5">
        <f t="shared" si="11"/>
        <v>0</v>
      </c>
    </row>
    <row r="210" spans="2:116" x14ac:dyDescent="0.2">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88">
        <f t="shared" si="10"/>
        <v>0</v>
      </c>
      <c r="DL210" s="5">
        <f t="shared" si="11"/>
        <v>0</v>
      </c>
    </row>
    <row r="211" spans="2:116" x14ac:dyDescent="0.2">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88">
        <f t="shared" si="10"/>
        <v>0</v>
      </c>
      <c r="DL211" s="5">
        <f t="shared" si="11"/>
        <v>0</v>
      </c>
    </row>
    <row r="212" spans="2:116" x14ac:dyDescent="0.2">
      <c r="B212" s="67"/>
    </row>
    <row r="213" spans="2:116" x14ac:dyDescent="0.2">
      <c r="B213" s="67"/>
    </row>
    <row r="214" spans="2:116" ht="15" x14ac:dyDescent="0.25">
      <c r="B214" s="67"/>
      <c r="BI214" s="305" t="s">
        <v>1111</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c r="DL214" s="67">
        <f>SUMIFS(DL$112:DL$211,Capacity!$V$17:$V$116,"X")</f>
        <v>0</v>
      </c>
    </row>
    <row r="215" spans="2:116" x14ac:dyDescent="0.2">
      <c r="B215" s="67"/>
    </row>
    <row r="216" spans="2:116" x14ac:dyDescent="0.2">
      <c r="B216" s="67"/>
    </row>
    <row r="217" spans="2:116" x14ac:dyDescent="0.2">
      <c r="B217" s="67"/>
    </row>
    <row r="218" spans="2:116" x14ac:dyDescent="0.2">
      <c r="B218" s="67"/>
    </row>
    <row r="219" spans="2:116" x14ac:dyDescent="0.2">
      <c r="B219" s="67"/>
    </row>
    <row r="220" spans="2:116" x14ac:dyDescent="0.2">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4.25" x14ac:dyDescent="0.2"/>
  <cols>
    <col min="1" max="1" width="16.125" customWidth="1"/>
    <col min="2" max="2" width="13.125" customWidth="1"/>
    <col min="3" max="4" width="11.125" customWidth="1"/>
    <col min="5" max="6" width="19.75" customWidth="1"/>
    <col min="7" max="10" width="9.125" customWidth="1"/>
  </cols>
  <sheetData>
    <row r="1" spans="1:15" x14ac:dyDescent="0.2">
      <c r="B1" s="67"/>
    </row>
    <row r="2" spans="1:15" x14ac:dyDescent="0.2">
      <c r="A2" t="s">
        <v>310</v>
      </c>
      <c r="C2" s="397" t="s">
        <v>87</v>
      </c>
      <c r="D2" s="399"/>
      <c r="F2" s="240" t="str">
        <f ca="1">"On aggregate, 1 patient = "&amp;TEXT('Demand background (hide)'!$BN$16,"#.#")&amp;" "&amp;Setup!$I$17</f>
        <v>On aggregate, 1 patient = 1. Minutes</v>
      </c>
    </row>
    <row r="3" spans="1:15" x14ac:dyDescent="0.2">
      <c r="A3" t="s">
        <v>328</v>
      </c>
      <c r="C3" s="454">
        <v>52</v>
      </c>
      <c r="D3" s="455"/>
      <c r="F3" s="347" t="s">
        <v>326</v>
      </c>
    </row>
    <row r="4" spans="1:15" x14ac:dyDescent="0.2">
      <c r="A4" t="s">
        <v>14</v>
      </c>
      <c r="C4" s="397" t="s">
        <v>19</v>
      </c>
      <c r="D4" s="399"/>
    </row>
    <row r="5" spans="1:15" x14ac:dyDescent="0.2">
      <c r="K5" s="72"/>
    </row>
    <row r="6" spans="1:15" ht="14.65" customHeight="1" thickBot="1" x14ac:dyDescent="0.3">
      <c r="A6" s="102" t="s">
        <v>309</v>
      </c>
      <c r="B6" s="103"/>
      <c r="C6" s="103"/>
      <c r="D6" s="9"/>
      <c r="E6" s="468" t="s">
        <v>346</v>
      </c>
      <c r="F6" s="468"/>
      <c r="G6" s="63" t="s">
        <v>87</v>
      </c>
      <c r="H6" s="9" t="s">
        <v>88</v>
      </c>
      <c r="I6" s="9"/>
      <c r="K6" s="72"/>
    </row>
    <row r="7" spans="1:15" ht="15" thickBot="1" x14ac:dyDescent="0.25">
      <c r="A7" s="10"/>
      <c r="B7" s="11"/>
      <c r="C7" s="11"/>
      <c r="D7" s="9"/>
      <c r="E7" s="469" t="s">
        <v>214</v>
      </c>
      <c r="F7" s="463"/>
      <c r="G7" s="451"/>
      <c r="H7" s="438">
        <f ca="1">'Parameters calculator (hide)'!B25</f>
        <v>0</v>
      </c>
      <c r="I7" s="9"/>
    </row>
    <row r="8" spans="1:15" ht="15" thickBot="1" x14ac:dyDescent="0.25">
      <c r="A8" s="11"/>
      <c r="B8" s="11"/>
      <c r="C8" s="11"/>
      <c r="D8" s="12"/>
      <c r="E8" s="13"/>
      <c r="F8" s="14"/>
      <c r="G8" s="452"/>
      <c r="H8" s="439"/>
      <c r="I8" s="9"/>
    </row>
    <row r="9" spans="1:15" ht="15" thickBot="1" x14ac:dyDescent="0.25">
      <c r="A9" s="85" t="s">
        <v>338</v>
      </c>
      <c r="B9" s="458" t="str">
        <f ca="1">TEXT('Parameters calculator (hide)'!B19,"#,#")</f>
        <v/>
      </c>
      <c r="C9" s="11"/>
      <c r="D9" s="12"/>
      <c r="E9" s="9"/>
      <c r="F9" s="9"/>
      <c r="G9" s="9"/>
      <c r="H9" s="9"/>
      <c r="I9" s="9"/>
    </row>
    <row r="10" spans="1:15" ht="15" thickBot="1" x14ac:dyDescent="0.25">
      <c r="A10" s="242" t="str">
        <f>"("&amp;$C$4&amp;")"</f>
        <v>(Patients)</v>
      </c>
      <c r="B10" s="459"/>
      <c r="C10" s="15"/>
      <c r="D10" s="16"/>
      <c r="E10" s="460" t="s">
        <v>348</v>
      </c>
      <c r="F10" s="461"/>
      <c r="G10" s="63" t="s">
        <v>87</v>
      </c>
      <c r="H10" s="9" t="s">
        <v>88</v>
      </c>
      <c r="I10" s="9"/>
      <c r="K10" s="5"/>
    </row>
    <row r="11" spans="1:15" ht="15.75" thickBot="1" x14ac:dyDescent="0.25">
      <c r="A11" s="91" t="str">
        <f>IF(LEFT(Demand!C8,1)="H","Based on selected baseline period in SPC sheet","Based on baseline forecast demand")</f>
        <v>Based on selected baseline period in SPC sheet</v>
      </c>
      <c r="B11" s="11"/>
      <c r="C11" s="17"/>
      <c r="D11" s="12"/>
      <c r="E11" s="462" t="s">
        <v>89</v>
      </c>
      <c r="F11" s="463"/>
      <c r="G11" s="464"/>
      <c r="H11" s="438">
        <f ca="1">'Parameters calculator (hide)'!C25</f>
        <v>0</v>
      </c>
      <c r="I11" s="9"/>
      <c r="O11" s="371"/>
    </row>
    <row r="12" spans="1:15" ht="15" thickBot="1" x14ac:dyDescent="0.25">
      <c r="A12" s="91" t="str">
        <f ca="1">"normalised to "&amp;TEXT('Parameters calculator (hide)'!$B$18,"#")&amp;" wks"</f>
        <v>normalised to 52 wks</v>
      </c>
      <c r="B12" s="11"/>
      <c r="C12" s="17"/>
      <c r="D12" s="9"/>
      <c r="E12" s="18"/>
      <c r="F12" s="14"/>
      <c r="G12" s="465"/>
      <c r="H12" s="439"/>
      <c r="I12" s="9"/>
    </row>
    <row r="13" spans="1:15" x14ac:dyDescent="0.2">
      <c r="A13" s="10" t="s">
        <v>90</v>
      </c>
      <c r="B13" s="11"/>
      <c r="C13" s="17"/>
      <c r="D13" s="19" t="s">
        <v>91</v>
      </c>
      <c r="E13" s="9"/>
      <c r="F13" s="9"/>
      <c r="G13" s="9"/>
      <c r="H13" s="9"/>
      <c r="I13" s="9"/>
    </row>
    <row r="14" spans="1:15" ht="15" thickBot="1" x14ac:dyDescent="0.25">
      <c r="B14" s="20"/>
      <c r="C14" s="21"/>
      <c r="D14" s="20"/>
      <c r="E14" s="20"/>
      <c r="F14" s="20"/>
      <c r="G14" s="20"/>
      <c r="H14" s="20"/>
      <c r="I14" s="20"/>
      <c r="J14" s="20"/>
      <c r="K14" s="20"/>
      <c r="L14" s="20"/>
    </row>
    <row r="15" spans="1:15" ht="15" thickBot="1" x14ac:dyDescent="0.25">
      <c r="B15" s="93"/>
      <c r="C15" s="466" t="s">
        <v>373</v>
      </c>
      <c r="D15" s="467"/>
      <c r="E15" s="20"/>
      <c r="F15" s="437" t="s">
        <v>399</v>
      </c>
      <c r="G15" s="437"/>
      <c r="H15" s="20"/>
      <c r="I15" s="64" t="s">
        <v>87</v>
      </c>
      <c r="J15" s="20" t="s">
        <v>88</v>
      </c>
      <c r="K15" s="20"/>
      <c r="L15" s="20"/>
    </row>
    <row r="16" spans="1:15" ht="15" thickBot="1" x14ac:dyDescent="0.25">
      <c r="B16" s="20"/>
      <c r="C16" s="440" t="e">
        <f ca="1">IF(B9-H7-H11+J16&lt;0, 0, B9-H7-H11+J16)</f>
        <v>#VALUE!</v>
      </c>
      <c r="D16" s="441"/>
      <c r="E16" s="20"/>
      <c r="F16" s="20" t="s">
        <v>92</v>
      </c>
      <c r="G16" s="20"/>
      <c r="H16" s="20"/>
      <c r="I16" s="444">
        <f>'Parameters calculator (hide)'!$H$24</f>
        <v>1</v>
      </c>
      <c r="J16" s="446">
        <f ca="1">'Parameters calculator (hide)'!H25</f>
        <v>0</v>
      </c>
      <c r="K16" s="20"/>
      <c r="L16" s="20"/>
    </row>
    <row r="17" spans="1:13" ht="15" thickBot="1" x14ac:dyDescent="0.25">
      <c r="B17" s="20"/>
      <c r="C17" s="442"/>
      <c r="D17" s="443"/>
      <c r="E17" s="22"/>
      <c r="F17" s="23"/>
      <c r="G17" s="23"/>
      <c r="H17" s="23"/>
      <c r="I17" s="445"/>
      <c r="J17" s="447"/>
      <c r="K17" s="24"/>
      <c r="L17" s="20"/>
    </row>
    <row r="18" spans="1:13" x14ac:dyDescent="0.2">
      <c r="B18" s="90" t="s">
        <v>374</v>
      </c>
      <c r="C18" s="20"/>
      <c r="D18" s="22"/>
      <c r="E18" s="20"/>
      <c r="F18" s="20"/>
      <c r="G18" s="20"/>
      <c r="H18" s="25"/>
      <c r="I18" s="25"/>
      <c r="J18" s="25"/>
      <c r="K18" s="26"/>
      <c r="L18" s="20"/>
    </row>
    <row r="19" spans="1:13" x14ac:dyDescent="0.2">
      <c r="B19" s="90" t="s">
        <v>375</v>
      </c>
      <c r="C19" s="20"/>
      <c r="D19" s="27"/>
      <c r="E19" s="20"/>
      <c r="F19" s="20"/>
      <c r="G19" s="20"/>
      <c r="H19" s="25"/>
      <c r="I19" s="25"/>
      <c r="J19" s="25"/>
      <c r="K19" s="26"/>
      <c r="L19" s="20"/>
    </row>
    <row r="20" spans="1:13" ht="15" thickBot="1" x14ac:dyDescent="0.25">
      <c r="B20" s="90"/>
      <c r="C20" s="20"/>
      <c r="D20" s="27"/>
      <c r="E20" s="448" t="s">
        <v>347</v>
      </c>
      <c r="F20" s="448"/>
      <c r="G20" s="64" t="s">
        <v>87</v>
      </c>
      <c r="H20" s="25" t="s">
        <v>88</v>
      </c>
      <c r="I20" s="25"/>
      <c r="J20" s="25"/>
      <c r="K20" s="26"/>
      <c r="L20" s="20"/>
    </row>
    <row r="21" spans="1:13" ht="15" thickBot="1" x14ac:dyDescent="0.25">
      <c r="B21" s="20"/>
      <c r="C21" s="20"/>
      <c r="D21" s="28"/>
      <c r="E21" s="449" t="s">
        <v>93</v>
      </c>
      <c r="F21" s="450"/>
      <c r="G21" s="451"/>
      <c r="H21" s="438">
        <f ca="1">'Parameters calculator (hide)'!E25</f>
        <v>0</v>
      </c>
      <c r="I21" s="29"/>
      <c r="J21" s="29"/>
      <c r="K21" s="21"/>
      <c r="L21" s="20"/>
    </row>
    <row r="22" spans="1:13" ht="15" thickBot="1" x14ac:dyDescent="0.25">
      <c r="B22" s="90"/>
      <c r="C22" s="26"/>
      <c r="D22" s="23"/>
      <c r="E22" s="23"/>
      <c r="F22" s="24"/>
      <c r="G22" s="452"/>
      <c r="H22" s="439"/>
      <c r="I22" s="24"/>
      <c r="J22" s="20"/>
      <c r="K22" s="20"/>
      <c r="L22" s="20"/>
    </row>
    <row r="23" spans="1:13" x14ac:dyDescent="0.2">
      <c r="B23" s="30" t="s">
        <v>94</v>
      </c>
      <c r="C23" s="26"/>
      <c r="D23" s="20"/>
      <c r="E23" s="20"/>
      <c r="F23" s="20"/>
      <c r="G23" s="20"/>
      <c r="H23" s="25"/>
      <c r="I23" s="26"/>
      <c r="J23" s="20"/>
      <c r="K23" s="20"/>
      <c r="L23" s="20"/>
    </row>
    <row r="24" spans="1:13" x14ac:dyDescent="0.2">
      <c r="A24" s="31"/>
      <c r="B24" s="31"/>
      <c r="C24" s="32"/>
      <c r="D24" s="31"/>
      <c r="E24" s="31"/>
      <c r="F24" s="31"/>
      <c r="G24" s="31"/>
      <c r="H24" s="31"/>
      <c r="I24" s="32"/>
      <c r="J24" s="31"/>
      <c r="K24" s="31"/>
    </row>
    <row r="25" spans="1:13" ht="14.65" customHeight="1" thickBot="1" x14ac:dyDescent="0.25">
      <c r="A25" s="453" t="s">
        <v>372</v>
      </c>
      <c r="B25" s="31"/>
      <c r="C25" s="32"/>
      <c r="D25" s="31"/>
      <c r="E25" s="31"/>
      <c r="F25" s="31"/>
      <c r="G25" s="31"/>
      <c r="H25" s="31"/>
      <c r="I25" s="32"/>
      <c r="J25" s="31"/>
      <c r="K25" s="31"/>
    </row>
    <row r="26" spans="1:13" ht="15" thickBot="1" x14ac:dyDescent="0.25">
      <c r="A26" s="453"/>
      <c r="B26" s="456">
        <f ca="1">'Parameters calculator (hide)'!B27</f>
        <v>0</v>
      </c>
      <c r="C26" s="33"/>
      <c r="D26" s="31"/>
      <c r="E26" s="31"/>
      <c r="F26" s="31"/>
      <c r="G26" s="92"/>
      <c r="H26" s="31"/>
      <c r="I26" s="32" t="s">
        <v>87</v>
      </c>
      <c r="J26" s="31" t="s">
        <v>88</v>
      </c>
      <c r="K26" s="31"/>
    </row>
    <row r="27" spans="1:13" ht="15" thickBot="1" x14ac:dyDescent="0.25">
      <c r="A27" s="243" t="str">
        <f>"("&amp;$C$4&amp;")"</f>
        <v>(Patients)</v>
      </c>
      <c r="B27" s="457"/>
      <c r="C27" s="31"/>
      <c r="D27" s="31"/>
      <c r="E27" s="31"/>
      <c r="F27" s="83" t="s">
        <v>400</v>
      </c>
      <c r="G27" s="92"/>
      <c r="H27" s="31"/>
      <c r="I27" s="451"/>
      <c r="J27" s="438">
        <f ca="1">'Parameters calculator (hide)'!F25</f>
        <v>0</v>
      </c>
      <c r="K27" s="31"/>
    </row>
    <row r="28" spans="1:13" ht="15" thickBot="1" x14ac:dyDescent="0.25">
      <c r="A28" s="83"/>
      <c r="B28" s="31"/>
      <c r="C28" s="31"/>
      <c r="D28" s="31"/>
      <c r="E28" s="31"/>
      <c r="F28" s="31" t="s">
        <v>95</v>
      </c>
      <c r="G28" s="31"/>
      <c r="H28" s="31"/>
      <c r="I28" s="452"/>
      <c r="J28" s="439"/>
      <c r="K28" s="31"/>
    </row>
    <row r="29" spans="1:13" x14ac:dyDescent="0.2">
      <c r="A29" s="34" t="s">
        <v>96</v>
      </c>
      <c r="B29" s="31"/>
      <c r="C29" s="31"/>
      <c r="D29" s="31"/>
      <c r="E29" s="31"/>
      <c r="F29" s="31"/>
      <c r="G29" s="31"/>
      <c r="H29" s="31"/>
      <c r="I29" s="31"/>
      <c r="J29" s="31"/>
      <c r="K29" s="31"/>
    </row>
    <row r="30" spans="1:13" ht="15" thickBot="1" x14ac:dyDescent="0.25"/>
    <row r="31" spans="1:13" ht="15" thickBot="1" x14ac:dyDescent="0.25">
      <c r="A31" t="s">
        <v>371</v>
      </c>
      <c r="F31" s="212"/>
    </row>
    <row r="32" spans="1:13" ht="14.25" customHeight="1" x14ac:dyDescent="0.2">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ht="15" x14ac:dyDescent="0.25">
      <c r="A33" s="2"/>
      <c r="H33" s="150" t="str">
        <f>IF(H32&lt;&gt;"","Please recheck your figures.","")</f>
        <v/>
      </c>
    </row>
    <row r="36" spans="1:8" ht="15" x14ac:dyDescent="0.25">
      <c r="A36" s="2"/>
      <c r="C36" s="5"/>
    </row>
    <row r="37" spans="1:8" x14ac:dyDescent="0.2">
      <c r="C37" s="5"/>
    </row>
    <row r="42" spans="1:8" x14ac:dyDescent="0.2">
      <c r="B42" s="67"/>
    </row>
    <row r="43" spans="1:8" x14ac:dyDescent="0.2">
      <c r="B43" s="67"/>
    </row>
    <row r="44" spans="1:8" x14ac:dyDescent="0.2">
      <c r="B44" s="67"/>
    </row>
    <row r="45" spans="1:8" x14ac:dyDescent="0.2">
      <c r="B45" s="67"/>
    </row>
    <row r="46" spans="1:8" x14ac:dyDescent="0.2">
      <c r="B46" s="67"/>
    </row>
    <row r="47" spans="1:8" x14ac:dyDescent="0.2">
      <c r="B47" s="67"/>
    </row>
    <row r="48" spans="1:8" x14ac:dyDescent="0.2">
      <c r="B48" s="67"/>
    </row>
    <row r="49" spans="2:2" x14ac:dyDescent="0.2">
      <c r="B49" s="67"/>
    </row>
    <row r="50" spans="2:2" x14ac:dyDescent="0.2">
      <c r="B50" s="67"/>
    </row>
    <row r="51" spans="2:2" x14ac:dyDescent="0.2">
      <c r="B51" s="67"/>
    </row>
    <row r="52" spans="2:2" x14ac:dyDescent="0.2">
      <c r="B52" s="67"/>
    </row>
    <row r="53" spans="2:2" x14ac:dyDescent="0.2">
      <c r="B53" s="67"/>
    </row>
    <row r="54" spans="2:2" x14ac:dyDescent="0.2">
      <c r="B54" s="67"/>
    </row>
    <row r="55" spans="2:2" x14ac:dyDescent="0.2">
      <c r="B55" s="67"/>
    </row>
    <row r="56" spans="2:2" x14ac:dyDescent="0.2">
      <c r="B56" s="67"/>
    </row>
    <row r="57" spans="2:2" x14ac:dyDescent="0.2">
      <c r="B57" s="67"/>
    </row>
    <row r="58" spans="2:2" x14ac:dyDescent="0.2">
      <c r="B58" s="67"/>
    </row>
    <row r="59" spans="2:2" x14ac:dyDescent="0.2">
      <c r="B59" s="67"/>
    </row>
    <row r="60" spans="2:2" x14ac:dyDescent="0.2">
      <c r="B60" s="67"/>
    </row>
    <row r="61" spans="2:2" x14ac:dyDescent="0.2">
      <c r="B61" s="67"/>
    </row>
    <row r="62" spans="2:2" x14ac:dyDescent="0.2">
      <c r="B62" s="67"/>
    </row>
    <row r="63" spans="2:2" x14ac:dyDescent="0.2">
      <c r="B63" s="67"/>
    </row>
    <row r="64" spans="2:2" x14ac:dyDescent="0.2">
      <c r="B64" s="67"/>
    </row>
    <row r="65" spans="2:2" x14ac:dyDescent="0.2">
      <c r="B65" s="67"/>
    </row>
    <row r="66" spans="2:2" x14ac:dyDescent="0.2">
      <c r="B66" s="67"/>
    </row>
    <row r="67" spans="2:2" x14ac:dyDescent="0.2">
      <c r="B67" s="67"/>
    </row>
    <row r="68" spans="2:2" x14ac:dyDescent="0.2">
      <c r="B68" s="67"/>
    </row>
    <row r="69" spans="2:2" x14ac:dyDescent="0.2">
      <c r="B69" s="67"/>
    </row>
    <row r="70" spans="2:2" x14ac:dyDescent="0.2">
      <c r="B70" s="67"/>
    </row>
    <row r="71" spans="2:2" x14ac:dyDescent="0.2">
      <c r="B71" s="67"/>
    </row>
    <row r="72" spans="2:2" x14ac:dyDescent="0.2">
      <c r="B72" s="67"/>
    </row>
    <row r="73" spans="2:2" x14ac:dyDescent="0.2">
      <c r="B73" s="67"/>
    </row>
    <row r="74" spans="2:2" x14ac:dyDescent="0.2">
      <c r="B74" s="67"/>
    </row>
    <row r="75" spans="2:2" x14ac:dyDescent="0.2">
      <c r="B75" s="67"/>
    </row>
    <row r="76" spans="2:2" x14ac:dyDescent="0.2">
      <c r="B76" s="67"/>
    </row>
    <row r="77" spans="2:2" x14ac:dyDescent="0.2">
      <c r="B77" s="67"/>
    </row>
    <row r="78" spans="2:2" x14ac:dyDescent="0.2">
      <c r="B78" s="67"/>
    </row>
    <row r="79" spans="2:2" x14ac:dyDescent="0.2">
      <c r="B79" s="67"/>
    </row>
    <row r="80" spans="2:2" x14ac:dyDescent="0.2">
      <c r="B80" s="67"/>
    </row>
    <row r="81" spans="1:2" x14ac:dyDescent="0.2">
      <c r="B81" s="67"/>
    </row>
    <row r="82" spans="1:2" x14ac:dyDescent="0.2">
      <c r="B82" s="67"/>
    </row>
    <row r="83" spans="1:2" x14ac:dyDescent="0.2">
      <c r="A83" s="67"/>
      <c r="B83" s="67"/>
    </row>
    <row r="84" spans="1:2" x14ac:dyDescent="0.2">
      <c r="A84" s="67"/>
      <c r="B84" s="67"/>
    </row>
    <row r="85" spans="1:2" x14ac:dyDescent="0.2">
      <c r="A85" s="67"/>
      <c r="B85" s="67"/>
    </row>
    <row r="86" spans="1:2" x14ac:dyDescent="0.2">
      <c r="A86" s="67"/>
      <c r="B86" s="67"/>
    </row>
    <row r="87" spans="1:2" x14ac:dyDescent="0.2">
      <c r="B87" s="67"/>
    </row>
    <row r="88" spans="1:2" x14ac:dyDescent="0.2">
      <c r="A88" s="67"/>
      <c r="B88" s="67"/>
    </row>
    <row r="89" spans="1:2" x14ac:dyDescent="0.2">
      <c r="A89" s="67"/>
      <c r="B89" s="67"/>
    </row>
    <row r="90" spans="1:2" x14ac:dyDescent="0.2">
      <c r="A90" s="67"/>
      <c r="B90" s="67"/>
    </row>
    <row r="91" spans="1:2" x14ac:dyDescent="0.2">
      <c r="A91" s="67"/>
      <c r="B91" s="67"/>
    </row>
    <row r="92" spans="1:2" x14ac:dyDescent="0.2">
      <c r="B92" s="67"/>
    </row>
    <row r="93" spans="1:2" x14ac:dyDescent="0.2">
      <c r="B93" s="67"/>
    </row>
    <row r="94" spans="1:2" x14ac:dyDescent="0.2">
      <c r="B94" s="67"/>
    </row>
    <row r="95" spans="1:2" x14ac:dyDescent="0.2">
      <c r="B95" s="67"/>
    </row>
    <row r="96" spans="1:2" x14ac:dyDescent="0.2">
      <c r="B96" s="67"/>
    </row>
  </sheetData>
  <sheetProtection algorithmName="SHA-512" hashValue="sbHTfc2tetJ6uCWTy8q+GwF4HTRyE1s9f/FzfpT2Iie01DM80YNkKikRitLmLPwO+GE/tdsgDF0QA1SroCIRgg==" saltValue="DPhOuHDoifbPyIrlHzdtmQ=="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E45" sqref="E45"/>
    </sheetView>
  </sheetViews>
  <sheetFormatPr defaultRowHeight="14.25" x14ac:dyDescent="0.2"/>
  <cols>
    <col min="1" max="1" width="32.125" customWidth="1"/>
    <col min="2" max="9" width="10.625" customWidth="1"/>
  </cols>
  <sheetData>
    <row r="1" spans="1:7" ht="15" x14ac:dyDescent="0.25">
      <c r="A1" s="102" t="s">
        <v>323</v>
      </c>
      <c r="B1" s="103"/>
      <c r="C1" s="103"/>
      <c r="D1" s="103"/>
      <c r="E1" s="103"/>
      <c r="F1" s="103"/>
      <c r="G1" s="103"/>
    </row>
    <row r="3" spans="1:7" x14ac:dyDescent="0.2">
      <c r="A3" t="s">
        <v>321</v>
      </c>
    </row>
    <row r="4" spans="1:7" s="67" customFormat="1" ht="15" x14ac:dyDescent="0.25">
      <c r="A4" s="213">
        <v>52</v>
      </c>
      <c r="B4"/>
    </row>
    <row r="5" spans="1:7" s="67" customFormat="1" x14ac:dyDescent="0.2"/>
    <row r="6" spans="1:7" s="67" customFormat="1" x14ac:dyDescent="0.2"/>
    <row r="7" spans="1:7" s="67" customFormat="1" x14ac:dyDescent="0.2"/>
    <row r="8" spans="1:7" ht="15" x14ac:dyDescent="0.25">
      <c r="A8" s="89" t="s">
        <v>102</v>
      </c>
      <c r="B8" s="97" t="s">
        <v>75</v>
      </c>
      <c r="C8" s="97" t="s">
        <v>311</v>
      </c>
      <c r="D8" s="96"/>
      <c r="E8" s="98" t="s">
        <v>99</v>
      </c>
      <c r="F8" s="96"/>
      <c r="G8" s="99" t="s">
        <v>312</v>
      </c>
    </row>
    <row r="9" spans="1:7" x14ac:dyDescent="0.2">
      <c r="A9" s="86" t="str">
        <f>IF(Setup!C27&lt;&gt;"",Setup!C27,"Modality "&amp;ROW(A1))</f>
        <v>Modality 1</v>
      </c>
      <c r="B9" s="214"/>
      <c r="C9" s="214"/>
      <c r="E9" s="214"/>
      <c r="G9" s="214"/>
    </row>
    <row r="10" spans="1:7" x14ac:dyDescent="0.2">
      <c r="A10" s="86" t="str">
        <f>IF(Setup!C28&lt;&gt;"",Setup!C28,"Modality "&amp;ROW(A2))</f>
        <v>Modality 2</v>
      </c>
      <c r="B10" s="214"/>
      <c r="C10" s="214"/>
      <c r="E10" s="214"/>
      <c r="G10" s="214"/>
    </row>
    <row r="11" spans="1:7" x14ac:dyDescent="0.2">
      <c r="A11" s="86" t="str">
        <f>IF(Setup!C29&lt;&gt;"",Setup!C29,"Modality "&amp;ROW(A3))</f>
        <v>Modality 3</v>
      </c>
      <c r="B11" s="214"/>
      <c r="C11" s="214"/>
      <c r="E11" s="214"/>
      <c r="G11" s="214"/>
    </row>
    <row r="12" spans="1:7" x14ac:dyDescent="0.2">
      <c r="A12" s="86" t="str">
        <f>IF(Setup!C30&lt;&gt;"",Setup!C30,"Modality "&amp;ROW(A8))</f>
        <v>Modality 4</v>
      </c>
      <c r="B12" s="214"/>
      <c r="C12" s="214"/>
      <c r="E12" s="214"/>
      <c r="G12" s="214"/>
    </row>
    <row r="13" spans="1:7" x14ac:dyDescent="0.2">
      <c r="A13" s="86" t="str">
        <f>IF(Setup!C31&lt;&gt;"",Setup!C31,"Modality "&amp;ROW(A9))</f>
        <v>Modality 5</v>
      </c>
      <c r="B13" s="214"/>
      <c r="C13" s="214"/>
      <c r="E13" s="214"/>
      <c r="G13" s="214"/>
    </row>
    <row r="14" spans="1:7" x14ac:dyDescent="0.2">
      <c r="A14" s="86" t="str">
        <f>IF(Setup!C32&lt;&gt;"",Setup!C32,"Modality "&amp;ROW(A10))</f>
        <v>Modality 6</v>
      </c>
      <c r="B14" s="214"/>
      <c r="C14" s="214"/>
      <c r="E14" s="214"/>
      <c r="G14" s="214"/>
    </row>
    <row r="15" spans="1:7" x14ac:dyDescent="0.2">
      <c r="A15" s="86" t="str">
        <f>IF(Setup!C33&lt;&gt;"",Setup!C33,"Modality "&amp;ROW(A11))</f>
        <v>Modality 7</v>
      </c>
      <c r="B15" s="214"/>
      <c r="C15" s="214"/>
      <c r="E15" s="214"/>
      <c r="G15" s="214"/>
    </row>
    <row r="16" spans="1:7" x14ac:dyDescent="0.2">
      <c r="A16" s="86" t="str">
        <f>IF(Setup!C34&lt;&gt;"",Setup!C34,"Modality "&amp;ROW(A12))</f>
        <v>Modality 8</v>
      </c>
      <c r="B16" s="214"/>
      <c r="C16" s="214"/>
      <c r="E16" s="214"/>
      <c r="G16" s="214"/>
    </row>
    <row r="17" spans="1:7" x14ac:dyDescent="0.2">
      <c r="A17" s="86" t="str">
        <f>IF(Setup!C35&lt;&gt;"",Setup!C35,"Modality "&amp;ROW(A13))</f>
        <v>Modality 9</v>
      </c>
      <c r="B17" s="214"/>
      <c r="C17" s="214"/>
      <c r="E17" s="214"/>
      <c r="G17" s="214"/>
    </row>
    <row r="18" spans="1:7" x14ac:dyDescent="0.2">
      <c r="A18" s="86" t="str">
        <f>IF(Setup!C36&lt;&gt;"",Setup!C36,"Modality "&amp;ROW(A14))</f>
        <v>Modality 10</v>
      </c>
      <c r="B18" s="214"/>
      <c r="C18" s="214"/>
      <c r="E18" s="214"/>
      <c r="G18" s="214"/>
    </row>
    <row r="19" spans="1:7" x14ac:dyDescent="0.2">
      <c r="A19" s="67"/>
    </row>
    <row r="20" spans="1:7" s="67" customFormat="1" ht="15" x14ac:dyDescent="0.25">
      <c r="B20" s="96" t="s">
        <v>19</v>
      </c>
      <c r="C20" s="96" t="str">
        <f>Setup!I17</f>
        <v>Minutes</v>
      </c>
    </row>
    <row r="21" spans="1:7" s="67" customFormat="1" x14ac:dyDescent="0.2">
      <c r="A21" s="67" t="s">
        <v>395</v>
      </c>
      <c r="B21" s="95">
        <f ca="1">'Parameters calculator (hide)'!B19</f>
        <v>0</v>
      </c>
      <c r="C21" s="95">
        <f ca="1">'Parameters calculator (hide)'!B19*'Parameters calculator (hide)'!E18</f>
        <v>0</v>
      </c>
    </row>
    <row r="22" spans="1:7" s="67" customFormat="1" x14ac:dyDescent="0.2">
      <c r="A22" s="67" t="s">
        <v>396</v>
      </c>
      <c r="B22" s="69"/>
      <c r="C22" s="69"/>
    </row>
    <row r="23" spans="1:7" s="67" customFormat="1" x14ac:dyDescent="0.2"/>
    <row r="24" spans="1:7" s="67" customFormat="1" x14ac:dyDescent="0.2"/>
    <row r="25" spans="1:7" ht="15"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ht="15"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
      <c r="A27" s="67"/>
      <c r="B27" s="67"/>
      <c r="C27" s="67"/>
      <c r="D27" s="67"/>
      <c r="E27" s="67"/>
      <c r="F27" s="67"/>
      <c r="G27" s="67"/>
    </row>
    <row r="28" spans="1:7" x14ac:dyDescent="0.2">
      <c r="A28" s="67"/>
      <c r="B28" s="67"/>
      <c r="C28" s="67"/>
      <c r="D28" s="67"/>
      <c r="E28" s="67"/>
      <c r="F28" s="67"/>
      <c r="G28" s="67"/>
    </row>
    <row r="29" spans="1:7" x14ac:dyDescent="0.2">
      <c r="A29" t="s">
        <v>397</v>
      </c>
    </row>
  </sheetData>
  <sheetProtection algorithmName="SHA-512" hashValue="0iNdW9c0xo6x/EnSAGERRz/KlF8cMF5BfWKkh+hKCdr5kGV8njfDMJbcZ1411ntT/1a6gJB1aHiYzHDck5dwTA==" saltValue="eWfhyLhz9/lMOY5+rXvaz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4.25" x14ac:dyDescent="0.2"/>
  <cols>
    <col min="1" max="1" width="15.75" customWidth="1"/>
    <col min="3" max="3" width="11" bestFit="1" customWidth="1"/>
    <col min="5" max="5" width="17.25" customWidth="1"/>
  </cols>
  <sheetData>
    <row r="1" spans="1:9" x14ac:dyDescent="0.2">
      <c r="A1" t="s">
        <v>404</v>
      </c>
    </row>
    <row r="3" spans="1:9" x14ac:dyDescent="0.2">
      <c r="B3" t="s">
        <v>75</v>
      </c>
      <c r="D3" t="s">
        <v>98</v>
      </c>
      <c r="F3" t="s">
        <v>99</v>
      </c>
      <c r="H3" t="s">
        <v>100</v>
      </c>
    </row>
    <row r="4" spans="1:9" x14ac:dyDescent="0.2">
      <c r="A4" t="s">
        <v>102</v>
      </c>
      <c r="B4" t="s">
        <v>19</v>
      </c>
      <c r="C4" t="s">
        <v>313</v>
      </c>
      <c r="D4" s="67" t="s">
        <v>19</v>
      </c>
      <c r="E4" s="67" t="s">
        <v>313</v>
      </c>
      <c r="F4" s="67" t="s">
        <v>19</v>
      </c>
      <c r="G4" s="67" t="s">
        <v>313</v>
      </c>
      <c r="H4" s="67" t="s">
        <v>19</v>
      </c>
      <c r="I4" s="67" t="s">
        <v>313</v>
      </c>
    </row>
    <row r="5" spans="1:9" x14ac:dyDescent="0.2">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
    <row r="18" spans="1:13" s="67" customFormat="1" x14ac:dyDescent="0.2">
      <c r="A18" s="67" t="s">
        <v>147</v>
      </c>
      <c r="B18" s="67">
        <f ca="1">IF(LEFT(INDIRECT(H18),4)="Base",MAX('SPC background (hide)'!$I$5:$I$11),INDIRECT(H18))</f>
        <v>52</v>
      </c>
      <c r="D18" s="67" t="s">
        <v>212</v>
      </c>
      <c r="E18" s="5">
        <f ca="1">'Demand background (hide)'!BN16</f>
        <v>1</v>
      </c>
      <c r="G18" s="67" t="s">
        <v>394</v>
      </c>
      <c r="H18" s="51" t="s">
        <v>501</v>
      </c>
    </row>
    <row r="19" spans="1:13" x14ac:dyDescent="0.2">
      <c r="A19" t="s">
        <v>329</v>
      </c>
      <c r="B19">
        <f ca="1">'Demand background (hide)'!$BM$18*'Parameters calculator (hide)'!$B$18*IF(OR(Parameters!C4="Patients",B34=1),1/E18,1)</f>
        <v>0</v>
      </c>
    </row>
    <row r="20" spans="1:13" x14ac:dyDescent="0.2">
      <c r="B20" t="s">
        <v>75</v>
      </c>
      <c r="C20" t="s">
        <v>336</v>
      </c>
      <c r="E20" t="s">
        <v>99</v>
      </c>
      <c r="F20" t="s">
        <v>337</v>
      </c>
      <c r="H20" t="s">
        <v>101</v>
      </c>
    </row>
    <row r="21" spans="1:13" s="67" customFormat="1" x14ac:dyDescent="0.2">
      <c r="A21" s="67" t="s">
        <v>334</v>
      </c>
      <c r="B21" s="84">
        <f>Parameters!$G$7</f>
        <v>0</v>
      </c>
      <c r="C21" s="84">
        <f>Parameters!$G$11</f>
        <v>0</v>
      </c>
      <c r="D21" s="47"/>
      <c r="E21" s="84">
        <f>Parameters!$G$21</f>
        <v>0</v>
      </c>
      <c r="F21" s="84">
        <f>Parameters!$I$27</f>
        <v>0</v>
      </c>
      <c r="G21" s="47"/>
      <c r="H21" s="84">
        <f>1-F21</f>
        <v>1</v>
      </c>
      <c r="M21" s="67" t="s">
        <v>393</v>
      </c>
    </row>
    <row r="22" spans="1:13" s="67" customFormat="1" x14ac:dyDescent="0.2">
      <c r="A22" s="67" t="s">
        <v>335</v>
      </c>
      <c r="B22" s="5">
        <f ca="1">Parameters!$H$7</f>
        <v>0</v>
      </c>
      <c r="C22" s="5">
        <f ca="1">Parameters!$H$11</f>
        <v>0</v>
      </c>
      <c r="E22" s="5">
        <f ca="1">Parameters!$H$21</f>
        <v>0</v>
      </c>
      <c r="F22" s="5">
        <f ca="1">Parameters!$J$27</f>
        <v>0</v>
      </c>
      <c r="H22" s="5">
        <f ca="1">E22-F22</f>
        <v>0</v>
      </c>
    </row>
    <row r="23" spans="1:13" s="67" customFormat="1" x14ac:dyDescent="0.2"/>
    <row r="24" spans="1:13" x14ac:dyDescent="0.2">
      <c r="A24" s="67" t="s">
        <v>332</v>
      </c>
      <c r="B24" s="84" t="e">
        <f ca="1">IF($B$34=2,IFERROR(B22/B19,NA()),C16)</f>
        <v>#N/A</v>
      </c>
      <c r="C24" s="84" t="e">
        <f ca="1">IF($B$34=2,IFERROR(C22/(B19-B22),NA()),E16)</f>
        <v>#N/A</v>
      </c>
      <c r="D24" s="47"/>
      <c r="E24" s="84" t="e">
        <f ca="1">IF($B$34=2,IFERROR(E22/(B19-B22),NA()),G16)</f>
        <v>#N/A</v>
      </c>
      <c r="F24" s="84">
        <f ca="1">IF($B$34=2,IF(E22=0,0,IFERROR(F22/E22,NA())),I16)</f>
        <v>0</v>
      </c>
      <c r="G24" s="47"/>
      <c r="H24" s="84">
        <f>IF(Parameters!$C$2="%",'Parameters calculator (hide)'!$H$21,1-F24)</f>
        <v>1</v>
      </c>
    </row>
    <row r="25" spans="1:13" x14ac:dyDescent="0.2">
      <c r="A25" t="s">
        <v>333</v>
      </c>
      <c r="B25" s="5">
        <f ca="1">IFERROR(B19*B21,NA())</f>
        <v>0</v>
      </c>
      <c r="C25" s="5">
        <f ca="1">IFERROR((B19*(1-B21)*C21),NA())</f>
        <v>0</v>
      </c>
      <c r="D25" s="67"/>
      <c r="E25" s="5">
        <f ca="1">IFERROR(B19*(1-B21)*E21,NA())</f>
        <v>0</v>
      </c>
      <c r="F25" s="5">
        <f ca="1">IFERROR(E25*F21,NA())</f>
        <v>0</v>
      </c>
      <c r="G25" s="67"/>
      <c r="H25" s="5">
        <f ca="1">E25-F25</f>
        <v>0</v>
      </c>
    </row>
    <row r="27" spans="1:13" x14ac:dyDescent="0.2">
      <c r="A27" t="s">
        <v>340</v>
      </c>
      <c r="B27">
        <f ca="1">IF(Parameters!$C$2="Volume",B19-B22-C22+H22-E22,B19-B25-C25+H25-E25)</f>
        <v>0</v>
      </c>
      <c r="M27" t="s">
        <v>315</v>
      </c>
    </row>
    <row r="28" spans="1:13" x14ac:dyDescent="0.2">
      <c r="M28" t="s">
        <v>316</v>
      </c>
    </row>
    <row r="29" spans="1:13" x14ac:dyDescent="0.2">
      <c r="A29" t="s">
        <v>342</v>
      </c>
      <c r="B29" t="s">
        <v>378</v>
      </c>
      <c r="C29" t="s">
        <v>379</v>
      </c>
      <c r="D29" t="s">
        <v>376</v>
      </c>
      <c r="E29" t="s">
        <v>377</v>
      </c>
      <c r="F29" t="s">
        <v>343</v>
      </c>
      <c r="G29" t="s">
        <v>344</v>
      </c>
      <c r="I29" t="s">
        <v>350</v>
      </c>
      <c r="J29" t="s">
        <v>349</v>
      </c>
      <c r="M29" t="s">
        <v>317</v>
      </c>
    </row>
    <row r="30" spans="1:13" x14ac:dyDescent="0.2">
      <c r="A30" t="s">
        <v>75</v>
      </c>
      <c r="B30" t="s">
        <v>380</v>
      </c>
      <c r="C30" t="s">
        <v>384</v>
      </c>
      <c r="D30" s="51" t="s">
        <v>359</v>
      </c>
      <c r="E30" s="51" t="s">
        <v>363</v>
      </c>
      <c r="F30" s="51" t="s">
        <v>359</v>
      </c>
      <c r="G30" s="51" t="s">
        <v>367</v>
      </c>
      <c r="I30" t="s">
        <v>351</v>
      </c>
      <c r="J30" t="s">
        <v>355</v>
      </c>
      <c r="M30" t="s">
        <v>318</v>
      </c>
    </row>
    <row r="31" spans="1:13" x14ac:dyDescent="0.2">
      <c r="A31" t="s">
        <v>336</v>
      </c>
      <c r="B31" t="s">
        <v>381</v>
      </c>
      <c r="C31" t="s">
        <v>385</v>
      </c>
      <c r="D31" s="51" t="s">
        <v>360</v>
      </c>
      <c r="E31" s="51" t="s">
        <v>364</v>
      </c>
      <c r="F31" s="51" t="s">
        <v>360</v>
      </c>
      <c r="G31" s="51" t="s">
        <v>368</v>
      </c>
      <c r="I31" t="s">
        <v>352</v>
      </c>
      <c r="J31" s="67" t="s">
        <v>356</v>
      </c>
      <c r="M31" t="s">
        <v>319</v>
      </c>
    </row>
    <row r="32" spans="1:13" x14ac:dyDescent="0.2">
      <c r="A32" t="s">
        <v>99</v>
      </c>
      <c r="B32" t="s">
        <v>382</v>
      </c>
      <c r="C32" t="s">
        <v>386</v>
      </c>
      <c r="D32" s="51" t="s">
        <v>361</v>
      </c>
      <c r="E32" s="51" t="s">
        <v>365</v>
      </c>
      <c r="F32" s="51" t="s">
        <v>361</v>
      </c>
      <c r="G32" s="51" t="s">
        <v>369</v>
      </c>
      <c r="I32" t="s">
        <v>353</v>
      </c>
      <c r="J32" s="67" t="s">
        <v>357</v>
      </c>
      <c r="M32" t="s">
        <v>320</v>
      </c>
    </row>
    <row r="33" spans="1:13" x14ac:dyDescent="0.2">
      <c r="A33" t="s">
        <v>337</v>
      </c>
      <c r="B33" t="s">
        <v>383</v>
      </c>
      <c r="C33" t="s">
        <v>387</v>
      </c>
      <c r="D33" s="51" t="s">
        <v>362</v>
      </c>
      <c r="E33" s="51" t="s">
        <v>366</v>
      </c>
      <c r="F33" s="51" t="s">
        <v>362</v>
      </c>
      <c r="G33" s="51" t="s">
        <v>370</v>
      </c>
      <c r="I33" t="s">
        <v>354</v>
      </c>
      <c r="J33" s="67" t="s">
        <v>358</v>
      </c>
      <c r="M33" t="s">
        <v>341</v>
      </c>
    </row>
    <row r="34" spans="1:13" x14ac:dyDescent="0.2">
      <c r="A34" t="s">
        <v>331</v>
      </c>
      <c r="B34">
        <v>2</v>
      </c>
      <c r="C34">
        <v>2</v>
      </c>
    </row>
    <row r="37" spans="1:13" x14ac:dyDescent="0.2">
      <c r="A37" s="51" t="s">
        <v>398</v>
      </c>
      <c r="B37" s="67"/>
    </row>
    <row r="38" spans="1:13" x14ac:dyDescent="0.2">
      <c r="A38" t="s">
        <v>410</v>
      </c>
    </row>
    <row r="40" spans="1:13" x14ac:dyDescent="0.2">
      <c r="E40" t="s">
        <v>507</v>
      </c>
    </row>
    <row r="41" spans="1:13" x14ac:dyDescent="0.2">
      <c r="A41" t="s">
        <v>405</v>
      </c>
      <c r="E41" t="s">
        <v>505</v>
      </c>
      <c r="G41" t="s">
        <v>502</v>
      </c>
      <c r="H41" t="s">
        <v>506</v>
      </c>
    </row>
    <row r="42" spans="1:13" x14ac:dyDescent="0.2">
      <c r="B42" t="s">
        <v>87</v>
      </c>
      <c r="E42" s="146">
        <f>Parameters!F31</f>
        <v>0</v>
      </c>
    </row>
    <row r="43" spans="1:13" x14ac:dyDescent="0.2">
      <c r="A43" t="s">
        <v>75</v>
      </c>
      <c r="B43" s="100" t="e">
        <f ca="1">IF(B34=1,C16,B24)</f>
        <v>#N/A</v>
      </c>
      <c r="C43" s="146" t="e">
        <f ca="1">(1-B43)</f>
        <v>#N/A</v>
      </c>
      <c r="E43" s="148"/>
      <c r="G43" s="146"/>
    </row>
    <row r="44" spans="1:13" x14ac:dyDescent="0.2">
      <c r="A44" t="s">
        <v>336</v>
      </c>
      <c r="B44" s="100" t="e">
        <f ca="1">IF(B34=1,E16,C24)</f>
        <v>#N/A</v>
      </c>
      <c r="C44" s="146" t="e">
        <f ca="1">B44</f>
        <v>#N/A</v>
      </c>
      <c r="E44" s="146" t="s">
        <v>508</v>
      </c>
      <c r="G44" s="146"/>
      <c r="H44" s="67"/>
    </row>
    <row r="45" spans="1:13" x14ac:dyDescent="0.2">
      <c r="A45" t="s">
        <v>99</v>
      </c>
      <c r="B45" s="100" t="e">
        <f ca="1">IF(B34=1,G16,E24)</f>
        <v>#N/A</v>
      </c>
      <c r="C45" s="146"/>
      <c r="E45" s="146" t="str">
        <f>IF(E42&gt;0,E42/(1-C44-(B45*B46))/C43,"")</f>
        <v/>
      </c>
      <c r="G45" s="146"/>
      <c r="H45" s="67"/>
    </row>
    <row r="46" spans="1:13" x14ac:dyDescent="0.2">
      <c r="A46" t="s">
        <v>337</v>
      </c>
      <c r="B46" s="100">
        <f ca="1">IF(B34=1,I16,F24)</f>
        <v>0</v>
      </c>
      <c r="C46" s="146" t="e">
        <f ca="1">B46*B45</f>
        <v>#N/A</v>
      </c>
      <c r="E46" s="146"/>
      <c r="G46" s="146"/>
      <c r="H46" s="67"/>
    </row>
    <row r="47" spans="1:13" x14ac:dyDescent="0.2">
      <c r="A47" t="s">
        <v>406</v>
      </c>
      <c r="B47" s="100">
        <f ca="1">IF(B34=1,1-I16,1-F24)</f>
        <v>1</v>
      </c>
      <c r="C47" s="146" t="e">
        <f ca="1">B47*B45</f>
        <v>#N/A</v>
      </c>
      <c r="D47" s="36"/>
      <c r="E47" s="146"/>
      <c r="F47" s="146"/>
      <c r="G47" s="146"/>
      <c r="H47" s="67"/>
    </row>
    <row r="51" spans="1:14" x14ac:dyDescent="0.2">
      <c r="A51" t="s">
        <v>407</v>
      </c>
      <c r="E51" t="s">
        <v>876</v>
      </c>
      <c r="F51" t="s">
        <v>413</v>
      </c>
      <c r="L51" t="s">
        <v>420</v>
      </c>
    </row>
    <row r="53" spans="1:14" x14ac:dyDescent="0.2">
      <c r="A53" t="s">
        <v>408</v>
      </c>
      <c r="B53" t="s">
        <v>148</v>
      </c>
      <c r="C53" t="s">
        <v>149</v>
      </c>
      <c r="D53" t="s">
        <v>882</v>
      </c>
      <c r="F53" t="s">
        <v>414</v>
      </c>
      <c r="G53" t="s">
        <v>423</v>
      </c>
      <c r="L53" t="s">
        <v>148</v>
      </c>
      <c r="M53" t="s">
        <v>149</v>
      </c>
    </row>
    <row r="54" spans="1:14" s="67" customFormat="1" x14ac:dyDescent="0.2">
      <c r="A54"/>
      <c r="B54"/>
      <c r="C54"/>
      <c r="E54" s="5"/>
      <c r="F54" s="5"/>
    </row>
    <row r="55" spans="1:14" s="67" customFormat="1" x14ac:dyDescent="0.2">
      <c r="A55" s="67" t="str">
        <f>Setup!B24</f>
        <v>Routine</v>
      </c>
      <c r="B55" s="67">
        <f>Pathway!B8/IF(Pathway!$E8="Weeks",1,7)</f>
        <v>0</v>
      </c>
      <c r="C55" s="67">
        <f>Pathway!C8/IF(Pathway!$E8="Weeks",1,7)</f>
        <v>0</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0</v>
      </c>
      <c r="M55" s="67">
        <f t="shared" ref="M55:M57" si="1">C55-B55</f>
        <v>0</v>
      </c>
      <c r="N55" s="67">
        <f>D55</f>
        <v>0</v>
      </c>
    </row>
    <row r="56" spans="1:14" s="67" customFormat="1" x14ac:dyDescent="0.2">
      <c r="A56" s="67" t="str">
        <f>Setup!B23</f>
        <v>Urgent</v>
      </c>
      <c r="B56" s="67">
        <f>Pathway!B7/IF(Pathway!$E7="Weeks",1,7)</f>
        <v>0</v>
      </c>
      <c r="C56" s="67">
        <f>Pathway!C7/IF(Pathway!$E7="Weeks",1,7)</f>
        <v>0</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0</v>
      </c>
      <c r="N56" s="67">
        <f t="shared" ref="N56:N57" si="2">D56</f>
        <v>0</v>
      </c>
    </row>
    <row r="57" spans="1:14" x14ac:dyDescent="0.2">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
      <c r="F61" s="5"/>
      <c r="H61" t="s">
        <v>165</v>
      </c>
      <c r="I61" t="s">
        <v>166</v>
      </c>
    </row>
    <row r="62" spans="1:14" x14ac:dyDescent="0.2">
      <c r="A62" t="s">
        <v>415</v>
      </c>
      <c r="F62" s="5" t="e">
        <f ca="1">SUM(F55:G57)</f>
        <v>#VALUE!</v>
      </c>
      <c r="H62" s="5" t="e">
        <f ca="1">F62*0.95</f>
        <v>#VALUE!</v>
      </c>
      <c r="I62" s="5" t="e">
        <f ca="1">F62*1.05</f>
        <v>#VALUE!</v>
      </c>
    </row>
    <row r="63" spans="1:14" x14ac:dyDescent="0.2">
      <c r="A63" t="s">
        <v>416</v>
      </c>
      <c r="F63" s="5" t="e">
        <f ca="1">F62/E18</f>
        <v>#VALUE!</v>
      </c>
      <c r="H63" s="5" t="e">
        <f ca="1">F63*0.95</f>
        <v>#VALUE!</v>
      </c>
      <c r="I63" s="5" t="e">
        <f ca="1">F63*1.05</f>
        <v>#VALUE!</v>
      </c>
    </row>
    <row r="65" spans="1:10" x14ac:dyDescent="0.2">
      <c r="G65" t="str">
        <f>"Waiting list position ("&amp;LOWER(Summary!$C$8)&amp;")"</f>
        <v>Waiting list position (patients)</v>
      </c>
    </row>
    <row r="66" spans="1:10" x14ac:dyDescent="0.2">
      <c r="A66" t="s">
        <v>417</v>
      </c>
      <c r="G66" t="s">
        <v>430</v>
      </c>
      <c r="H66" s="5" t="e">
        <f ca="1">IF(Summary!$C$8&lt;&gt;"Patients",H62,H63)</f>
        <v>#VALUE!</v>
      </c>
      <c r="I66" s="5" t="e">
        <f ca="1">IF(Summary!$C$8&lt;&gt;"Patients",I62,I63)</f>
        <v>#VALUE!</v>
      </c>
      <c r="J66" s="5" t="e">
        <f ca="1">I66-H66</f>
        <v>#VALUE!</v>
      </c>
    </row>
    <row r="67" spans="1:10" x14ac:dyDescent="0.2">
      <c r="B67" t="s">
        <v>429</v>
      </c>
      <c r="C67" t="s">
        <v>313</v>
      </c>
      <c r="G67" t="s">
        <v>431</v>
      </c>
      <c r="H67" s="5">
        <f ca="1">IF(Summary!$C$8&lt;&gt;"Patients",C79,B79)</f>
        <v>0</v>
      </c>
    </row>
    <row r="68" spans="1:10" x14ac:dyDescent="0.2">
      <c r="A68" t="str">
        <f>Setup!C27</f>
        <v>Modality 1</v>
      </c>
      <c r="B68" s="5">
        <f>IF(ROW(A1)&lt;=Num_Modalities,Setup!G27,0)</f>
        <v>0</v>
      </c>
      <c r="C68" s="5">
        <f ca="1">Setup!G27*'Demand background (hide)'!BN6</f>
        <v>0</v>
      </c>
      <c r="D68" s="67"/>
      <c r="I68" s="5"/>
    </row>
    <row r="69" spans="1:10" x14ac:dyDescent="0.2">
      <c r="A69" s="67" t="str">
        <f>Setup!C28</f>
        <v>Modality 2</v>
      </c>
      <c r="B69" s="5">
        <f>IF(ROW(A2)&lt;=Num_Modalities,Setup!G28,0)</f>
        <v>0</v>
      </c>
      <c r="C69" s="5">
        <f ca="1">Setup!G28*'Demand background (hide)'!BN7</f>
        <v>0</v>
      </c>
      <c r="D69" s="67"/>
      <c r="G69" t="s">
        <v>307</v>
      </c>
      <c r="H69" t="e">
        <f ca="1">IF(H67&gt;I66,ROUND(H67-I66,0),0)&amp;" - "&amp;IF(H67&gt;H66,ROUND(H67-H66,0),0)</f>
        <v>#VALUE!</v>
      </c>
    </row>
    <row r="70" spans="1:10" x14ac:dyDescent="0.2">
      <c r="A70" s="67" t="str">
        <f>Setup!C29</f>
        <v>Modality 3</v>
      </c>
      <c r="B70" s="5">
        <f>IF(ROW(A3)&lt;=Num_Modalities,Setup!G29,0)</f>
        <v>0</v>
      </c>
      <c r="C70" s="5">
        <f ca="1">Setup!G29*'Demand background (hide)'!BN8</f>
        <v>0</v>
      </c>
      <c r="D70" s="67"/>
    </row>
    <row r="71" spans="1:10" x14ac:dyDescent="0.2">
      <c r="A71" s="67" t="str">
        <f>Setup!C30</f>
        <v>Modality 4</v>
      </c>
      <c r="B71" s="5">
        <f>IF(ROW(A4)&lt;=Num_Modalities,Setup!G30,0)</f>
        <v>0</v>
      </c>
      <c r="C71" s="5">
        <f ca="1">B71*'Demand background (hide)'!BN9</f>
        <v>0</v>
      </c>
      <c r="D71" s="67"/>
      <c r="H71" s="5" t="e">
        <f ca="1">H67-H66</f>
        <v>#VALUE!</v>
      </c>
      <c r="I71" s="5" t="e">
        <f ca="1">H67-I66</f>
        <v>#VALUE!</v>
      </c>
    </row>
    <row r="72" spans="1:10" x14ac:dyDescent="0.2">
      <c r="A72" s="67" t="str">
        <f>Setup!C31</f>
        <v>Modality 5</v>
      </c>
      <c r="B72" s="5">
        <f>IF(ROW(A5)&lt;=Num_Modalities,Setup!G31,0)</f>
        <v>0</v>
      </c>
      <c r="C72" s="5">
        <f ca="1">B72*'Demand background (hide)'!BN10</f>
        <v>0</v>
      </c>
      <c r="D72" s="67"/>
    </row>
    <row r="73" spans="1:10" x14ac:dyDescent="0.2">
      <c r="A73" s="67" t="str">
        <f>Setup!C32</f>
        <v>Modality 6</v>
      </c>
      <c r="B73" s="5">
        <f>IF(ROW(A6)&lt;=Num_Modalities,Setup!G32,0)</f>
        <v>0</v>
      </c>
      <c r="C73" s="5">
        <f ca="1">B73*'Demand background (hide)'!BN11</f>
        <v>0</v>
      </c>
      <c r="D73" s="67"/>
    </row>
    <row r="74" spans="1:10" x14ac:dyDescent="0.2">
      <c r="A74" s="67" t="str">
        <f>Setup!C33</f>
        <v>Modality 7</v>
      </c>
      <c r="B74" s="5">
        <f>IF(ROW(A7)&lt;=Num_Modalities,Setup!G33,0)</f>
        <v>0</v>
      </c>
      <c r="C74" s="5">
        <f ca="1">B74*'Demand background (hide)'!BN12</f>
        <v>0</v>
      </c>
      <c r="D74" s="67"/>
    </row>
    <row r="75" spans="1:10" x14ac:dyDescent="0.2">
      <c r="A75" s="67" t="str">
        <f>Setup!C34</f>
        <v>Modality 8</v>
      </c>
      <c r="B75" s="5">
        <f>IF(ROW(A8)&lt;=Num_Modalities,Setup!G34,0)</f>
        <v>0</v>
      </c>
      <c r="C75" s="5">
        <f ca="1">B75*'Demand background (hide)'!BN13</f>
        <v>0</v>
      </c>
      <c r="D75" s="67"/>
    </row>
    <row r="76" spans="1:10" x14ac:dyDescent="0.2">
      <c r="A76" s="67" t="str">
        <f>Setup!C35</f>
        <v>Modality 9</v>
      </c>
      <c r="B76" s="5">
        <f>IF(ROW(A9)&lt;=Num_Modalities,Setup!G35,0)</f>
        <v>0</v>
      </c>
      <c r="C76" s="5">
        <f ca="1">B76*'Demand background (hide)'!BN14</f>
        <v>0</v>
      </c>
      <c r="D76" s="67"/>
    </row>
    <row r="77" spans="1:10" x14ac:dyDescent="0.2">
      <c r="A77" s="67" t="str">
        <f>Setup!C36</f>
        <v>Modality 10</v>
      </c>
      <c r="B77" s="5">
        <f>IF(ROW(A10)&lt;=Num_Modalities,Setup!G36,0)</f>
        <v>0</v>
      </c>
      <c r="C77" s="5">
        <f ca="1">B77*'Demand background (hide)'!BN15</f>
        <v>0</v>
      </c>
      <c r="D77" s="67"/>
    </row>
    <row r="78" spans="1:10" x14ac:dyDescent="0.2">
      <c r="A78" s="67"/>
    </row>
    <row r="79" spans="1:10" x14ac:dyDescent="0.2">
      <c r="A79" s="67" t="s">
        <v>57</v>
      </c>
      <c r="B79" s="5">
        <f ca="1">SUM(OFFSET($B$68,0,0,Num_Modalities,1))</f>
        <v>0</v>
      </c>
      <c r="C79" s="5">
        <f ca="1">SUM(OFFSET($C$68,0,0,Num_Modalities,1))</f>
        <v>0</v>
      </c>
    </row>
    <row r="80" spans="1:10" x14ac:dyDescent="0.2">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K27" sqref="DK27"/>
    </sheetView>
  </sheetViews>
  <sheetFormatPr defaultRowHeight="14.25" x14ac:dyDescent="0.2"/>
  <cols>
    <col min="7" max="7" width="8.75" style="67"/>
    <col min="13" max="13" width="8.75" style="67"/>
    <col min="65" max="65" width="8.75" style="67"/>
  </cols>
  <sheetData>
    <row r="1" spans="1:131" x14ac:dyDescent="0.2">
      <c r="A1">
        <v>1</v>
      </c>
      <c r="B1" t="s">
        <v>1248</v>
      </c>
      <c r="G1" s="67" t="s">
        <v>1250</v>
      </c>
      <c r="H1" t="s">
        <v>1249</v>
      </c>
      <c r="M1" s="67" t="s">
        <v>1250</v>
      </c>
      <c r="N1" t="s">
        <v>1248</v>
      </c>
      <c r="BN1" t="s">
        <v>1249</v>
      </c>
      <c r="EA1" t="s">
        <v>1269</v>
      </c>
    </row>
    <row r="2" spans="1:131" x14ac:dyDescent="0.2">
      <c r="A2" t="s">
        <v>1284</v>
      </c>
      <c r="B2" t="s">
        <v>1270</v>
      </c>
      <c r="C2" t="s">
        <v>1271</v>
      </c>
      <c r="E2">
        <v>30</v>
      </c>
      <c r="F2">
        <v>7</v>
      </c>
      <c r="G2" t="s">
        <v>1236</v>
      </c>
      <c r="H2" t="s">
        <v>1272</v>
      </c>
      <c r="K2">
        <v>10</v>
      </c>
      <c r="L2">
        <v>5</v>
      </c>
      <c r="M2" t="s">
        <v>1236</v>
      </c>
      <c r="AC2" t="s">
        <v>1236</v>
      </c>
      <c r="AD2" t="s">
        <v>1236</v>
      </c>
      <c r="AE2" t="s">
        <v>1236</v>
      </c>
      <c r="AF2" t="s">
        <v>1236</v>
      </c>
      <c r="AG2" t="s">
        <v>1236</v>
      </c>
      <c r="AH2" t="s">
        <v>1236</v>
      </c>
      <c r="AI2" t="s">
        <v>1236</v>
      </c>
      <c r="AJ2" t="s">
        <v>1236</v>
      </c>
      <c r="AK2" t="s">
        <v>1236</v>
      </c>
      <c r="AL2" t="s">
        <v>1236</v>
      </c>
      <c r="AM2" t="s">
        <v>1236</v>
      </c>
      <c r="AN2" t="s">
        <v>1236</v>
      </c>
      <c r="AO2" t="s">
        <v>1236</v>
      </c>
      <c r="AP2" t="s">
        <v>1236</v>
      </c>
      <c r="AQ2" t="s">
        <v>1236</v>
      </c>
      <c r="AR2" t="s">
        <v>1236</v>
      </c>
      <c r="AS2" t="s">
        <v>1236</v>
      </c>
      <c r="AT2" t="s">
        <v>1236</v>
      </c>
      <c r="AU2" t="s">
        <v>1236</v>
      </c>
      <c r="AV2" t="s">
        <v>1236</v>
      </c>
      <c r="AW2" t="s">
        <v>1236</v>
      </c>
      <c r="AX2" t="s">
        <v>1236</v>
      </c>
      <c r="AY2" t="s">
        <v>1236</v>
      </c>
      <c r="AZ2" t="s">
        <v>1236</v>
      </c>
      <c r="BA2" t="s">
        <v>1236</v>
      </c>
      <c r="BB2" t="s">
        <v>1236</v>
      </c>
      <c r="BC2" t="s">
        <v>1236</v>
      </c>
      <c r="BM2"/>
      <c r="DM2" t="s">
        <v>1236</v>
      </c>
      <c r="DN2" t="s">
        <v>19</v>
      </c>
      <c r="EA2" t="s">
        <v>1284</v>
      </c>
    </row>
    <row r="3" spans="1:131" x14ac:dyDescent="0.2">
      <c r="B3" t="s">
        <v>1273</v>
      </c>
      <c r="C3" t="s">
        <v>1271</v>
      </c>
      <c r="E3">
        <v>30</v>
      </c>
      <c r="F3">
        <v>7</v>
      </c>
      <c r="G3" t="s">
        <v>1236</v>
      </c>
      <c r="H3" t="s">
        <v>1274</v>
      </c>
      <c r="K3">
        <v>12</v>
      </c>
      <c r="L3">
        <v>5</v>
      </c>
      <c r="M3" t="s">
        <v>1236</v>
      </c>
      <c r="Y3" t="s">
        <v>1236</v>
      </c>
      <c r="Z3" t="s">
        <v>1236</v>
      </c>
      <c r="AA3" t="s">
        <v>1236</v>
      </c>
      <c r="AB3" t="s">
        <v>1236</v>
      </c>
      <c r="AC3" t="s">
        <v>1236</v>
      </c>
      <c r="AD3" t="s">
        <v>1236</v>
      </c>
      <c r="AE3" t="s">
        <v>1236</v>
      </c>
      <c r="AF3" t="s">
        <v>1236</v>
      </c>
      <c r="AG3" t="s">
        <v>1236</v>
      </c>
      <c r="AH3" t="s">
        <v>1236</v>
      </c>
      <c r="AI3" t="s">
        <v>1236</v>
      </c>
      <c r="AJ3" t="s">
        <v>1236</v>
      </c>
      <c r="AK3" t="s">
        <v>1236</v>
      </c>
      <c r="AL3" t="s">
        <v>1236</v>
      </c>
      <c r="AM3" t="s">
        <v>1236</v>
      </c>
      <c r="AN3" t="s">
        <v>1236</v>
      </c>
      <c r="AO3" t="s">
        <v>1236</v>
      </c>
      <c r="AP3" t="s">
        <v>1236</v>
      </c>
      <c r="AQ3" t="s">
        <v>1236</v>
      </c>
      <c r="AR3" t="s">
        <v>1236</v>
      </c>
      <c r="AS3" t="s">
        <v>1236</v>
      </c>
      <c r="AT3" t="s">
        <v>1236</v>
      </c>
      <c r="AU3" t="s">
        <v>1236</v>
      </c>
      <c r="AV3" t="s">
        <v>1236</v>
      </c>
      <c r="AW3" t="s">
        <v>1236</v>
      </c>
      <c r="AX3" t="s">
        <v>1236</v>
      </c>
      <c r="AY3" t="s">
        <v>1236</v>
      </c>
      <c r="AZ3" t="s">
        <v>1236</v>
      </c>
      <c r="BA3" t="s">
        <v>1236</v>
      </c>
      <c r="BB3" t="s">
        <v>1236</v>
      </c>
      <c r="BC3" t="s">
        <v>1236</v>
      </c>
      <c r="BM3"/>
    </row>
    <row r="4" spans="1:131" x14ac:dyDescent="0.2">
      <c r="B4" t="s">
        <v>1275</v>
      </c>
      <c r="C4" t="s">
        <v>1276</v>
      </c>
      <c r="E4">
        <v>21</v>
      </c>
      <c r="F4">
        <v>4</v>
      </c>
      <c r="G4" t="s">
        <v>1236</v>
      </c>
      <c r="M4" t="s">
        <v>1236</v>
      </c>
      <c r="T4" t="s">
        <v>1236</v>
      </c>
      <c r="U4" t="s">
        <v>1236</v>
      </c>
      <c r="V4" t="s">
        <v>1236</v>
      </c>
      <c r="W4" t="s">
        <v>1236</v>
      </c>
      <c r="X4" t="s">
        <v>1236</v>
      </c>
      <c r="Y4" t="s">
        <v>1236</v>
      </c>
      <c r="Z4" t="s">
        <v>1236</v>
      </c>
      <c r="AA4" t="s">
        <v>1236</v>
      </c>
      <c r="AB4" t="s">
        <v>1236</v>
      </c>
      <c r="AC4" t="s">
        <v>1236</v>
      </c>
      <c r="AD4" t="s">
        <v>1236</v>
      </c>
      <c r="AE4" t="s">
        <v>1236</v>
      </c>
      <c r="AF4" t="s">
        <v>1236</v>
      </c>
      <c r="AG4" t="s">
        <v>1236</v>
      </c>
      <c r="AH4" t="s">
        <v>1236</v>
      </c>
      <c r="AI4" t="s">
        <v>1236</v>
      </c>
      <c r="AJ4" t="s">
        <v>1236</v>
      </c>
      <c r="AK4" t="s">
        <v>1236</v>
      </c>
      <c r="AL4" t="s">
        <v>1236</v>
      </c>
      <c r="AM4" t="s">
        <v>1236</v>
      </c>
      <c r="AN4" t="s">
        <v>1236</v>
      </c>
      <c r="AO4" t="s">
        <v>1236</v>
      </c>
      <c r="AP4" t="s">
        <v>1236</v>
      </c>
      <c r="AQ4" t="s">
        <v>1236</v>
      </c>
      <c r="AR4" t="s">
        <v>1236</v>
      </c>
      <c r="AS4" t="s">
        <v>1236</v>
      </c>
      <c r="AT4" t="s">
        <v>1236</v>
      </c>
      <c r="AU4" t="s">
        <v>1236</v>
      </c>
      <c r="AV4" t="s">
        <v>1236</v>
      </c>
      <c r="AW4" t="s">
        <v>1236</v>
      </c>
      <c r="AX4" t="s">
        <v>1236</v>
      </c>
      <c r="AY4" t="s">
        <v>1236</v>
      </c>
      <c r="AZ4" t="s">
        <v>1236</v>
      </c>
      <c r="BA4" t="s">
        <v>1236</v>
      </c>
      <c r="BB4" t="s">
        <v>1236</v>
      </c>
      <c r="BC4" t="s">
        <v>1236</v>
      </c>
      <c r="BM4"/>
    </row>
    <row r="5" spans="1:131" x14ac:dyDescent="0.2">
      <c r="B5" t="s">
        <v>1277</v>
      </c>
      <c r="C5" t="s">
        <v>1278</v>
      </c>
      <c r="E5">
        <v>12</v>
      </c>
      <c r="F5">
        <v>4</v>
      </c>
      <c r="G5" t="s">
        <v>1236</v>
      </c>
      <c r="M5" t="s">
        <v>1236</v>
      </c>
      <c r="X5" t="s">
        <v>1236</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
      <c r="B6" t="s">
        <v>1279</v>
      </c>
      <c r="C6" t="s">
        <v>1280</v>
      </c>
      <c r="E6">
        <v>42</v>
      </c>
      <c r="F6">
        <v>3</v>
      </c>
      <c r="G6" t="s">
        <v>1236</v>
      </c>
      <c r="M6" t="s">
        <v>1236</v>
      </c>
      <c r="N6" t="s">
        <v>1236</v>
      </c>
      <c r="O6" t="s">
        <v>1236</v>
      </c>
      <c r="P6" t="s">
        <v>1236</v>
      </c>
      <c r="Q6" t="s">
        <v>1236</v>
      </c>
      <c r="R6" t="s">
        <v>1236</v>
      </c>
      <c r="S6" t="s">
        <v>1236</v>
      </c>
      <c r="T6" t="s">
        <v>1236</v>
      </c>
      <c r="U6" t="s">
        <v>1236</v>
      </c>
      <c r="V6" t="s">
        <v>1236</v>
      </c>
      <c r="W6" t="s">
        <v>1236</v>
      </c>
      <c r="X6" t="s">
        <v>1236</v>
      </c>
      <c r="Y6" t="s">
        <v>1236</v>
      </c>
      <c r="Z6" t="s">
        <v>1236</v>
      </c>
      <c r="AA6" t="s">
        <v>1236</v>
      </c>
      <c r="AB6" t="s">
        <v>1236</v>
      </c>
      <c r="AC6" t="s">
        <v>1236</v>
      </c>
      <c r="AD6" t="s">
        <v>1236</v>
      </c>
      <c r="AE6" t="s">
        <v>1236</v>
      </c>
      <c r="AF6" t="s">
        <v>1236</v>
      </c>
      <c r="AG6" t="s">
        <v>1236</v>
      </c>
      <c r="AH6" t="s">
        <v>1236</v>
      </c>
      <c r="AI6" t="s">
        <v>1236</v>
      </c>
      <c r="AJ6" t="s">
        <v>1236</v>
      </c>
      <c r="AK6" t="s">
        <v>1236</v>
      </c>
      <c r="AL6" t="s">
        <v>1236</v>
      </c>
      <c r="AM6" t="s">
        <v>1236</v>
      </c>
      <c r="AN6" t="s">
        <v>1236</v>
      </c>
      <c r="AO6" t="s">
        <v>1236</v>
      </c>
      <c r="AP6" t="s">
        <v>1236</v>
      </c>
      <c r="AQ6" t="s">
        <v>1236</v>
      </c>
      <c r="AR6" t="s">
        <v>1236</v>
      </c>
      <c r="BM6"/>
    </row>
    <row r="7" spans="1:131" x14ac:dyDescent="0.2">
      <c r="G7" t="s">
        <v>1236</v>
      </c>
      <c r="M7" t="s">
        <v>1236</v>
      </c>
      <c r="N7">
        <v>0.2163170163170163</v>
      </c>
      <c r="BM7"/>
    </row>
    <row r="8" spans="1:131" x14ac:dyDescent="0.2">
      <c r="G8" t="s">
        <v>1236</v>
      </c>
      <c r="M8" t="s">
        <v>1236</v>
      </c>
      <c r="BM8"/>
    </row>
    <row r="9" spans="1:131" x14ac:dyDescent="0.2">
      <c r="G9" t="s">
        <v>1236</v>
      </c>
      <c r="M9" t="s">
        <v>1236</v>
      </c>
      <c r="BM9"/>
    </row>
    <row r="10" spans="1:131" x14ac:dyDescent="0.2">
      <c r="G10" t="s">
        <v>1236</v>
      </c>
      <c r="M10" t="s">
        <v>1236</v>
      </c>
      <c r="BM10"/>
    </row>
    <row r="11" spans="1:131" x14ac:dyDescent="0.2">
      <c r="G11" t="s">
        <v>1236</v>
      </c>
      <c r="M11" t="s">
        <v>1236</v>
      </c>
      <c r="BM11"/>
    </row>
    <row r="12" spans="1:131" x14ac:dyDescent="0.2">
      <c r="G12" t="s">
        <v>1236</v>
      </c>
      <c r="M12" t="s">
        <v>1236</v>
      </c>
      <c r="BM12"/>
    </row>
    <row r="13" spans="1:131" x14ac:dyDescent="0.2">
      <c r="G13" t="s">
        <v>1236</v>
      </c>
      <c r="M13" t="s">
        <v>1236</v>
      </c>
      <c r="BM13"/>
    </row>
    <row r="14" spans="1:131" x14ac:dyDescent="0.2">
      <c r="G14" t="s">
        <v>1236</v>
      </c>
      <c r="M14" t="s">
        <v>1236</v>
      </c>
      <c r="BM14"/>
    </row>
    <row r="15" spans="1:131" x14ac:dyDescent="0.2">
      <c r="G15" t="s">
        <v>1236</v>
      </c>
      <c r="M15" t="s">
        <v>1236</v>
      </c>
      <c r="BM15"/>
    </row>
    <row r="16" spans="1:131" x14ac:dyDescent="0.2">
      <c r="G16" t="s">
        <v>1236</v>
      </c>
      <c r="M16" t="s">
        <v>1236</v>
      </c>
      <c r="BM16"/>
    </row>
    <row r="17" spans="7:65" x14ac:dyDescent="0.2">
      <c r="G17" t="s">
        <v>1236</v>
      </c>
      <c r="M17" t="s">
        <v>1236</v>
      </c>
      <c r="BM17"/>
    </row>
    <row r="18" spans="7:65" x14ac:dyDescent="0.2">
      <c r="G18" t="s">
        <v>1236</v>
      </c>
      <c r="M18" t="s">
        <v>1236</v>
      </c>
      <c r="BM18"/>
    </row>
    <row r="19" spans="7:65" x14ac:dyDescent="0.2">
      <c r="G19" t="s">
        <v>1236</v>
      </c>
      <c r="M19" t="s">
        <v>1236</v>
      </c>
      <c r="BM19"/>
    </row>
    <row r="20" spans="7:65" x14ac:dyDescent="0.2">
      <c r="G20" t="s">
        <v>1236</v>
      </c>
      <c r="M20" t="s">
        <v>1236</v>
      </c>
      <c r="BM20"/>
    </row>
    <row r="21" spans="7:65" x14ac:dyDescent="0.2">
      <c r="G21" t="s">
        <v>1236</v>
      </c>
      <c r="M21" t="s">
        <v>1236</v>
      </c>
      <c r="BM21"/>
    </row>
    <row r="22" spans="7:65" x14ac:dyDescent="0.2">
      <c r="G22" t="s">
        <v>1236</v>
      </c>
      <c r="M22" t="s">
        <v>1236</v>
      </c>
      <c r="BM22"/>
    </row>
    <row r="23" spans="7:65" x14ac:dyDescent="0.2">
      <c r="G23" t="s">
        <v>1236</v>
      </c>
      <c r="M23" t="s">
        <v>1236</v>
      </c>
      <c r="BM23"/>
    </row>
    <row r="24" spans="7:65" x14ac:dyDescent="0.2">
      <c r="G24" t="s">
        <v>1236</v>
      </c>
      <c r="M24" t="s">
        <v>1236</v>
      </c>
      <c r="BM24"/>
    </row>
    <row r="25" spans="7:65" x14ac:dyDescent="0.2">
      <c r="G25" t="s">
        <v>1236</v>
      </c>
      <c r="M25" t="s">
        <v>1236</v>
      </c>
      <c r="BM25"/>
    </row>
    <row r="26" spans="7:65" x14ac:dyDescent="0.2">
      <c r="G26" t="s">
        <v>1236</v>
      </c>
      <c r="M26" t="s">
        <v>1236</v>
      </c>
      <c r="BM26"/>
    </row>
    <row r="27" spans="7:65" x14ac:dyDescent="0.2">
      <c r="G27" t="s">
        <v>1236</v>
      </c>
      <c r="M27" t="s">
        <v>1236</v>
      </c>
      <c r="BM27"/>
    </row>
    <row r="28" spans="7:65" x14ac:dyDescent="0.2">
      <c r="G28" t="s">
        <v>1236</v>
      </c>
      <c r="M28" t="s">
        <v>1236</v>
      </c>
      <c r="BM28"/>
    </row>
    <row r="29" spans="7:65" x14ac:dyDescent="0.2">
      <c r="G29" t="s">
        <v>1236</v>
      </c>
      <c r="M29" t="s">
        <v>1236</v>
      </c>
      <c r="BM29"/>
    </row>
    <row r="30" spans="7:65" x14ac:dyDescent="0.2">
      <c r="G30" t="s">
        <v>1236</v>
      </c>
      <c r="M30" t="s">
        <v>1236</v>
      </c>
      <c r="BM30"/>
    </row>
    <row r="31" spans="7:65" x14ac:dyDescent="0.2">
      <c r="G31" t="s">
        <v>1236</v>
      </c>
      <c r="M31" t="s">
        <v>1236</v>
      </c>
      <c r="BM31"/>
    </row>
    <row r="32" spans="7:65" x14ac:dyDescent="0.2">
      <c r="G32" t="s">
        <v>1236</v>
      </c>
      <c r="M32" t="s">
        <v>1236</v>
      </c>
      <c r="BM32"/>
    </row>
    <row r="33" spans="7:65" x14ac:dyDescent="0.2">
      <c r="G33" t="s">
        <v>1236</v>
      </c>
      <c r="M33" t="s">
        <v>1236</v>
      </c>
      <c r="BM33"/>
    </row>
    <row r="34" spans="7:65" x14ac:dyDescent="0.2">
      <c r="G34" t="s">
        <v>1236</v>
      </c>
      <c r="M34" t="s">
        <v>1236</v>
      </c>
      <c r="BM34"/>
    </row>
    <row r="35" spans="7:65" x14ac:dyDescent="0.2">
      <c r="G35" t="s">
        <v>1236</v>
      </c>
      <c r="M35" t="s">
        <v>1236</v>
      </c>
      <c r="BM35"/>
    </row>
    <row r="36" spans="7:65" x14ac:dyDescent="0.2">
      <c r="G36" t="s">
        <v>1236</v>
      </c>
      <c r="M36" t="s">
        <v>1236</v>
      </c>
      <c r="BM36"/>
    </row>
    <row r="37" spans="7:65" x14ac:dyDescent="0.2">
      <c r="G37" t="s">
        <v>1236</v>
      </c>
      <c r="M37" t="s">
        <v>1236</v>
      </c>
      <c r="BM37"/>
    </row>
    <row r="38" spans="7:65" x14ac:dyDescent="0.2">
      <c r="G38" t="s">
        <v>1236</v>
      </c>
      <c r="M38" t="s">
        <v>1236</v>
      </c>
      <c r="BM38"/>
    </row>
    <row r="39" spans="7:65" x14ac:dyDescent="0.2">
      <c r="G39" t="s">
        <v>1236</v>
      </c>
      <c r="M39" t="s">
        <v>1236</v>
      </c>
      <c r="BM39"/>
    </row>
    <row r="40" spans="7:65" x14ac:dyDescent="0.2">
      <c r="G40" t="s">
        <v>1236</v>
      </c>
      <c r="M40" t="s">
        <v>1236</v>
      </c>
      <c r="BM40"/>
    </row>
    <row r="41" spans="7:65" x14ac:dyDescent="0.2">
      <c r="G41" t="s">
        <v>1236</v>
      </c>
      <c r="M41" t="s">
        <v>1236</v>
      </c>
      <c r="BM41"/>
    </row>
    <row r="42" spans="7:65" x14ac:dyDescent="0.2">
      <c r="G42" t="s">
        <v>1236</v>
      </c>
      <c r="M42" t="s">
        <v>1236</v>
      </c>
      <c r="BM42"/>
    </row>
    <row r="43" spans="7:65" x14ac:dyDescent="0.2">
      <c r="G43" t="s">
        <v>1236</v>
      </c>
      <c r="M43" t="s">
        <v>1236</v>
      </c>
      <c r="BM43"/>
    </row>
    <row r="44" spans="7:65" x14ac:dyDescent="0.2">
      <c r="G44" t="s">
        <v>1236</v>
      </c>
      <c r="M44" t="s">
        <v>1236</v>
      </c>
      <c r="BM44"/>
    </row>
    <row r="45" spans="7:65" x14ac:dyDescent="0.2">
      <c r="G45" t="s">
        <v>1236</v>
      </c>
      <c r="M45" t="s">
        <v>1236</v>
      </c>
      <c r="BM45"/>
    </row>
    <row r="46" spans="7:65" x14ac:dyDescent="0.2">
      <c r="G46" t="s">
        <v>1236</v>
      </c>
      <c r="M46" t="s">
        <v>1236</v>
      </c>
      <c r="BM46"/>
    </row>
    <row r="47" spans="7:65" x14ac:dyDescent="0.2">
      <c r="G47" t="s">
        <v>1236</v>
      </c>
      <c r="M47" t="s">
        <v>1236</v>
      </c>
      <c r="BM47"/>
    </row>
    <row r="48" spans="7:65" x14ac:dyDescent="0.2">
      <c r="G48" t="s">
        <v>1236</v>
      </c>
      <c r="M48" t="s">
        <v>1236</v>
      </c>
      <c r="BM48"/>
    </row>
    <row r="49" spans="7:65" x14ac:dyDescent="0.2">
      <c r="G49" t="s">
        <v>1236</v>
      </c>
      <c r="M49" t="s">
        <v>1236</v>
      </c>
      <c r="BM49"/>
    </row>
    <row r="50" spans="7:65" x14ac:dyDescent="0.2">
      <c r="G50" t="s">
        <v>1236</v>
      </c>
      <c r="M50" t="s">
        <v>1236</v>
      </c>
      <c r="BM50"/>
    </row>
    <row r="51" spans="7:65" x14ac:dyDescent="0.2">
      <c r="G51" t="s">
        <v>1236</v>
      </c>
      <c r="M51" t="s">
        <v>1236</v>
      </c>
      <c r="BM51"/>
    </row>
    <row r="52" spans="7:65" x14ac:dyDescent="0.2">
      <c r="G52" t="s">
        <v>1236</v>
      </c>
      <c r="M52" t="s">
        <v>1236</v>
      </c>
      <c r="BM52"/>
    </row>
    <row r="53" spans="7:65" x14ac:dyDescent="0.2">
      <c r="G53" t="s">
        <v>1236</v>
      </c>
      <c r="M53" t="s">
        <v>1236</v>
      </c>
      <c r="BM53"/>
    </row>
    <row r="54" spans="7:65" x14ac:dyDescent="0.2">
      <c r="G54" t="s">
        <v>1236</v>
      </c>
      <c r="M54" t="s">
        <v>1236</v>
      </c>
      <c r="BM54"/>
    </row>
    <row r="55" spans="7:65" x14ac:dyDescent="0.2">
      <c r="G55" t="s">
        <v>1236</v>
      </c>
      <c r="M55" t="s">
        <v>1236</v>
      </c>
      <c r="BM55"/>
    </row>
    <row r="56" spans="7:65" x14ac:dyDescent="0.2">
      <c r="G56" t="s">
        <v>1236</v>
      </c>
      <c r="M56" t="s">
        <v>1236</v>
      </c>
      <c r="BM56"/>
    </row>
    <row r="57" spans="7:65" x14ac:dyDescent="0.2">
      <c r="G57" t="s">
        <v>1236</v>
      </c>
      <c r="M57" t="s">
        <v>1236</v>
      </c>
      <c r="BM57"/>
    </row>
    <row r="58" spans="7:65" x14ac:dyDescent="0.2">
      <c r="G58" t="s">
        <v>1236</v>
      </c>
      <c r="M58" t="s">
        <v>1236</v>
      </c>
      <c r="BM58"/>
    </row>
    <row r="59" spans="7:65" x14ac:dyDescent="0.2">
      <c r="G59" t="s">
        <v>1236</v>
      </c>
      <c r="M59" t="s">
        <v>1236</v>
      </c>
      <c r="BM59"/>
    </row>
    <row r="60" spans="7:65" x14ac:dyDescent="0.2">
      <c r="G60" t="s">
        <v>1236</v>
      </c>
      <c r="M60" t="s">
        <v>1236</v>
      </c>
      <c r="BM60"/>
    </row>
    <row r="61" spans="7:65" x14ac:dyDescent="0.2">
      <c r="G61" t="s">
        <v>1236</v>
      </c>
      <c r="M61" t="s">
        <v>1236</v>
      </c>
      <c r="BM61"/>
    </row>
    <row r="62" spans="7:65" x14ac:dyDescent="0.2">
      <c r="G62" t="s">
        <v>1236</v>
      </c>
      <c r="M62" t="s">
        <v>1236</v>
      </c>
      <c r="BM62"/>
    </row>
    <row r="63" spans="7:65" x14ac:dyDescent="0.2">
      <c r="G63" t="s">
        <v>1236</v>
      </c>
      <c r="M63" t="s">
        <v>1236</v>
      </c>
      <c r="BM63"/>
    </row>
    <row r="64" spans="7:65" x14ac:dyDescent="0.2">
      <c r="G64" t="s">
        <v>1236</v>
      </c>
      <c r="M64" t="s">
        <v>1236</v>
      </c>
      <c r="BM64"/>
    </row>
    <row r="65" spans="7:65" x14ac:dyDescent="0.2">
      <c r="G65" t="s">
        <v>1236</v>
      </c>
      <c r="M65" t="s">
        <v>1236</v>
      </c>
      <c r="BM65"/>
    </row>
    <row r="66" spans="7:65" x14ac:dyDescent="0.2">
      <c r="G66" t="s">
        <v>1236</v>
      </c>
      <c r="M66" t="s">
        <v>1236</v>
      </c>
      <c r="BM66"/>
    </row>
    <row r="67" spans="7:65" x14ac:dyDescent="0.2">
      <c r="G67" t="s">
        <v>1236</v>
      </c>
      <c r="M67" t="s">
        <v>1236</v>
      </c>
      <c r="BM67"/>
    </row>
    <row r="68" spans="7:65" x14ac:dyDescent="0.2">
      <c r="G68" t="s">
        <v>1236</v>
      </c>
      <c r="M68" t="s">
        <v>1236</v>
      </c>
      <c r="BM68"/>
    </row>
    <row r="69" spans="7:65" x14ac:dyDescent="0.2">
      <c r="G69" t="s">
        <v>1236</v>
      </c>
      <c r="M69" t="s">
        <v>1236</v>
      </c>
      <c r="BM69"/>
    </row>
    <row r="70" spans="7:65" x14ac:dyDescent="0.2">
      <c r="G70" t="s">
        <v>1236</v>
      </c>
      <c r="M70" t="s">
        <v>1236</v>
      </c>
      <c r="BM70"/>
    </row>
    <row r="71" spans="7:65" x14ac:dyDescent="0.2">
      <c r="G71" t="s">
        <v>1236</v>
      </c>
      <c r="M71" t="s">
        <v>1236</v>
      </c>
      <c r="BM71"/>
    </row>
    <row r="72" spans="7:65" x14ac:dyDescent="0.2">
      <c r="G72" t="s">
        <v>1236</v>
      </c>
      <c r="M72" t="s">
        <v>1236</v>
      </c>
      <c r="BM72"/>
    </row>
    <row r="73" spans="7:65" x14ac:dyDescent="0.2">
      <c r="G73" t="s">
        <v>1236</v>
      </c>
      <c r="M73" t="s">
        <v>1236</v>
      </c>
      <c r="BM73"/>
    </row>
    <row r="74" spans="7:65" x14ac:dyDescent="0.2">
      <c r="G74" t="s">
        <v>1236</v>
      </c>
      <c r="M74" t="s">
        <v>1236</v>
      </c>
      <c r="BM74"/>
    </row>
    <row r="75" spans="7:65" x14ac:dyDescent="0.2">
      <c r="G75" t="s">
        <v>1236</v>
      </c>
      <c r="M75" t="s">
        <v>1236</v>
      </c>
      <c r="BM75"/>
    </row>
    <row r="76" spans="7:65" x14ac:dyDescent="0.2">
      <c r="G76" t="s">
        <v>1236</v>
      </c>
      <c r="M76" t="s">
        <v>1236</v>
      </c>
      <c r="BM76"/>
    </row>
    <row r="77" spans="7:65" x14ac:dyDescent="0.2">
      <c r="G77" t="s">
        <v>1236</v>
      </c>
      <c r="M77" t="s">
        <v>1236</v>
      </c>
      <c r="BM77"/>
    </row>
    <row r="78" spans="7:65" x14ac:dyDescent="0.2">
      <c r="G78" t="s">
        <v>1236</v>
      </c>
      <c r="M78" t="s">
        <v>1236</v>
      </c>
      <c r="BM78"/>
    </row>
    <row r="79" spans="7:65" x14ac:dyDescent="0.2">
      <c r="G79" t="s">
        <v>1236</v>
      </c>
      <c r="M79" t="s">
        <v>1236</v>
      </c>
      <c r="BM79"/>
    </row>
    <row r="80" spans="7:65" x14ac:dyDescent="0.2">
      <c r="G80" t="s">
        <v>1236</v>
      </c>
      <c r="M80" t="s">
        <v>1236</v>
      </c>
      <c r="BM80"/>
    </row>
    <row r="81" spans="7:65" x14ac:dyDescent="0.2">
      <c r="G81" t="s">
        <v>1236</v>
      </c>
      <c r="M81" t="s">
        <v>1236</v>
      </c>
      <c r="BM81"/>
    </row>
    <row r="82" spans="7:65" x14ac:dyDescent="0.2">
      <c r="G82" t="s">
        <v>1236</v>
      </c>
      <c r="M82" t="s">
        <v>1236</v>
      </c>
      <c r="BM82"/>
    </row>
    <row r="83" spans="7:65" x14ac:dyDescent="0.2">
      <c r="G83" t="s">
        <v>1236</v>
      </c>
      <c r="M83" t="s">
        <v>1236</v>
      </c>
      <c r="BM83"/>
    </row>
    <row r="84" spans="7:65" x14ac:dyDescent="0.2">
      <c r="G84" t="s">
        <v>1236</v>
      </c>
      <c r="M84" t="s">
        <v>1236</v>
      </c>
      <c r="BM84"/>
    </row>
    <row r="85" spans="7:65" x14ac:dyDescent="0.2">
      <c r="G85" t="s">
        <v>1236</v>
      </c>
      <c r="M85" t="s">
        <v>1236</v>
      </c>
      <c r="BM85"/>
    </row>
    <row r="86" spans="7:65" x14ac:dyDescent="0.2">
      <c r="G86" t="s">
        <v>1236</v>
      </c>
      <c r="M86" t="s">
        <v>1236</v>
      </c>
      <c r="BM86"/>
    </row>
    <row r="87" spans="7:65" x14ac:dyDescent="0.2">
      <c r="G87" t="s">
        <v>1236</v>
      </c>
      <c r="M87" t="s">
        <v>1236</v>
      </c>
      <c r="BM87"/>
    </row>
    <row r="88" spans="7:65" x14ac:dyDescent="0.2">
      <c r="G88" t="s">
        <v>1236</v>
      </c>
      <c r="M88" t="s">
        <v>1236</v>
      </c>
      <c r="BM88"/>
    </row>
    <row r="89" spans="7:65" x14ac:dyDescent="0.2">
      <c r="G89" t="s">
        <v>1236</v>
      </c>
      <c r="M89" t="s">
        <v>1236</v>
      </c>
      <c r="BM89"/>
    </row>
    <row r="90" spans="7:65" x14ac:dyDescent="0.2">
      <c r="G90" t="s">
        <v>1236</v>
      </c>
      <c r="M90" t="s">
        <v>1236</v>
      </c>
      <c r="BM90"/>
    </row>
    <row r="91" spans="7:65" x14ac:dyDescent="0.2">
      <c r="G91" t="s">
        <v>1236</v>
      </c>
      <c r="M91" t="s">
        <v>1236</v>
      </c>
      <c r="BM91"/>
    </row>
    <row r="92" spans="7:65" x14ac:dyDescent="0.2">
      <c r="G92" t="s">
        <v>1236</v>
      </c>
      <c r="M92" t="s">
        <v>1236</v>
      </c>
      <c r="BM92"/>
    </row>
    <row r="93" spans="7:65" x14ac:dyDescent="0.2">
      <c r="G93" t="s">
        <v>1236</v>
      </c>
      <c r="M93" t="s">
        <v>1236</v>
      </c>
      <c r="BM93"/>
    </row>
    <row r="94" spans="7:65" x14ac:dyDescent="0.2">
      <c r="G94" t="s">
        <v>1236</v>
      </c>
      <c r="M94" t="s">
        <v>1236</v>
      </c>
      <c r="BM94"/>
    </row>
    <row r="95" spans="7:65" x14ac:dyDescent="0.2">
      <c r="G95" t="s">
        <v>1236</v>
      </c>
      <c r="M95" t="s">
        <v>1236</v>
      </c>
      <c r="BM95"/>
    </row>
    <row r="96" spans="7:65" x14ac:dyDescent="0.2">
      <c r="G96" t="s">
        <v>1236</v>
      </c>
      <c r="M96" t="s">
        <v>1236</v>
      </c>
      <c r="BM96"/>
    </row>
    <row r="97" spans="7:65" x14ac:dyDescent="0.2">
      <c r="G97" t="s">
        <v>1236</v>
      </c>
      <c r="M97" t="s">
        <v>1236</v>
      </c>
      <c r="BM97"/>
    </row>
    <row r="98" spans="7:65" x14ac:dyDescent="0.2">
      <c r="G98" t="s">
        <v>1236</v>
      </c>
      <c r="M98" t="s">
        <v>1236</v>
      </c>
      <c r="BM98"/>
    </row>
    <row r="99" spans="7:65" x14ac:dyDescent="0.2">
      <c r="G99" t="s">
        <v>1236</v>
      </c>
      <c r="M99" t="s">
        <v>1236</v>
      </c>
      <c r="BM99"/>
    </row>
    <row r="100" spans="7:65" x14ac:dyDescent="0.2">
      <c r="G100" t="s">
        <v>1236</v>
      </c>
      <c r="M100" t="s">
        <v>1236</v>
      </c>
      <c r="BM100"/>
    </row>
    <row r="101" spans="7:65" x14ac:dyDescent="0.2">
      <c r="G101" t="s">
        <v>1236</v>
      </c>
      <c r="M101" t="s">
        <v>1236</v>
      </c>
      <c r="BM101"/>
    </row>
    <row r="102" spans="7:65" x14ac:dyDescent="0.2">
      <c r="G102"/>
      <c r="M102"/>
      <c r="BM102"/>
    </row>
    <row r="103" spans="7:65" x14ac:dyDescent="0.2">
      <c r="G103"/>
      <c r="M103"/>
      <c r="BM103"/>
    </row>
    <row r="104" spans="7:65" x14ac:dyDescent="0.2">
      <c r="G104"/>
      <c r="M104"/>
      <c r="BM104"/>
    </row>
    <row r="105" spans="7:65" x14ac:dyDescent="0.2">
      <c r="G105"/>
      <c r="M105"/>
      <c r="BM105"/>
    </row>
    <row r="106" spans="7:65" x14ac:dyDescent="0.2">
      <c r="G106"/>
      <c r="M106"/>
      <c r="BM106"/>
    </row>
    <row r="107" spans="7:65" x14ac:dyDescent="0.2">
      <c r="G107"/>
      <c r="M107"/>
      <c r="BM107"/>
    </row>
    <row r="108" spans="7:65" x14ac:dyDescent="0.2">
      <c r="G108"/>
      <c r="M108"/>
      <c r="BM108"/>
    </row>
    <row r="109" spans="7:65" x14ac:dyDescent="0.2">
      <c r="G109"/>
      <c r="M109"/>
      <c r="BM109"/>
    </row>
    <row r="110" spans="7:65" x14ac:dyDescent="0.2">
      <c r="G110"/>
      <c r="M110"/>
      <c r="BM110"/>
    </row>
    <row r="111" spans="7:65" x14ac:dyDescent="0.2">
      <c r="G111"/>
      <c r="M111"/>
      <c r="BM111"/>
    </row>
    <row r="112" spans="7:65" x14ac:dyDescent="0.2">
      <c r="G112"/>
      <c r="M112"/>
      <c r="BM112"/>
    </row>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Q16" sqref="Q16"/>
    </sheetView>
  </sheetViews>
  <sheetFormatPr defaultRowHeight="14.25" x14ac:dyDescent="0.2"/>
  <cols>
    <col min="4" max="4" width="13.75" customWidth="1"/>
    <col min="8" max="8" width="11.625" bestFit="1" customWidth="1"/>
  </cols>
  <sheetData>
    <row r="3" spans="1:13" ht="15" x14ac:dyDescent="0.25">
      <c r="A3" s="239" t="s">
        <v>407</v>
      </c>
      <c r="B3" s="238"/>
      <c r="C3" s="101"/>
      <c r="D3" s="101"/>
      <c r="E3" s="101"/>
      <c r="F3" s="101"/>
      <c r="G3" s="101"/>
      <c r="H3" s="101"/>
      <c r="I3" s="101"/>
      <c r="J3" s="101"/>
      <c r="K3" s="101"/>
      <c r="L3" s="101"/>
      <c r="M3" s="101"/>
    </row>
    <row r="4" spans="1:13" x14ac:dyDescent="0.2">
      <c r="F4" s="82"/>
    </row>
    <row r="5" spans="1:13" ht="30" x14ac:dyDescent="0.2">
      <c r="A5" s="231" t="s">
        <v>408</v>
      </c>
      <c r="B5" s="235" t="s">
        <v>148</v>
      </c>
      <c r="C5" s="236" t="s">
        <v>403</v>
      </c>
      <c r="D5" s="278" t="s">
        <v>881</v>
      </c>
      <c r="E5" s="279" t="s">
        <v>14</v>
      </c>
      <c r="F5" s="147"/>
      <c r="G5" s="237" t="s">
        <v>504</v>
      </c>
      <c r="H5" s="265" t="s">
        <v>874</v>
      </c>
      <c r="J5" s="67"/>
    </row>
    <row r="6" spans="1:13" x14ac:dyDescent="0.2">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2">
      <c r="A7" s="233" t="str">
        <f>Setup!B23</f>
        <v>Urgent</v>
      </c>
      <c r="B7" s="154"/>
      <c r="C7" s="154"/>
      <c r="D7" s="277"/>
      <c r="E7" s="160" t="s">
        <v>402</v>
      </c>
      <c r="G7" s="227" t="str">
        <f ca="1">IFERROR('Demand background (hide)'!BK20,"")</f>
        <v/>
      </c>
      <c r="H7" s="230"/>
      <c r="J7" s="67"/>
    </row>
    <row r="8" spans="1:13" x14ac:dyDescent="0.2">
      <c r="A8" s="234" t="str">
        <f>Setup!B24</f>
        <v>Routine</v>
      </c>
      <c r="B8" s="154"/>
      <c r="C8" s="154"/>
      <c r="D8" s="277"/>
      <c r="E8" s="160" t="s">
        <v>402</v>
      </c>
      <c r="G8" s="227" t="str">
        <f ca="1">IFERROR('Demand background (hide)'!BL20,"")</f>
        <v/>
      </c>
      <c r="H8" s="230"/>
      <c r="J8" s="67"/>
    </row>
    <row r="10" spans="1:13" x14ac:dyDescent="0.2">
      <c r="E10" s="67"/>
      <c r="F10" s="67"/>
    </row>
  </sheetData>
  <sheetProtection algorithmName="SHA-512" hashValue="Jvg3oU1rgjOA1JR5KPoqO0dSDjsys5aE2hS9uiukbtfwKnuNBqhJgoL3svKe941bCvptplrOpllMSeJgULbuYg==" saltValue="cpdpEj/LounbTH2v3Cwmew=="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topLeftCell="A23" zoomScale="102" zoomScaleNormal="100" workbookViewId="0">
      <selection activeCell="D32" sqref="D32"/>
    </sheetView>
  </sheetViews>
  <sheetFormatPr defaultRowHeight="14.25" x14ac:dyDescent="0.2"/>
  <cols>
    <col min="1" max="1" width="1.25" style="67" customWidth="1"/>
    <col min="2" max="2" width="12.25" customWidth="1"/>
    <col min="3" max="3" width="16.25" customWidth="1"/>
    <col min="4" max="4" width="15.875" customWidth="1"/>
    <col min="5" max="5" width="12.75" customWidth="1"/>
    <col min="6" max="6" width="10.25" customWidth="1"/>
    <col min="7" max="7" width="12.125" customWidth="1"/>
    <col min="8" max="17" width="7.75" customWidth="1"/>
    <col min="18" max="18" width="9" customWidth="1"/>
    <col min="19" max="19" width="6.25" customWidth="1"/>
    <col min="20" max="20" width="10.25" customWidth="1"/>
    <col min="59" max="59" width="9" customWidth="1"/>
  </cols>
  <sheetData>
    <row r="1" spans="2:21" ht="15" x14ac:dyDescent="0.25">
      <c r="B1" s="145" t="s">
        <v>249</v>
      </c>
      <c r="C1" s="31"/>
      <c r="D1" s="31"/>
      <c r="E1" s="31"/>
      <c r="F1" s="31"/>
      <c r="G1" s="31"/>
      <c r="H1" s="31"/>
      <c r="I1" s="31"/>
      <c r="J1" s="31"/>
      <c r="K1" s="31"/>
      <c r="L1" s="31"/>
      <c r="M1" s="31"/>
      <c r="N1" s="31"/>
      <c r="O1" s="31"/>
      <c r="P1" s="31"/>
      <c r="Q1" s="31"/>
      <c r="R1" s="31"/>
      <c r="S1" s="31"/>
      <c r="T1" s="31"/>
      <c r="U1" s="31"/>
    </row>
    <row r="2" spans="2:21" ht="15" x14ac:dyDescent="0.25">
      <c r="E2" s="381" t="s">
        <v>1285</v>
      </c>
      <c r="G2" s="374" t="s">
        <v>1286</v>
      </c>
    </row>
    <row r="3" spans="2:21" ht="15" x14ac:dyDescent="0.25">
      <c r="E3" s="381" t="s">
        <v>1255</v>
      </c>
      <c r="G3" s="374" t="s">
        <v>1255</v>
      </c>
      <c r="H3" s="374" t="s">
        <v>1256</v>
      </c>
      <c r="I3" s="374"/>
      <c r="J3" s="374" t="s">
        <v>1257</v>
      </c>
      <c r="K3" s="374"/>
      <c r="L3" s="374" t="s">
        <v>1261</v>
      </c>
      <c r="M3" s="374"/>
      <c r="N3" s="374" t="s">
        <v>1260</v>
      </c>
      <c r="O3" s="374"/>
      <c r="P3" s="374" t="s">
        <v>1262</v>
      </c>
      <c r="R3" s="381"/>
    </row>
    <row r="4" spans="2:21" ht="15" x14ac:dyDescent="0.2">
      <c r="B4" s="476" t="s">
        <v>883</v>
      </c>
      <c r="C4" s="476"/>
      <c r="D4" s="476"/>
      <c r="E4" s="384"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ht="15" x14ac:dyDescent="0.25">
      <c r="B6" s="2" t="s">
        <v>304</v>
      </c>
    </row>
    <row r="7" spans="2:21" x14ac:dyDescent="0.2">
      <c r="B7" t="s">
        <v>489</v>
      </c>
      <c r="C7" s="153" t="s">
        <v>421</v>
      </c>
    </row>
    <row r="8" spans="2:21" x14ac:dyDescent="0.2">
      <c r="B8" t="s">
        <v>490</v>
      </c>
      <c r="C8" s="153" t="s">
        <v>19</v>
      </c>
    </row>
    <row r="12" spans="2:21" ht="15" x14ac:dyDescent="0.25">
      <c r="B12" s="324" t="s">
        <v>426</v>
      </c>
      <c r="C12" s="67"/>
    </row>
    <row r="13" spans="2:21" x14ac:dyDescent="0.2">
      <c r="B13" s="391"/>
    </row>
    <row r="14" spans="2:21" ht="15" x14ac:dyDescent="0.25">
      <c r="B14" s="369" t="s">
        <v>1251</v>
      </c>
    </row>
    <row r="15" spans="2:21" s="67" customFormat="1" ht="40.9" customHeight="1" x14ac:dyDescent="0.2">
      <c r="B15" s="373">
        <v>0</v>
      </c>
      <c r="C15" s="373" t="s">
        <v>1282</v>
      </c>
    </row>
    <row r="16" spans="2:21" s="67" customFormat="1" ht="51" customHeight="1" x14ac:dyDescent="0.2">
      <c r="B16" s="372" t="s">
        <v>1254</v>
      </c>
      <c r="C16" s="368"/>
    </row>
    <row r="17" spans="2:16" ht="15" x14ac:dyDescent="0.25">
      <c r="B17" s="370" t="s">
        <v>943</v>
      </c>
    </row>
    <row r="18" spans="2:16" ht="17.649999999999999" customHeight="1" x14ac:dyDescent="0.2">
      <c r="B18" s="329" t="s">
        <v>22</v>
      </c>
    </row>
    <row r="19" spans="2:16" s="82" customFormat="1" ht="15" hidden="1" x14ac:dyDescent="0.25">
      <c r="B19" s="328"/>
    </row>
    <row r="20" spans="2:16" ht="15" hidden="1" x14ac:dyDescent="0.25">
      <c r="B20" s="328"/>
      <c r="C20" s="328"/>
      <c r="D20" s="328"/>
      <c r="E20" s="328"/>
      <c r="F20" s="328"/>
      <c r="G20" s="328"/>
    </row>
    <row r="21" spans="2:16" ht="13.9" hidden="1" customHeight="1" x14ac:dyDescent="0.25">
      <c r="B21" s="328"/>
      <c r="C21" s="328"/>
      <c r="D21" s="328"/>
      <c r="E21" s="328"/>
      <c r="F21" s="328"/>
      <c r="G21" s="328"/>
    </row>
    <row r="22" spans="2:16" hidden="1" x14ac:dyDescent="0.2"/>
    <row r="23" spans="2:16" ht="15" x14ac:dyDescent="0.25">
      <c r="B23" s="2" t="s">
        <v>493</v>
      </c>
    </row>
    <row r="24" spans="2:16" x14ac:dyDescent="0.2">
      <c r="B24" s="161" t="s">
        <v>20</v>
      </c>
      <c r="D24" s="477" t="str">
        <f ca="1">"On aggregate, 1 patient = "&amp;TEXT('Demand background (hide)'!$BN$16,"#.#")&amp;" "&amp;Setup!$I$17</f>
        <v>On aggregate, 1 patient = 1. Minutes</v>
      </c>
      <c r="E24" s="477"/>
      <c r="F24" s="477"/>
      <c r="G24" s="477"/>
      <c r="H24" s="477"/>
      <c r="I24" s="477"/>
      <c r="J24" s="477"/>
      <c r="K24" s="477"/>
      <c r="P24" s="170" t="s">
        <v>500</v>
      </c>
    </row>
    <row r="26" spans="2:16" s="67" customFormat="1" x14ac:dyDescent="0.2"/>
    <row r="27" spans="2:16" s="67" customFormat="1" ht="15" x14ac:dyDescent="0.25">
      <c r="B27" s="473" t="s">
        <v>302</v>
      </c>
      <c r="C27" s="473"/>
      <c r="D27" s="280" t="s">
        <v>497</v>
      </c>
      <c r="E27" s="280" t="s">
        <v>128</v>
      </c>
    </row>
    <row r="28" spans="2:16" s="67" customFormat="1" x14ac:dyDescent="0.2">
      <c r="B28" s="479" t="s">
        <v>1289</v>
      </c>
      <c r="C28" s="480"/>
      <c r="D28" s="383" t="str">
        <f ca="1">IFERROR('Summary Calculations (hide)'!N70,"")</f>
        <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
      <c r="B29" s="479" t="s">
        <v>1290</v>
      </c>
      <c r="C29" s="480"/>
      <c r="D29" s="275" t="str">
        <f ca="1">IFERROR('Summary Calculations (hide)'!M70,"")</f>
        <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
      <c r="B30" s="481" t="s">
        <v>503</v>
      </c>
      <c r="C30" s="482"/>
      <c r="D30" s="386" t="str">
        <f ca="1">IFERROR('Summary Calculations (hide)'!X70,"")</f>
        <v/>
      </c>
      <c r="E30" s="393" t="str">
        <f ca="1">IFERROR('Summary Calculations (hide)'!X71,"")</f>
        <v/>
      </c>
    </row>
    <row r="31" spans="2:16" s="67" customFormat="1" ht="15" x14ac:dyDescent="0.25">
      <c r="B31" s="144" t="s">
        <v>303</v>
      </c>
      <c r="C31" s="142"/>
    </row>
    <row r="32" spans="2:16" s="67" customFormat="1" x14ac:dyDescent="0.2">
      <c r="B32" s="479" t="s">
        <v>495</v>
      </c>
      <c r="C32" s="480"/>
      <c r="D32" s="275">
        <f ca="1">IFERROR('Summary Calculations (hide)'!R70,"")</f>
        <v>0</v>
      </c>
      <c r="E32" s="275">
        <f ca="1">IFERROR('Summary Calculations (hide)'!R71,"")</f>
        <v>0</v>
      </c>
      <c r="H32" s="5"/>
    </row>
    <row r="33" spans="2:21" s="67" customFormat="1" x14ac:dyDescent="0.2">
      <c r="B33" s="479" t="s">
        <v>496</v>
      </c>
      <c r="C33" s="480"/>
      <c r="D33" s="275">
        <f ca="1">IFERROR('Summary Calculations (hide)'!S70,"")</f>
        <v>0</v>
      </c>
      <c r="E33" s="275">
        <f ca="1">IFERROR('Summary Calculations (hide)'!S71,"")</f>
        <v>0</v>
      </c>
    </row>
    <row r="34" spans="2:21" s="67" customFormat="1" ht="15" x14ac:dyDescent="0.25">
      <c r="B34" s="144" t="s">
        <v>926</v>
      </c>
    </row>
    <row r="35" spans="2:21" s="67" customFormat="1" x14ac:dyDescent="0.2">
      <c r="B35" s="479" t="s">
        <v>925</v>
      </c>
      <c r="C35" s="480"/>
      <c r="D35" s="275">
        <f>IFERROR('Summary Calculations (hide)'!V70,"")</f>
        <v>0</v>
      </c>
      <c r="E35" s="275">
        <f>IFERROR('Summary Calculations (hide)'!V71,"")</f>
        <v>0</v>
      </c>
    </row>
    <row r="37" spans="2:21" x14ac:dyDescent="0.2">
      <c r="B37" s="31"/>
      <c r="C37" s="31"/>
      <c r="D37" s="31"/>
      <c r="E37" s="31"/>
      <c r="F37" s="31"/>
      <c r="G37" s="31"/>
      <c r="H37" s="31"/>
      <c r="I37" s="31"/>
      <c r="J37" s="31"/>
      <c r="K37" s="31"/>
      <c r="L37" s="31"/>
      <c r="M37" s="31"/>
      <c r="N37" s="31"/>
      <c r="O37" s="31"/>
      <c r="P37" s="31"/>
      <c r="Q37" s="31"/>
      <c r="R37" s="31"/>
      <c r="S37" s="31"/>
      <c r="T37" s="31"/>
      <c r="U37" s="31"/>
    </row>
    <row r="38" spans="2:21" ht="15" x14ac:dyDescent="0.2">
      <c r="B38" s="475" t="str">
        <f>"Current waiting list vs Estimated sustainable waiting list ("&amp;C8&amp;")"</f>
        <v>Current waiting list vs Estimated sustainable waiting list (Patients)</v>
      </c>
      <c r="C38" s="475"/>
      <c r="D38" s="475"/>
      <c r="E38" s="475"/>
      <c r="F38" s="475"/>
      <c r="G38" s="475"/>
      <c r="H38" s="475"/>
    </row>
    <row r="40" spans="2:21" ht="15" x14ac:dyDescent="0.25">
      <c r="B40" s="473" t="s">
        <v>489</v>
      </c>
      <c r="C40" s="474"/>
      <c r="D40" s="397" t="s">
        <v>249</v>
      </c>
      <c r="E40" s="399"/>
    </row>
    <row r="41" spans="2:21" x14ac:dyDescent="0.2">
      <c r="B41" s="345" t="str">
        <f>IF(AND(LEFT(Demand!C8,1)="H",'Demand adjustments for Covid'!F9="No"),"","WL predictions are disabled when forecast demand or Covid adjustments are enabled.")</f>
        <v/>
      </c>
    </row>
    <row r="42" spans="2:21" x14ac:dyDescent="0.2">
      <c r="B42" s="471" t="s">
        <v>1137</v>
      </c>
      <c r="C42" s="472"/>
      <c r="D42" s="330">
        <v>0</v>
      </c>
    </row>
    <row r="43" spans="2:21" x14ac:dyDescent="0.2">
      <c r="B43" s="471" t="s">
        <v>1138</v>
      </c>
      <c r="C43" s="472"/>
      <c r="D43" s="330">
        <v>0</v>
      </c>
    </row>
    <row r="49" spans="2:4" x14ac:dyDescent="0.2">
      <c r="B49" s="137" t="s">
        <v>305</v>
      </c>
      <c r="C49" s="478">
        <f ca="1">'Parameters calculator (hide)'!H67</f>
        <v>0</v>
      </c>
      <c r="D49" s="478"/>
    </row>
    <row r="50" spans="2:4" x14ac:dyDescent="0.2">
      <c r="B50" s="138" t="s">
        <v>306</v>
      </c>
      <c r="C50" s="470" t="str">
        <f ca="1">IFERROR(TEXT('Parameters calculator (hide)'!H66,"#,#")&amp;" - "&amp;TEXT('Parameters calculator (hide)'!I66,"#,#"),"")</f>
        <v/>
      </c>
      <c r="D50" s="470"/>
    </row>
    <row r="53" spans="2:4" x14ac:dyDescent="0.2">
      <c r="B53" s="20" t="s">
        <v>307</v>
      </c>
      <c r="C53" s="470" t="str">
        <f ca="1">IFERROR('Parameters calculator (hide)'!H69,"")</f>
        <v/>
      </c>
      <c r="D53" s="470"/>
    </row>
    <row r="55" spans="2:4" x14ac:dyDescent="0.2">
      <c r="B55" t="s">
        <v>927</v>
      </c>
    </row>
    <row r="57" spans="2:4" x14ac:dyDescent="0.2">
      <c r="B57" t="s">
        <v>928</v>
      </c>
    </row>
    <row r="58" spans="2:4" x14ac:dyDescent="0.2">
      <c r="B58" s="283">
        <v>10</v>
      </c>
      <c r="C58" t="s">
        <v>402</v>
      </c>
    </row>
    <row r="60" spans="2:4" x14ac:dyDescent="0.2">
      <c r="B60" t="s">
        <v>929</v>
      </c>
    </row>
    <row r="61" spans="2:4" x14ac:dyDescent="0.2">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oiOuMCMOOg7h0WA+Dc4tdLK+qCLurH5Y+gWOLaiLhb2vUsGHuyL7KnBOQiTEaVksSQg7NEWhqjXl9zW/0RIHig==" saltValue="Q5ORcguG9wB6tky+4HAWwQ==" spinCount="100000" sheet="1" objects="1" scenarios="1"/>
  <mergeCells count="17">
    <mergeCell ref="B4:D4"/>
    <mergeCell ref="D40:E40"/>
    <mergeCell ref="D24:K24"/>
    <mergeCell ref="C49:D49"/>
    <mergeCell ref="C50:D50"/>
    <mergeCell ref="B27:C27"/>
    <mergeCell ref="B28:C28"/>
    <mergeCell ref="B29:C29"/>
    <mergeCell ref="B30:C30"/>
    <mergeCell ref="B32:C32"/>
    <mergeCell ref="B33:C33"/>
    <mergeCell ref="B35:C35"/>
    <mergeCell ref="C53:D53"/>
    <mergeCell ref="B42:C42"/>
    <mergeCell ref="B43:C43"/>
    <mergeCell ref="B40:C40"/>
    <mergeCell ref="B38:H38"/>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285750</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28575</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25" x14ac:dyDescent="0.2"/>
  <cols>
    <col min="1" max="1" width="32.75" customWidth="1"/>
  </cols>
  <sheetData>
    <row r="28" spans="1:12" x14ac:dyDescent="0.2">
      <c r="A28" t="s">
        <v>884</v>
      </c>
      <c r="J28" t="s">
        <v>936</v>
      </c>
    </row>
    <row r="30" spans="1:12" x14ac:dyDescent="0.2">
      <c r="A30" t="s">
        <v>392</v>
      </c>
      <c r="B30" t="s">
        <v>885</v>
      </c>
      <c r="J30" t="s">
        <v>937</v>
      </c>
      <c r="K30" t="s">
        <v>392</v>
      </c>
      <c r="L30" t="s">
        <v>885</v>
      </c>
    </row>
    <row r="31" spans="1:12" x14ac:dyDescent="0.2">
      <c r="A31" t="s">
        <v>11</v>
      </c>
      <c r="B31" t="s">
        <v>922</v>
      </c>
      <c r="J31" t="s">
        <v>938</v>
      </c>
      <c r="K31" t="s">
        <v>97</v>
      </c>
      <c r="L31" t="s">
        <v>932</v>
      </c>
    </row>
    <row r="32" spans="1:12" x14ac:dyDescent="0.2">
      <c r="A32" t="s">
        <v>51</v>
      </c>
      <c r="B32" t="s">
        <v>886</v>
      </c>
      <c r="J32" t="s">
        <v>940</v>
      </c>
      <c r="K32" t="s">
        <v>389</v>
      </c>
      <c r="L32" t="s">
        <v>933</v>
      </c>
    </row>
    <row r="33" spans="1:12" x14ac:dyDescent="0.2">
      <c r="A33" s="67" t="s">
        <v>51</v>
      </c>
      <c r="B33" t="s">
        <v>887</v>
      </c>
      <c r="J33" t="s">
        <v>939</v>
      </c>
      <c r="K33" t="s">
        <v>391</v>
      </c>
      <c r="L33" t="s">
        <v>934</v>
      </c>
    </row>
    <row r="34" spans="1:12" x14ac:dyDescent="0.2">
      <c r="A34" s="67" t="s">
        <v>51</v>
      </c>
      <c r="B34" t="s">
        <v>888</v>
      </c>
      <c r="J34" t="s">
        <v>941</v>
      </c>
      <c r="K34" t="s">
        <v>391</v>
      </c>
      <c r="L34" t="s">
        <v>935</v>
      </c>
    </row>
    <row r="35" spans="1:12" x14ac:dyDescent="0.2">
      <c r="A35" s="67" t="s">
        <v>51</v>
      </c>
      <c r="B35" t="s">
        <v>889</v>
      </c>
    </row>
    <row r="36" spans="1:12" x14ac:dyDescent="0.2">
      <c r="A36" s="67" t="s">
        <v>51</v>
      </c>
      <c r="B36" t="s">
        <v>890</v>
      </c>
    </row>
    <row r="37" spans="1:12" x14ac:dyDescent="0.2">
      <c r="A37" s="67" t="s">
        <v>51</v>
      </c>
      <c r="B37" t="s">
        <v>891</v>
      </c>
    </row>
    <row r="38" spans="1:12" x14ac:dyDescent="0.2">
      <c r="A38" s="67" t="s">
        <v>51</v>
      </c>
      <c r="B38" t="s">
        <v>892</v>
      </c>
    </row>
    <row r="39" spans="1:12" x14ac:dyDescent="0.2">
      <c r="A39" s="67" t="s">
        <v>51</v>
      </c>
      <c r="B39" t="s">
        <v>893</v>
      </c>
    </row>
    <row r="40" spans="1:12" x14ac:dyDescent="0.2">
      <c r="A40" t="s">
        <v>51</v>
      </c>
      <c r="B40" t="s">
        <v>894</v>
      </c>
    </row>
    <row r="41" spans="1:12" x14ac:dyDescent="0.2">
      <c r="A41" t="s">
        <v>51</v>
      </c>
      <c r="B41" t="s">
        <v>895</v>
      </c>
    </row>
    <row r="42" spans="1:12" x14ac:dyDescent="0.2">
      <c r="A42" t="s">
        <v>97</v>
      </c>
      <c r="B42" t="s">
        <v>896</v>
      </c>
    </row>
    <row r="43" spans="1:12" x14ac:dyDescent="0.2">
      <c r="A43" t="s">
        <v>897</v>
      </c>
      <c r="B43" t="s">
        <v>1170</v>
      </c>
    </row>
    <row r="44" spans="1:12" x14ac:dyDescent="0.2">
      <c r="A44" t="s">
        <v>388</v>
      </c>
      <c r="B44" t="s">
        <v>898</v>
      </c>
    </row>
    <row r="45" spans="1:12" x14ac:dyDescent="0.2">
      <c r="A45" t="s">
        <v>388</v>
      </c>
      <c r="B45" t="s">
        <v>899</v>
      </c>
    </row>
    <row r="46" spans="1:12" x14ac:dyDescent="0.2">
      <c r="A46" t="s">
        <v>388</v>
      </c>
      <c r="B46" t="s">
        <v>385</v>
      </c>
    </row>
    <row r="47" spans="1:12" x14ac:dyDescent="0.2">
      <c r="A47" t="s">
        <v>388</v>
      </c>
      <c r="B47" t="s">
        <v>900</v>
      </c>
    </row>
    <row r="48" spans="1:12" x14ac:dyDescent="0.2">
      <c r="A48" t="s">
        <v>388</v>
      </c>
      <c r="B48" t="s">
        <v>901</v>
      </c>
    </row>
    <row r="49" spans="1:2" x14ac:dyDescent="0.2">
      <c r="A49" t="s">
        <v>389</v>
      </c>
      <c r="B49" t="s">
        <v>896</v>
      </c>
    </row>
    <row r="50" spans="1:2" x14ac:dyDescent="0.2">
      <c r="A50" t="s">
        <v>389</v>
      </c>
      <c r="B50" t="s">
        <v>902</v>
      </c>
    </row>
    <row r="51" spans="1:2" x14ac:dyDescent="0.2">
      <c r="A51" t="s">
        <v>390</v>
      </c>
      <c r="B51" t="s">
        <v>903</v>
      </c>
    </row>
    <row r="52" spans="1:2" x14ac:dyDescent="0.2">
      <c r="A52" t="s">
        <v>390</v>
      </c>
      <c r="B52" t="s">
        <v>904</v>
      </c>
    </row>
    <row r="53" spans="1:2" x14ac:dyDescent="0.2">
      <c r="A53" t="s">
        <v>905</v>
      </c>
      <c r="B53" t="s">
        <v>906</v>
      </c>
    </row>
    <row r="54" spans="1:2" x14ac:dyDescent="0.2">
      <c r="A54" t="s">
        <v>907</v>
      </c>
      <c r="B54" t="s">
        <v>908</v>
      </c>
    </row>
    <row r="55" spans="1:2" x14ac:dyDescent="0.2">
      <c r="A55" t="s">
        <v>391</v>
      </c>
      <c r="B55" t="s">
        <v>909</v>
      </c>
    </row>
    <row r="56" spans="1:2" x14ac:dyDescent="0.2">
      <c r="A56" t="s">
        <v>477</v>
      </c>
      <c r="B56" t="s">
        <v>903</v>
      </c>
    </row>
    <row r="57" spans="1:2" x14ac:dyDescent="0.2">
      <c r="A57" s="67" t="s">
        <v>477</v>
      </c>
      <c r="B57" t="s">
        <v>909</v>
      </c>
    </row>
    <row r="58" spans="1:2" x14ac:dyDescent="0.2">
      <c r="A58" s="67" t="s">
        <v>477</v>
      </c>
      <c r="B58" t="s">
        <v>910</v>
      </c>
    </row>
    <row r="59" spans="1:2" x14ac:dyDescent="0.2">
      <c r="A59" s="67" t="s">
        <v>477</v>
      </c>
      <c r="B59" t="s">
        <v>911</v>
      </c>
    </row>
    <row r="60" spans="1:2" x14ac:dyDescent="0.2">
      <c r="A60" t="s">
        <v>477</v>
      </c>
      <c r="B60" t="s">
        <v>1235</v>
      </c>
    </row>
    <row r="61" spans="1:2" x14ac:dyDescent="0.2">
      <c r="A61" t="s">
        <v>912</v>
      </c>
      <c r="B61" t="s">
        <v>913</v>
      </c>
    </row>
    <row r="62" spans="1:2" x14ac:dyDescent="0.2">
      <c r="A62" t="s">
        <v>912</v>
      </c>
      <c r="B62" t="s">
        <v>914</v>
      </c>
    </row>
    <row r="63" spans="1:2" x14ac:dyDescent="0.2">
      <c r="A63" t="s">
        <v>912</v>
      </c>
      <c r="B63" t="s">
        <v>915</v>
      </c>
    </row>
    <row r="64" spans="1:2" x14ac:dyDescent="0.2">
      <c r="A64" t="s">
        <v>249</v>
      </c>
      <c r="B64" t="s">
        <v>916</v>
      </c>
    </row>
    <row r="65" spans="1:8" x14ac:dyDescent="0.2">
      <c r="A65" t="s">
        <v>510</v>
      </c>
      <c r="B65" t="s">
        <v>920</v>
      </c>
    </row>
    <row r="66" spans="1:8" x14ac:dyDescent="0.2">
      <c r="A66" t="s">
        <v>510</v>
      </c>
      <c r="B66" t="s">
        <v>921</v>
      </c>
    </row>
    <row r="67" spans="1:8" x14ac:dyDescent="0.2">
      <c r="A67" t="s">
        <v>510</v>
      </c>
      <c r="B67" t="s">
        <v>917</v>
      </c>
    </row>
    <row r="68" spans="1:8" x14ac:dyDescent="0.2">
      <c r="A68" t="s">
        <v>510</v>
      </c>
      <c r="B68" t="s">
        <v>918</v>
      </c>
    </row>
    <row r="69" spans="1:8" x14ac:dyDescent="0.2">
      <c r="A69" s="67" t="s">
        <v>510</v>
      </c>
      <c r="B69" t="s">
        <v>919</v>
      </c>
    </row>
    <row r="71" spans="1:8" x14ac:dyDescent="0.2">
      <c r="G71" s="291"/>
    </row>
    <row r="73" spans="1:8" x14ac:dyDescent="0.2">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heetViews>
  <sheetFormatPr defaultRowHeight="14.25" x14ac:dyDescent="0.2"/>
  <cols>
    <col min="1" max="1" width="12.25" style="67" customWidth="1"/>
    <col min="3" max="3" width="9" style="67"/>
    <col min="5" max="5" width="9.75" bestFit="1" customWidth="1"/>
    <col min="7" max="7" width="18.5" bestFit="1" customWidth="1"/>
    <col min="8" max="8" width="15.625" bestFit="1" customWidth="1"/>
    <col min="11" max="12" width="9.75" style="67" customWidth="1"/>
    <col min="22" max="22" width="9" hidden="1" customWidth="1"/>
  </cols>
  <sheetData>
    <row r="1" spans="1:24" x14ac:dyDescent="0.2">
      <c r="A1" s="67" t="s">
        <v>487</v>
      </c>
      <c r="D1" t="s">
        <v>419</v>
      </c>
    </row>
    <row r="2" spans="1:24" x14ac:dyDescent="0.2">
      <c r="A2" s="82" t="str">
        <f>"Required vs available capacity by week ("&amp;Summary!$C$8&amp;")"&amp;IF(Summary!B15=1," - "&amp;Summary!C15&amp;" Scenario","")</f>
        <v>Required vs available capacity by week (Patients)</v>
      </c>
    </row>
    <row r="3" spans="1:24" x14ac:dyDescent="0.2">
      <c r="E3" t="s">
        <v>244</v>
      </c>
      <c r="F3" t="s">
        <v>245</v>
      </c>
      <c r="H3" t="s">
        <v>250</v>
      </c>
      <c r="J3" t="s">
        <v>875</v>
      </c>
      <c r="L3" s="67" t="s">
        <v>1153</v>
      </c>
    </row>
    <row r="4" spans="1:24" x14ac:dyDescent="0.2">
      <c r="D4" t="s">
        <v>239</v>
      </c>
      <c r="E4">
        <f>IFERROR('SPC background (hide)'!C4,"")</f>
        <v>99</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2">
      <c r="H9" t="s">
        <v>422</v>
      </c>
      <c r="I9" s="5">
        <f ca="1">'Demand background (hide)'!BN16</f>
        <v>1</v>
      </c>
    </row>
    <row r="11" spans="1:24" x14ac:dyDescent="0.2">
      <c r="D11" t="s">
        <v>243</v>
      </c>
      <c r="E11" s="87">
        <f ca="1">IF(Summary!$B$13="",'Critical resources (hide)'!B6,Summary!$B$13)</f>
        <v>44760</v>
      </c>
    </row>
    <row r="12" spans="1:24" x14ac:dyDescent="0.2">
      <c r="E12" s="317"/>
      <c r="P12" t="s">
        <v>411</v>
      </c>
      <c r="R12" t="str">
        <f>"Required vs available capacity ("&amp;LOWER(Summary!$C$8)&amp;")"</f>
        <v>Required vs available capacity (patients)</v>
      </c>
      <c r="X12" t="s">
        <v>498</v>
      </c>
    </row>
    <row r="13" spans="1:24" x14ac:dyDescent="0.2">
      <c r="E13" t="s">
        <v>97</v>
      </c>
      <c r="G13" s="62"/>
      <c r="H13" s="62"/>
      <c r="I13" t="s">
        <v>303</v>
      </c>
      <c r="K13" s="67" t="s">
        <v>409</v>
      </c>
      <c r="M13" t="s">
        <v>302</v>
      </c>
      <c r="P13" s="67" t="s">
        <v>303</v>
      </c>
      <c r="Q13" s="67"/>
      <c r="R13" s="67" t="s">
        <v>409</v>
      </c>
      <c r="S13" s="67"/>
      <c r="T13" s="67" t="s">
        <v>302</v>
      </c>
      <c r="U13" s="67"/>
      <c r="X13" t="s">
        <v>156</v>
      </c>
    </row>
    <row r="14" spans="1:24" x14ac:dyDescent="0.2">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
      <c r="A15" s="87">
        <f ca="1">E11-WEEKDAY(E11,3)</f>
        <v>44760</v>
      </c>
      <c r="B15">
        <f ca="1">YEAR(A15)</f>
        <v>2022</v>
      </c>
      <c r="C15" s="67" t="str">
        <f ca="1">TEXT(A15,"MMM")</f>
        <v>Jul</v>
      </c>
      <c r="D15">
        <f t="shared" ref="D15:D46" ca="1" si="0">WEEKNUM(A15,21)</f>
        <v>29</v>
      </c>
      <c r="E15" s="5" t="str">
        <f ca="1">IF(LEFT(Demand!$C$8,1)="H",VLOOKUP($D15,'SPC background (hide)'!$AG$2:$AS$54,12,0),'Demand background (hide)'!X4)</f>
        <v/>
      </c>
      <c r="F15" s="5" t="str">
        <f ca="1">IF(LEFT(Demand!$C$8,1)="H",VLOOKUP($D15,'SPC background (hide)'!$AG$2:$AS$54,13,0),E15*1.1)</f>
        <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0</v>
      </c>
      <c r="J15" s="5">
        <f ca="1">IFERROR(HLOOKUP(A15,'Capacity calculation (hide)'!$BK$1:$DK$4,4,0),Capacity!$U$15)</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#VALUE!</v>
      </c>
      <c r="N15" s="5" t="e">
        <f ca="1">(IF('Demand adjustments for Covid'!$F$9="No",F15,SUM('Demand background (hide)'!DT4,'Demand background (hide)'!DV4:DW4))*(1-'Parameters calculator (hide)'!$B$43))*(1-'Parameters calculator (hide)'!$B$44+('Parameters calculator (hide)'!$B$45*'Parameters calculator (hide)'!$B$47))</f>
        <v>#VALUE!</v>
      </c>
      <c r="P15" s="5">
        <f ca="1">I15</f>
        <v>0</v>
      </c>
      <c r="Q15" s="5">
        <f ca="1">J15</f>
        <v>0</v>
      </c>
      <c r="R15" s="5">
        <f ca="1">IF(P15-V15&lt;0,0,P15-V15)</f>
        <v>0</v>
      </c>
      <c r="S15" s="5">
        <f ca="1">IF(R15=0,IF(P15+Q15-V15&lt;0,0,P15+Q15-V15),Q15)</f>
        <v>0</v>
      </c>
      <c r="T15" s="5" t="e">
        <f ca="1">M15/IF(Summary!$C$8&lt;&gt;"Patients",1,$I$9)</f>
        <v>#VALUE!</v>
      </c>
      <c r="U15" s="5" t="e">
        <f ca="1">((N15-M15)/IF(Summary!$C$8&lt;&gt;"Patients",1,$I$9))</f>
        <v>#VALUE!</v>
      </c>
      <c r="V15" s="5">
        <f>SUM(G15:H15)</f>
        <v>0</v>
      </c>
      <c r="X15" s="5" t="e">
        <f ca="1">(VLOOKUP(D15,'SPC background (hide)'!$AG$2:$AN$54,8,0)/IF(Summary!$C$8&lt;&gt;"Patients",1,$I$9))*(1-$I$4)*(1-$I$5+($I$6*$I$7))</f>
        <v>#N/A</v>
      </c>
    </row>
    <row r="16" spans="1:24" x14ac:dyDescent="0.2">
      <c r="A16" s="87">
        <f ca="1">A15+7</f>
        <v>44767</v>
      </c>
      <c r="B16" s="67" t="str">
        <f t="shared" ref="B16:B47" ca="1" si="1">IF(YEAR(A16)&lt;&gt;YEAR(A15),YEAR(A16),"")</f>
        <v/>
      </c>
      <c r="C16" s="67" t="str">
        <f t="shared" ref="C16:C47" ca="1" si="2">IF(TEXT(A16,"MMM")&lt;&gt;TEXT(A15,"MMM"),TEXT(A16,"MMM"),"")</f>
        <v/>
      </c>
      <c r="D16" s="67">
        <f t="shared" ca="1" si="0"/>
        <v>30</v>
      </c>
      <c r="E16" s="5" t="str">
        <f ca="1">IF(LEFT(Demand!$C$8,1)="H",VLOOKUP($D16,'SPC background (hide)'!$AG$2:$AS$54,12,0),'Demand background (hide)'!X5)</f>
        <v/>
      </c>
      <c r="F16" s="5" t="str">
        <f ca="1">IF(LEFT(Demand!$C$8,1)="H",VLOOKUP($D16,'SPC background (hide)'!$AG$2:$AS$54,13,0),E16*1.1)</f>
        <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0</v>
      </c>
      <c r="J16" s="5">
        <f ca="1">IFERROR(HLOOKUP(A16,'Capacity calculation (hide)'!$BK$1:$DK$4,4,0),Capacity!$U$15)</f>
        <v>0</v>
      </c>
      <c r="K16" s="5">
        <f ca="1">IF(I16-IF(Setup!$I$15="Yes",$G16,0)-IF(Setup!$I$13="Yes",$H16,0)&lt;0,0,I16-IF(Setup!$I$15="Yes",$G16,0)-IF(Setup!$I$13="Yes",$H16,0))</f>
        <v>0</v>
      </c>
      <c r="L16" s="5">
        <f t="shared" ref="L16:L66" ca="1" si="3">J16</f>
        <v>0</v>
      </c>
      <c r="M16" s="5" t="e">
        <f ca="1">(IF('Demand adjustments for Covid'!$F$9="No",E16,SUM('Demand background (hide)'!DS5,'Demand background (hide)'!DV5:DW5))*(1-'Parameters calculator (hide)'!$B$43))*(1-'Parameters calculator (hide)'!$B$44+('Parameters calculator (hide)'!$B$45*'Parameters calculator (hide)'!$B$47))</f>
        <v>#VALUE!</v>
      </c>
      <c r="N16" s="5" t="e">
        <f ca="1">(IF('Demand adjustments for Covid'!$F$9="No",F16,SUM('Demand background (hide)'!DT5,'Demand background (hide)'!DV5:DW5))*(1-'Parameters calculator (hide)'!$B$43))*(1-'Parameters calculator (hide)'!$B$44+('Parameters calculator (hide)'!$B$45*'Parameters calculator (hide)'!$B$47))</f>
        <v>#VALUE!</v>
      </c>
      <c r="P16" s="5">
        <f t="shared" ref="P16:P66" ca="1" si="4">I16</f>
        <v>0</v>
      </c>
      <c r="Q16" s="5">
        <f t="shared" ref="Q16:Q66" ca="1" si="5">J16</f>
        <v>0</v>
      </c>
      <c r="R16" s="5">
        <f t="shared" ref="R16:R66" ca="1" si="6">IF(P16-V16&lt;0,0,P16-V16)</f>
        <v>0</v>
      </c>
      <c r="S16" s="5">
        <f t="shared" ref="S16:S66" ca="1" si="7">IF(R16=0,IF(P16+Q16-V16&lt;0,0,P16+Q16-V16),Q16)</f>
        <v>0</v>
      </c>
      <c r="T16" s="5" t="e">
        <f ca="1">M16/IF(Summary!$C$8&lt;&gt;"Patients",1,$I$9)</f>
        <v>#VALUE!</v>
      </c>
      <c r="U16" s="5" t="e">
        <f ca="1">((N16-M16)/IF(Summary!$C$8&lt;&gt;"Patients",1,$I$9))</f>
        <v>#VALUE!</v>
      </c>
      <c r="V16" s="5">
        <f t="shared" ref="V16:V66" si="8">SUM(G16:H16)</f>
        <v>0</v>
      </c>
      <c r="X16" s="5" t="e">
        <f ca="1">(VLOOKUP(D16,'SPC background (hide)'!$AG$2:$AN$54,8,0)/IF(Summary!$C$8&lt;&gt;"Patients",1,$I$9))*(1-$I$4)*(1-$I$5+($I$6*$I$7))</f>
        <v>#N/A</v>
      </c>
    </row>
    <row r="17" spans="1:24" x14ac:dyDescent="0.2">
      <c r="A17" s="87">
        <f t="shared" ref="A17:A67" ca="1" si="9">A16+7</f>
        <v>44774</v>
      </c>
      <c r="B17" s="67" t="str">
        <f t="shared" ca="1" si="1"/>
        <v/>
      </c>
      <c r="C17" s="67" t="str">
        <f t="shared" ca="1" si="2"/>
        <v>Aug</v>
      </c>
      <c r="D17" s="67">
        <f t="shared" ca="1" si="0"/>
        <v>31</v>
      </c>
      <c r="E17" s="5" t="str">
        <f ca="1">IF(LEFT(Demand!$C$8,1)="H",VLOOKUP($D17,'SPC background (hide)'!$AG$2:$AS$54,12,0),'Demand background (hide)'!X6)</f>
        <v/>
      </c>
      <c r="F17" s="5" t="str">
        <f ca="1">IF(LEFT(Demand!$C$8,1)="H",VLOOKUP($D17,'SPC background (hide)'!$AG$2:$AS$54,13,0),E17*1.1)</f>
        <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0</v>
      </c>
      <c r="J17" s="5">
        <f ca="1">IFERROR(HLOOKUP(A17,'Capacity calculation (hide)'!$BK$1:$DK$4,4,0),Capacity!$U$15)</f>
        <v>0</v>
      </c>
      <c r="K17" s="5">
        <f ca="1">IF(I17-IF(Setup!$I$15="Yes",$G17,0)-IF(Setup!$I$13="Yes",$H17,0)&lt;0,0,I17-IF(Setup!$I$15="Yes",$G17,0)-IF(Setup!$I$13="Yes",$H17,0))</f>
        <v>0</v>
      </c>
      <c r="L17" s="5">
        <f t="shared" ca="1" si="3"/>
        <v>0</v>
      </c>
      <c r="M17" s="5" t="e">
        <f ca="1">(IF('Demand adjustments for Covid'!$F$9="No",E17,SUM('Demand background (hide)'!DS6,'Demand background (hide)'!DV6:DW6))*(1-'Parameters calculator (hide)'!$B$43))*(1-'Parameters calculator (hide)'!$B$44+('Parameters calculator (hide)'!$B$45*'Parameters calculator (hide)'!$B$47))</f>
        <v>#VALUE!</v>
      </c>
      <c r="N17" s="5" t="e">
        <f ca="1">(IF('Demand adjustments for Covid'!$F$9="No",F17,SUM('Demand background (hide)'!DT6,'Demand background (hide)'!DV6:DW6))*(1-'Parameters calculator (hide)'!$B$43))*(1-'Parameters calculator (hide)'!$B$44+('Parameters calculator (hide)'!$B$45*'Parameters calculator (hide)'!$B$47))</f>
        <v>#VALUE!</v>
      </c>
      <c r="P17" s="5">
        <f t="shared" ca="1" si="4"/>
        <v>0</v>
      </c>
      <c r="Q17" s="5">
        <f t="shared" ca="1" si="5"/>
        <v>0</v>
      </c>
      <c r="R17" s="5">
        <f t="shared" ca="1" si="6"/>
        <v>0</v>
      </c>
      <c r="S17" s="5">
        <f t="shared" ca="1" si="7"/>
        <v>0</v>
      </c>
      <c r="T17" s="5" t="e">
        <f ca="1">M17/IF(Summary!$C$8&lt;&gt;"Patients",1,$I$9)</f>
        <v>#VALUE!</v>
      </c>
      <c r="U17" s="5" t="e">
        <f ca="1">((N17-M17)/IF(Summary!$C$8&lt;&gt;"Patients",1,$I$9))</f>
        <v>#VALUE!</v>
      </c>
      <c r="V17" s="5">
        <f t="shared" si="8"/>
        <v>0</v>
      </c>
      <c r="X17" s="5" t="e">
        <f ca="1">(VLOOKUP(D17,'SPC background (hide)'!$AG$2:$AN$54,8,0)/IF(Summary!$C$8&lt;&gt;"Patients",1,$I$9))*(1-$I$4)*(1-$I$5+($I$6*$I$7))</f>
        <v>#N/A</v>
      </c>
    </row>
    <row r="18" spans="1:24" x14ac:dyDescent="0.2">
      <c r="A18" s="87">
        <f t="shared" ca="1" si="9"/>
        <v>44781</v>
      </c>
      <c r="B18" s="67" t="str">
        <f t="shared" ca="1" si="1"/>
        <v/>
      </c>
      <c r="C18" s="67" t="str">
        <f t="shared" ca="1" si="2"/>
        <v/>
      </c>
      <c r="D18" s="67">
        <f t="shared" ca="1" si="0"/>
        <v>32</v>
      </c>
      <c r="E18" s="5" t="str">
        <f ca="1">IF(LEFT(Demand!$C$8,1)="H",VLOOKUP($D18,'SPC background (hide)'!$AG$2:$AS$54,12,0),'Demand background (hide)'!X7)</f>
        <v/>
      </c>
      <c r="F18" s="5" t="str">
        <f ca="1">IF(LEFT(Demand!$C$8,1)="H",VLOOKUP($D18,'SPC background (hide)'!$AG$2:$AS$54,13,0),E18*1.1)</f>
        <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0</v>
      </c>
      <c r="J18" s="5">
        <f ca="1">IFERROR(HLOOKUP(A18,'Capacity calculation (hide)'!$BK$1:$DK$4,4,0),Capacity!$U$15)</f>
        <v>0</v>
      </c>
      <c r="K18" s="5">
        <f ca="1">IF(I18-IF(Setup!$I$15="Yes",$G18,0)-IF(Setup!$I$13="Yes",$H18,0)&lt;0,0,I18-IF(Setup!$I$15="Yes",$G18,0)-IF(Setup!$I$13="Yes",$H18,0))</f>
        <v>0</v>
      </c>
      <c r="L18" s="5">
        <f t="shared" ca="1" si="3"/>
        <v>0</v>
      </c>
      <c r="M18" s="5" t="e">
        <f ca="1">(IF('Demand adjustments for Covid'!$F$9="No",E18,SUM('Demand background (hide)'!DS7,'Demand background (hide)'!DV7:DW7))*(1-'Parameters calculator (hide)'!$B$43))*(1-'Parameters calculator (hide)'!$B$44+('Parameters calculator (hide)'!$B$45*'Parameters calculator (hide)'!$B$47))</f>
        <v>#VALUE!</v>
      </c>
      <c r="N18" s="5" t="e">
        <f ca="1">(IF('Demand adjustments for Covid'!$F$9="No",F18,SUM('Demand background (hide)'!DT7,'Demand background (hide)'!DV7:DW7))*(1-'Parameters calculator (hide)'!$B$43))*(1-'Parameters calculator (hide)'!$B$44+('Parameters calculator (hide)'!$B$45*'Parameters calculator (hide)'!$B$47))</f>
        <v>#VALUE!</v>
      </c>
      <c r="P18" s="5">
        <f t="shared" ca="1" si="4"/>
        <v>0</v>
      </c>
      <c r="Q18" s="5">
        <f t="shared" ca="1" si="5"/>
        <v>0</v>
      </c>
      <c r="R18" s="5">
        <f t="shared" ca="1" si="6"/>
        <v>0</v>
      </c>
      <c r="S18" s="5">
        <f t="shared" ca="1" si="7"/>
        <v>0</v>
      </c>
      <c r="T18" s="5" t="e">
        <f ca="1">M18/IF(Summary!$C$8&lt;&gt;"Patients",1,$I$9)</f>
        <v>#VALUE!</v>
      </c>
      <c r="U18" s="5" t="e">
        <f ca="1">((N18-M18)/IF(Summary!$C$8&lt;&gt;"Patients",1,$I$9))</f>
        <v>#VALUE!</v>
      </c>
      <c r="V18" s="5">
        <f t="shared" si="8"/>
        <v>0</v>
      </c>
      <c r="X18" s="5" t="e">
        <f ca="1">(VLOOKUP(D18,'SPC background (hide)'!$AG$2:$AN$54,8,0)/IF(Summary!$C$8&lt;&gt;"Patients",1,$I$9))*(1-$I$4)*(1-$I$5+($I$6*$I$7))</f>
        <v>#N/A</v>
      </c>
    </row>
    <row r="19" spans="1:24" x14ac:dyDescent="0.2">
      <c r="A19" s="87">
        <f t="shared" ca="1" si="9"/>
        <v>44788</v>
      </c>
      <c r="B19" s="67" t="str">
        <f t="shared" ca="1" si="1"/>
        <v/>
      </c>
      <c r="C19" s="67" t="str">
        <f t="shared" ca="1" si="2"/>
        <v/>
      </c>
      <c r="D19" s="67">
        <f t="shared" ca="1" si="0"/>
        <v>33</v>
      </c>
      <c r="E19" s="5" t="str">
        <f ca="1">IF(LEFT(Demand!$C$8,1)="H",VLOOKUP($D19,'SPC background (hide)'!$AG$2:$AS$54,12,0),'Demand background (hide)'!X8)</f>
        <v/>
      </c>
      <c r="F19" s="5" t="str">
        <f ca="1">IF(LEFT(Demand!$C$8,1)="H",VLOOKUP($D19,'SPC background (hide)'!$AG$2:$AS$54,13,0),E19*1.1)</f>
        <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0</v>
      </c>
      <c r="J19" s="5">
        <f ca="1">IFERROR(HLOOKUP(A19,'Capacity calculation (hide)'!$BK$1:$DK$4,4,0),Capacity!$U$15)</f>
        <v>0</v>
      </c>
      <c r="K19" s="5">
        <f ca="1">IF(I19-IF(Setup!$I$15="Yes",$G19,0)-IF(Setup!$I$13="Yes",$H19,0)&lt;0,0,I19-IF(Setup!$I$15="Yes",$G19,0)-IF(Setup!$I$13="Yes",$H19,0))</f>
        <v>0</v>
      </c>
      <c r="L19" s="5">
        <f t="shared" ca="1" si="3"/>
        <v>0</v>
      </c>
      <c r="M19" s="5" t="e">
        <f ca="1">(IF('Demand adjustments for Covid'!$F$9="No",E19,SUM('Demand background (hide)'!DS8,'Demand background (hide)'!DV8:DW8))*(1-'Parameters calculator (hide)'!$B$43))*(1-'Parameters calculator (hide)'!$B$44+('Parameters calculator (hide)'!$B$45*'Parameters calculator (hide)'!$B$47))</f>
        <v>#VALUE!</v>
      </c>
      <c r="N19" s="5" t="e">
        <f ca="1">(IF('Demand adjustments for Covid'!$F$9="No",F19,SUM('Demand background (hide)'!DT8,'Demand background (hide)'!DV8:DW8))*(1-'Parameters calculator (hide)'!$B$43))*(1-'Parameters calculator (hide)'!$B$44+('Parameters calculator (hide)'!$B$45*'Parameters calculator (hide)'!$B$47))</f>
        <v>#VALUE!</v>
      </c>
      <c r="P19" s="5">
        <f t="shared" ca="1" si="4"/>
        <v>0</v>
      </c>
      <c r="Q19" s="5">
        <f t="shared" ca="1" si="5"/>
        <v>0</v>
      </c>
      <c r="R19" s="5">
        <f t="shared" ca="1" si="6"/>
        <v>0</v>
      </c>
      <c r="S19" s="5">
        <f t="shared" ca="1" si="7"/>
        <v>0</v>
      </c>
      <c r="T19" s="5" t="e">
        <f ca="1">M19/IF(Summary!$C$8&lt;&gt;"Patients",1,$I$9)</f>
        <v>#VALUE!</v>
      </c>
      <c r="U19" s="5" t="e">
        <f ca="1">((N19-M19)/IF(Summary!$C$8&lt;&gt;"Patients",1,$I$9))</f>
        <v>#VALUE!</v>
      </c>
      <c r="V19" s="5">
        <f t="shared" si="8"/>
        <v>0</v>
      </c>
      <c r="X19" s="5" t="e">
        <f ca="1">(VLOOKUP(D19,'SPC background (hide)'!$AG$2:$AN$54,8,0)/IF(Summary!$C$8&lt;&gt;"Patients",1,$I$9))*(1-$I$4)*(1-$I$5+($I$6*$I$7))</f>
        <v>#N/A</v>
      </c>
    </row>
    <row r="20" spans="1:24" x14ac:dyDescent="0.2">
      <c r="A20" s="87">
        <f t="shared" ca="1" si="9"/>
        <v>44795</v>
      </c>
      <c r="B20" s="67" t="str">
        <f t="shared" ca="1" si="1"/>
        <v/>
      </c>
      <c r="C20" s="67" t="str">
        <f t="shared" ca="1" si="2"/>
        <v/>
      </c>
      <c r="D20" s="67">
        <f t="shared" ca="1" si="0"/>
        <v>34</v>
      </c>
      <c r="E20" s="5" t="str">
        <f ca="1">IF(LEFT(Demand!$C$8,1)="H",VLOOKUP($D20,'SPC background (hide)'!$AG$2:$AS$54,12,0),'Demand background (hide)'!X9)</f>
        <v/>
      </c>
      <c r="F20" s="5" t="str">
        <f ca="1">IF(LEFT(Demand!$C$8,1)="H",VLOOKUP($D20,'SPC background (hide)'!$AG$2:$AS$54,13,0),E20*1.1)</f>
        <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0</v>
      </c>
      <c r="J20" s="5">
        <f ca="1">IFERROR(HLOOKUP(A20,'Capacity calculation (hide)'!$BK$1:$DK$4,4,0),Capacity!$U$15)</f>
        <v>0</v>
      </c>
      <c r="K20" s="5">
        <f ca="1">IF(I20-IF(Setup!$I$15="Yes",$G20,0)-IF(Setup!$I$13="Yes",$H20,0)&lt;0,0,I20-IF(Setup!$I$15="Yes",$G20,0)-IF(Setup!$I$13="Yes",$H20,0))</f>
        <v>0</v>
      </c>
      <c r="L20" s="5">
        <f t="shared" ca="1" si="3"/>
        <v>0</v>
      </c>
      <c r="M20" s="5" t="e">
        <f ca="1">(IF('Demand adjustments for Covid'!$F$9="No",E20,SUM('Demand background (hide)'!DS9,'Demand background (hide)'!DV9:DW9))*(1-'Parameters calculator (hide)'!$B$43))*(1-'Parameters calculator (hide)'!$B$44+('Parameters calculator (hide)'!$B$45*'Parameters calculator (hide)'!$B$47))</f>
        <v>#VALUE!</v>
      </c>
      <c r="N20" s="5" t="e">
        <f ca="1">(IF('Demand adjustments for Covid'!$F$9="No",F20,SUM('Demand background (hide)'!DT9,'Demand background (hide)'!DV9:DW9))*(1-'Parameters calculator (hide)'!$B$43))*(1-'Parameters calculator (hide)'!$B$44+('Parameters calculator (hide)'!$B$45*'Parameters calculator (hide)'!$B$47))</f>
        <v>#VALUE!</v>
      </c>
      <c r="P20" s="5">
        <f t="shared" ca="1" si="4"/>
        <v>0</v>
      </c>
      <c r="Q20" s="5">
        <f t="shared" ca="1" si="5"/>
        <v>0</v>
      </c>
      <c r="R20" s="5">
        <f t="shared" ca="1" si="6"/>
        <v>0</v>
      </c>
      <c r="S20" s="5">
        <f t="shared" ca="1" si="7"/>
        <v>0</v>
      </c>
      <c r="T20" s="5" t="e">
        <f ca="1">M20/IF(Summary!$C$8&lt;&gt;"Patients",1,$I$9)</f>
        <v>#VALUE!</v>
      </c>
      <c r="U20" s="5" t="e">
        <f ca="1">((N20-M20)/IF(Summary!$C$8&lt;&gt;"Patients",1,$I$9))</f>
        <v>#VALUE!</v>
      </c>
      <c r="V20" s="5">
        <f t="shared" si="8"/>
        <v>0</v>
      </c>
      <c r="X20" s="5" t="e">
        <f ca="1">(VLOOKUP(D20,'SPC background (hide)'!$AG$2:$AN$54,8,0)/IF(Summary!$C$8&lt;&gt;"Patients",1,$I$9))*(1-$I$4)*(1-$I$5+($I$6*$I$7))</f>
        <v>#N/A</v>
      </c>
    </row>
    <row r="21" spans="1:24" x14ac:dyDescent="0.2">
      <c r="A21" s="87">
        <f t="shared" ca="1" si="9"/>
        <v>44802</v>
      </c>
      <c r="B21" s="67" t="str">
        <f t="shared" ca="1" si="1"/>
        <v/>
      </c>
      <c r="C21" s="67" t="str">
        <f t="shared" ca="1" si="2"/>
        <v/>
      </c>
      <c r="D21" s="67">
        <f t="shared" ca="1" si="0"/>
        <v>35</v>
      </c>
      <c r="E21" s="5" t="str">
        <f ca="1">IF(LEFT(Demand!$C$8,1)="H",VLOOKUP($D21,'SPC background (hide)'!$AG$2:$AS$54,12,0),'Demand background (hide)'!X10)</f>
        <v/>
      </c>
      <c r="F21" s="5" t="str">
        <f ca="1">IF(LEFT(Demand!$C$8,1)="H",VLOOKUP($D21,'SPC background (hide)'!$AG$2:$AS$54,13,0),E21*1.1)</f>
        <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0</v>
      </c>
      <c r="J21" s="5">
        <f ca="1">IFERROR(HLOOKUP(A21,'Capacity calculation (hide)'!$BK$1:$DK$4,4,0),Capacity!$U$15)</f>
        <v>0</v>
      </c>
      <c r="K21" s="5">
        <f ca="1">IF(I21-IF(Setup!$I$15="Yes",$G21,0)-IF(Setup!$I$13="Yes",$H21,0)&lt;0,0,I21-IF(Setup!$I$15="Yes",$G21,0)-IF(Setup!$I$13="Yes",$H21,0))</f>
        <v>0</v>
      </c>
      <c r="L21" s="5">
        <f t="shared" ca="1" si="3"/>
        <v>0</v>
      </c>
      <c r="M21" s="5" t="e">
        <f ca="1">(IF('Demand adjustments for Covid'!$F$9="No",E21,SUM('Demand background (hide)'!DS10,'Demand background (hide)'!DV10:DW10))*(1-'Parameters calculator (hide)'!$B$43))*(1-'Parameters calculator (hide)'!$B$44+('Parameters calculator (hide)'!$B$45*'Parameters calculator (hide)'!$B$47))</f>
        <v>#VALUE!</v>
      </c>
      <c r="N21" s="5" t="e">
        <f ca="1">(IF('Demand adjustments for Covid'!$F$9="No",F21,SUM('Demand background (hide)'!DT10,'Demand background (hide)'!DV10:DW10))*(1-'Parameters calculator (hide)'!$B$43))*(1-'Parameters calculator (hide)'!$B$44+('Parameters calculator (hide)'!$B$45*'Parameters calculator (hide)'!$B$47))</f>
        <v>#VALUE!</v>
      </c>
      <c r="P21" s="5">
        <f t="shared" ca="1" si="4"/>
        <v>0</v>
      </c>
      <c r="Q21" s="5">
        <f t="shared" ca="1" si="5"/>
        <v>0</v>
      </c>
      <c r="R21" s="5">
        <f t="shared" ca="1" si="6"/>
        <v>0</v>
      </c>
      <c r="S21" s="5">
        <f t="shared" ca="1" si="7"/>
        <v>0</v>
      </c>
      <c r="T21" s="5" t="e">
        <f ca="1">M21/IF(Summary!$C$8&lt;&gt;"Patients",1,$I$9)</f>
        <v>#VALUE!</v>
      </c>
      <c r="U21" s="5" t="e">
        <f ca="1">((N21-M21)/IF(Summary!$C$8&lt;&gt;"Patients",1,$I$9))</f>
        <v>#VALUE!</v>
      </c>
      <c r="V21" s="5">
        <f t="shared" si="8"/>
        <v>0</v>
      </c>
      <c r="X21" s="5" t="e">
        <f ca="1">(VLOOKUP(D21,'SPC background (hide)'!$AG$2:$AN$54,8,0)/IF(Summary!$C$8&lt;&gt;"Patients",1,$I$9))*(1-$I$4)*(1-$I$5+($I$6*$I$7))</f>
        <v>#N/A</v>
      </c>
    </row>
    <row r="22" spans="1:24" x14ac:dyDescent="0.2">
      <c r="A22" s="87">
        <f t="shared" ca="1" si="9"/>
        <v>44809</v>
      </c>
      <c r="B22" s="67" t="str">
        <f t="shared" ca="1" si="1"/>
        <v/>
      </c>
      <c r="C22" s="67" t="str">
        <f t="shared" ca="1" si="2"/>
        <v>Sep</v>
      </c>
      <c r="D22" s="67">
        <f t="shared" ca="1" si="0"/>
        <v>36</v>
      </c>
      <c r="E22" s="5" t="str">
        <f ca="1">IF(LEFT(Demand!$C$8,1)="H",VLOOKUP($D22,'SPC background (hide)'!$AG$2:$AS$54,12,0),'Demand background (hide)'!X11)</f>
        <v/>
      </c>
      <c r="F22" s="5" t="str">
        <f ca="1">IF(LEFT(Demand!$C$8,1)="H",VLOOKUP($D22,'SPC background (hide)'!$AG$2:$AS$54,13,0),E22*1.1)</f>
        <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0</v>
      </c>
      <c r="J22" s="5">
        <f ca="1">IFERROR(HLOOKUP(A22,'Capacity calculation (hide)'!$BK$1:$DK$4,4,0),Capacity!$U$15)</f>
        <v>0</v>
      </c>
      <c r="K22" s="5">
        <f ca="1">IF(I22-IF(Setup!$I$15="Yes",$G22,0)-IF(Setup!$I$13="Yes",$H22,0)&lt;0,0,I22-IF(Setup!$I$15="Yes",$G22,0)-IF(Setup!$I$13="Yes",$H22,0))</f>
        <v>0</v>
      </c>
      <c r="L22" s="5">
        <f t="shared" ca="1" si="3"/>
        <v>0</v>
      </c>
      <c r="M22" s="5" t="e">
        <f ca="1">(IF('Demand adjustments for Covid'!$F$9="No",E22,SUM('Demand background (hide)'!DS11,'Demand background (hide)'!DV11:DW11))*(1-'Parameters calculator (hide)'!$B$43))*(1-'Parameters calculator (hide)'!$B$44+('Parameters calculator (hide)'!$B$45*'Parameters calculator (hide)'!$B$47))</f>
        <v>#VALUE!</v>
      </c>
      <c r="N22" s="5" t="e">
        <f ca="1">(IF('Demand adjustments for Covid'!$F$9="No",F22,SUM('Demand background (hide)'!DT11,'Demand background (hide)'!DV11:DW11))*(1-'Parameters calculator (hide)'!$B$43))*(1-'Parameters calculator (hide)'!$B$44+('Parameters calculator (hide)'!$B$45*'Parameters calculator (hide)'!$B$47))</f>
        <v>#VALUE!</v>
      </c>
      <c r="P22" s="5">
        <f t="shared" ca="1" si="4"/>
        <v>0</v>
      </c>
      <c r="Q22" s="5">
        <f t="shared" ca="1" si="5"/>
        <v>0</v>
      </c>
      <c r="R22" s="5">
        <f t="shared" ca="1" si="6"/>
        <v>0</v>
      </c>
      <c r="S22" s="5">
        <f t="shared" ca="1" si="7"/>
        <v>0</v>
      </c>
      <c r="T22" s="5" t="e">
        <f ca="1">M22/IF(Summary!$C$8&lt;&gt;"Patients",1,$I$9)</f>
        <v>#VALUE!</v>
      </c>
      <c r="U22" s="5" t="e">
        <f ca="1">((N22-M22)/IF(Summary!$C$8&lt;&gt;"Patients",1,$I$9))</f>
        <v>#VALUE!</v>
      </c>
      <c r="V22" s="5">
        <f t="shared" si="8"/>
        <v>0</v>
      </c>
      <c r="X22" s="5" t="e">
        <f ca="1">(VLOOKUP(D22,'SPC background (hide)'!$AG$2:$AN$54,8,0)/IF(Summary!$C$8&lt;&gt;"Patients",1,$I$9))*(1-$I$4)*(1-$I$5+($I$6*$I$7))</f>
        <v>#N/A</v>
      </c>
    </row>
    <row r="23" spans="1:24" x14ac:dyDescent="0.2">
      <c r="A23" s="87">
        <f t="shared" ca="1" si="9"/>
        <v>44816</v>
      </c>
      <c r="B23" s="67" t="str">
        <f t="shared" ca="1" si="1"/>
        <v/>
      </c>
      <c r="C23" s="67" t="str">
        <f t="shared" ca="1" si="2"/>
        <v/>
      </c>
      <c r="D23" s="67">
        <f t="shared" ca="1" si="0"/>
        <v>37</v>
      </c>
      <c r="E23" s="5" t="str">
        <f ca="1">IF(LEFT(Demand!$C$8,1)="H",VLOOKUP($D23,'SPC background (hide)'!$AG$2:$AS$54,12,0),'Demand background (hide)'!X12)</f>
        <v/>
      </c>
      <c r="F23" s="5" t="str">
        <f ca="1">IF(LEFT(Demand!$C$8,1)="H",VLOOKUP($D23,'SPC background (hide)'!$AG$2:$AS$54,13,0),E23*1.1)</f>
        <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0</v>
      </c>
      <c r="J23" s="5">
        <f ca="1">IFERROR(HLOOKUP(A23,'Capacity calculation (hide)'!$BK$1:$DK$4,4,0),Capacity!$U$15)</f>
        <v>0</v>
      </c>
      <c r="K23" s="5">
        <f ca="1">IF(I23-IF(Setup!$I$15="Yes",$G23,0)-IF(Setup!$I$13="Yes",$H23,0)&lt;0,0,I23-IF(Setup!$I$15="Yes",$G23,0)-IF(Setup!$I$13="Yes",$H23,0))</f>
        <v>0</v>
      </c>
      <c r="L23" s="5">
        <f t="shared" ca="1" si="3"/>
        <v>0</v>
      </c>
      <c r="M23" s="5" t="e">
        <f ca="1">(IF('Demand adjustments for Covid'!$F$9="No",E23,SUM('Demand background (hide)'!DS12,'Demand background (hide)'!DV12:DW12))*(1-'Parameters calculator (hide)'!$B$43))*(1-'Parameters calculator (hide)'!$B$44+('Parameters calculator (hide)'!$B$45*'Parameters calculator (hide)'!$B$47))</f>
        <v>#VALUE!</v>
      </c>
      <c r="N23" s="5" t="e">
        <f ca="1">(IF('Demand adjustments for Covid'!$F$9="No",F23,SUM('Demand background (hide)'!DT12,'Demand background (hide)'!DV12:DW12))*(1-'Parameters calculator (hide)'!$B$43))*(1-'Parameters calculator (hide)'!$B$44+('Parameters calculator (hide)'!$B$45*'Parameters calculator (hide)'!$B$47))</f>
        <v>#VALUE!</v>
      </c>
      <c r="P23" s="5">
        <f t="shared" ca="1" si="4"/>
        <v>0</v>
      </c>
      <c r="Q23" s="5">
        <f t="shared" ca="1" si="5"/>
        <v>0</v>
      </c>
      <c r="R23" s="5">
        <f t="shared" ca="1" si="6"/>
        <v>0</v>
      </c>
      <c r="S23" s="5">
        <f t="shared" ca="1" si="7"/>
        <v>0</v>
      </c>
      <c r="T23" s="5" t="e">
        <f ca="1">M23/IF(Summary!$C$8&lt;&gt;"Patients",1,$I$9)</f>
        <v>#VALUE!</v>
      </c>
      <c r="U23" s="5" t="e">
        <f ca="1">((N23-M23)/IF(Summary!$C$8&lt;&gt;"Patients",1,$I$9))</f>
        <v>#VALUE!</v>
      </c>
      <c r="V23" s="5">
        <f t="shared" si="8"/>
        <v>0</v>
      </c>
      <c r="X23" s="5" t="e">
        <f ca="1">(VLOOKUP(D23,'SPC background (hide)'!$AG$2:$AN$54,8,0)/IF(Summary!$C$8&lt;&gt;"Patients",1,$I$9))*(1-$I$4)*(1-$I$5+($I$6*$I$7))</f>
        <v>#N/A</v>
      </c>
    </row>
    <row r="24" spans="1:24" x14ac:dyDescent="0.2">
      <c r="A24" s="87">
        <f t="shared" ca="1" si="9"/>
        <v>44823</v>
      </c>
      <c r="B24" s="67" t="str">
        <f t="shared" ca="1" si="1"/>
        <v/>
      </c>
      <c r="C24" s="67" t="str">
        <f t="shared" ca="1" si="2"/>
        <v/>
      </c>
      <c r="D24" s="67">
        <f t="shared" ca="1" si="0"/>
        <v>38</v>
      </c>
      <c r="E24" s="5" t="str">
        <f ca="1">IF(LEFT(Demand!$C$8,1)="H",VLOOKUP($D24,'SPC background (hide)'!$AG$2:$AS$54,12,0),'Demand background (hide)'!X13)</f>
        <v/>
      </c>
      <c r="F24" s="5" t="str">
        <f ca="1">IF(LEFT(Demand!$C$8,1)="H",VLOOKUP($D24,'SPC background (hide)'!$AG$2:$AS$54,13,0),E24*1.1)</f>
        <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0</v>
      </c>
      <c r="J24" s="5">
        <f ca="1">IFERROR(HLOOKUP(A24,'Capacity calculation (hide)'!$BK$1:$DK$4,4,0),Capacity!$U$15)</f>
        <v>0</v>
      </c>
      <c r="K24" s="5">
        <f ca="1">IF(I24-IF(Setup!$I$15="Yes",$G24,0)-IF(Setup!$I$13="Yes",$H24,0)&lt;0,0,I24-IF(Setup!$I$15="Yes",$G24,0)-IF(Setup!$I$13="Yes",$H24,0))</f>
        <v>0</v>
      </c>
      <c r="L24" s="5">
        <f t="shared" ca="1" si="3"/>
        <v>0</v>
      </c>
      <c r="M24" s="5" t="e">
        <f ca="1">(IF('Demand adjustments for Covid'!$F$9="No",E24,SUM('Demand background (hide)'!DS13,'Demand background (hide)'!DV13:DW13))*(1-'Parameters calculator (hide)'!$B$43))*(1-'Parameters calculator (hide)'!$B$44+('Parameters calculator (hide)'!$B$45*'Parameters calculator (hide)'!$B$47))</f>
        <v>#VALUE!</v>
      </c>
      <c r="N24" s="5" t="e">
        <f ca="1">(IF('Demand adjustments for Covid'!$F$9="No",F24,SUM('Demand background (hide)'!DT13,'Demand background (hide)'!DV13:DW13))*(1-'Parameters calculator (hide)'!$B$43))*(1-'Parameters calculator (hide)'!$B$44+('Parameters calculator (hide)'!$B$45*'Parameters calculator (hide)'!$B$47))</f>
        <v>#VALUE!</v>
      </c>
      <c r="P24" s="5">
        <f t="shared" ca="1" si="4"/>
        <v>0</v>
      </c>
      <c r="Q24" s="5">
        <f t="shared" ca="1" si="5"/>
        <v>0</v>
      </c>
      <c r="R24" s="5">
        <f t="shared" ca="1" si="6"/>
        <v>0</v>
      </c>
      <c r="S24" s="5">
        <f t="shared" ca="1" si="7"/>
        <v>0</v>
      </c>
      <c r="T24" s="5" t="e">
        <f ca="1">M24/IF(Summary!$C$8&lt;&gt;"Patients",1,$I$9)</f>
        <v>#VALUE!</v>
      </c>
      <c r="U24" s="5" t="e">
        <f ca="1">((N24-M24)/IF(Summary!$C$8&lt;&gt;"Patients",1,$I$9))</f>
        <v>#VALUE!</v>
      </c>
      <c r="V24" s="5">
        <f t="shared" si="8"/>
        <v>0</v>
      </c>
      <c r="X24" s="5" t="e">
        <f ca="1">(VLOOKUP(D24,'SPC background (hide)'!$AG$2:$AN$54,8,0)/IF(Summary!$C$8&lt;&gt;"Patients",1,$I$9))*(1-$I$4)*(1-$I$5+($I$6*$I$7))</f>
        <v>#N/A</v>
      </c>
    </row>
    <row r="25" spans="1:24" x14ac:dyDescent="0.2">
      <c r="A25" s="87">
        <f t="shared" ca="1" si="9"/>
        <v>44830</v>
      </c>
      <c r="B25" s="67" t="str">
        <f t="shared" ca="1" si="1"/>
        <v/>
      </c>
      <c r="C25" s="67" t="str">
        <f t="shared" ca="1" si="2"/>
        <v/>
      </c>
      <c r="D25" s="67">
        <f t="shared" ca="1" si="0"/>
        <v>39</v>
      </c>
      <c r="E25" s="5" t="str">
        <f ca="1">IF(LEFT(Demand!$C$8,1)="H",VLOOKUP($D25,'SPC background (hide)'!$AG$2:$AS$54,12,0),'Demand background (hide)'!X14)</f>
        <v/>
      </c>
      <c r="F25" s="5" t="str">
        <f ca="1">IF(LEFT(Demand!$C$8,1)="H",VLOOKUP($D25,'SPC background (hide)'!$AG$2:$AS$54,13,0),E25*1.1)</f>
        <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0</v>
      </c>
      <c r="J25" s="5">
        <f ca="1">IFERROR(HLOOKUP(A25,'Capacity calculation (hide)'!$BK$1:$DK$4,4,0),Capacity!$U$15)</f>
        <v>0</v>
      </c>
      <c r="K25" s="5">
        <f ca="1">IF(I25-IF(Setup!$I$15="Yes",$G25,0)-IF(Setup!$I$13="Yes",$H25,0)&lt;0,0,I25-IF(Setup!$I$15="Yes",$G25,0)-IF(Setup!$I$13="Yes",$H25,0))</f>
        <v>0</v>
      </c>
      <c r="L25" s="5">
        <f t="shared" ca="1" si="3"/>
        <v>0</v>
      </c>
      <c r="M25" s="5" t="e">
        <f ca="1">(IF('Demand adjustments for Covid'!$F$9="No",E25,SUM('Demand background (hide)'!DS14,'Demand background (hide)'!DV14:DW14))*(1-'Parameters calculator (hide)'!$B$43))*(1-'Parameters calculator (hide)'!$B$44+('Parameters calculator (hide)'!$B$45*'Parameters calculator (hide)'!$B$47))</f>
        <v>#VALUE!</v>
      </c>
      <c r="N25" s="5" t="e">
        <f ca="1">(IF('Demand adjustments for Covid'!$F$9="No",F25,SUM('Demand background (hide)'!DT14,'Demand background (hide)'!DV14:DW14))*(1-'Parameters calculator (hide)'!$B$43))*(1-'Parameters calculator (hide)'!$B$44+('Parameters calculator (hide)'!$B$45*'Parameters calculator (hide)'!$B$47))</f>
        <v>#VALUE!</v>
      </c>
      <c r="P25" s="5">
        <f t="shared" ca="1" si="4"/>
        <v>0</v>
      </c>
      <c r="Q25" s="5">
        <f t="shared" ca="1" si="5"/>
        <v>0</v>
      </c>
      <c r="R25" s="5">
        <f t="shared" ca="1" si="6"/>
        <v>0</v>
      </c>
      <c r="S25" s="5">
        <f t="shared" ca="1" si="7"/>
        <v>0</v>
      </c>
      <c r="T25" s="5" t="e">
        <f ca="1">M25/IF(Summary!$C$8&lt;&gt;"Patients",1,$I$9)</f>
        <v>#VALUE!</v>
      </c>
      <c r="U25" s="5" t="e">
        <f ca="1">((N25-M25)/IF(Summary!$C$8&lt;&gt;"Patients",1,$I$9))</f>
        <v>#VALUE!</v>
      </c>
      <c r="V25" s="5">
        <f t="shared" si="8"/>
        <v>0</v>
      </c>
      <c r="X25" s="5" t="e">
        <f ca="1">(VLOOKUP(D25,'SPC background (hide)'!$AG$2:$AN$54,8,0)/IF(Summary!$C$8&lt;&gt;"Patients",1,$I$9))*(1-$I$4)*(1-$I$5+($I$6*$I$7))</f>
        <v>#N/A</v>
      </c>
    </row>
    <row r="26" spans="1:24" x14ac:dyDescent="0.2">
      <c r="A26" s="87">
        <f t="shared" ca="1" si="9"/>
        <v>44837</v>
      </c>
      <c r="B26" s="67" t="str">
        <f t="shared" ca="1" si="1"/>
        <v/>
      </c>
      <c r="C26" s="67" t="str">
        <f t="shared" ca="1" si="2"/>
        <v>Oct</v>
      </c>
      <c r="D26" s="67">
        <f t="shared" ca="1" si="0"/>
        <v>40</v>
      </c>
      <c r="E26" s="5" t="str">
        <f ca="1">IF(LEFT(Demand!$C$8,1)="H",VLOOKUP($D26,'SPC background (hide)'!$AG$2:$AS$54,12,0),'Demand background (hide)'!X15)</f>
        <v/>
      </c>
      <c r="F26" s="5" t="str">
        <f ca="1">IF(LEFT(Demand!$C$8,1)="H",VLOOKUP($D26,'SPC background (hide)'!$AG$2:$AS$54,13,0),E26*1.1)</f>
        <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0</v>
      </c>
      <c r="J26" s="5">
        <f ca="1">IFERROR(HLOOKUP(A26,'Capacity calculation (hide)'!$BK$1:$DK$4,4,0),Capacity!$U$15)</f>
        <v>0</v>
      </c>
      <c r="K26" s="5">
        <f ca="1">IF(I26-IF(Setup!$I$15="Yes",$G26,0)-IF(Setup!$I$13="Yes",$H26,0)&lt;0,0,I26-IF(Setup!$I$15="Yes",$G26,0)-IF(Setup!$I$13="Yes",$H26,0))</f>
        <v>0</v>
      </c>
      <c r="L26" s="5">
        <f t="shared" ca="1" si="3"/>
        <v>0</v>
      </c>
      <c r="M26" s="5" t="e">
        <f ca="1">(IF('Demand adjustments for Covid'!$F$9="No",E26,SUM('Demand background (hide)'!DS15,'Demand background (hide)'!DV15:DW15))*(1-'Parameters calculator (hide)'!$B$43))*(1-'Parameters calculator (hide)'!$B$44+('Parameters calculator (hide)'!$B$45*'Parameters calculator (hide)'!$B$47))</f>
        <v>#VALUE!</v>
      </c>
      <c r="N26" s="5" t="e">
        <f ca="1">(IF('Demand adjustments for Covid'!$F$9="No",F26,SUM('Demand background (hide)'!DT15,'Demand background (hide)'!DV15:DW15))*(1-'Parameters calculator (hide)'!$B$43))*(1-'Parameters calculator (hide)'!$B$44+('Parameters calculator (hide)'!$B$45*'Parameters calculator (hide)'!$B$47))</f>
        <v>#VALUE!</v>
      </c>
      <c r="P26" s="5">
        <f t="shared" ca="1" si="4"/>
        <v>0</v>
      </c>
      <c r="Q26" s="5">
        <f t="shared" ca="1" si="5"/>
        <v>0</v>
      </c>
      <c r="R26" s="5">
        <f t="shared" ca="1" si="6"/>
        <v>0</v>
      </c>
      <c r="S26" s="5">
        <f t="shared" ca="1" si="7"/>
        <v>0</v>
      </c>
      <c r="T26" s="5" t="e">
        <f ca="1">M26/IF(Summary!$C$8&lt;&gt;"Patients",1,$I$9)</f>
        <v>#VALUE!</v>
      </c>
      <c r="U26" s="5" t="e">
        <f ca="1">((N26-M26)/IF(Summary!$C$8&lt;&gt;"Patients",1,$I$9))</f>
        <v>#VALUE!</v>
      </c>
      <c r="V26" s="5">
        <f t="shared" si="8"/>
        <v>0</v>
      </c>
      <c r="X26" s="5" t="e">
        <f ca="1">(VLOOKUP(D26,'SPC background (hide)'!$AG$2:$AN$54,8,0)/IF(Summary!$C$8&lt;&gt;"Patients",1,$I$9))*(1-$I$4)*(1-$I$5+($I$6*$I$7))</f>
        <v>#N/A</v>
      </c>
    </row>
    <row r="27" spans="1:24" x14ac:dyDescent="0.2">
      <c r="A27" s="87">
        <f t="shared" ca="1" si="9"/>
        <v>44844</v>
      </c>
      <c r="B27" s="67" t="str">
        <f t="shared" ca="1" si="1"/>
        <v/>
      </c>
      <c r="C27" s="67" t="str">
        <f t="shared" ca="1" si="2"/>
        <v/>
      </c>
      <c r="D27" s="67">
        <f t="shared" ca="1" si="0"/>
        <v>41</v>
      </c>
      <c r="E27" s="5" t="str">
        <f ca="1">IF(LEFT(Demand!$C$8,1)="H",VLOOKUP($D27,'SPC background (hide)'!$AG$2:$AS$54,12,0),'Demand background (hide)'!X16)</f>
        <v/>
      </c>
      <c r="F27" s="5" t="str">
        <f ca="1">IF(LEFT(Demand!$C$8,1)="H",VLOOKUP($D27,'SPC background (hide)'!$AG$2:$AS$54,13,0),E27*1.1)</f>
        <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0</v>
      </c>
      <c r="J27" s="5">
        <f ca="1">IFERROR(HLOOKUP(A27,'Capacity calculation (hide)'!$BK$1:$DK$4,4,0),Capacity!$U$15)</f>
        <v>0</v>
      </c>
      <c r="K27" s="5">
        <f ca="1">IF(I27-IF(Setup!$I$15="Yes",$G27,0)-IF(Setup!$I$13="Yes",$H27,0)&lt;0,0,I27-IF(Setup!$I$15="Yes",$G27,0)-IF(Setup!$I$13="Yes",$H27,0))</f>
        <v>0</v>
      </c>
      <c r="L27" s="5">
        <f t="shared" ca="1" si="3"/>
        <v>0</v>
      </c>
      <c r="M27" s="5" t="e">
        <f ca="1">(IF('Demand adjustments for Covid'!$F$9="No",E27,SUM('Demand background (hide)'!DS16,'Demand background (hide)'!DV16:DW16))*(1-'Parameters calculator (hide)'!$B$43))*(1-'Parameters calculator (hide)'!$B$44+('Parameters calculator (hide)'!$B$45*'Parameters calculator (hide)'!$B$47))</f>
        <v>#VALUE!</v>
      </c>
      <c r="N27" s="5" t="e">
        <f ca="1">(IF('Demand adjustments for Covid'!$F$9="No",F27,SUM('Demand background (hide)'!DT16,'Demand background (hide)'!DV16:DW16))*(1-'Parameters calculator (hide)'!$B$43))*(1-'Parameters calculator (hide)'!$B$44+('Parameters calculator (hide)'!$B$45*'Parameters calculator (hide)'!$B$47))</f>
        <v>#VALUE!</v>
      </c>
      <c r="P27" s="5">
        <f t="shared" ca="1" si="4"/>
        <v>0</v>
      </c>
      <c r="Q27" s="5">
        <f t="shared" ca="1" si="5"/>
        <v>0</v>
      </c>
      <c r="R27" s="5">
        <f t="shared" ca="1" si="6"/>
        <v>0</v>
      </c>
      <c r="S27" s="5">
        <f t="shared" ca="1" si="7"/>
        <v>0</v>
      </c>
      <c r="T27" s="5" t="e">
        <f ca="1">M27/IF(Summary!$C$8&lt;&gt;"Patients",1,$I$9)</f>
        <v>#VALUE!</v>
      </c>
      <c r="U27" s="5" t="e">
        <f ca="1">((N27-M27)/IF(Summary!$C$8&lt;&gt;"Patients",1,$I$9))</f>
        <v>#VALUE!</v>
      </c>
      <c r="V27" s="5">
        <f t="shared" si="8"/>
        <v>0</v>
      </c>
      <c r="X27" s="5" t="e">
        <f ca="1">(VLOOKUP(D27,'SPC background (hide)'!$AG$2:$AN$54,8,0)/IF(Summary!$C$8&lt;&gt;"Patients",1,$I$9))*(1-$I$4)*(1-$I$5+($I$6*$I$7))</f>
        <v>#N/A</v>
      </c>
    </row>
    <row r="28" spans="1:24" x14ac:dyDescent="0.2">
      <c r="A28" s="87">
        <f t="shared" ca="1" si="9"/>
        <v>44851</v>
      </c>
      <c r="B28" s="67" t="str">
        <f t="shared" ca="1" si="1"/>
        <v/>
      </c>
      <c r="C28" s="67" t="str">
        <f t="shared" ca="1" si="2"/>
        <v/>
      </c>
      <c r="D28" s="67">
        <f t="shared" ca="1" si="0"/>
        <v>42</v>
      </c>
      <c r="E28" s="5" t="str">
        <f ca="1">IF(LEFT(Demand!$C$8,1)="H",VLOOKUP($D28,'SPC background (hide)'!$AG$2:$AS$54,12,0),'Demand background (hide)'!X17)</f>
        <v/>
      </c>
      <c r="F28" s="5" t="str">
        <f ca="1">IF(LEFT(Demand!$C$8,1)="H",VLOOKUP($D28,'SPC background (hide)'!$AG$2:$AS$54,13,0),E28*1.1)</f>
        <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0</v>
      </c>
      <c r="J28" s="5">
        <f ca="1">IFERROR(HLOOKUP(A28,'Capacity calculation (hide)'!$BK$1:$DK$4,4,0),Capacity!$U$15)</f>
        <v>0</v>
      </c>
      <c r="K28" s="5">
        <f ca="1">IF(I28-IF(Setup!$I$15="Yes",$G28,0)-IF(Setup!$I$13="Yes",$H28,0)&lt;0,0,I28-IF(Setup!$I$15="Yes",$G28,0)-IF(Setup!$I$13="Yes",$H28,0))</f>
        <v>0</v>
      </c>
      <c r="L28" s="5">
        <f t="shared" ca="1" si="3"/>
        <v>0</v>
      </c>
      <c r="M28" s="5" t="e">
        <f ca="1">(IF('Demand adjustments for Covid'!$F$9="No",E28,SUM('Demand background (hide)'!DS17,'Demand background (hide)'!DV17:DW17))*(1-'Parameters calculator (hide)'!$B$43))*(1-'Parameters calculator (hide)'!$B$44+('Parameters calculator (hide)'!$B$45*'Parameters calculator (hide)'!$B$47))</f>
        <v>#VALUE!</v>
      </c>
      <c r="N28" s="5" t="e">
        <f ca="1">(IF('Demand adjustments for Covid'!$F$9="No",F28,SUM('Demand background (hide)'!DT17,'Demand background (hide)'!DV17:DW17))*(1-'Parameters calculator (hide)'!$B$43))*(1-'Parameters calculator (hide)'!$B$44+('Parameters calculator (hide)'!$B$45*'Parameters calculator (hide)'!$B$47))</f>
        <v>#VALUE!</v>
      </c>
      <c r="P28" s="5">
        <f t="shared" ca="1" si="4"/>
        <v>0</v>
      </c>
      <c r="Q28" s="5">
        <f t="shared" ca="1" si="5"/>
        <v>0</v>
      </c>
      <c r="R28" s="5">
        <f t="shared" ca="1" si="6"/>
        <v>0</v>
      </c>
      <c r="S28" s="5">
        <f t="shared" ca="1" si="7"/>
        <v>0</v>
      </c>
      <c r="T28" s="5" t="e">
        <f ca="1">M28/IF(Summary!$C$8&lt;&gt;"Patients",1,$I$9)</f>
        <v>#VALUE!</v>
      </c>
      <c r="U28" s="5" t="e">
        <f ca="1">((N28-M28)/IF(Summary!$C$8&lt;&gt;"Patients",1,$I$9))</f>
        <v>#VALUE!</v>
      </c>
      <c r="V28" s="5">
        <f t="shared" si="8"/>
        <v>0</v>
      </c>
      <c r="X28" s="5" t="e">
        <f ca="1">(VLOOKUP(D28,'SPC background (hide)'!$AG$2:$AN$54,8,0)/IF(Summary!$C$8&lt;&gt;"Patients",1,$I$9))*(1-$I$4)*(1-$I$5+($I$6*$I$7))</f>
        <v>#N/A</v>
      </c>
    </row>
    <row r="29" spans="1:24" x14ac:dyDescent="0.2">
      <c r="A29" s="87">
        <f t="shared" ca="1" si="9"/>
        <v>44858</v>
      </c>
      <c r="B29" s="67" t="str">
        <f t="shared" ca="1" si="1"/>
        <v/>
      </c>
      <c r="C29" s="67" t="str">
        <f t="shared" ca="1" si="2"/>
        <v/>
      </c>
      <c r="D29" s="67">
        <f t="shared" ca="1" si="0"/>
        <v>43</v>
      </c>
      <c r="E29" s="5" t="str">
        <f ca="1">IF(LEFT(Demand!$C$8,1)="H",VLOOKUP($D29,'SPC background (hide)'!$AG$2:$AS$54,12,0),'Demand background (hide)'!X18)</f>
        <v/>
      </c>
      <c r="F29" s="5" t="str">
        <f ca="1">IF(LEFT(Demand!$C$8,1)="H",VLOOKUP($D29,'SPC background (hide)'!$AG$2:$AS$54,13,0),E29*1.1)</f>
        <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0</v>
      </c>
      <c r="J29" s="5">
        <f ca="1">IFERROR(HLOOKUP(A29,'Capacity calculation (hide)'!$BK$1:$DK$4,4,0),Capacity!$U$15)</f>
        <v>0</v>
      </c>
      <c r="K29" s="5">
        <f ca="1">IF(I29-IF(Setup!$I$15="Yes",$G29,0)-IF(Setup!$I$13="Yes",$H29,0)&lt;0,0,I29-IF(Setup!$I$15="Yes",$G29,0)-IF(Setup!$I$13="Yes",$H29,0))</f>
        <v>0</v>
      </c>
      <c r="L29" s="5">
        <f t="shared" ca="1" si="3"/>
        <v>0</v>
      </c>
      <c r="M29" s="5" t="e">
        <f ca="1">(IF('Demand adjustments for Covid'!$F$9="No",E29,SUM('Demand background (hide)'!DS18,'Demand background (hide)'!DV18:DW18))*(1-'Parameters calculator (hide)'!$B$43))*(1-'Parameters calculator (hide)'!$B$44+('Parameters calculator (hide)'!$B$45*'Parameters calculator (hide)'!$B$47))</f>
        <v>#VALUE!</v>
      </c>
      <c r="N29" s="5" t="e">
        <f ca="1">(IF('Demand adjustments for Covid'!$F$9="No",F29,SUM('Demand background (hide)'!DT18,'Demand background (hide)'!DV18:DW18))*(1-'Parameters calculator (hide)'!$B$43))*(1-'Parameters calculator (hide)'!$B$44+('Parameters calculator (hide)'!$B$45*'Parameters calculator (hide)'!$B$47))</f>
        <v>#VALUE!</v>
      </c>
      <c r="P29" s="5">
        <f t="shared" ca="1" si="4"/>
        <v>0</v>
      </c>
      <c r="Q29" s="5">
        <f t="shared" ca="1" si="5"/>
        <v>0</v>
      </c>
      <c r="R29" s="5">
        <f t="shared" ca="1" si="6"/>
        <v>0</v>
      </c>
      <c r="S29" s="5">
        <f t="shared" ca="1" si="7"/>
        <v>0</v>
      </c>
      <c r="T29" s="5" t="e">
        <f ca="1">M29/IF(Summary!$C$8&lt;&gt;"Patients",1,$I$9)</f>
        <v>#VALUE!</v>
      </c>
      <c r="U29" s="5" t="e">
        <f ca="1">((N29-M29)/IF(Summary!$C$8&lt;&gt;"Patients",1,$I$9))</f>
        <v>#VALUE!</v>
      </c>
      <c r="V29" s="5">
        <f t="shared" si="8"/>
        <v>0</v>
      </c>
      <c r="X29" s="5" t="e">
        <f ca="1">(VLOOKUP(D29,'SPC background (hide)'!$AG$2:$AN$54,8,0)/IF(Summary!$C$8&lt;&gt;"Patients",1,$I$9))*(1-$I$4)*(1-$I$5+($I$6*$I$7))</f>
        <v>#N/A</v>
      </c>
    </row>
    <row r="30" spans="1:24" x14ac:dyDescent="0.2">
      <c r="A30" s="87">
        <f t="shared" ca="1" si="9"/>
        <v>44865</v>
      </c>
      <c r="B30" s="67" t="str">
        <f t="shared" ca="1" si="1"/>
        <v/>
      </c>
      <c r="C30" s="67" t="str">
        <f t="shared" ca="1" si="2"/>
        <v/>
      </c>
      <c r="D30" s="67">
        <f t="shared" ca="1" si="0"/>
        <v>44</v>
      </c>
      <c r="E30" s="5" t="str">
        <f ca="1">IF(LEFT(Demand!$C$8,1)="H",VLOOKUP($D30,'SPC background (hide)'!$AG$2:$AS$54,12,0),'Demand background (hide)'!X19)</f>
        <v/>
      </c>
      <c r="F30" s="5" t="str">
        <f ca="1">IF(LEFT(Demand!$C$8,1)="H",VLOOKUP($D30,'SPC background (hide)'!$AG$2:$AS$54,13,0),E30*1.1)</f>
        <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0</v>
      </c>
      <c r="J30" s="5">
        <f ca="1">IFERROR(HLOOKUP(A30,'Capacity calculation (hide)'!$BK$1:$DK$4,4,0),Capacity!$U$15)</f>
        <v>0</v>
      </c>
      <c r="K30" s="5">
        <f ca="1">IF(I30-IF(Setup!$I$15="Yes",$G30,0)-IF(Setup!$I$13="Yes",$H30,0)&lt;0,0,I30-IF(Setup!$I$15="Yes",$G30,0)-IF(Setup!$I$13="Yes",$H30,0))</f>
        <v>0</v>
      </c>
      <c r="L30" s="5">
        <f t="shared" ca="1" si="3"/>
        <v>0</v>
      </c>
      <c r="M30" s="5" t="e">
        <f ca="1">(IF('Demand adjustments for Covid'!$F$9="No",E30,SUM('Demand background (hide)'!DS19,'Demand background (hide)'!DV19:DW19))*(1-'Parameters calculator (hide)'!$B$43))*(1-'Parameters calculator (hide)'!$B$44+('Parameters calculator (hide)'!$B$45*'Parameters calculator (hide)'!$B$47))</f>
        <v>#VALUE!</v>
      </c>
      <c r="N30" s="5" t="e">
        <f ca="1">(IF('Demand adjustments for Covid'!$F$9="No",F30,SUM('Demand background (hide)'!DT19,'Demand background (hide)'!DV19:DW19))*(1-'Parameters calculator (hide)'!$B$43))*(1-'Parameters calculator (hide)'!$B$44+('Parameters calculator (hide)'!$B$45*'Parameters calculator (hide)'!$B$47))</f>
        <v>#VALUE!</v>
      </c>
      <c r="P30" s="5">
        <f t="shared" ca="1" si="4"/>
        <v>0</v>
      </c>
      <c r="Q30" s="5">
        <f t="shared" ca="1" si="5"/>
        <v>0</v>
      </c>
      <c r="R30" s="5">
        <f t="shared" ca="1" si="6"/>
        <v>0</v>
      </c>
      <c r="S30" s="5">
        <f t="shared" ca="1" si="7"/>
        <v>0</v>
      </c>
      <c r="T30" s="5" t="e">
        <f ca="1">M30/IF(Summary!$C$8&lt;&gt;"Patients",1,$I$9)</f>
        <v>#VALUE!</v>
      </c>
      <c r="U30" s="5" t="e">
        <f ca="1">((N30-M30)/IF(Summary!$C$8&lt;&gt;"Patients",1,$I$9))</f>
        <v>#VALUE!</v>
      </c>
      <c r="V30" s="5">
        <f t="shared" si="8"/>
        <v>0</v>
      </c>
      <c r="X30" s="5" t="e">
        <f ca="1">(VLOOKUP(D30,'SPC background (hide)'!$AG$2:$AN$54,8,0)/IF(Summary!$C$8&lt;&gt;"Patients",1,$I$9))*(1-$I$4)*(1-$I$5+($I$6*$I$7))</f>
        <v>#N/A</v>
      </c>
    </row>
    <row r="31" spans="1:24" x14ac:dyDescent="0.2">
      <c r="A31" s="87">
        <f t="shared" ca="1" si="9"/>
        <v>44872</v>
      </c>
      <c r="B31" s="67" t="str">
        <f t="shared" ca="1" si="1"/>
        <v/>
      </c>
      <c r="C31" s="67" t="str">
        <f t="shared" ca="1" si="2"/>
        <v>Nov</v>
      </c>
      <c r="D31" s="67">
        <f t="shared" ca="1" si="0"/>
        <v>45</v>
      </c>
      <c r="E31" s="5" t="str">
        <f ca="1">IF(LEFT(Demand!$C$8,1)="H",VLOOKUP($D31,'SPC background (hide)'!$AG$2:$AS$54,12,0),'Demand background (hide)'!X20)</f>
        <v/>
      </c>
      <c r="F31" s="5" t="str">
        <f ca="1">IF(LEFT(Demand!$C$8,1)="H",VLOOKUP($D31,'SPC background (hide)'!$AG$2:$AS$54,13,0),E31*1.1)</f>
        <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0</v>
      </c>
      <c r="J31" s="5">
        <f ca="1">IFERROR(HLOOKUP(A31,'Capacity calculation (hide)'!$BK$1:$DK$4,4,0),Capacity!$U$15)</f>
        <v>0</v>
      </c>
      <c r="K31" s="5">
        <f ca="1">IF(I31-IF(Setup!$I$15="Yes",$G31,0)-IF(Setup!$I$13="Yes",$H31,0)&lt;0,0,I31-IF(Setup!$I$15="Yes",$G31,0)-IF(Setup!$I$13="Yes",$H31,0))</f>
        <v>0</v>
      </c>
      <c r="L31" s="5">
        <f t="shared" ca="1" si="3"/>
        <v>0</v>
      </c>
      <c r="M31" s="5" t="e">
        <f ca="1">(IF('Demand adjustments for Covid'!$F$9="No",E31,SUM('Demand background (hide)'!DS20,'Demand background (hide)'!DV20:DW20))*(1-'Parameters calculator (hide)'!$B$43))*(1-'Parameters calculator (hide)'!$B$44+('Parameters calculator (hide)'!$B$45*'Parameters calculator (hide)'!$B$47))</f>
        <v>#VALUE!</v>
      </c>
      <c r="N31" s="5" t="e">
        <f ca="1">(IF('Demand adjustments for Covid'!$F$9="No",F31,SUM('Demand background (hide)'!DT20,'Demand background (hide)'!DV20:DW20))*(1-'Parameters calculator (hide)'!$B$43))*(1-'Parameters calculator (hide)'!$B$44+('Parameters calculator (hide)'!$B$45*'Parameters calculator (hide)'!$B$47))</f>
        <v>#VALUE!</v>
      </c>
      <c r="P31" s="5">
        <f t="shared" ca="1" si="4"/>
        <v>0</v>
      </c>
      <c r="Q31" s="5">
        <f t="shared" ca="1" si="5"/>
        <v>0</v>
      </c>
      <c r="R31" s="5">
        <f t="shared" ca="1" si="6"/>
        <v>0</v>
      </c>
      <c r="S31" s="5">
        <f t="shared" ca="1" si="7"/>
        <v>0</v>
      </c>
      <c r="T31" s="5" t="e">
        <f ca="1">M31/IF(Summary!$C$8&lt;&gt;"Patients",1,$I$9)</f>
        <v>#VALUE!</v>
      </c>
      <c r="U31" s="5" t="e">
        <f ca="1">((N31-M31)/IF(Summary!$C$8&lt;&gt;"Patients",1,$I$9))</f>
        <v>#VALUE!</v>
      </c>
      <c r="V31" s="5">
        <f t="shared" si="8"/>
        <v>0</v>
      </c>
      <c r="X31" s="5" t="e">
        <f ca="1">(VLOOKUP(D31,'SPC background (hide)'!$AG$2:$AN$54,8,0)/IF(Summary!$C$8&lt;&gt;"Patients",1,$I$9))*(1-$I$4)*(1-$I$5+($I$6*$I$7))</f>
        <v>#N/A</v>
      </c>
    </row>
    <row r="32" spans="1:24" x14ac:dyDescent="0.2">
      <c r="A32" s="87">
        <f t="shared" ca="1" si="9"/>
        <v>44879</v>
      </c>
      <c r="B32" s="67" t="str">
        <f t="shared" ca="1" si="1"/>
        <v/>
      </c>
      <c r="C32" s="67" t="str">
        <f t="shared" ca="1" si="2"/>
        <v/>
      </c>
      <c r="D32" s="67">
        <f t="shared" ca="1" si="0"/>
        <v>46</v>
      </c>
      <c r="E32" s="5" t="str">
        <f ca="1">IF(LEFT(Demand!$C$8,1)="H",VLOOKUP($D32,'SPC background (hide)'!$AG$2:$AS$54,12,0),'Demand background (hide)'!X21)</f>
        <v/>
      </c>
      <c r="F32" s="5" t="str">
        <f ca="1">IF(LEFT(Demand!$C$8,1)="H",VLOOKUP($D32,'SPC background (hide)'!$AG$2:$AS$54,13,0),E32*1.1)</f>
        <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0</v>
      </c>
      <c r="J32" s="5">
        <f ca="1">IFERROR(HLOOKUP(A32,'Capacity calculation (hide)'!$BK$1:$DK$4,4,0),Capacity!$U$15)</f>
        <v>0</v>
      </c>
      <c r="K32" s="5">
        <f ca="1">IF(I32-IF(Setup!$I$15="Yes",$G32,0)-IF(Setup!$I$13="Yes",$H32,0)&lt;0,0,I32-IF(Setup!$I$15="Yes",$G32,0)-IF(Setup!$I$13="Yes",$H32,0))</f>
        <v>0</v>
      </c>
      <c r="L32" s="5">
        <f t="shared" ca="1" si="3"/>
        <v>0</v>
      </c>
      <c r="M32" s="5" t="e">
        <f ca="1">(IF('Demand adjustments for Covid'!$F$9="No",E32,SUM('Demand background (hide)'!DS21,'Demand background (hide)'!DV21:DW21))*(1-'Parameters calculator (hide)'!$B$43))*(1-'Parameters calculator (hide)'!$B$44+('Parameters calculator (hide)'!$B$45*'Parameters calculator (hide)'!$B$47))</f>
        <v>#VALUE!</v>
      </c>
      <c r="N32" s="5" t="e">
        <f ca="1">(IF('Demand adjustments for Covid'!$F$9="No",F32,SUM('Demand background (hide)'!DT21,'Demand background (hide)'!DV21:DW21))*(1-'Parameters calculator (hide)'!$B$43))*(1-'Parameters calculator (hide)'!$B$44+('Parameters calculator (hide)'!$B$45*'Parameters calculator (hide)'!$B$47))</f>
        <v>#VALUE!</v>
      </c>
      <c r="P32" s="5">
        <f t="shared" ca="1" si="4"/>
        <v>0</v>
      </c>
      <c r="Q32" s="5">
        <f t="shared" ca="1" si="5"/>
        <v>0</v>
      </c>
      <c r="R32" s="5">
        <f t="shared" ca="1" si="6"/>
        <v>0</v>
      </c>
      <c r="S32" s="5">
        <f t="shared" ca="1" si="7"/>
        <v>0</v>
      </c>
      <c r="T32" s="5" t="e">
        <f ca="1">M32/IF(Summary!$C$8&lt;&gt;"Patients",1,$I$9)</f>
        <v>#VALUE!</v>
      </c>
      <c r="U32" s="5" t="e">
        <f ca="1">((N32-M32)/IF(Summary!$C$8&lt;&gt;"Patients",1,$I$9))</f>
        <v>#VALUE!</v>
      </c>
      <c r="V32" s="5">
        <f t="shared" si="8"/>
        <v>0</v>
      </c>
      <c r="X32" s="5" t="e">
        <f ca="1">(VLOOKUP(D32,'SPC background (hide)'!$AG$2:$AN$54,8,0)/IF(Summary!$C$8&lt;&gt;"Patients",1,$I$9))*(1-$I$4)*(1-$I$5+($I$6*$I$7))</f>
        <v>#N/A</v>
      </c>
    </row>
    <row r="33" spans="1:24" x14ac:dyDescent="0.2">
      <c r="A33" s="87">
        <f t="shared" ca="1" si="9"/>
        <v>44886</v>
      </c>
      <c r="B33" s="67" t="str">
        <f t="shared" ca="1" si="1"/>
        <v/>
      </c>
      <c r="C33" s="67" t="str">
        <f t="shared" ca="1" si="2"/>
        <v/>
      </c>
      <c r="D33" s="67">
        <f t="shared" ca="1" si="0"/>
        <v>47</v>
      </c>
      <c r="E33" s="5" t="str">
        <f ca="1">IF(LEFT(Demand!$C$8,1)="H",VLOOKUP($D33,'SPC background (hide)'!$AG$2:$AS$54,12,0),'Demand background (hide)'!X22)</f>
        <v/>
      </c>
      <c r="F33" s="5" t="str">
        <f ca="1">IF(LEFT(Demand!$C$8,1)="H",VLOOKUP($D33,'SPC background (hide)'!$AG$2:$AS$54,13,0),E33*1.1)</f>
        <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0</v>
      </c>
      <c r="J33" s="5">
        <f ca="1">IFERROR(HLOOKUP(A33,'Capacity calculation (hide)'!$BK$1:$DK$4,4,0),Capacity!$U$15)</f>
        <v>0</v>
      </c>
      <c r="K33" s="5">
        <f ca="1">IF(I33-IF(Setup!$I$15="Yes",$G33,0)-IF(Setup!$I$13="Yes",$H33,0)&lt;0,0,I33-IF(Setup!$I$15="Yes",$G33,0)-IF(Setup!$I$13="Yes",$H33,0))</f>
        <v>0</v>
      </c>
      <c r="L33" s="5">
        <f t="shared" ca="1" si="3"/>
        <v>0</v>
      </c>
      <c r="M33" s="5" t="e">
        <f ca="1">(IF('Demand adjustments for Covid'!$F$9="No",E33,SUM('Demand background (hide)'!DS22,'Demand background (hide)'!DV22:DW22))*(1-'Parameters calculator (hide)'!$B$43))*(1-'Parameters calculator (hide)'!$B$44+('Parameters calculator (hide)'!$B$45*'Parameters calculator (hide)'!$B$47))</f>
        <v>#VALUE!</v>
      </c>
      <c r="N33" s="5" t="e">
        <f ca="1">(IF('Demand adjustments for Covid'!$F$9="No",F33,SUM('Demand background (hide)'!DT22,'Demand background (hide)'!DV22:DW22))*(1-'Parameters calculator (hide)'!$B$43))*(1-'Parameters calculator (hide)'!$B$44+('Parameters calculator (hide)'!$B$45*'Parameters calculator (hide)'!$B$47))</f>
        <v>#VALUE!</v>
      </c>
      <c r="P33" s="5">
        <f t="shared" ca="1" si="4"/>
        <v>0</v>
      </c>
      <c r="Q33" s="5">
        <f t="shared" ca="1" si="5"/>
        <v>0</v>
      </c>
      <c r="R33" s="5">
        <f t="shared" ca="1" si="6"/>
        <v>0</v>
      </c>
      <c r="S33" s="5">
        <f t="shared" ca="1" si="7"/>
        <v>0</v>
      </c>
      <c r="T33" s="5" t="e">
        <f ca="1">M33/IF(Summary!$C$8&lt;&gt;"Patients",1,$I$9)</f>
        <v>#VALUE!</v>
      </c>
      <c r="U33" s="5" t="e">
        <f ca="1">((N33-M33)/IF(Summary!$C$8&lt;&gt;"Patients",1,$I$9))</f>
        <v>#VALUE!</v>
      </c>
      <c r="V33" s="5">
        <f t="shared" si="8"/>
        <v>0</v>
      </c>
      <c r="X33" s="5" t="e">
        <f ca="1">(VLOOKUP(D33,'SPC background (hide)'!$AG$2:$AN$54,8,0)/IF(Summary!$C$8&lt;&gt;"Patients",1,$I$9))*(1-$I$4)*(1-$I$5+($I$6*$I$7))</f>
        <v>#N/A</v>
      </c>
    </row>
    <row r="34" spans="1:24" x14ac:dyDescent="0.2">
      <c r="A34" s="87">
        <f t="shared" ca="1" si="9"/>
        <v>44893</v>
      </c>
      <c r="B34" s="67" t="str">
        <f t="shared" ca="1" si="1"/>
        <v/>
      </c>
      <c r="C34" s="67" t="str">
        <f t="shared" ca="1" si="2"/>
        <v/>
      </c>
      <c r="D34" s="67">
        <f t="shared" ca="1" si="0"/>
        <v>48</v>
      </c>
      <c r="E34" s="5" t="str">
        <f ca="1">IF(LEFT(Demand!$C$8,1)="H",VLOOKUP($D34,'SPC background (hide)'!$AG$2:$AS$54,12,0),'Demand background (hide)'!X23)</f>
        <v/>
      </c>
      <c r="F34" s="5" t="str">
        <f ca="1">IF(LEFT(Demand!$C$8,1)="H",VLOOKUP($D34,'SPC background (hide)'!$AG$2:$AS$54,13,0),E34*1.1)</f>
        <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0</v>
      </c>
      <c r="J34" s="5">
        <f ca="1">IFERROR(HLOOKUP(A34,'Capacity calculation (hide)'!$BK$1:$DK$4,4,0),Capacity!$U$15)</f>
        <v>0</v>
      </c>
      <c r="K34" s="5">
        <f ca="1">IF(I34-IF(Setup!$I$15="Yes",$G34,0)-IF(Setup!$I$13="Yes",$H34,0)&lt;0,0,I34-IF(Setup!$I$15="Yes",$G34,0)-IF(Setup!$I$13="Yes",$H34,0))</f>
        <v>0</v>
      </c>
      <c r="L34" s="5">
        <f t="shared" ca="1" si="3"/>
        <v>0</v>
      </c>
      <c r="M34" s="5" t="e">
        <f ca="1">(IF('Demand adjustments for Covid'!$F$9="No",E34,SUM('Demand background (hide)'!DS23,'Demand background (hide)'!DV23:DW23))*(1-'Parameters calculator (hide)'!$B$43))*(1-'Parameters calculator (hide)'!$B$44+('Parameters calculator (hide)'!$B$45*'Parameters calculator (hide)'!$B$47))</f>
        <v>#VALUE!</v>
      </c>
      <c r="N34" s="5" t="e">
        <f ca="1">(IF('Demand adjustments for Covid'!$F$9="No",F34,SUM('Demand background (hide)'!DT23,'Demand background (hide)'!DV23:DW23))*(1-'Parameters calculator (hide)'!$B$43))*(1-'Parameters calculator (hide)'!$B$44+('Parameters calculator (hide)'!$B$45*'Parameters calculator (hide)'!$B$47))</f>
        <v>#VALUE!</v>
      </c>
      <c r="P34" s="5">
        <f t="shared" ca="1" si="4"/>
        <v>0</v>
      </c>
      <c r="Q34" s="5">
        <f t="shared" ca="1" si="5"/>
        <v>0</v>
      </c>
      <c r="R34" s="5">
        <f t="shared" ca="1" si="6"/>
        <v>0</v>
      </c>
      <c r="S34" s="5">
        <f t="shared" ca="1" si="7"/>
        <v>0</v>
      </c>
      <c r="T34" s="5" t="e">
        <f ca="1">M34/IF(Summary!$C$8&lt;&gt;"Patients",1,$I$9)</f>
        <v>#VALUE!</v>
      </c>
      <c r="U34" s="5" t="e">
        <f ca="1">((N34-M34)/IF(Summary!$C$8&lt;&gt;"Patients",1,$I$9))</f>
        <v>#VALUE!</v>
      </c>
      <c r="V34" s="5">
        <f t="shared" si="8"/>
        <v>0</v>
      </c>
      <c r="X34" s="5" t="e">
        <f ca="1">(VLOOKUP(D34,'SPC background (hide)'!$AG$2:$AN$54,8,0)/IF(Summary!$C$8&lt;&gt;"Patients",1,$I$9))*(1-$I$4)*(1-$I$5+($I$6*$I$7))</f>
        <v>#N/A</v>
      </c>
    </row>
    <row r="35" spans="1:24" x14ac:dyDescent="0.2">
      <c r="A35" s="87">
        <f t="shared" ca="1" si="9"/>
        <v>44900</v>
      </c>
      <c r="B35" s="67" t="str">
        <f t="shared" ca="1" si="1"/>
        <v/>
      </c>
      <c r="C35" s="67" t="str">
        <f t="shared" ca="1" si="2"/>
        <v>Dec</v>
      </c>
      <c r="D35" s="67">
        <f t="shared" ca="1" si="0"/>
        <v>49</v>
      </c>
      <c r="E35" s="5" t="str">
        <f ca="1">IF(LEFT(Demand!$C$8,1)="H",VLOOKUP($D35,'SPC background (hide)'!$AG$2:$AS$54,12,0),'Demand background (hide)'!X24)</f>
        <v/>
      </c>
      <c r="F35" s="5" t="str">
        <f ca="1">IF(LEFT(Demand!$C$8,1)="H",VLOOKUP($D35,'SPC background (hide)'!$AG$2:$AS$54,13,0),E35*1.1)</f>
        <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0</v>
      </c>
      <c r="J35" s="5">
        <f ca="1">IFERROR(HLOOKUP(A35,'Capacity calculation (hide)'!$BK$1:$DK$4,4,0),Capacity!$U$15)</f>
        <v>0</v>
      </c>
      <c r="K35" s="5">
        <f ca="1">IF(I35-IF(Setup!$I$15="Yes",$G35,0)-IF(Setup!$I$13="Yes",$H35,0)&lt;0,0,I35-IF(Setup!$I$15="Yes",$G35,0)-IF(Setup!$I$13="Yes",$H35,0))</f>
        <v>0</v>
      </c>
      <c r="L35" s="5">
        <f t="shared" ca="1" si="3"/>
        <v>0</v>
      </c>
      <c r="M35" s="5" t="e">
        <f ca="1">(IF('Demand adjustments for Covid'!$F$9="No",E35,SUM('Demand background (hide)'!DS24,'Demand background (hide)'!DV24:DW24))*(1-'Parameters calculator (hide)'!$B$43))*(1-'Parameters calculator (hide)'!$B$44+('Parameters calculator (hide)'!$B$45*'Parameters calculator (hide)'!$B$47))</f>
        <v>#VALUE!</v>
      </c>
      <c r="N35" s="5" t="e">
        <f ca="1">(IF('Demand adjustments for Covid'!$F$9="No",F35,SUM('Demand background (hide)'!DT24,'Demand background (hide)'!DV24:DW24))*(1-'Parameters calculator (hide)'!$B$43))*(1-'Parameters calculator (hide)'!$B$44+('Parameters calculator (hide)'!$B$45*'Parameters calculator (hide)'!$B$47))</f>
        <v>#VALUE!</v>
      </c>
      <c r="P35" s="5">
        <f t="shared" ca="1" si="4"/>
        <v>0</v>
      </c>
      <c r="Q35" s="5">
        <f t="shared" ca="1" si="5"/>
        <v>0</v>
      </c>
      <c r="R35" s="5">
        <f t="shared" ca="1" si="6"/>
        <v>0</v>
      </c>
      <c r="S35" s="5">
        <f t="shared" ca="1" si="7"/>
        <v>0</v>
      </c>
      <c r="T35" s="5" t="e">
        <f ca="1">M35/IF(Summary!$C$8&lt;&gt;"Patients",1,$I$9)</f>
        <v>#VALUE!</v>
      </c>
      <c r="U35" s="5" t="e">
        <f ca="1">((N35-M35)/IF(Summary!$C$8&lt;&gt;"Patients",1,$I$9))</f>
        <v>#VALUE!</v>
      </c>
      <c r="V35" s="5">
        <f t="shared" si="8"/>
        <v>0</v>
      </c>
      <c r="X35" s="5" t="e">
        <f ca="1">(VLOOKUP(D35,'SPC background (hide)'!$AG$2:$AN$54,8,0)/IF(Summary!$C$8&lt;&gt;"Patients",1,$I$9))*(1-$I$4)*(1-$I$5+($I$6*$I$7))</f>
        <v>#N/A</v>
      </c>
    </row>
    <row r="36" spans="1:24" x14ac:dyDescent="0.2">
      <c r="A36" s="87">
        <f t="shared" ca="1" si="9"/>
        <v>44907</v>
      </c>
      <c r="B36" s="67" t="str">
        <f t="shared" ca="1" si="1"/>
        <v/>
      </c>
      <c r="C36" s="67" t="str">
        <f t="shared" ca="1" si="2"/>
        <v/>
      </c>
      <c r="D36" s="67">
        <f t="shared" ca="1" si="0"/>
        <v>50</v>
      </c>
      <c r="E36" s="5" t="str">
        <f ca="1">IF(LEFT(Demand!$C$8,1)="H",VLOOKUP($D36,'SPC background (hide)'!$AG$2:$AS$54,12,0),'Demand background (hide)'!X25)</f>
        <v/>
      </c>
      <c r="F36" s="5" t="str">
        <f ca="1">IF(LEFT(Demand!$C$8,1)="H",VLOOKUP($D36,'SPC background (hide)'!$AG$2:$AS$54,13,0),E36*1.1)</f>
        <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0</v>
      </c>
      <c r="J36" s="5">
        <f ca="1">IFERROR(HLOOKUP(A36,'Capacity calculation (hide)'!$BK$1:$DK$4,4,0),Capacity!$U$15)</f>
        <v>0</v>
      </c>
      <c r="K36" s="5">
        <f ca="1">IF(I36-IF(Setup!$I$15="Yes",$G36,0)-IF(Setup!$I$13="Yes",$H36,0)&lt;0,0,I36-IF(Setup!$I$15="Yes",$G36,0)-IF(Setup!$I$13="Yes",$H36,0))</f>
        <v>0</v>
      </c>
      <c r="L36" s="5">
        <f t="shared" ca="1" si="3"/>
        <v>0</v>
      </c>
      <c r="M36" s="5" t="e">
        <f ca="1">(IF('Demand adjustments for Covid'!$F$9="No",E36,SUM('Demand background (hide)'!DS25,'Demand background (hide)'!DV25:DW25))*(1-'Parameters calculator (hide)'!$B$43))*(1-'Parameters calculator (hide)'!$B$44+('Parameters calculator (hide)'!$B$45*'Parameters calculator (hide)'!$B$47))</f>
        <v>#VALUE!</v>
      </c>
      <c r="N36" s="5" t="e">
        <f ca="1">(IF('Demand adjustments for Covid'!$F$9="No",F36,SUM('Demand background (hide)'!DT25,'Demand background (hide)'!DV25:DW25))*(1-'Parameters calculator (hide)'!$B$43))*(1-'Parameters calculator (hide)'!$B$44+('Parameters calculator (hide)'!$B$45*'Parameters calculator (hide)'!$B$47))</f>
        <v>#VALUE!</v>
      </c>
      <c r="P36" s="5">
        <f t="shared" ca="1" si="4"/>
        <v>0</v>
      </c>
      <c r="Q36" s="5">
        <f t="shared" ca="1" si="5"/>
        <v>0</v>
      </c>
      <c r="R36" s="5">
        <f t="shared" ca="1" si="6"/>
        <v>0</v>
      </c>
      <c r="S36" s="5">
        <f t="shared" ca="1" si="7"/>
        <v>0</v>
      </c>
      <c r="T36" s="5" t="e">
        <f ca="1">M36/IF(Summary!$C$8&lt;&gt;"Patients",1,$I$9)</f>
        <v>#VALUE!</v>
      </c>
      <c r="U36" s="5" t="e">
        <f ca="1">((N36-M36)/IF(Summary!$C$8&lt;&gt;"Patients",1,$I$9))</f>
        <v>#VALUE!</v>
      </c>
      <c r="V36" s="5">
        <f t="shared" si="8"/>
        <v>0</v>
      </c>
      <c r="X36" s="5" t="e">
        <f ca="1">(VLOOKUP(D36,'SPC background (hide)'!$AG$2:$AN$54,8,0)/IF(Summary!$C$8&lt;&gt;"Patients",1,$I$9))*(1-$I$4)*(1-$I$5+($I$6*$I$7))</f>
        <v>#N/A</v>
      </c>
    </row>
    <row r="37" spans="1:24" x14ac:dyDescent="0.2">
      <c r="A37" s="87">
        <f t="shared" ca="1" si="9"/>
        <v>44914</v>
      </c>
      <c r="B37" s="67" t="str">
        <f t="shared" ca="1" si="1"/>
        <v/>
      </c>
      <c r="C37" s="67" t="str">
        <f t="shared" ca="1" si="2"/>
        <v/>
      </c>
      <c r="D37" s="67">
        <f t="shared" ca="1" si="0"/>
        <v>51</v>
      </c>
      <c r="E37" s="5" t="str">
        <f ca="1">IF(LEFT(Demand!$C$8,1)="H",VLOOKUP($D37,'SPC background (hide)'!$AG$2:$AS$54,12,0),'Demand background (hide)'!X26)</f>
        <v/>
      </c>
      <c r="F37" s="5" t="str">
        <f ca="1">IF(LEFT(Demand!$C$8,1)="H",VLOOKUP($D37,'SPC background (hide)'!$AG$2:$AS$54,13,0),E37*1.1)</f>
        <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0</v>
      </c>
      <c r="J37" s="5">
        <f ca="1">IFERROR(HLOOKUP(A37,'Capacity calculation (hide)'!$BK$1:$DK$4,4,0),Capacity!$U$15)</f>
        <v>0</v>
      </c>
      <c r="K37" s="5">
        <f ca="1">IF(I37-IF(Setup!$I$15="Yes",$G37,0)-IF(Setup!$I$13="Yes",$H37,0)&lt;0,0,I37-IF(Setup!$I$15="Yes",$G37,0)-IF(Setup!$I$13="Yes",$H37,0))</f>
        <v>0</v>
      </c>
      <c r="L37" s="5">
        <f t="shared" ca="1" si="3"/>
        <v>0</v>
      </c>
      <c r="M37" s="5" t="e">
        <f ca="1">(IF('Demand adjustments for Covid'!$F$9="No",E37,SUM('Demand background (hide)'!DS26,'Demand background (hide)'!DV26:DW26))*(1-'Parameters calculator (hide)'!$B$43))*(1-'Parameters calculator (hide)'!$B$44+('Parameters calculator (hide)'!$B$45*'Parameters calculator (hide)'!$B$47))</f>
        <v>#VALUE!</v>
      </c>
      <c r="N37" s="5" t="e">
        <f ca="1">(IF('Demand adjustments for Covid'!$F$9="No",F37,SUM('Demand background (hide)'!DT26,'Demand background (hide)'!DV26:DW26))*(1-'Parameters calculator (hide)'!$B$43))*(1-'Parameters calculator (hide)'!$B$44+('Parameters calculator (hide)'!$B$45*'Parameters calculator (hide)'!$B$47))</f>
        <v>#VALUE!</v>
      </c>
      <c r="P37" s="5">
        <f t="shared" ca="1" si="4"/>
        <v>0</v>
      </c>
      <c r="Q37" s="5">
        <f t="shared" ca="1" si="5"/>
        <v>0</v>
      </c>
      <c r="R37" s="5">
        <f t="shared" ca="1" si="6"/>
        <v>0</v>
      </c>
      <c r="S37" s="5">
        <f t="shared" ca="1" si="7"/>
        <v>0</v>
      </c>
      <c r="T37" s="5" t="e">
        <f ca="1">M37/IF(Summary!$C$8&lt;&gt;"Patients",1,$I$9)</f>
        <v>#VALUE!</v>
      </c>
      <c r="U37" s="5" t="e">
        <f ca="1">((N37-M37)/IF(Summary!$C$8&lt;&gt;"Patients",1,$I$9))</f>
        <v>#VALUE!</v>
      </c>
      <c r="V37" s="5">
        <f t="shared" si="8"/>
        <v>0</v>
      </c>
      <c r="X37" s="5" t="e">
        <f ca="1">(VLOOKUP(D37,'SPC background (hide)'!$AG$2:$AN$54,8,0)/IF(Summary!$C$8&lt;&gt;"Patients",1,$I$9))*(1-$I$4)*(1-$I$5+($I$6*$I$7))</f>
        <v>#N/A</v>
      </c>
    </row>
    <row r="38" spans="1:24" x14ac:dyDescent="0.2">
      <c r="A38" s="87">
        <f t="shared" ca="1" si="9"/>
        <v>44921</v>
      </c>
      <c r="B38" s="67" t="str">
        <f t="shared" ca="1" si="1"/>
        <v/>
      </c>
      <c r="C38" s="67" t="str">
        <f t="shared" ca="1" si="2"/>
        <v/>
      </c>
      <c r="D38" s="67">
        <f t="shared" ca="1" si="0"/>
        <v>52</v>
      </c>
      <c r="E38" s="5" t="str">
        <f ca="1">IF(LEFT(Demand!$C$8,1)="H",VLOOKUP($D38,'SPC background (hide)'!$AG$2:$AS$54,12,0),'Demand background (hide)'!X27)</f>
        <v/>
      </c>
      <c r="F38" s="5" t="str">
        <f ca="1">IF(LEFT(Demand!$C$8,1)="H",VLOOKUP($D38,'SPC background (hide)'!$AG$2:$AS$54,13,0),E38*1.1)</f>
        <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0</v>
      </c>
      <c r="J38" s="5">
        <f ca="1">IFERROR(HLOOKUP(A38,'Capacity calculation (hide)'!$BK$1:$DK$4,4,0),Capacity!$U$15)</f>
        <v>0</v>
      </c>
      <c r="K38" s="5">
        <f ca="1">IF(I38-IF(Setup!$I$15="Yes",$G38,0)-IF(Setup!$I$13="Yes",$H38,0)&lt;0,0,I38-IF(Setup!$I$15="Yes",$G38,0)-IF(Setup!$I$13="Yes",$H38,0))</f>
        <v>0</v>
      </c>
      <c r="L38" s="5">
        <f t="shared" ca="1" si="3"/>
        <v>0</v>
      </c>
      <c r="M38" s="5" t="e">
        <f ca="1">(IF('Demand adjustments for Covid'!$F$9="No",E38,SUM('Demand background (hide)'!DS27,'Demand background (hide)'!DV27:DW27))*(1-'Parameters calculator (hide)'!$B$43))*(1-'Parameters calculator (hide)'!$B$44+('Parameters calculator (hide)'!$B$45*'Parameters calculator (hide)'!$B$47))</f>
        <v>#VALUE!</v>
      </c>
      <c r="N38" s="5" t="e">
        <f ca="1">(IF('Demand adjustments for Covid'!$F$9="No",F38,SUM('Demand background (hide)'!DT27,'Demand background (hide)'!DV27:DW27))*(1-'Parameters calculator (hide)'!$B$43))*(1-'Parameters calculator (hide)'!$B$44+('Parameters calculator (hide)'!$B$45*'Parameters calculator (hide)'!$B$47))</f>
        <v>#VALUE!</v>
      </c>
      <c r="P38" s="5">
        <f t="shared" ca="1" si="4"/>
        <v>0</v>
      </c>
      <c r="Q38" s="5">
        <f t="shared" ca="1" si="5"/>
        <v>0</v>
      </c>
      <c r="R38" s="5">
        <f t="shared" ca="1" si="6"/>
        <v>0</v>
      </c>
      <c r="S38" s="5">
        <f t="shared" ca="1" si="7"/>
        <v>0</v>
      </c>
      <c r="T38" s="5" t="e">
        <f ca="1">M38/IF(Summary!$C$8&lt;&gt;"Patients",1,$I$9)</f>
        <v>#VALUE!</v>
      </c>
      <c r="U38" s="5" t="e">
        <f ca="1">((N38-M38)/IF(Summary!$C$8&lt;&gt;"Patients",1,$I$9))</f>
        <v>#VALUE!</v>
      </c>
      <c r="V38" s="5">
        <f t="shared" si="8"/>
        <v>0</v>
      </c>
      <c r="X38" s="5" t="e">
        <f ca="1">(VLOOKUP(D38,'SPC background (hide)'!$AG$2:$AN$54,8,0)/IF(Summary!$C$8&lt;&gt;"Patients",1,$I$9))*(1-$I$4)*(1-$I$5+($I$6*$I$7))</f>
        <v>#N/A</v>
      </c>
    </row>
    <row r="39" spans="1:24" x14ac:dyDescent="0.2">
      <c r="A39" s="87">
        <f t="shared" ca="1" si="9"/>
        <v>44928</v>
      </c>
      <c r="B39" s="67">
        <f t="shared" ca="1" si="1"/>
        <v>2023</v>
      </c>
      <c r="C39" s="67" t="str">
        <f t="shared" ca="1" si="2"/>
        <v>Jan</v>
      </c>
      <c r="D39" s="67">
        <f t="shared" ca="1" si="0"/>
        <v>1</v>
      </c>
      <c r="E39" s="5" t="str">
        <f ca="1">IF(LEFT(Demand!$C$8,1)="H",VLOOKUP($D39,'SPC background (hide)'!$AG$2:$AS$54,12,0),'Demand background (hide)'!X28)</f>
        <v/>
      </c>
      <c r="F39" s="5" t="str">
        <f ca="1">IF(LEFT(Demand!$C$8,1)="H",VLOOKUP($D39,'SPC background (hide)'!$AG$2:$AS$54,13,0),E39*1.1)</f>
        <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0</v>
      </c>
      <c r="J39" s="5">
        <f ca="1">IFERROR(HLOOKUP(A39,'Capacity calculation (hide)'!$BK$1:$DK$4,4,0),Capacity!$U$15)</f>
        <v>0</v>
      </c>
      <c r="K39" s="5">
        <f ca="1">IF(I39-IF(Setup!$I$15="Yes",$G39,0)-IF(Setup!$I$13="Yes",$H39,0)&lt;0,0,I39-IF(Setup!$I$15="Yes",$G39,0)-IF(Setup!$I$13="Yes",$H39,0))</f>
        <v>0</v>
      </c>
      <c r="L39" s="5">
        <f t="shared" ca="1" si="3"/>
        <v>0</v>
      </c>
      <c r="M39" s="5" t="e">
        <f ca="1">(IF('Demand adjustments for Covid'!$F$9="No",E39,SUM('Demand background (hide)'!DS28,'Demand background (hide)'!DV28:DW28))*(1-'Parameters calculator (hide)'!$B$43))*(1-'Parameters calculator (hide)'!$B$44+('Parameters calculator (hide)'!$B$45*'Parameters calculator (hide)'!$B$47))</f>
        <v>#VALUE!</v>
      </c>
      <c r="N39" s="5" t="e">
        <f ca="1">(IF('Demand adjustments for Covid'!$F$9="No",F39,SUM('Demand background (hide)'!DT28,'Demand background (hide)'!DV28:DW28))*(1-'Parameters calculator (hide)'!$B$43))*(1-'Parameters calculator (hide)'!$B$44+('Parameters calculator (hide)'!$B$45*'Parameters calculator (hide)'!$B$47))</f>
        <v>#VALUE!</v>
      </c>
      <c r="P39" s="5">
        <f t="shared" ca="1" si="4"/>
        <v>0</v>
      </c>
      <c r="Q39" s="5">
        <f t="shared" ca="1" si="5"/>
        <v>0</v>
      </c>
      <c r="R39" s="5">
        <f t="shared" ca="1" si="6"/>
        <v>0</v>
      </c>
      <c r="S39" s="5">
        <f t="shared" ca="1" si="7"/>
        <v>0</v>
      </c>
      <c r="T39" s="5" t="e">
        <f ca="1">M39/IF(Summary!$C$8&lt;&gt;"Patients",1,$I$9)</f>
        <v>#VALUE!</v>
      </c>
      <c r="U39" s="5" t="e">
        <f ca="1">((N39-M39)/IF(Summary!$C$8&lt;&gt;"Patients",1,$I$9))</f>
        <v>#VALUE!</v>
      </c>
      <c r="V39" s="5">
        <f t="shared" si="8"/>
        <v>0</v>
      </c>
      <c r="X39" s="5" t="e">
        <f ca="1">(VLOOKUP(D39,'SPC background (hide)'!$AG$2:$AN$54,8,0)/IF(Summary!$C$8&lt;&gt;"Patients",1,$I$9))*(1-$I$4)*(1-$I$5+($I$6*$I$7))</f>
        <v>#N/A</v>
      </c>
    </row>
    <row r="40" spans="1:24" x14ac:dyDescent="0.2">
      <c r="A40" s="87">
        <f t="shared" ca="1" si="9"/>
        <v>44935</v>
      </c>
      <c r="B40" s="67" t="str">
        <f t="shared" ca="1" si="1"/>
        <v/>
      </c>
      <c r="C40" s="67" t="str">
        <f t="shared" ca="1" si="2"/>
        <v/>
      </c>
      <c r="D40" s="67">
        <f t="shared" ca="1" si="0"/>
        <v>2</v>
      </c>
      <c r="E40" s="5" t="str">
        <f ca="1">IF(LEFT(Demand!$C$8,1)="H",VLOOKUP($D40,'SPC background (hide)'!$AG$2:$AS$54,12,0),'Demand background (hide)'!X29)</f>
        <v/>
      </c>
      <c r="F40" s="5" t="str">
        <f ca="1">IF(LEFT(Demand!$C$8,1)="H",VLOOKUP($D40,'SPC background (hide)'!$AG$2:$AS$54,13,0),E40*1.1)</f>
        <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0</v>
      </c>
      <c r="J40" s="5">
        <f ca="1">IFERROR(HLOOKUP(A40,'Capacity calculation (hide)'!$BK$1:$DK$4,4,0),Capacity!$U$15)</f>
        <v>0</v>
      </c>
      <c r="K40" s="5">
        <f ca="1">IF(I40-IF(Setup!$I$15="Yes",$G40,0)-IF(Setup!$I$13="Yes",$H40,0)&lt;0,0,I40-IF(Setup!$I$15="Yes",$G40,0)-IF(Setup!$I$13="Yes",$H40,0))</f>
        <v>0</v>
      </c>
      <c r="L40" s="5">
        <f t="shared" ca="1" si="3"/>
        <v>0</v>
      </c>
      <c r="M40" s="5" t="e">
        <f ca="1">(IF('Demand adjustments for Covid'!$F$9="No",E40,SUM('Demand background (hide)'!DS29,'Demand background (hide)'!DV29:DW29))*(1-'Parameters calculator (hide)'!$B$43))*(1-'Parameters calculator (hide)'!$B$44+('Parameters calculator (hide)'!$B$45*'Parameters calculator (hide)'!$B$47))</f>
        <v>#VALUE!</v>
      </c>
      <c r="N40" s="5" t="e">
        <f ca="1">(IF('Demand adjustments for Covid'!$F$9="No",F40,SUM('Demand background (hide)'!DT29,'Demand background (hide)'!DV29:DW29))*(1-'Parameters calculator (hide)'!$B$43))*(1-'Parameters calculator (hide)'!$B$44+('Parameters calculator (hide)'!$B$45*'Parameters calculator (hide)'!$B$47))</f>
        <v>#VALUE!</v>
      </c>
      <c r="P40" s="5">
        <f t="shared" ca="1" si="4"/>
        <v>0</v>
      </c>
      <c r="Q40" s="5">
        <f t="shared" ca="1" si="5"/>
        <v>0</v>
      </c>
      <c r="R40" s="5">
        <f t="shared" ca="1" si="6"/>
        <v>0</v>
      </c>
      <c r="S40" s="5">
        <f t="shared" ca="1" si="7"/>
        <v>0</v>
      </c>
      <c r="T40" s="5" t="e">
        <f ca="1">M40/IF(Summary!$C$8&lt;&gt;"Patients",1,$I$9)</f>
        <v>#VALUE!</v>
      </c>
      <c r="U40" s="5" t="e">
        <f ca="1">((N40-M40)/IF(Summary!$C$8&lt;&gt;"Patients",1,$I$9))</f>
        <v>#VALUE!</v>
      </c>
      <c r="V40" s="5">
        <f t="shared" si="8"/>
        <v>0</v>
      </c>
      <c r="X40" s="5" t="e">
        <f ca="1">(VLOOKUP(D40,'SPC background (hide)'!$AG$2:$AN$54,8,0)/IF(Summary!$C$8&lt;&gt;"Patients",1,$I$9))*(1-$I$4)*(1-$I$5+($I$6*$I$7))</f>
        <v>#N/A</v>
      </c>
    </row>
    <row r="41" spans="1:24" x14ac:dyDescent="0.2">
      <c r="A41" s="87">
        <f t="shared" ca="1" si="9"/>
        <v>44942</v>
      </c>
      <c r="B41" s="67" t="str">
        <f t="shared" ca="1" si="1"/>
        <v/>
      </c>
      <c r="C41" s="67" t="str">
        <f t="shared" ca="1" si="2"/>
        <v/>
      </c>
      <c r="D41" s="67">
        <f t="shared" ca="1" si="0"/>
        <v>3</v>
      </c>
      <c r="E41" s="5" t="str">
        <f ca="1">IF(LEFT(Demand!$C$8,1)="H",VLOOKUP($D41,'SPC background (hide)'!$AG$2:$AS$54,12,0),'Demand background (hide)'!X30)</f>
        <v/>
      </c>
      <c r="F41" s="5" t="str">
        <f ca="1">IF(LEFT(Demand!$C$8,1)="H",VLOOKUP($D41,'SPC background (hide)'!$AG$2:$AS$54,13,0),E41*1.1)</f>
        <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0</v>
      </c>
      <c r="J41" s="5">
        <f ca="1">IFERROR(HLOOKUP(A41,'Capacity calculation (hide)'!$BK$1:$DK$4,4,0),Capacity!$U$15)</f>
        <v>0</v>
      </c>
      <c r="K41" s="5">
        <f ca="1">IF(I41-IF(Setup!$I$15="Yes",$G41,0)-IF(Setup!$I$13="Yes",$H41,0)&lt;0,0,I41-IF(Setup!$I$15="Yes",$G41,0)-IF(Setup!$I$13="Yes",$H41,0))</f>
        <v>0</v>
      </c>
      <c r="L41" s="5">
        <f t="shared" ca="1" si="3"/>
        <v>0</v>
      </c>
      <c r="M41" s="5" t="e">
        <f ca="1">(IF('Demand adjustments for Covid'!$F$9="No",E41,SUM('Demand background (hide)'!DS30,'Demand background (hide)'!DV30:DW30))*(1-'Parameters calculator (hide)'!$B$43))*(1-'Parameters calculator (hide)'!$B$44+('Parameters calculator (hide)'!$B$45*'Parameters calculator (hide)'!$B$47))</f>
        <v>#VALUE!</v>
      </c>
      <c r="N41" s="5" t="e">
        <f ca="1">(IF('Demand adjustments for Covid'!$F$9="No",F41,SUM('Demand background (hide)'!DT30,'Demand background (hide)'!DV30:DW30))*(1-'Parameters calculator (hide)'!$B$43))*(1-'Parameters calculator (hide)'!$B$44+('Parameters calculator (hide)'!$B$45*'Parameters calculator (hide)'!$B$47))</f>
        <v>#VALUE!</v>
      </c>
      <c r="P41" s="5">
        <f t="shared" ca="1" si="4"/>
        <v>0</v>
      </c>
      <c r="Q41" s="5">
        <f t="shared" ca="1" si="5"/>
        <v>0</v>
      </c>
      <c r="R41" s="5">
        <f t="shared" ca="1" si="6"/>
        <v>0</v>
      </c>
      <c r="S41" s="5">
        <f t="shared" ca="1" si="7"/>
        <v>0</v>
      </c>
      <c r="T41" s="5" t="e">
        <f ca="1">M41/IF(Summary!$C$8&lt;&gt;"Patients",1,$I$9)</f>
        <v>#VALUE!</v>
      </c>
      <c r="U41" s="5" t="e">
        <f ca="1">((N41-M41)/IF(Summary!$C$8&lt;&gt;"Patients",1,$I$9))</f>
        <v>#VALUE!</v>
      </c>
      <c r="V41" s="5">
        <f t="shared" si="8"/>
        <v>0</v>
      </c>
      <c r="X41" s="5" t="e">
        <f ca="1">(VLOOKUP(D41,'SPC background (hide)'!$AG$2:$AN$54,8,0)/IF(Summary!$C$8&lt;&gt;"Patients",1,$I$9))*(1-$I$4)*(1-$I$5+($I$6*$I$7))</f>
        <v>#N/A</v>
      </c>
    </row>
    <row r="42" spans="1:24" x14ac:dyDescent="0.2">
      <c r="A42" s="87">
        <f t="shared" ca="1" si="9"/>
        <v>44949</v>
      </c>
      <c r="B42" s="67" t="str">
        <f t="shared" ca="1" si="1"/>
        <v/>
      </c>
      <c r="C42" s="67" t="str">
        <f t="shared" ca="1" si="2"/>
        <v/>
      </c>
      <c r="D42" s="67">
        <f t="shared" ca="1" si="0"/>
        <v>4</v>
      </c>
      <c r="E42" s="5" t="str">
        <f ca="1">IF(LEFT(Demand!$C$8,1)="H",VLOOKUP($D42,'SPC background (hide)'!$AG$2:$AS$54,12,0),'Demand background (hide)'!X31)</f>
        <v/>
      </c>
      <c r="F42" s="5" t="str">
        <f ca="1">IF(LEFT(Demand!$C$8,1)="H",VLOOKUP($D42,'SPC background (hide)'!$AG$2:$AS$54,13,0),E42*1.1)</f>
        <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0</v>
      </c>
      <c r="J42" s="5">
        <f ca="1">IFERROR(HLOOKUP(A42,'Capacity calculation (hide)'!$BK$1:$DK$4,4,0),Capacity!$U$15)</f>
        <v>0</v>
      </c>
      <c r="K42" s="5">
        <f ca="1">IF(I42-IF(Setup!$I$15="Yes",$G42,0)-IF(Setup!$I$13="Yes",$H42,0)&lt;0,0,I42-IF(Setup!$I$15="Yes",$G42,0)-IF(Setup!$I$13="Yes",$H42,0))</f>
        <v>0</v>
      </c>
      <c r="L42" s="5">
        <f t="shared" ca="1" si="3"/>
        <v>0</v>
      </c>
      <c r="M42" s="5" t="e">
        <f ca="1">(IF('Demand adjustments for Covid'!$F$9="No",E42,SUM('Demand background (hide)'!DS31,'Demand background (hide)'!DV31:DW31))*(1-'Parameters calculator (hide)'!$B$43))*(1-'Parameters calculator (hide)'!$B$44+('Parameters calculator (hide)'!$B$45*'Parameters calculator (hide)'!$B$47))</f>
        <v>#VALUE!</v>
      </c>
      <c r="N42" s="5" t="e">
        <f ca="1">(IF('Demand adjustments for Covid'!$F$9="No",F42,SUM('Demand background (hide)'!DT31,'Demand background (hide)'!DV31:DW31))*(1-'Parameters calculator (hide)'!$B$43))*(1-'Parameters calculator (hide)'!$B$44+('Parameters calculator (hide)'!$B$45*'Parameters calculator (hide)'!$B$47))</f>
        <v>#VALUE!</v>
      </c>
      <c r="P42" s="5">
        <f t="shared" ca="1" si="4"/>
        <v>0</v>
      </c>
      <c r="Q42" s="5">
        <f t="shared" ca="1" si="5"/>
        <v>0</v>
      </c>
      <c r="R42" s="5">
        <f t="shared" ca="1" si="6"/>
        <v>0</v>
      </c>
      <c r="S42" s="5">
        <f t="shared" ca="1" si="7"/>
        <v>0</v>
      </c>
      <c r="T42" s="5" t="e">
        <f ca="1">M42/IF(Summary!$C$8&lt;&gt;"Patients",1,$I$9)</f>
        <v>#VALUE!</v>
      </c>
      <c r="U42" s="5" t="e">
        <f ca="1">((N42-M42)/IF(Summary!$C$8&lt;&gt;"Patients",1,$I$9))</f>
        <v>#VALUE!</v>
      </c>
      <c r="V42" s="5">
        <f t="shared" si="8"/>
        <v>0</v>
      </c>
      <c r="X42" s="5" t="e">
        <f ca="1">(VLOOKUP(D42,'SPC background (hide)'!$AG$2:$AN$54,8,0)/IF(Summary!$C$8&lt;&gt;"Patients",1,$I$9))*(1-$I$4)*(1-$I$5+($I$6*$I$7))</f>
        <v>#N/A</v>
      </c>
    </row>
    <row r="43" spans="1:24" x14ac:dyDescent="0.2">
      <c r="A43" s="87">
        <f t="shared" ca="1" si="9"/>
        <v>44956</v>
      </c>
      <c r="B43" s="67" t="str">
        <f t="shared" ca="1" si="1"/>
        <v/>
      </c>
      <c r="C43" s="67" t="str">
        <f t="shared" ca="1" si="2"/>
        <v/>
      </c>
      <c r="D43" s="67">
        <f t="shared" ca="1" si="0"/>
        <v>5</v>
      </c>
      <c r="E43" s="5" t="str">
        <f ca="1">IF(LEFT(Demand!$C$8,1)="H",VLOOKUP($D43,'SPC background (hide)'!$AG$2:$AS$54,12,0),'Demand background (hide)'!X32)</f>
        <v/>
      </c>
      <c r="F43" s="5" t="str">
        <f ca="1">IF(LEFT(Demand!$C$8,1)="H",VLOOKUP($D43,'SPC background (hide)'!$AG$2:$AS$54,13,0),E43*1.1)</f>
        <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0</v>
      </c>
      <c r="J43" s="5">
        <f ca="1">IFERROR(HLOOKUP(A43,'Capacity calculation (hide)'!$BK$1:$DK$4,4,0),Capacity!$U$15)</f>
        <v>0</v>
      </c>
      <c r="K43" s="5">
        <f ca="1">IF(I43-IF(Setup!$I$15="Yes",$G43,0)-IF(Setup!$I$13="Yes",$H43,0)&lt;0,0,I43-IF(Setup!$I$15="Yes",$G43,0)-IF(Setup!$I$13="Yes",$H43,0))</f>
        <v>0</v>
      </c>
      <c r="L43" s="5">
        <f t="shared" ca="1" si="3"/>
        <v>0</v>
      </c>
      <c r="M43" s="5" t="e">
        <f ca="1">(IF('Demand adjustments for Covid'!$F$9="No",E43,SUM('Demand background (hide)'!DS32,'Demand background (hide)'!DV32:DW32))*(1-'Parameters calculator (hide)'!$B$43))*(1-'Parameters calculator (hide)'!$B$44+('Parameters calculator (hide)'!$B$45*'Parameters calculator (hide)'!$B$47))</f>
        <v>#VALUE!</v>
      </c>
      <c r="N43" s="5" t="e">
        <f ca="1">(IF('Demand adjustments for Covid'!$F$9="No",F43,SUM('Demand background (hide)'!DT32,'Demand background (hide)'!DV32:DW32))*(1-'Parameters calculator (hide)'!$B$43))*(1-'Parameters calculator (hide)'!$B$44+('Parameters calculator (hide)'!$B$45*'Parameters calculator (hide)'!$B$47))</f>
        <v>#VALUE!</v>
      </c>
      <c r="P43" s="5">
        <f t="shared" ca="1" si="4"/>
        <v>0</v>
      </c>
      <c r="Q43" s="5">
        <f t="shared" ca="1" si="5"/>
        <v>0</v>
      </c>
      <c r="R43" s="5">
        <f t="shared" ca="1" si="6"/>
        <v>0</v>
      </c>
      <c r="S43" s="5">
        <f t="shared" ca="1" si="7"/>
        <v>0</v>
      </c>
      <c r="T43" s="5" t="e">
        <f ca="1">M43/IF(Summary!$C$8&lt;&gt;"Patients",1,$I$9)</f>
        <v>#VALUE!</v>
      </c>
      <c r="U43" s="5" t="e">
        <f ca="1">((N43-M43)/IF(Summary!$C$8&lt;&gt;"Patients",1,$I$9))</f>
        <v>#VALUE!</v>
      </c>
      <c r="V43" s="5">
        <f t="shared" si="8"/>
        <v>0</v>
      </c>
      <c r="X43" s="5" t="e">
        <f ca="1">(VLOOKUP(D43,'SPC background (hide)'!$AG$2:$AN$54,8,0)/IF(Summary!$C$8&lt;&gt;"Patients",1,$I$9))*(1-$I$4)*(1-$I$5+($I$6*$I$7))</f>
        <v>#N/A</v>
      </c>
    </row>
    <row r="44" spans="1:24" x14ac:dyDescent="0.2">
      <c r="A44" s="87">
        <f t="shared" ca="1" si="9"/>
        <v>44963</v>
      </c>
      <c r="B44" s="67" t="str">
        <f t="shared" ca="1" si="1"/>
        <v/>
      </c>
      <c r="C44" s="67" t="str">
        <f t="shared" ca="1" si="2"/>
        <v>Feb</v>
      </c>
      <c r="D44" s="67">
        <f t="shared" ca="1" si="0"/>
        <v>6</v>
      </c>
      <c r="E44" s="5" t="str">
        <f ca="1">IF(LEFT(Demand!$C$8,1)="H",VLOOKUP($D44,'SPC background (hide)'!$AG$2:$AS$54,12,0),'Demand background (hide)'!X33)</f>
        <v/>
      </c>
      <c r="F44" s="5" t="str">
        <f ca="1">IF(LEFT(Demand!$C$8,1)="H",VLOOKUP($D44,'SPC background (hide)'!$AG$2:$AS$54,13,0),E44*1.1)</f>
        <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0</v>
      </c>
      <c r="J44" s="5">
        <f ca="1">IFERROR(HLOOKUP(A44,'Capacity calculation (hide)'!$BK$1:$DK$4,4,0),Capacity!$U$15)</f>
        <v>0</v>
      </c>
      <c r="K44" s="5">
        <f ca="1">IF(I44-IF(Setup!$I$15="Yes",$G44,0)-IF(Setup!$I$13="Yes",$H44,0)&lt;0,0,I44-IF(Setup!$I$15="Yes",$G44,0)-IF(Setup!$I$13="Yes",$H44,0))</f>
        <v>0</v>
      </c>
      <c r="L44" s="5">
        <f t="shared" ca="1" si="3"/>
        <v>0</v>
      </c>
      <c r="M44" s="5" t="e">
        <f ca="1">(IF('Demand adjustments for Covid'!$F$9="No",E44,SUM('Demand background (hide)'!DS33,'Demand background (hide)'!DV33:DW33))*(1-'Parameters calculator (hide)'!$B$43))*(1-'Parameters calculator (hide)'!$B$44+('Parameters calculator (hide)'!$B$45*'Parameters calculator (hide)'!$B$47))</f>
        <v>#VALUE!</v>
      </c>
      <c r="N44" s="5" t="e">
        <f ca="1">(IF('Demand adjustments for Covid'!$F$9="No",F44,SUM('Demand background (hide)'!DT33,'Demand background (hide)'!DV33:DW33))*(1-'Parameters calculator (hide)'!$B$43))*(1-'Parameters calculator (hide)'!$B$44+('Parameters calculator (hide)'!$B$45*'Parameters calculator (hide)'!$B$47))</f>
        <v>#VALUE!</v>
      </c>
      <c r="P44" s="5">
        <f t="shared" ca="1" si="4"/>
        <v>0</v>
      </c>
      <c r="Q44" s="5">
        <f t="shared" ca="1" si="5"/>
        <v>0</v>
      </c>
      <c r="R44" s="5">
        <f t="shared" ca="1" si="6"/>
        <v>0</v>
      </c>
      <c r="S44" s="5">
        <f t="shared" ca="1" si="7"/>
        <v>0</v>
      </c>
      <c r="T44" s="5" t="e">
        <f ca="1">M44/IF(Summary!$C$8&lt;&gt;"Patients",1,$I$9)</f>
        <v>#VALUE!</v>
      </c>
      <c r="U44" s="5" t="e">
        <f ca="1">((N44-M44)/IF(Summary!$C$8&lt;&gt;"Patients",1,$I$9))</f>
        <v>#VALUE!</v>
      </c>
      <c r="V44" s="5">
        <f t="shared" si="8"/>
        <v>0</v>
      </c>
      <c r="X44" s="5" t="e">
        <f ca="1">(VLOOKUP(D44,'SPC background (hide)'!$AG$2:$AN$54,8,0)/IF(Summary!$C$8&lt;&gt;"Patients",1,$I$9))*(1-$I$4)*(1-$I$5+($I$6*$I$7))</f>
        <v>#N/A</v>
      </c>
    </row>
    <row r="45" spans="1:24" x14ac:dyDescent="0.2">
      <c r="A45" s="87">
        <f t="shared" ca="1" si="9"/>
        <v>44970</v>
      </c>
      <c r="B45" s="67" t="str">
        <f t="shared" ca="1" si="1"/>
        <v/>
      </c>
      <c r="C45" s="67" t="str">
        <f t="shared" ca="1" si="2"/>
        <v/>
      </c>
      <c r="D45" s="67">
        <f t="shared" ca="1" si="0"/>
        <v>7</v>
      </c>
      <c r="E45" s="5" t="str">
        <f ca="1">IF(LEFT(Demand!$C$8,1)="H",VLOOKUP($D45,'SPC background (hide)'!$AG$2:$AS$54,12,0),'Demand background (hide)'!X34)</f>
        <v/>
      </c>
      <c r="F45" s="5" t="str">
        <f ca="1">IF(LEFT(Demand!$C$8,1)="H",VLOOKUP($D45,'SPC background (hide)'!$AG$2:$AS$54,13,0),E45*1.1)</f>
        <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0</v>
      </c>
      <c r="J45" s="5">
        <f ca="1">IFERROR(HLOOKUP(A45,'Capacity calculation (hide)'!$BK$1:$DK$4,4,0),Capacity!$U$15)</f>
        <v>0</v>
      </c>
      <c r="K45" s="5">
        <f ca="1">IF(I45-IF(Setup!$I$15="Yes",$G45,0)-IF(Setup!$I$13="Yes",$H45,0)&lt;0,0,I45-IF(Setup!$I$15="Yes",$G45,0)-IF(Setup!$I$13="Yes",$H45,0))</f>
        <v>0</v>
      </c>
      <c r="L45" s="5">
        <f t="shared" ca="1" si="3"/>
        <v>0</v>
      </c>
      <c r="M45" s="5" t="e">
        <f ca="1">(IF('Demand adjustments for Covid'!$F$9="No",E45,SUM('Demand background (hide)'!DS34,'Demand background (hide)'!DV34:DW34))*(1-'Parameters calculator (hide)'!$B$43))*(1-'Parameters calculator (hide)'!$B$44+('Parameters calculator (hide)'!$B$45*'Parameters calculator (hide)'!$B$47))</f>
        <v>#VALUE!</v>
      </c>
      <c r="N45" s="5" t="e">
        <f ca="1">(IF('Demand adjustments for Covid'!$F$9="No",F45,SUM('Demand background (hide)'!DT34,'Demand background (hide)'!DV34:DW34))*(1-'Parameters calculator (hide)'!$B$43))*(1-'Parameters calculator (hide)'!$B$44+('Parameters calculator (hide)'!$B$45*'Parameters calculator (hide)'!$B$47))</f>
        <v>#VALUE!</v>
      </c>
      <c r="P45" s="5">
        <f t="shared" ca="1" si="4"/>
        <v>0</v>
      </c>
      <c r="Q45" s="5">
        <f t="shared" ca="1" si="5"/>
        <v>0</v>
      </c>
      <c r="R45" s="5">
        <f t="shared" ca="1" si="6"/>
        <v>0</v>
      </c>
      <c r="S45" s="5">
        <f t="shared" ca="1" si="7"/>
        <v>0</v>
      </c>
      <c r="T45" s="5" t="e">
        <f ca="1">M45/IF(Summary!$C$8&lt;&gt;"Patients",1,$I$9)</f>
        <v>#VALUE!</v>
      </c>
      <c r="U45" s="5" t="e">
        <f ca="1">((N45-M45)/IF(Summary!$C$8&lt;&gt;"Patients",1,$I$9))</f>
        <v>#VALUE!</v>
      </c>
      <c r="V45" s="5">
        <f t="shared" si="8"/>
        <v>0</v>
      </c>
      <c r="X45" s="5" t="e">
        <f ca="1">(VLOOKUP(D45,'SPC background (hide)'!$AG$2:$AN$54,8,0)/IF(Summary!$C$8&lt;&gt;"Patients",1,$I$9))*(1-$I$4)*(1-$I$5+($I$6*$I$7))</f>
        <v>#N/A</v>
      </c>
    </row>
    <row r="46" spans="1:24" x14ac:dyDescent="0.2">
      <c r="A46" s="87">
        <f t="shared" ca="1" si="9"/>
        <v>44977</v>
      </c>
      <c r="B46" s="67" t="str">
        <f t="shared" ca="1" si="1"/>
        <v/>
      </c>
      <c r="C46" s="67" t="str">
        <f t="shared" ca="1" si="2"/>
        <v/>
      </c>
      <c r="D46" s="67">
        <f t="shared" ca="1" si="0"/>
        <v>8</v>
      </c>
      <c r="E46" s="5" t="str">
        <f ca="1">IF(LEFT(Demand!$C$8,1)="H",VLOOKUP($D46,'SPC background (hide)'!$AG$2:$AS$54,12,0),'Demand background (hide)'!X35)</f>
        <v/>
      </c>
      <c r="F46" s="5" t="str">
        <f ca="1">IF(LEFT(Demand!$C$8,1)="H",VLOOKUP($D46,'SPC background (hide)'!$AG$2:$AS$54,13,0),E46*1.1)</f>
        <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0</v>
      </c>
      <c r="J46" s="5">
        <f ca="1">IFERROR(HLOOKUP(A46,'Capacity calculation (hide)'!$BK$1:$DK$4,4,0),Capacity!$U$15)</f>
        <v>0</v>
      </c>
      <c r="K46" s="5">
        <f ca="1">IF(I46-IF(Setup!$I$15="Yes",$G46,0)-IF(Setup!$I$13="Yes",$H46,0)&lt;0,0,I46-IF(Setup!$I$15="Yes",$G46,0)-IF(Setup!$I$13="Yes",$H46,0))</f>
        <v>0</v>
      </c>
      <c r="L46" s="5">
        <f t="shared" ca="1" si="3"/>
        <v>0</v>
      </c>
      <c r="M46" s="5" t="e">
        <f ca="1">(IF('Demand adjustments for Covid'!$F$9="No",E46,SUM('Demand background (hide)'!DS35,'Demand background (hide)'!DV35:DW35))*(1-'Parameters calculator (hide)'!$B$43))*(1-'Parameters calculator (hide)'!$B$44+('Parameters calculator (hide)'!$B$45*'Parameters calculator (hide)'!$B$47))</f>
        <v>#VALUE!</v>
      </c>
      <c r="N46" s="5" t="e">
        <f ca="1">(IF('Demand adjustments for Covid'!$F$9="No",F46,SUM('Demand background (hide)'!DT35,'Demand background (hide)'!DV35:DW35))*(1-'Parameters calculator (hide)'!$B$43))*(1-'Parameters calculator (hide)'!$B$44+('Parameters calculator (hide)'!$B$45*'Parameters calculator (hide)'!$B$47))</f>
        <v>#VALUE!</v>
      </c>
      <c r="P46" s="5">
        <f t="shared" ca="1" si="4"/>
        <v>0</v>
      </c>
      <c r="Q46" s="5">
        <f t="shared" ca="1" si="5"/>
        <v>0</v>
      </c>
      <c r="R46" s="5">
        <f t="shared" ca="1" si="6"/>
        <v>0</v>
      </c>
      <c r="S46" s="5">
        <f t="shared" ca="1" si="7"/>
        <v>0</v>
      </c>
      <c r="T46" s="5" t="e">
        <f ca="1">M46/IF(Summary!$C$8&lt;&gt;"Patients",1,$I$9)</f>
        <v>#VALUE!</v>
      </c>
      <c r="U46" s="5" t="e">
        <f ca="1">((N46-M46)/IF(Summary!$C$8&lt;&gt;"Patients",1,$I$9))</f>
        <v>#VALUE!</v>
      </c>
      <c r="V46" s="5">
        <f t="shared" si="8"/>
        <v>0</v>
      </c>
      <c r="X46" s="5" t="e">
        <f ca="1">(VLOOKUP(D46,'SPC background (hide)'!$AG$2:$AN$54,8,0)/IF(Summary!$C$8&lt;&gt;"Patients",1,$I$9))*(1-$I$4)*(1-$I$5+($I$6*$I$7))</f>
        <v>#N/A</v>
      </c>
    </row>
    <row r="47" spans="1:24" x14ac:dyDescent="0.2">
      <c r="A47" s="87">
        <f t="shared" ca="1" si="9"/>
        <v>44984</v>
      </c>
      <c r="B47" s="67" t="str">
        <f t="shared" ca="1" si="1"/>
        <v/>
      </c>
      <c r="C47" s="67" t="str">
        <f t="shared" ca="1" si="2"/>
        <v/>
      </c>
      <c r="D47" s="67">
        <f t="shared" ref="D47:D66" ca="1" si="10">WEEKNUM(A47,21)</f>
        <v>9</v>
      </c>
      <c r="E47" s="5" t="str">
        <f ca="1">IF(LEFT(Demand!$C$8,1)="H",VLOOKUP($D47,'SPC background (hide)'!$AG$2:$AS$54,12,0),'Demand background (hide)'!X36)</f>
        <v/>
      </c>
      <c r="F47" s="5" t="str">
        <f ca="1">IF(LEFT(Demand!$C$8,1)="H",VLOOKUP($D47,'SPC background (hide)'!$AG$2:$AS$54,13,0),E47*1.1)</f>
        <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0</v>
      </c>
      <c r="J47" s="5">
        <f ca="1">IFERROR(HLOOKUP(A47,'Capacity calculation (hide)'!$BK$1:$DK$4,4,0),Capacity!$U$15)</f>
        <v>0</v>
      </c>
      <c r="K47" s="5">
        <f ca="1">IF(I47-IF(Setup!$I$15="Yes",$G47,0)-IF(Setup!$I$13="Yes",$H47,0)&lt;0,0,I47-IF(Setup!$I$15="Yes",$G47,0)-IF(Setup!$I$13="Yes",$H47,0))</f>
        <v>0</v>
      </c>
      <c r="L47" s="5">
        <f t="shared" ca="1" si="3"/>
        <v>0</v>
      </c>
      <c r="M47" s="5" t="e">
        <f ca="1">(IF('Demand adjustments for Covid'!$F$9="No",E47,SUM('Demand background (hide)'!DS36,'Demand background (hide)'!DV36:DW36))*(1-'Parameters calculator (hide)'!$B$43))*(1-'Parameters calculator (hide)'!$B$44+('Parameters calculator (hide)'!$B$45*'Parameters calculator (hide)'!$B$47))</f>
        <v>#VALUE!</v>
      </c>
      <c r="N47" s="5" t="e">
        <f ca="1">(IF('Demand adjustments for Covid'!$F$9="No",F47,SUM('Demand background (hide)'!DT36,'Demand background (hide)'!DV36:DW36))*(1-'Parameters calculator (hide)'!$B$43))*(1-'Parameters calculator (hide)'!$B$44+('Parameters calculator (hide)'!$B$45*'Parameters calculator (hide)'!$B$47))</f>
        <v>#VALUE!</v>
      </c>
      <c r="P47" s="5">
        <f t="shared" ca="1" si="4"/>
        <v>0</v>
      </c>
      <c r="Q47" s="5">
        <f t="shared" ca="1" si="5"/>
        <v>0</v>
      </c>
      <c r="R47" s="5">
        <f t="shared" ca="1" si="6"/>
        <v>0</v>
      </c>
      <c r="S47" s="5">
        <f t="shared" ca="1" si="7"/>
        <v>0</v>
      </c>
      <c r="T47" s="5" t="e">
        <f ca="1">M47/IF(Summary!$C$8&lt;&gt;"Patients",1,$I$9)</f>
        <v>#VALUE!</v>
      </c>
      <c r="U47" s="5" t="e">
        <f ca="1">((N47-M47)/IF(Summary!$C$8&lt;&gt;"Patients",1,$I$9))</f>
        <v>#VALUE!</v>
      </c>
      <c r="V47" s="5">
        <f t="shared" si="8"/>
        <v>0</v>
      </c>
      <c r="X47" s="5" t="e">
        <f ca="1">(VLOOKUP(D47,'SPC background (hide)'!$AG$2:$AN$54,8,0)/IF(Summary!$C$8&lt;&gt;"Patients",1,$I$9))*(1-$I$4)*(1-$I$5+($I$6*$I$7))</f>
        <v>#N/A</v>
      </c>
    </row>
    <row r="48" spans="1:24" x14ac:dyDescent="0.2">
      <c r="A48" s="87">
        <f t="shared" ca="1" si="9"/>
        <v>44991</v>
      </c>
      <c r="B48" s="67" t="str">
        <f t="shared" ref="B48:B67" ca="1" si="11">IF(YEAR(A48)&lt;&gt;YEAR(A47),YEAR(A48),"")</f>
        <v/>
      </c>
      <c r="C48" s="67" t="str">
        <f t="shared" ref="C48:C67" ca="1" si="12">IF(TEXT(A48,"MMM")&lt;&gt;TEXT(A47,"MMM"),TEXT(A48,"MMM"),"")</f>
        <v>Mar</v>
      </c>
      <c r="D48" s="67">
        <f t="shared" ca="1" si="10"/>
        <v>10</v>
      </c>
      <c r="E48" s="5" t="str">
        <f ca="1">IF(LEFT(Demand!$C$8,1)="H",VLOOKUP($D48,'SPC background (hide)'!$AG$2:$AS$54,12,0),'Demand background (hide)'!X37)</f>
        <v/>
      </c>
      <c r="F48" s="5" t="str">
        <f ca="1">IF(LEFT(Demand!$C$8,1)="H",VLOOKUP($D48,'SPC background (hide)'!$AG$2:$AS$54,13,0),E48*1.1)</f>
        <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0</v>
      </c>
      <c r="J48" s="5">
        <f ca="1">IFERROR(HLOOKUP(A48,'Capacity calculation (hide)'!$BK$1:$DK$4,4,0),Capacity!$U$15)</f>
        <v>0</v>
      </c>
      <c r="K48" s="5">
        <f ca="1">IF(I48-IF(Setup!$I$15="Yes",$G48,0)-IF(Setup!$I$13="Yes",$H48,0)&lt;0,0,I48-IF(Setup!$I$15="Yes",$G48,0)-IF(Setup!$I$13="Yes",$H48,0))</f>
        <v>0</v>
      </c>
      <c r="L48" s="5">
        <f t="shared" ca="1" si="3"/>
        <v>0</v>
      </c>
      <c r="M48" s="5" t="e">
        <f ca="1">(IF('Demand adjustments for Covid'!$F$9="No",E48,SUM('Demand background (hide)'!DS37,'Demand background (hide)'!DV37:DW37))*(1-'Parameters calculator (hide)'!$B$43))*(1-'Parameters calculator (hide)'!$B$44+('Parameters calculator (hide)'!$B$45*'Parameters calculator (hide)'!$B$47))</f>
        <v>#VALUE!</v>
      </c>
      <c r="N48" s="5" t="e">
        <f ca="1">(IF('Demand adjustments for Covid'!$F$9="No",F48,SUM('Demand background (hide)'!DT37,'Demand background (hide)'!DV37:DW37))*(1-'Parameters calculator (hide)'!$B$43))*(1-'Parameters calculator (hide)'!$B$44+('Parameters calculator (hide)'!$B$45*'Parameters calculator (hide)'!$B$47))</f>
        <v>#VALUE!</v>
      </c>
      <c r="P48" s="5">
        <f t="shared" ca="1" si="4"/>
        <v>0</v>
      </c>
      <c r="Q48" s="5">
        <f t="shared" ca="1" si="5"/>
        <v>0</v>
      </c>
      <c r="R48" s="5">
        <f t="shared" ca="1" si="6"/>
        <v>0</v>
      </c>
      <c r="S48" s="5">
        <f t="shared" ca="1" si="7"/>
        <v>0</v>
      </c>
      <c r="T48" s="5" t="e">
        <f ca="1">M48/IF(Summary!$C$8&lt;&gt;"Patients",1,$I$9)</f>
        <v>#VALUE!</v>
      </c>
      <c r="U48" s="5" t="e">
        <f ca="1">((N48-M48)/IF(Summary!$C$8&lt;&gt;"Patients",1,$I$9))</f>
        <v>#VALUE!</v>
      </c>
      <c r="V48" s="5">
        <f t="shared" si="8"/>
        <v>0</v>
      </c>
      <c r="X48" s="5" t="e">
        <f ca="1">(VLOOKUP(D48,'SPC background (hide)'!$AG$2:$AN$54,8,0)/IF(Summary!$C$8&lt;&gt;"Patients",1,$I$9))*(1-$I$4)*(1-$I$5+($I$6*$I$7))</f>
        <v>#N/A</v>
      </c>
    </row>
    <row r="49" spans="1:24" x14ac:dyDescent="0.2">
      <c r="A49" s="87">
        <f t="shared" ca="1" si="9"/>
        <v>44998</v>
      </c>
      <c r="B49" s="67" t="str">
        <f t="shared" ca="1" si="11"/>
        <v/>
      </c>
      <c r="C49" s="67" t="str">
        <f t="shared" ca="1" si="12"/>
        <v/>
      </c>
      <c r="D49" s="67">
        <f t="shared" ca="1" si="10"/>
        <v>11</v>
      </c>
      <c r="E49" s="5" t="str">
        <f ca="1">IF(LEFT(Demand!$C$8,1)="H",VLOOKUP($D49,'SPC background (hide)'!$AG$2:$AS$54,12,0),'Demand background (hide)'!X38)</f>
        <v/>
      </c>
      <c r="F49" s="5" t="str">
        <f ca="1">IF(LEFT(Demand!$C$8,1)="H",VLOOKUP($D49,'SPC background (hide)'!$AG$2:$AS$54,13,0),E49*1.1)</f>
        <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0</v>
      </c>
      <c r="J49" s="5">
        <f ca="1">IFERROR(HLOOKUP(A49,'Capacity calculation (hide)'!$BK$1:$DK$4,4,0),Capacity!$U$15)</f>
        <v>0</v>
      </c>
      <c r="K49" s="5">
        <f ca="1">IF(I49-IF(Setup!$I$15="Yes",$G49,0)-IF(Setup!$I$13="Yes",$H49,0)&lt;0,0,I49-IF(Setup!$I$15="Yes",$G49,0)-IF(Setup!$I$13="Yes",$H49,0))</f>
        <v>0</v>
      </c>
      <c r="L49" s="5">
        <f t="shared" ca="1" si="3"/>
        <v>0</v>
      </c>
      <c r="M49" s="5" t="e">
        <f ca="1">(IF('Demand adjustments for Covid'!$F$9="No",E49,SUM('Demand background (hide)'!DS38,'Demand background (hide)'!DV38:DW38))*(1-'Parameters calculator (hide)'!$B$43))*(1-'Parameters calculator (hide)'!$B$44+('Parameters calculator (hide)'!$B$45*'Parameters calculator (hide)'!$B$47))</f>
        <v>#VALUE!</v>
      </c>
      <c r="N49" s="5" t="e">
        <f ca="1">(IF('Demand adjustments for Covid'!$F$9="No",F49,SUM('Demand background (hide)'!DT38,'Demand background (hide)'!DV38:DW38))*(1-'Parameters calculator (hide)'!$B$43))*(1-'Parameters calculator (hide)'!$B$44+('Parameters calculator (hide)'!$B$45*'Parameters calculator (hide)'!$B$47))</f>
        <v>#VALUE!</v>
      </c>
      <c r="P49" s="5">
        <f t="shared" ca="1" si="4"/>
        <v>0</v>
      </c>
      <c r="Q49" s="5">
        <f t="shared" ca="1" si="5"/>
        <v>0</v>
      </c>
      <c r="R49" s="5">
        <f t="shared" ca="1" si="6"/>
        <v>0</v>
      </c>
      <c r="S49" s="5">
        <f t="shared" ca="1" si="7"/>
        <v>0</v>
      </c>
      <c r="T49" s="5" t="e">
        <f ca="1">M49/IF(Summary!$C$8&lt;&gt;"Patients",1,$I$9)</f>
        <v>#VALUE!</v>
      </c>
      <c r="U49" s="5" t="e">
        <f ca="1">((N49-M49)/IF(Summary!$C$8&lt;&gt;"Patients",1,$I$9))</f>
        <v>#VALUE!</v>
      </c>
      <c r="V49" s="5">
        <f t="shared" si="8"/>
        <v>0</v>
      </c>
      <c r="X49" s="5" t="e">
        <f ca="1">(VLOOKUP(D49,'SPC background (hide)'!$AG$2:$AN$54,8,0)/IF(Summary!$C$8&lt;&gt;"Patients",1,$I$9))*(1-$I$4)*(1-$I$5+($I$6*$I$7))</f>
        <v>#N/A</v>
      </c>
    </row>
    <row r="50" spans="1:24" x14ac:dyDescent="0.2">
      <c r="A50" s="87">
        <f t="shared" ca="1" si="9"/>
        <v>45005</v>
      </c>
      <c r="B50" s="67" t="str">
        <f t="shared" ca="1" si="11"/>
        <v/>
      </c>
      <c r="C50" s="67" t="str">
        <f t="shared" ca="1" si="12"/>
        <v/>
      </c>
      <c r="D50" s="67">
        <f t="shared" ca="1" si="10"/>
        <v>12</v>
      </c>
      <c r="E50" s="5" t="str">
        <f ca="1">IF(LEFT(Demand!$C$8,1)="H",VLOOKUP($D50,'SPC background (hide)'!$AG$2:$AS$54,12,0),'Demand background (hide)'!X39)</f>
        <v/>
      </c>
      <c r="F50" s="5" t="str">
        <f ca="1">IF(LEFT(Demand!$C$8,1)="H",VLOOKUP($D50,'SPC background (hide)'!$AG$2:$AS$54,13,0),E50*1.1)</f>
        <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0</v>
      </c>
      <c r="J50" s="5">
        <f ca="1">IFERROR(HLOOKUP(A50,'Capacity calculation (hide)'!$BK$1:$DK$4,4,0),Capacity!$U$15)</f>
        <v>0</v>
      </c>
      <c r="K50" s="5">
        <f ca="1">IF(I50-IF(Setup!$I$15="Yes",$G50,0)-IF(Setup!$I$13="Yes",$H50,0)&lt;0,0,I50-IF(Setup!$I$15="Yes",$G50,0)-IF(Setup!$I$13="Yes",$H50,0))</f>
        <v>0</v>
      </c>
      <c r="L50" s="5">
        <f t="shared" ca="1" si="3"/>
        <v>0</v>
      </c>
      <c r="M50" s="5" t="e">
        <f ca="1">(IF('Demand adjustments for Covid'!$F$9="No",E50,SUM('Demand background (hide)'!DS39,'Demand background (hide)'!DV39:DW39))*(1-'Parameters calculator (hide)'!$B$43))*(1-'Parameters calculator (hide)'!$B$44+('Parameters calculator (hide)'!$B$45*'Parameters calculator (hide)'!$B$47))</f>
        <v>#VALUE!</v>
      </c>
      <c r="N50" s="5" t="e">
        <f ca="1">(IF('Demand adjustments for Covid'!$F$9="No",F50,SUM('Demand background (hide)'!DT39,'Demand background (hide)'!DV39:DW39))*(1-'Parameters calculator (hide)'!$B$43))*(1-'Parameters calculator (hide)'!$B$44+('Parameters calculator (hide)'!$B$45*'Parameters calculator (hide)'!$B$47))</f>
        <v>#VALUE!</v>
      </c>
      <c r="P50" s="5">
        <f t="shared" ca="1" si="4"/>
        <v>0</v>
      </c>
      <c r="Q50" s="5">
        <f t="shared" ca="1" si="5"/>
        <v>0</v>
      </c>
      <c r="R50" s="5">
        <f t="shared" ca="1" si="6"/>
        <v>0</v>
      </c>
      <c r="S50" s="5">
        <f t="shared" ca="1" si="7"/>
        <v>0</v>
      </c>
      <c r="T50" s="5" t="e">
        <f ca="1">M50/IF(Summary!$C$8&lt;&gt;"Patients",1,$I$9)</f>
        <v>#VALUE!</v>
      </c>
      <c r="U50" s="5" t="e">
        <f ca="1">((N50-M50)/IF(Summary!$C$8&lt;&gt;"Patients",1,$I$9))</f>
        <v>#VALUE!</v>
      </c>
      <c r="V50" s="5">
        <f t="shared" si="8"/>
        <v>0</v>
      </c>
      <c r="X50" s="5" t="e">
        <f ca="1">(VLOOKUP(D50,'SPC background (hide)'!$AG$2:$AN$54,8,0)/IF(Summary!$C$8&lt;&gt;"Patients",1,$I$9))*(1-$I$4)*(1-$I$5+($I$6*$I$7))</f>
        <v>#N/A</v>
      </c>
    </row>
    <row r="51" spans="1:24" x14ac:dyDescent="0.2">
      <c r="A51" s="87">
        <f t="shared" ca="1" si="9"/>
        <v>45012</v>
      </c>
      <c r="B51" s="67" t="str">
        <f t="shared" ca="1" si="11"/>
        <v/>
      </c>
      <c r="C51" s="67" t="str">
        <f t="shared" ca="1" si="12"/>
        <v/>
      </c>
      <c r="D51" s="67">
        <f t="shared" ca="1" si="10"/>
        <v>13</v>
      </c>
      <c r="E51" s="5" t="str">
        <f ca="1">IF(LEFT(Demand!$C$8,1)="H",VLOOKUP($D51,'SPC background (hide)'!$AG$2:$AS$54,12,0),'Demand background (hide)'!X40)</f>
        <v/>
      </c>
      <c r="F51" s="5" t="str">
        <f ca="1">IF(LEFT(Demand!$C$8,1)="H",VLOOKUP($D51,'SPC background (hide)'!$AG$2:$AS$54,13,0),E51*1.1)</f>
        <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0</v>
      </c>
      <c r="J51" s="5">
        <f ca="1">IFERROR(HLOOKUP(A51,'Capacity calculation (hide)'!$BK$1:$DK$4,4,0),Capacity!$U$15)</f>
        <v>0</v>
      </c>
      <c r="K51" s="5">
        <f ca="1">IF(I51-IF(Setup!$I$15="Yes",$G51,0)-IF(Setup!$I$13="Yes",$H51,0)&lt;0,0,I51-IF(Setup!$I$15="Yes",$G51,0)-IF(Setup!$I$13="Yes",$H51,0))</f>
        <v>0</v>
      </c>
      <c r="L51" s="5">
        <f t="shared" ca="1" si="3"/>
        <v>0</v>
      </c>
      <c r="M51" s="5" t="e">
        <f ca="1">(IF('Demand adjustments for Covid'!$F$9="No",E51,SUM('Demand background (hide)'!DS40,'Demand background (hide)'!DV40:DW40))*(1-'Parameters calculator (hide)'!$B$43))*(1-'Parameters calculator (hide)'!$B$44+('Parameters calculator (hide)'!$B$45*'Parameters calculator (hide)'!$B$47))</f>
        <v>#VALUE!</v>
      </c>
      <c r="N51" s="5" t="e">
        <f ca="1">(IF('Demand adjustments for Covid'!$F$9="No",F51,SUM('Demand background (hide)'!DT40,'Demand background (hide)'!DV40:DW40))*(1-'Parameters calculator (hide)'!$B$43))*(1-'Parameters calculator (hide)'!$B$44+('Parameters calculator (hide)'!$B$45*'Parameters calculator (hide)'!$B$47))</f>
        <v>#VALUE!</v>
      </c>
      <c r="P51" s="5">
        <f t="shared" ca="1" si="4"/>
        <v>0</v>
      </c>
      <c r="Q51" s="5">
        <f t="shared" ca="1" si="5"/>
        <v>0</v>
      </c>
      <c r="R51" s="5">
        <f t="shared" ca="1" si="6"/>
        <v>0</v>
      </c>
      <c r="S51" s="5">
        <f t="shared" ca="1" si="7"/>
        <v>0</v>
      </c>
      <c r="T51" s="5" t="e">
        <f ca="1">M51/IF(Summary!$C$8&lt;&gt;"Patients",1,$I$9)</f>
        <v>#VALUE!</v>
      </c>
      <c r="U51" s="5" t="e">
        <f ca="1">((N51-M51)/IF(Summary!$C$8&lt;&gt;"Patients",1,$I$9))</f>
        <v>#VALUE!</v>
      </c>
      <c r="V51" s="5">
        <f t="shared" si="8"/>
        <v>0</v>
      </c>
      <c r="X51" s="5" t="e">
        <f ca="1">(VLOOKUP(D51,'SPC background (hide)'!$AG$2:$AN$54,8,0)/IF(Summary!$C$8&lt;&gt;"Patients",1,$I$9))*(1-$I$4)*(1-$I$5+($I$6*$I$7))</f>
        <v>#N/A</v>
      </c>
    </row>
    <row r="52" spans="1:24" x14ac:dyDescent="0.2">
      <c r="A52" s="87">
        <f t="shared" ca="1" si="9"/>
        <v>45019</v>
      </c>
      <c r="B52" s="67" t="str">
        <f t="shared" ca="1" si="11"/>
        <v/>
      </c>
      <c r="C52" s="67" t="str">
        <f t="shared" ca="1" si="12"/>
        <v>Apr</v>
      </c>
      <c r="D52" s="67">
        <f t="shared" ca="1" si="10"/>
        <v>14</v>
      </c>
      <c r="E52" s="5" t="str">
        <f ca="1">IF(LEFT(Demand!$C$8,1)="H",VLOOKUP($D52,'SPC background (hide)'!$AG$2:$AS$54,12,0),'Demand background (hide)'!X41)</f>
        <v/>
      </c>
      <c r="F52" s="5" t="str">
        <f ca="1">IF(LEFT(Demand!$C$8,1)="H",VLOOKUP($D52,'SPC background (hide)'!$AG$2:$AS$54,13,0),E52*1.1)</f>
        <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0</v>
      </c>
      <c r="J52" s="5">
        <f ca="1">IFERROR(HLOOKUP(A52,'Capacity calculation (hide)'!$BK$1:$DK$4,4,0),Capacity!$U$15)</f>
        <v>0</v>
      </c>
      <c r="K52" s="5">
        <f ca="1">IF(I52-IF(Setup!$I$15="Yes",$G52,0)-IF(Setup!$I$13="Yes",$H52,0)&lt;0,0,I52-IF(Setup!$I$15="Yes",$G52,0)-IF(Setup!$I$13="Yes",$H52,0))</f>
        <v>0</v>
      </c>
      <c r="L52" s="5">
        <f t="shared" ca="1" si="3"/>
        <v>0</v>
      </c>
      <c r="M52" s="5" t="e">
        <f ca="1">(IF('Demand adjustments for Covid'!$F$9="No",E52,SUM('Demand background (hide)'!DS41,'Demand background (hide)'!DV41:DW41))*(1-'Parameters calculator (hide)'!$B$43))*(1-'Parameters calculator (hide)'!$B$44+('Parameters calculator (hide)'!$B$45*'Parameters calculator (hide)'!$B$47))</f>
        <v>#VALUE!</v>
      </c>
      <c r="N52" s="5" t="e">
        <f ca="1">(IF('Demand adjustments for Covid'!$F$9="No",F52,SUM('Demand background (hide)'!DT41,'Demand background (hide)'!DV41:DW41))*(1-'Parameters calculator (hide)'!$B$43))*(1-'Parameters calculator (hide)'!$B$44+('Parameters calculator (hide)'!$B$45*'Parameters calculator (hide)'!$B$47))</f>
        <v>#VALUE!</v>
      </c>
      <c r="P52" s="5">
        <f t="shared" ca="1" si="4"/>
        <v>0</v>
      </c>
      <c r="Q52" s="5">
        <f t="shared" ca="1" si="5"/>
        <v>0</v>
      </c>
      <c r="R52" s="5">
        <f t="shared" ca="1" si="6"/>
        <v>0</v>
      </c>
      <c r="S52" s="5">
        <f t="shared" ca="1" si="7"/>
        <v>0</v>
      </c>
      <c r="T52" s="5" t="e">
        <f ca="1">M52/IF(Summary!$C$8&lt;&gt;"Patients",1,$I$9)</f>
        <v>#VALUE!</v>
      </c>
      <c r="U52" s="5" t="e">
        <f ca="1">((N52-M52)/IF(Summary!$C$8&lt;&gt;"Patients",1,$I$9))</f>
        <v>#VALUE!</v>
      </c>
      <c r="V52" s="5">
        <f t="shared" si="8"/>
        <v>0</v>
      </c>
      <c r="X52" s="5" t="e">
        <f ca="1">(VLOOKUP(D52,'SPC background (hide)'!$AG$2:$AN$54,8,0)/IF(Summary!$C$8&lt;&gt;"Patients",1,$I$9))*(1-$I$4)*(1-$I$5+($I$6*$I$7))</f>
        <v>#N/A</v>
      </c>
    </row>
    <row r="53" spans="1:24" x14ac:dyDescent="0.2">
      <c r="A53" s="87">
        <f t="shared" ca="1" si="9"/>
        <v>45026</v>
      </c>
      <c r="B53" s="67" t="str">
        <f t="shared" ca="1" si="11"/>
        <v/>
      </c>
      <c r="C53" s="67" t="str">
        <f t="shared" ca="1" si="12"/>
        <v/>
      </c>
      <c r="D53" s="67">
        <f t="shared" ca="1" si="10"/>
        <v>15</v>
      </c>
      <c r="E53" s="5" t="str">
        <f ca="1">IF(LEFT(Demand!$C$8,1)="H",VLOOKUP($D53,'SPC background (hide)'!$AG$2:$AS$54,12,0),'Demand background (hide)'!X42)</f>
        <v/>
      </c>
      <c r="F53" s="5" t="str">
        <f ca="1">IF(LEFT(Demand!$C$8,1)="H",VLOOKUP($D53,'SPC background (hide)'!$AG$2:$AS$54,13,0),E53*1.1)</f>
        <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0</v>
      </c>
      <c r="J53" s="5">
        <f ca="1">IFERROR(HLOOKUP(A53,'Capacity calculation (hide)'!$BK$1:$DK$4,4,0),Capacity!$U$15)</f>
        <v>0</v>
      </c>
      <c r="K53" s="5">
        <f ca="1">IF(I53-IF(Setup!$I$15="Yes",$G53,0)-IF(Setup!$I$13="Yes",$H53,0)&lt;0,0,I53-IF(Setup!$I$15="Yes",$G53,0)-IF(Setup!$I$13="Yes",$H53,0))</f>
        <v>0</v>
      </c>
      <c r="L53" s="5">
        <f t="shared" ca="1" si="3"/>
        <v>0</v>
      </c>
      <c r="M53" s="5" t="e">
        <f ca="1">(IF('Demand adjustments for Covid'!$F$9="No",E53,SUM('Demand background (hide)'!DS42,'Demand background (hide)'!DV42:DW42))*(1-'Parameters calculator (hide)'!$B$43))*(1-'Parameters calculator (hide)'!$B$44+('Parameters calculator (hide)'!$B$45*'Parameters calculator (hide)'!$B$47))</f>
        <v>#VALUE!</v>
      </c>
      <c r="N53" s="5" t="e">
        <f ca="1">(IF('Demand adjustments for Covid'!$F$9="No",F53,SUM('Demand background (hide)'!DT42,'Demand background (hide)'!DV42:DW42))*(1-'Parameters calculator (hide)'!$B$43))*(1-'Parameters calculator (hide)'!$B$44+('Parameters calculator (hide)'!$B$45*'Parameters calculator (hide)'!$B$47))</f>
        <v>#VALUE!</v>
      </c>
      <c r="P53" s="5">
        <f t="shared" ca="1" si="4"/>
        <v>0</v>
      </c>
      <c r="Q53" s="5">
        <f t="shared" ca="1" si="5"/>
        <v>0</v>
      </c>
      <c r="R53" s="5">
        <f t="shared" ca="1" si="6"/>
        <v>0</v>
      </c>
      <c r="S53" s="5">
        <f t="shared" ca="1" si="7"/>
        <v>0</v>
      </c>
      <c r="T53" s="5" t="e">
        <f ca="1">M53/IF(Summary!$C$8&lt;&gt;"Patients",1,$I$9)</f>
        <v>#VALUE!</v>
      </c>
      <c r="U53" s="5" t="e">
        <f ca="1">((N53-M53)/IF(Summary!$C$8&lt;&gt;"Patients",1,$I$9))</f>
        <v>#VALUE!</v>
      </c>
      <c r="V53" s="5">
        <f t="shared" si="8"/>
        <v>0</v>
      </c>
      <c r="X53" s="5" t="e">
        <f ca="1">(VLOOKUP(D53,'SPC background (hide)'!$AG$2:$AN$54,8,0)/IF(Summary!$C$8&lt;&gt;"Patients",1,$I$9))*(1-$I$4)*(1-$I$5+($I$6*$I$7))</f>
        <v>#N/A</v>
      </c>
    </row>
    <row r="54" spans="1:24" x14ac:dyDescent="0.2">
      <c r="A54" s="87">
        <f t="shared" ca="1" si="9"/>
        <v>45033</v>
      </c>
      <c r="B54" s="67" t="str">
        <f t="shared" ca="1" si="11"/>
        <v/>
      </c>
      <c r="C54" s="67" t="str">
        <f t="shared" ca="1" si="12"/>
        <v/>
      </c>
      <c r="D54" s="67">
        <f t="shared" ca="1" si="10"/>
        <v>16</v>
      </c>
      <c r="E54" s="5" t="str">
        <f ca="1">IF(LEFT(Demand!$C$8,1)="H",VLOOKUP($D54,'SPC background (hide)'!$AG$2:$AS$54,12,0),'Demand background (hide)'!X43)</f>
        <v/>
      </c>
      <c r="F54" s="5" t="str">
        <f ca="1">IF(LEFT(Demand!$C$8,1)="H",VLOOKUP($D54,'SPC background (hide)'!$AG$2:$AS$54,13,0),E54*1.1)</f>
        <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0</v>
      </c>
      <c r="J54" s="5">
        <f ca="1">IFERROR(HLOOKUP(A54,'Capacity calculation (hide)'!$BK$1:$DK$4,4,0),Capacity!$U$15)</f>
        <v>0</v>
      </c>
      <c r="K54" s="5">
        <f ca="1">IF(I54-IF(Setup!$I$15="Yes",$G54,0)-IF(Setup!$I$13="Yes",$H54,0)&lt;0,0,I54-IF(Setup!$I$15="Yes",$G54,0)-IF(Setup!$I$13="Yes",$H54,0))</f>
        <v>0</v>
      </c>
      <c r="L54" s="5">
        <f t="shared" ca="1" si="3"/>
        <v>0</v>
      </c>
      <c r="M54" s="5" t="e">
        <f ca="1">(IF('Demand adjustments for Covid'!$F$9="No",E54,SUM('Demand background (hide)'!DS43,'Demand background (hide)'!DV43:DW43))*(1-'Parameters calculator (hide)'!$B$43))*(1-'Parameters calculator (hide)'!$B$44+('Parameters calculator (hide)'!$B$45*'Parameters calculator (hide)'!$B$47))</f>
        <v>#VALUE!</v>
      </c>
      <c r="N54" s="5" t="e">
        <f ca="1">(IF('Demand adjustments for Covid'!$F$9="No",F54,SUM('Demand background (hide)'!DT43,'Demand background (hide)'!DV43:DW43))*(1-'Parameters calculator (hide)'!$B$43))*(1-'Parameters calculator (hide)'!$B$44+('Parameters calculator (hide)'!$B$45*'Parameters calculator (hide)'!$B$47))</f>
        <v>#VALUE!</v>
      </c>
      <c r="P54" s="5">
        <f t="shared" ca="1" si="4"/>
        <v>0</v>
      </c>
      <c r="Q54" s="5">
        <f t="shared" ca="1" si="5"/>
        <v>0</v>
      </c>
      <c r="R54" s="5">
        <f t="shared" ca="1" si="6"/>
        <v>0</v>
      </c>
      <c r="S54" s="5">
        <f t="shared" ca="1" si="7"/>
        <v>0</v>
      </c>
      <c r="T54" s="5" t="e">
        <f ca="1">M54/IF(Summary!$C$8&lt;&gt;"Patients",1,$I$9)</f>
        <v>#VALUE!</v>
      </c>
      <c r="U54" s="5" t="e">
        <f ca="1">((N54-M54)/IF(Summary!$C$8&lt;&gt;"Patients",1,$I$9))</f>
        <v>#VALUE!</v>
      </c>
      <c r="V54" s="5">
        <f t="shared" si="8"/>
        <v>0</v>
      </c>
      <c r="X54" s="5" t="e">
        <f ca="1">(VLOOKUP(D54,'SPC background (hide)'!$AG$2:$AN$54,8,0)/IF(Summary!$C$8&lt;&gt;"Patients",1,$I$9))*(1-$I$4)*(1-$I$5+($I$6*$I$7))</f>
        <v>#N/A</v>
      </c>
    </row>
    <row r="55" spans="1:24" x14ac:dyDescent="0.2">
      <c r="A55" s="87">
        <f t="shared" ca="1" si="9"/>
        <v>45040</v>
      </c>
      <c r="B55" s="67" t="str">
        <f t="shared" ca="1" si="11"/>
        <v/>
      </c>
      <c r="C55" s="67" t="str">
        <f t="shared" ca="1" si="12"/>
        <v/>
      </c>
      <c r="D55" s="67">
        <f t="shared" ca="1" si="10"/>
        <v>17</v>
      </c>
      <c r="E55" s="5" t="str">
        <f ca="1">IF(LEFT(Demand!$C$8,1)="H",VLOOKUP($D55,'SPC background (hide)'!$AG$2:$AS$54,12,0),'Demand background (hide)'!X44)</f>
        <v/>
      </c>
      <c r="F55" s="5" t="str">
        <f ca="1">IF(LEFT(Demand!$C$8,1)="H",VLOOKUP($D55,'SPC background (hide)'!$AG$2:$AS$54,13,0),E55*1.1)</f>
        <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0</v>
      </c>
      <c r="J55" s="5">
        <f ca="1">IFERROR(HLOOKUP(A55,'Capacity calculation (hide)'!$BK$1:$DK$4,4,0),Capacity!$U$15)</f>
        <v>0</v>
      </c>
      <c r="K55" s="5">
        <f ca="1">IF(I55-IF(Setup!$I$15="Yes",$G55,0)-IF(Setup!$I$13="Yes",$H55,0)&lt;0,0,I55-IF(Setup!$I$15="Yes",$G55,0)-IF(Setup!$I$13="Yes",$H55,0))</f>
        <v>0</v>
      </c>
      <c r="L55" s="5">
        <f t="shared" ca="1" si="3"/>
        <v>0</v>
      </c>
      <c r="M55" s="5" t="e">
        <f ca="1">(IF('Demand adjustments for Covid'!$F$9="No",E55,SUM('Demand background (hide)'!DS44,'Demand background (hide)'!DV44:DW44))*(1-'Parameters calculator (hide)'!$B$43))*(1-'Parameters calculator (hide)'!$B$44+('Parameters calculator (hide)'!$B$45*'Parameters calculator (hide)'!$B$47))</f>
        <v>#VALUE!</v>
      </c>
      <c r="N55" s="5" t="e">
        <f ca="1">(IF('Demand adjustments for Covid'!$F$9="No",F55,SUM('Demand background (hide)'!DT44,'Demand background (hide)'!DV44:DW44))*(1-'Parameters calculator (hide)'!$B$43))*(1-'Parameters calculator (hide)'!$B$44+('Parameters calculator (hide)'!$B$45*'Parameters calculator (hide)'!$B$47))</f>
        <v>#VALUE!</v>
      </c>
      <c r="P55" s="5">
        <f t="shared" ca="1" si="4"/>
        <v>0</v>
      </c>
      <c r="Q55" s="5">
        <f t="shared" ca="1" si="5"/>
        <v>0</v>
      </c>
      <c r="R55" s="5">
        <f t="shared" ca="1" si="6"/>
        <v>0</v>
      </c>
      <c r="S55" s="5">
        <f t="shared" ca="1" si="7"/>
        <v>0</v>
      </c>
      <c r="T55" s="5" t="e">
        <f ca="1">M55/IF(Summary!$C$8&lt;&gt;"Patients",1,$I$9)</f>
        <v>#VALUE!</v>
      </c>
      <c r="U55" s="5" t="e">
        <f ca="1">((N55-M55)/IF(Summary!$C$8&lt;&gt;"Patients",1,$I$9))</f>
        <v>#VALUE!</v>
      </c>
      <c r="V55" s="5">
        <f t="shared" si="8"/>
        <v>0</v>
      </c>
      <c r="X55" s="5" t="e">
        <f ca="1">(VLOOKUP(D55,'SPC background (hide)'!$AG$2:$AN$54,8,0)/IF(Summary!$C$8&lt;&gt;"Patients",1,$I$9))*(1-$I$4)*(1-$I$5+($I$6*$I$7))</f>
        <v>#N/A</v>
      </c>
    </row>
    <row r="56" spans="1:24" x14ac:dyDescent="0.2">
      <c r="A56" s="87">
        <f t="shared" ca="1" si="9"/>
        <v>45047</v>
      </c>
      <c r="B56" s="67" t="str">
        <f t="shared" ca="1" si="11"/>
        <v/>
      </c>
      <c r="C56" s="67" t="str">
        <f t="shared" ca="1" si="12"/>
        <v>May</v>
      </c>
      <c r="D56" s="67">
        <f t="shared" ca="1" si="10"/>
        <v>18</v>
      </c>
      <c r="E56" s="5" t="str">
        <f ca="1">IF(LEFT(Demand!$C$8,1)="H",VLOOKUP($D56,'SPC background (hide)'!$AG$2:$AS$54,12,0),'Demand background (hide)'!X45)</f>
        <v/>
      </c>
      <c r="F56" s="5" t="str">
        <f ca="1">IF(LEFT(Demand!$C$8,1)="H",VLOOKUP($D56,'SPC background (hide)'!$AG$2:$AS$54,13,0),E56*1.1)</f>
        <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0</v>
      </c>
      <c r="J56" s="5">
        <f ca="1">IFERROR(HLOOKUP(A56,'Capacity calculation (hide)'!$BK$1:$DK$4,4,0),Capacity!$U$15)</f>
        <v>0</v>
      </c>
      <c r="K56" s="5">
        <f ca="1">IF(I56-IF(Setup!$I$15="Yes",$G56,0)-IF(Setup!$I$13="Yes",$H56,0)&lt;0,0,I56-IF(Setup!$I$15="Yes",$G56,0)-IF(Setup!$I$13="Yes",$H56,0))</f>
        <v>0</v>
      </c>
      <c r="L56" s="5">
        <f t="shared" ca="1" si="3"/>
        <v>0</v>
      </c>
      <c r="M56" s="5" t="e">
        <f ca="1">(IF('Demand adjustments for Covid'!$F$9="No",E56,SUM('Demand background (hide)'!DS45,'Demand background (hide)'!DV45:DW45))*(1-'Parameters calculator (hide)'!$B$43))*(1-'Parameters calculator (hide)'!$B$44+('Parameters calculator (hide)'!$B$45*'Parameters calculator (hide)'!$B$47))</f>
        <v>#VALUE!</v>
      </c>
      <c r="N56" s="5" t="e">
        <f ca="1">(IF('Demand adjustments for Covid'!$F$9="No",F56,SUM('Demand background (hide)'!DT45,'Demand background (hide)'!DV45:DW45))*(1-'Parameters calculator (hide)'!$B$43))*(1-'Parameters calculator (hide)'!$B$44+('Parameters calculator (hide)'!$B$45*'Parameters calculator (hide)'!$B$47))</f>
        <v>#VALUE!</v>
      </c>
      <c r="P56" s="5">
        <f t="shared" ca="1" si="4"/>
        <v>0</v>
      </c>
      <c r="Q56" s="5">
        <f t="shared" ca="1" si="5"/>
        <v>0</v>
      </c>
      <c r="R56" s="5">
        <f t="shared" ca="1" si="6"/>
        <v>0</v>
      </c>
      <c r="S56" s="5">
        <f t="shared" ca="1" si="7"/>
        <v>0</v>
      </c>
      <c r="T56" s="5" t="e">
        <f ca="1">M56/IF(Summary!$C$8&lt;&gt;"Patients",1,$I$9)</f>
        <v>#VALUE!</v>
      </c>
      <c r="U56" s="5" t="e">
        <f ca="1">((N56-M56)/IF(Summary!$C$8&lt;&gt;"Patients",1,$I$9))</f>
        <v>#VALUE!</v>
      </c>
      <c r="V56" s="5">
        <f t="shared" si="8"/>
        <v>0</v>
      </c>
      <c r="X56" s="5" t="e">
        <f ca="1">(VLOOKUP(D56,'SPC background (hide)'!$AG$2:$AN$54,8,0)/IF(Summary!$C$8&lt;&gt;"Patients",1,$I$9))*(1-$I$4)*(1-$I$5+($I$6*$I$7))</f>
        <v>#N/A</v>
      </c>
    </row>
    <row r="57" spans="1:24" x14ac:dyDescent="0.2">
      <c r="A57" s="87">
        <f t="shared" ca="1" si="9"/>
        <v>45054</v>
      </c>
      <c r="B57" s="67" t="str">
        <f t="shared" ca="1" si="11"/>
        <v/>
      </c>
      <c r="C57" s="67" t="str">
        <f t="shared" ca="1" si="12"/>
        <v/>
      </c>
      <c r="D57" s="67">
        <f t="shared" ca="1" si="10"/>
        <v>19</v>
      </c>
      <c r="E57" s="5" t="str">
        <f ca="1">IF(LEFT(Demand!$C$8,1)="H",VLOOKUP($D57,'SPC background (hide)'!$AG$2:$AS$54,12,0),'Demand background (hide)'!X46)</f>
        <v/>
      </c>
      <c r="F57" s="5" t="str">
        <f ca="1">IF(LEFT(Demand!$C$8,1)="H",VLOOKUP($D57,'SPC background (hide)'!$AG$2:$AS$54,13,0),E57*1.1)</f>
        <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0</v>
      </c>
      <c r="J57" s="5">
        <f ca="1">IFERROR(HLOOKUP(A57,'Capacity calculation (hide)'!$BK$1:$DK$4,4,0),Capacity!$U$15)</f>
        <v>0</v>
      </c>
      <c r="K57" s="5">
        <f ca="1">IF(I57-IF(Setup!$I$15="Yes",$G57,0)-IF(Setup!$I$13="Yes",$H57,0)&lt;0,0,I57-IF(Setup!$I$15="Yes",$G57,0)-IF(Setup!$I$13="Yes",$H57,0))</f>
        <v>0</v>
      </c>
      <c r="L57" s="5">
        <f t="shared" ca="1" si="3"/>
        <v>0</v>
      </c>
      <c r="M57" s="5" t="e">
        <f ca="1">(IF('Demand adjustments for Covid'!$F$9="No",E57,SUM('Demand background (hide)'!DS46,'Demand background (hide)'!DV46:DW46))*(1-'Parameters calculator (hide)'!$B$43))*(1-'Parameters calculator (hide)'!$B$44+('Parameters calculator (hide)'!$B$45*'Parameters calculator (hide)'!$B$47))</f>
        <v>#VALUE!</v>
      </c>
      <c r="N57" s="5" t="e">
        <f ca="1">(IF('Demand adjustments for Covid'!$F$9="No",F57,SUM('Demand background (hide)'!DT46,'Demand background (hide)'!DV46:DW46))*(1-'Parameters calculator (hide)'!$B$43))*(1-'Parameters calculator (hide)'!$B$44+('Parameters calculator (hide)'!$B$45*'Parameters calculator (hide)'!$B$47))</f>
        <v>#VALUE!</v>
      </c>
      <c r="P57" s="5">
        <f t="shared" ca="1" si="4"/>
        <v>0</v>
      </c>
      <c r="Q57" s="5">
        <f t="shared" ca="1" si="5"/>
        <v>0</v>
      </c>
      <c r="R57" s="5">
        <f t="shared" ca="1" si="6"/>
        <v>0</v>
      </c>
      <c r="S57" s="5">
        <f t="shared" ca="1" si="7"/>
        <v>0</v>
      </c>
      <c r="T57" s="5" t="e">
        <f ca="1">M57/IF(Summary!$C$8&lt;&gt;"Patients",1,$I$9)</f>
        <v>#VALUE!</v>
      </c>
      <c r="U57" s="5" t="e">
        <f ca="1">((N57-M57)/IF(Summary!$C$8&lt;&gt;"Patients",1,$I$9))</f>
        <v>#VALUE!</v>
      </c>
      <c r="V57" s="5">
        <f t="shared" si="8"/>
        <v>0</v>
      </c>
      <c r="X57" s="5" t="e">
        <f ca="1">(VLOOKUP(D57,'SPC background (hide)'!$AG$2:$AN$54,8,0)/IF(Summary!$C$8&lt;&gt;"Patients",1,$I$9))*(1-$I$4)*(1-$I$5+($I$6*$I$7))</f>
        <v>#N/A</v>
      </c>
    </row>
    <row r="58" spans="1:24" x14ac:dyDescent="0.2">
      <c r="A58" s="87">
        <f t="shared" ca="1" si="9"/>
        <v>45061</v>
      </c>
      <c r="B58" s="67" t="str">
        <f t="shared" ca="1" si="11"/>
        <v/>
      </c>
      <c r="C58" s="67" t="str">
        <f t="shared" ca="1" si="12"/>
        <v/>
      </c>
      <c r="D58" s="67">
        <f t="shared" ca="1" si="10"/>
        <v>20</v>
      </c>
      <c r="E58" s="5" t="str">
        <f ca="1">IF(LEFT(Demand!$C$8,1)="H",VLOOKUP($D58,'SPC background (hide)'!$AG$2:$AS$54,12,0),'Demand background (hide)'!X47)</f>
        <v/>
      </c>
      <c r="F58" s="5" t="str">
        <f ca="1">IF(LEFT(Demand!$C$8,1)="H",VLOOKUP($D58,'SPC background (hide)'!$AG$2:$AS$54,13,0),E58*1.1)</f>
        <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0</v>
      </c>
      <c r="J58" s="5">
        <f ca="1">IFERROR(HLOOKUP(A58,'Capacity calculation (hide)'!$BK$1:$DK$4,4,0),Capacity!$U$15)</f>
        <v>0</v>
      </c>
      <c r="K58" s="5">
        <f ca="1">IF(I58-IF(Setup!$I$15="Yes",$G58,0)-IF(Setup!$I$13="Yes",$H58,0)&lt;0,0,I58-IF(Setup!$I$15="Yes",$G58,0)-IF(Setup!$I$13="Yes",$H58,0))</f>
        <v>0</v>
      </c>
      <c r="L58" s="5">
        <f t="shared" ca="1" si="3"/>
        <v>0</v>
      </c>
      <c r="M58" s="5" t="e">
        <f ca="1">(IF('Demand adjustments for Covid'!$F$9="No",E58,SUM('Demand background (hide)'!DS47,'Demand background (hide)'!DV47:DW47))*(1-'Parameters calculator (hide)'!$B$43))*(1-'Parameters calculator (hide)'!$B$44+('Parameters calculator (hide)'!$B$45*'Parameters calculator (hide)'!$B$47))</f>
        <v>#VALUE!</v>
      </c>
      <c r="N58" s="5" t="e">
        <f ca="1">(IF('Demand adjustments for Covid'!$F$9="No",F58,SUM('Demand background (hide)'!DT47,'Demand background (hide)'!DV47:DW47))*(1-'Parameters calculator (hide)'!$B$43))*(1-'Parameters calculator (hide)'!$B$44+('Parameters calculator (hide)'!$B$45*'Parameters calculator (hide)'!$B$47))</f>
        <v>#VALUE!</v>
      </c>
      <c r="P58" s="5">
        <f t="shared" ca="1" si="4"/>
        <v>0</v>
      </c>
      <c r="Q58" s="5">
        <f t="shared" ca="1" si="5"/>
        <v>0</v>
      </c>
      <c r="R58" s="5">
        <f t="shared" ca="1" si="6"/>
        <v>0</v>
      </c>
      <c r="S58" s="5">
        <f t="shared" ca="1" si="7"/>
        <v>0</v>
      </c>
      <c r="T58" s="5" t="e">
        <f ca="1">M58/IF(Summary!$C$8&lt;&gt;"Patients",1,$I$9)</f>
        <v>#VALUE!</v>
      </c>
      <c r="U58" s="5" t="e">
        <f ca="1">((N58-M58)/IF(Summary!$C$8&lt;&gt;"Patients",1,$I$9))</f>
        <v>#VALUE!</v>
      </c>
      <c r="V58" s="5">
        <f t="shared" si="8"/>
        <v>0</v>
      </c>
      <c r="X58" s="5" t="e">
        <f ca="1">(VLOOKUP(D58,'SPC background (hide)'!$AG$2:$AN$54,8,0)/IF(Summary!$C$8&lt;&gt;"Patients",1,$I$9))*(1-$I$4)*(1-$I$5+($I$6*$I$7))</f>
        <v>#N/A</v>
      </c>
    </row>
    <row r="59" spans="1:24" x14ac:dyDescent="0.2">
      <c r="A59" s="87">
        <f t="shared" ca="1" si="9"/>
        <v>45068</v>
      </c>
      <c r="B59" s="67" t="str">
        <f t="shared" ca="1" si="11"/>
        <v/>
      </c>
      <c r="C59" s="67" t="str">
        <f t="shared" ca="1" si="12"/>
        <v/>
      </c>
      <c r="D59" s="67">
        <f t="shared" ca="1" si="10"/>
        <v>21</v>
      </c>
      <c r="E59" s="5" t="str">
        <f ca="1">IF(LEFT(Demand!$C$8,1)="H",VLOOKUP($D59,'SPC background (hide)'!$AG$2:$AS$54,12,0),'Demand background (hide)'!X48)</f>
        <v/>
      </c>
      <c r="F59" s="5" t="str">
        <f ca="1">IF(LEFT(Demand!$C$8,1)="H",VLOOKUP($D59,'SPC background (hide)'!$AG$2:$AS$54,13,0),E59*1.1)</f>
        <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0</v>
      </c>
      <c r="J59" s="5">
        <f ca="1">IFERROR(HLOOKUP(A59,'Capacity calculation (hide)'!$BK$1:$DK$4,4,0),Capacity!$U$15)</f>
        <v>0</v>
      </c>
      <c r="K59" s="5">
        <f ca="1">IF(I59-IF(Setup!$I$15="Yes",$G59,0)-IF(Setup!$I$13="Yes",$H59,0)&lt;0,0,I59-IF(Setup!$I$15="Yes",$G59,0)-IF(Setup!$I$13="Yes",$H59,0))</f>
        <v>0</v>
      </c>
      <c r="L59" s="5">
        <f t="shared" ca="1" si="3"/>
        <v>0</v>
      </c>
      <c r="M59" s="5" t="e">
        <f ca="1">(IF('Demand adjustments for Covid'!$F$9="No",E59,SUM('Demand background (hide)'!DS48,'Demand background (hide)'!DV48:DW48))*(1-'Parameters calculator (hide)'!$B$43))*(1-'Parameters calculator (hide)'!$B$44+('Parameters calculator (hide)'!$B$45*'Parameters calculator (hide)'!$B$47))</f>
        <v>#VALUE!</v>
      </c>
      <c r="N59" s="5" t="e">
        <f ca="1">(IF('Demand adjustments for Covid'!$F$9="No",F59,SUM('Demand background (hide)'!DT48,'Demand background (hide)'!DV48:DW48))*(1-'Parameters calculator (hide)'!$B$43))*(1-'Parameters calculator (hide)'!$B$44+('Parameters calculator (hide)'!$B$45*'Parameters calculator (hide)'!$B$47))</f>
        <v>#VALUE!</v>
      </c>
      <c r="P59" s="5">
        <f t="shared" ca="1" si="4"/>
        <v>0</v>
      </c>
      <c r="Q59" s="5">
        <f t="shared" ca="1" si="5"/>
        <v>0</v>
      </c>
      <c r="R59" s="5">
        <f t="shared" ca="1" si="6"/>
        <v>0</v>
      </c>
      <c r="S59" s="5">
        <f t="shared" ca="1" si="7"/>
        <v>0</v>
      </c>
      <c r="T59" s="5" t="e">
        <f ca="1">M59/IF(Summary!$C$8&lt;&gt;"Patients",1,$I$9)</f>
        <v>#VALUE!</v>
      </c>
      <c r="U59" s="5" t="e">
        <f ca="1">((N59-M59)/IF(Summary!$C$8&lt;&gt;"Patients",1,$I$9))</f>
        <v>#VALUE!</v>
      </c>
      <c r="V59" s="5">
        <f t="shared" si="8"/>
        <v>0</v>
      </c>
      <c r="X59" s="5" t="e">
        <f ca="1">(VLOOKUP(D59,'SPC background (hide)'!$AG$2:$AN$54,8,0)/IF(Summary!$C$8&lt;&gt;"Patients",1,$I$9))*(1-$I$4)*(1-$I$5+($I$6*$I$7))</f>
        <v>#N/A</v>
      </c>
    </row>
    <row r="60" spans="1:24" x14ac:dyDescent="0.2">
      <c r="A60" s="87">
        <f t="shared" ca="1" si="9"/>
        <v>45075</v>
      </c>
      <c r="B60" s="67" t="str">
        <f t="shared" ca="1" si="11"/>
        <v/>
      </c>
      <c r="C60" s="67" t="str">
        <f t="shared" ca="1" si="12"/>
        <v/>
      </c>
      <c r="D60" s="67">
        <f t="shared" ca="1" si="10"/>
        <v>22</v>
      </c>
      <c r="E60" s="5" t="str">
        <f ca="1">IF(LEFT(Demand!$C$8,1)="H",VLOOKUP($D60,'SPC background (hide)'!$AG$2:$AS$54,12,0),'Demand background (hide)'!X49)</f>
        <v/>
      </c>
      <c r="F60" s="5" t="str">
        <f ca="1">IF(LEFT(Demand!$C$8,1)="H",VLOOKUP($D60,'SPC background (hide)'!$AG$2:$AS$54,13,0),E60*1.1)</f>
        <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0</v>
      </c>
      <c r="J60" s="5">
        <f ca="1">IFERROR(HLOOKUP(A60,'Capacity calculation (hide)'!$BK$1:$DK$4,4,0),Capacity!$U$15)</f>
        <v>0</v>
      </c>
      <c r="K60" s="5">
        <f ca="1">IF(I60-IF(Setup!$I$15="Yes",$G60,0)-IF(Setup!$I$13="Yes",$H60,0)&lt;0,0,I60-IF(Setup!$I$15="Yes",$G60,0)-IF(Setup!$I$13="Yes",$H60,0))</f>
        <v>0</v>
      </c>
      <c r="L60" s="5">
        <f t="shared" ca="1" si="3"/>
        <v>0</v>
      </c>
      <c r="M60" s="5" t="e">
        <f ca="1">(IF('Demand adjustments for Covid'!$F$9="No",E60,SUM('Demand background (hide)'!DS49,'Demand background (hide)'!DV49:DW49))*(1-'Parameters calculator (hide)'!$B$43))*(1-'Parameters calculator (hide)'!$B$44+('Parameters calculator (hide)'!$B$45*'Parameters calculator (hide)'!$B$47))</f>
        <v>#VALUE!</v>
      </c>
      <c r="N60" s="5" t="e">
        <f ca="1">(IF('Demand adjustments for Covid'!$F$9="No",F60,SUM('Demand background (hide)'!DT49,'Demand background (hide)'!DV49:DW49))*(1-'Parameters calculator (hide)'!$B$43))*(1-'Parameters calculator (hide)'!$B$44+('Parameters calculator (hide)'!$B$45*'Parameters calculator (hide)'!$B$47))</f>
        <v>#VALUE!</v>
      </c>
      <c r="P60" s="5">
        <f t="shared" ca="1" si="4"/>
        <v>0</v>
      </c>
      <c r="Q60" s="5">
        <f t="shared" ca="1" si="5"/>
        <v>0</v>
      </c>
      <c r="R60" s="5">
        <f t="shared" ca="1" si="6"/>
        <v>0</v>
      </c>
      <c r="S60" s="5">
        <f t="shared" ca="1" si="7"/>
        <v>0</v>
      </c>
      <c r="T60" s="5" t="e">
        <f ca="1">M60/IF(Summary!$C$8&lt;&gt;"Patients",1,$I$9)</f>
        <v>#VALUE!</v>
      </c>
      <c r="U60" s="5" t="e">
        <f ca="1">((N60-M60)/IF(Summary!$C$8&lt;&gt;"Patients",1,$I$9))</f>
        <v>#VALUE!</v>
      </c>
      <c r="V60" s="5">
        <f t="shared" si="8"/>
        <v>0</v>
      </c>
      <c r="X60" s="5" t="e">
        <f ca="1">(VLOOKUP(D60,'SPC background (hide)'!$AG$2:$AN$54,8,0)/IF(Summary!$C$8&lt;&gt;"Patients",1,$I$9))*(1-$I$4)*(1-$I$5+($I$6*$I$7))</f>
        <v>#N/A</v>
      </c>
    </row>
    <row r="61" spans="1:24" x14ac:dyDescent="0.2">
      <c r="A61" s="87">
        <f t="shared" ca="1" si="9"/>
        <v>45082</v>
      </c>
      <c r="B61" s="67" t="str">
        <f t="shared" ca="1" si="11"/>
        <v/>
      </c>
      <c r="C61" s="67" t="str">
        <f t="shared" ca="1" si="12"/>
        <v>Jun</v>
      </c>
      <c r="D61" s="67">
        <f t="shared" ca="1" si="10"/>
        <v>23</v>
      </c>
      <c r="E61" s="5" t="str">
        <f ca="1">IF(LEFT(Demand!$C$8,1)="H",VLOOKUP($D61,'SPC background (hide)'!$AG$2:$AS$54,12,0),'Demand background (hide)'!X50)</f>
        <v/>
      </c>
      <c r="F61" s="5" t="str">
        <f ca="1">IF(LEFT(Demand!$C$8,1)="H",VLOOKUP($D61,'SPC background (hide)'!$AG$2:$AS$54,13,0),E61*1.1)</f>
        <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0</v>
      </c>
      <c r="J61" s="5">
        <f ca="1">IFERROR(HLOOKUP(A61,'Capacity calculation (hide)'!$BK$1:$DK$4,4,0),Capacity!$U$15)</f>
        <v>0</v>
      </c>
      <c r="K61" s="5">
        <f ca="1">IF(I61-IF(Setup!$I$15="Yes",$G61,0)-IF(Setup!$I$13="Yes",$H61,0)&lt;0,0,I61-IF(Setup!$I$15="Yes",$G61,0)-IF(Setup!$I$13="Yes",$H61,0))</f>
        <v>0</v>
      </c>
      <c r="L61" s="5">
        <f t="shared" ca="1" si="3"/>
        <v>0</v>
      </c>
      <c r="M61" s="5" t="e">
        <f ca="1">(IF('Demand adjustments for Covid'!$F$9="No",E61,SUM('Demand background (hide)'!DS50,'Demand background (hide)'!DV50:DW50))*(1-'Parameters calculator (hide)'!$B$43))*(1-'Parameters calculator (hide)'!$B$44+('Parameters calculator (hide)'!$B$45*'Parameters calculator (hide)'!$B$47))</f>
        <v>#VALUE!</v>
      </c>
      <c r="N61" s="5" t="e">
        <f ca="1">(IF('Demand adjustments for Covid'!$F$9="No",F61,SUM('Demand background (hide)'!DT50,'Demand background (hide)'!DV50:DW50))*(1-'Parameters calculator (hide)'!$B$43))*(1-'Parameters calculator (hide)'!$B$44+('Parameters calculator (hide)'!$B$45*'Parameters calculator (hide)'!$B$47))</f>
        <v>#VALUE!</v>
      </c>
      <c r="P61" s="5">
        <f t="shared" ca="1" si="4"/>
        <v>0</v>
      </c>
      <c r="Q61" s="5">
        <f t="shared" ca="1" si="5"/>
        <v>0</v>
      </c>
      <c r="R61" s="5">
        <f t="shared" ca="1" si="6"/>
        <v>0</v>
      </c>
      <c r="S61" s="5">
        <f t="shared" ca="1" si="7"/>
        <v>0</v>
      </c>
      <c r="T61" s="5" t="e">
        <f ca="1">M61/IF(Summary!$C$8&lt;&gt;"Patients",1,$I$9)</f>
        <v>#VALUE!</v>
      </c>
      <c r="U61" s="5" t="e">
        <f ca="1">((N61-M61)/IF(Summary!$C$8&lt;&gt;"Patients",1,$I$9))</f>
        <v>#VALUE!</v>
      </c>
      <c r="V61" s="5">
        <f t="shared" si="8"/>
        <v>0</v>
      </c>
      <c r="X61" s="5" t="e">
        <f ca="1">(VLOOKUP(D61,'SPC background (hide)'!$AG$2:$AN$54,8,0)/IF(Summary!$C$8&lt;&gt;"Patients",1,$I$9))*(1-$I$4)*(1-$I$5+($I$6*$I$7))</f>
        <v>#N/A</v>
      </c>
    </row>
    <row r="62" spans="1:24" x14ac:dyDescent="0.2">
      <c r="A62" s="87">
        <f t="shared" ca="1" si="9"/>
        <v>45089</v>
      </c>
      <c r="B62" s="67" t="str">
        <f t="shared" ca="1" si="11"/>
        <v/>
      </c>
      <c r="C62" s="67" t="str">
        <f t="shared" ca="1" si="12"/>
        <v/>
      </c>
      <c r="D62" s="67">
        <f t="shared" ca="1" si="10"/>
        <v>24</v>
      </c>
      <c r="E62" s="5" t="str">
        <f ca="1">IF(LEFT(Demand!$C$8,1)="H",VLOOKUP($D62,'SPC background (hide)'!$AG$2:$AS$54,12,0),'Demand background (hide)'!X51)</f>
        <v/>
      </c>
      <c r="F62" s="5" t="str">
        <f ca="1">IF(LEFT(Demand!$C$8,1)="H",VLOOKUP($D62,'SPC background (hide)'!$AG$2:$AS$54,13,0),E62*1.1)</f>
        <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0</v>
      </c>
      <c r="J62" s="5">
        <f ca="1">IFERROR(HLOOKUP(A62,'Capacity calculation (hide)'!$BK$1:$DK$4,4,0),Capacity!$U$15)</f>
        <v>0</v>
      </c>
      <c r="K62" s="5">
        <f ca="1">IF(I62-IF(Setup!$I$15="Yes",$G62,0)-IF(Setup!$I$13="Yes",$H62,0)&lt;0,0,I62-IF(Setup!$I$15="Yes",$G62,0)-IF(Setup!$I$13="Yes",$H62,0))</f>
        <v>0</v>
      </c>
      <c r="L62" s="5">
        <f t="shared" ca="1" si="3"/>
        <v>0</v>
      </c>
      <c r="M62" s="5" t="e">
        <f ca="1">(IF('Demand adjustments for Covid'!$F$9="No",E62,SUM('Demand background (hide)'!DS51,'Demand background (hide)'!DV51:DW51))*(1-'Parameters calculator (hide)'!$B$43))*(1-'Parameters calculator (hide)'!$B$44+('Parameters calculator (hide)'!$B$45*'Parameters calculator (hide)'!$B$47))</f>
        <v>#VALUE!</v>
      </c>
      <c r="N62" s="5" t="e">
        <f ca="1">(IF('Demand adjustments for Covid'!$F$9="No",F62,SUM('Demand background (hide)'!DT51,'Demand background (hide)'!DV51:DW51))*(1-'Parameters calculator (hide)'!$B$43))*(1-'Parameters calculator (hide)'!$B$44+('Parameters calculator (hide)'!$B$45*'Parameters calculator (hide)'!$B$47))</f>
        <v>#VALUE!</v>
      </c>
      <c r="P62" s="5">
        <f t="shared" ca="1" si="4"/>
        <v>0</v>
      </c>
      <c r="Q62" s="5">
        <f t="shared" ca="1" si="5"/>
        <v>0</v>
      </c>
      <c r="R62" s="5">
        <f t="shared" ca="1" si="6"/>
        <v>0</v>
      </c>
      <c r="S62" s="5">
        <f t="shared" ca="1" si="7"/>
        <v>0</v>
      </c>
      <c r="T62" s="5" t="e">
        <f ca="1">M62/IF(Summary!$C$8&lt;&gt;"Patients",1,$I$9)</f>
        <v>#VALUE!</v>
      </c>
      <c r="U62" s="5" t="e">
        <f ca="1">((N62-M62)/IF(Summary!$C$8&lt;&gt;"Patients",1,$I$9))</f>
        <v>#VALUE!</v>
      </c>
      <c r="V62" s="5">
        <f t="shared" si="8"/>
        <v>0</v>
      </c>
      <c r="X62" s="5" t="e">
        <f ca="1">(VLOOKUP(D62,'SPC background (hide)'!$AG$2:$AN$54,8,0)/IF(Summary!$C$8&lt;&gt;"Patients",1,$I$9))*(1-$I$4)*(1-$I$5+($I$6*$I$7))</f>
        <v>#N/A</v>
      </c>
    </row>
    <row r="63" spans="1:24" x14ac:dyDescent="0.2">
      <c r="A63" s="87">
        <f t="shared" ca="1" si="9"/>
        <v>45096</v>
      </c>
      <c r="B63" s="67" t="str">
        <f t="shared" ca="1" si="11"/>
        <v/>
      </c>
      <c r="C63" s="67" t="str">
        <f t="shared" ca="1" si="12"/>
        <v/>
      </c>
      <c r="D63" s="67">
        <f t="shared" ca="1" si="10"/>
        <v>25</v>
      </c>
      <c r="E63" s="5" t="str">
        <f ca="1">IF(LEFT(Demand!$C$8,1)="H",VLOOKUP($D63,'SPC background (hide)'!$AG$2:$AS$54,12,0),'Demand background (hide)'!X52)</f>
        <v/>
      </c>
      <c r="F63" s="5" t="str">
        <f ca="1">IF(LEFT(Demand!$C$8,1)="H",VLOOKUP($D63,'SPC background (hide)'!$AG$2:$AS$54,13,0),E63*1.1)</f>
        <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0</v>
      </c>
      <c r="J63" s="5">
        <f ca="1">IFERROR(HLOOKUP(A63,'Capacity calculation (hide)'!$BK$1:$DK$4,4,0),Capacity!$U$15)</f>
        <v>0</v>
      </c>
      <c r="K63" s="5">
        <f ca="1">IF(I63-IF(Setup!$I$15="Yes",$G63,0)-IF(Setup!$I$13="Yes",$H63,0)&lt;0,0,I63-IF(Setup!$I$15="Yes",$G63,0)-IF(Setup!$I$13="Yes",$H63,0))</f>
        <v>0</v>
      </c>
      <c r="L63" s="5">
        <f t="shared" ca="1" si="3"/>
        <v>0</v>
      </c>
      <c r="M63" s="5" t="e">
        <f ca="1">(IF('Demand adjustments for Covid'!$F$9="No",E63,SUM('Demand background (hide)'!DS52,'Demand background (hide)'!DV52:DW52))*(1-'Parameters calculator (hide)'!$B$43))*(1-'Parameters calculator (hide)'!$B$44+('Parameters calculator (hide)'!$B$45*'Parameters calculator (hide)'!$B$47))</f>
        <v>#VALUE!</v>
      </c>
      <c r="N63" s="5" t="e">
        <f ca="1">(IF('Demand adjustments for Covid'!$F$9="No",F63,SUM('Demand background (hide)'!DT52,'Demand background (hide)'!DV52:DW52))*(1-'Parameters calculator (hide)'!$B$43))*(1-'Parameters calculator (hide)'!$B$44+('Parameters calculator (hide)'!$B$45*'Parameters calculator (hide)'!$B$47))</f>
        <v>#VALUE!</v>
      </c>
      <c r="P63" s="5">
        <f t="shared" ca="1" si="4"/>
        <v>0</v>
      </c>
      <c r="Q63" s="5">
        <f t="shared" ca="1" si="5"/>
        <v>0</v>
      </c>
      <c r="R63" s="5">
        <f t="shared" ca="1" si="6"/>
        <v>0</v>
      </c>
      <c r="S63" s="5">
        <f t="shared" ca="1" si="7"/>
        <v>0</v>
      </c>
      <c r="T63" s="5" t="e">
        <f ca="1">M63/IF(Summary!$C$8&lt;&gt;"Patients",1,$I$9)</f>
        <v>#VALUE!</v>
      </c>
      <c r="U63" s="5" t="e">
        <f ca="1">((N63-M63)/IF(Summary!$C$8&lt;&gt;"Patients",1,$I$9))</f>
        <v>#VALUE!</v>
      </c>
      <c r="V63" s="5">
        <f t="shared" si="8"/>
        <v>0</v>
      </c>
      <c r="X63" s="5" t="e">
        <f ca="1">(VLOOKUP(D63,'SPC background (hide)'!$AG$2:$AN$54,8,0)/IF(Summary!$C$8&lt;&gt;"Patients",1,$I$9))*(1-$I$4)*(1-$I$5+($I$6*$I$7))</f>
        <v>#N/A</v>
      </c>
    </row>
    <row r="64" spans="1:24" x14ac:dyDescent="0.2">
      <c r="A64" s="87">
        <f t="shared" ca="1" si="9"/>
        <v>45103</v>
      </c>
      <c r="B64" s="67" t="str">
        <f t="shared" ca="1" si="11"/>
        <v/>
      </c>
      <c r="C64" s="67" t="str">
        <f t="shared" ca="1" si="12"/>
        <v/>
      </c>
      <c r="D64" s="67">
        <f t="shared" ca="1" si="10"/>
        <v>26</v>
      </c>
      <c r="E64" s="5" t="str">
        <f ca="1">IF(LEFT(Demand!$C$8,1)="H",VLOOKUP($D64,'SPC background (hide)'!$AG$2:$AS$54,12,0),'Demand background (hide)'!X53)</f>
        <v/>
      </c>
      <c r="F64" s="5" t="str">
        <f ca="1">IF(LEFT(Demand!$C$8,1)="H",VLOOKUP($D64,'SPC background (hide)'!$AG$2:$AS$54,13,0),E64*1.1)</f>
        <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0</v>
      </c>
      <c r="J64" s="5">
        <f ca="1">IFERROR(HLOOKUP(A64,'Capacity calculation (hide)'!$BK$1:$DK$4,4,0),Capacity!$U$15)</f>
        <v>0</v>
      </c>
      <c r="K64" s="5">
        <f ca="1">IF(I64-IF(Setup!$I$15="Yes",$G64,0)-IF(Setup!$I$13="Yes",$H64,0)&lt;0,0,I64-IF(Setup!$I$15="Yes",$G64,0)-IF(Setup!$I$13="Yes",$H64,0))</f>
        <v>0</v>
      </c>
      <c r="L64" s="5">
        <f t="shared" ca="1" si="3"/>
        <v>0</v>
      </c>
      <c r="M64" s="5" t="e">
        <f ca="1">(IF('Demand adjustments for Covid'!$F$9="No",E64,SUM('Demand background (hide)'!DS53,'Demand background (hide)'!DV53:DW53))*(1-'Parameters calculator (hide)'!$B$43))*(1-'Parameters calculator (hide)'!$B$44+('Parameters calculator (hide)'!$B$45*'Parameters calculator (hide)'!$B$47))</f>
        <v>#VALUE!</v>
      </c>
      <c r="N64" s="5" t="e">
        <f ca="1">(IF('Demand adjustments for Covid'!$F$9="No",F64,SUM('Demand background (hide)'!DT53,'Demand background (hide)'!DV53:DW53))*(1-'Parameters calculator (hide)'!$B$43))*(1-'Parameters calculator (hide)'!$B$44+('Parameters calculator (hide)'!$B$45*'Parameters calculator (hide)'!$B$47))</f>
        <v>#VALUE!</v>
      </c>
      <c r="P64" s="5">
        <f t="shared" ca="1" si="4"/>
        <v>0</v>
      </c>
      <c r="Q64" s="5">
        <f t="shared" ca="1" si="5"/>
        <v>0</v>
      </c>
      <c r="R64" s="5">
        <f t="shared" ca="1" si="6"/>
        <v>0</v>
      </c>
      <c r="S64" s="5">
        <f t="shared" ca="1" si="7"/>
        <v>0</v>
      </c>
      <c r="T64" s="5" t="e">
        <f ca="1">M64/IF(Summary!$C$8&lt;&gt;"Patients",1,$I$9)</f>
        <v>#VALUE!</v>
      </c>
      <c r="U64" s="5" t="e">
        <f ca="1">((N64-M64)/IF(Summary!$C$8&lt;&gt;"Patients",1,$I$9))</f>
        <v>#VALUE!</v>
      </c>
      <c r="V64" s="5">
        <f t="shared" si="8"/>
        <v>0</v>
      </c>
      <c r="X64" s="5" t="e">
        <f ca="1">(VLOOKUP(D64,'SPC background (hide)'!$AG$2:$AN$54,8,0)/IF(Summary!$C$8&lt;&gt;"Patients",1,$I$9))*(1-$I$4)*(1-$I$5+($I$6*$I$7))</f>
        <v>#N/A</v>
      </c>
    </row>
    <row r="65" spans="1:24" x14ac:dyDescent="0.2">
      <c r="A65" s="87">
        <f t="shared" ca="1" si="9"/>
        <v>45110</v>
      </c>
      <c r="B65" s="67" t="str">
        <f t="shared" ca="1" si="11"/>
        <v/>
      </c>
      <c r="C65" s="67" t="str">
        <f t="shared" ca="1" si="12"/>
        <v>Jul</v>
      </c>
      <c r="D65" s="67">
        <f t="shared" ca="1" si="10"/>
        <v>27</v>
      </c>
      <c r="E65" s="5" t="str">
        <f ca="1">IF(LEFT(Demand!$C$8,1)="H",VLOOKUP($D65,'SPC background (hide)'!$AG$2:$AS$54,12,0),'Demand background (hide)'!X54)</f>
        <v/>
      </c>
      <c r="F65" s="5" t="str">
        <f ca="1">IF(LEFT(Demand!$C$8,1)="H",VLOOKUP($D65,'SPC background (hide)'!$AG$2:$AS$54,13,0),E65*1.1)</f>
        <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0</v>
      </c>
      <c r="J65" s="5">
        <f ca="1">IFERROR(HLOOKUP(A65,'Capacity calculation (hide)'!$BK$1:$DK$4,4,0),Capacity!$U$15)</f>
        <v>0</v>
      </c>
      <c r="K65" s="5">
        <f ca="1">IF(I65-IF(Setup!$I$15="Yes",$G65,0)-IF(Setup!$I$13="Yes",$H65,0)&lt;0,0,I65-IF(Setup!$I$15="Yes",$G65,0)-IF(Setup!$I$13="Yes",$H65,0))</f>
        <v>0</v>
      </c>
      <c r="L65" s="5">
        <f t="shared" ca="1" si="3"/>
        <v>0</v>
      </c>
      <c r="M65" s="5" t="e">
        <f ca="1">(IF('Demand adjustments for Covid'!$F$9="No",E65,SUM('Demand background (hide)'!DS54,'Demand background (hide)'!DV54:DW54))*(1-'Parameters calculator (hide)'!$B$43))*(1-'Parameters calculator (hide)'!$B$44+('Parameters calculator (hide)'!$B$45*'Parameters calculator (hide)'!$B$47))</f>
        <v>#VALUE!</v>
      </c>
      <c r="N65" s="5" t="e">
        <f ca="1">(IF('Demand adjustments for Covid'!$F$9="No",F65,SUM('Demand background (hide)'!DT54,'Demand background (hide)'!DV54:DW54))*(1-'Parameters calculator (hide)'!$B$43))*(1-'Parameters calculator (hide)'!$B$44+('Parameters calculator (hide)'!$B$45*'Parameters calculator (hide)'!$B$47))</f>
        <v>#VALUE!</v>
      </c>
      <c r="P65" s="5">
        <f t="shared" ca="1" si="4"/>
        <v>0</v>
      </c>
      <c r="Q65" s="5">
        <f t="shared" ca="1" si="5"/>
        <v>0</v>
      </c>
      <c r="R65" s="5">
        <f t="shared" ca="1" si="6"/>
        <v>0</v>
      </c>
      <c r="S65" s="5">
        <f t="shared" ca="1" si="7"/>
        <v>0</v>
      </c>
      <c r="T65" s="5" t="e">
        <f ca="1">M65/IF(Summary!$C$8&lt;&gt;"Patients",1,$I$9)</f>
        <v>#VALUE!</v>
      </c>
      <c r="U65" s="5" t="e">
        <f ca="1">((N65-M65)/IF(Summary!$C$8&lt;&gt;"Patients",1,$I$9))</f>
        <v>#VALUE!</v>
      </c>
      <c r="V65" s="5">
        <f t="shared" si="8"/>
        <v>0</v>
      </c>
      <c r="X65" s="5" t="e">
        <f ca="1">(VLOOKUP(D65,'SPC background (hide)'!$AG$2:$AN$54,8,0)/IF(Summary!$C$8&lt;&gt;"Patients",1,$I$9))*(1-$I$4)*(1-$I$5+($I$6*$I$7))</f>
        <v>#N/A</v>
      </c>
    </row>
    <row r="66" spans="1:24" x14ac:dyDescent="0.2">
      <c r="A66" s="87">
        <f t="shared" ca="1" si="9"/>
        <v>45117</v>
      </c>
      <c r="B66" s="67" t="str">
        <f t="shared" ca="1" si="11"/>
        <v/>
      </c>
      <c r="C66" s="67" t="str">
        <f t="shared" ca="1" si="12"/>
        <v/>
      </c>
      <c r="D66" s="67">
        <f t="shared" ca="1" si="10"/>
        <v>28</v>
      </c>
      <c r="E66" s="5" t="str">
        <f ca="1">IF(LEFT(Demand!$C$8,1)="H",VLOOKUP($D66,'SPC background (hide)'!$AG$2:$AS$54,12,0),'Demand background (hide)'!X55)</f>
        <v/>
      </c>
      <c r="F66" s="5" t="str">
        <f ca="1">IF(LEFT(Demand!$C$8,1)="H",VLOOKUP($D66,'SPC background (hide)'!$AG$2:$AS$54,13,0),E66*1.1)</f>
        <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0</v>
      </c>
      <c r="J66" s="5">
        <f ca="1">IFERROR(HLOOKUP(A66,'Capacity calculation (hide)'!$BK$1:$DK$4,4,0),Capacity!$U$15)</f>
        <v>0</v>
      </c>
      <c r="K66" s="5">
        <f ca="1">IF(I66-IF(Setup!$I$15="Yes",$G66,0)-IF(Setup!$I$13="Yes",$H66,0)&lt;0,0,I66-IF(Setup!$I$15="Yes",$G66,0)-IF(Setup!$I$13="Yes",$H66,0))</f>
        <v>0</v>
      </c>
      <c r="L66" s="5">
        <f t="shared" ca="1" si="3"/>
        <v>0</v>
      </c>
      <c r="M66" s="5" t="e">
        <f ca="1">(IF('Demand adjustments for Covid'!$F$9="No",E66,SUM('Demand background (hide)'!DS55,'Demand background (hide)'!DV55:DW55))*(1-'Parameters calculator (hide)'!$B$43))*(1-'Parameters calculator (hide)'!$B$44+('Parameters calculator (hide)'!$B$45*'Parameters calculator (hide)'!$B$47))</f>
        <v>#VALUE!</v>
      </c>
      <c r="N66" s="5" t="e">
        <f ca="1">(IF('Demand adjustments for Covid'!$F$9="No",F66,SUM('Demand background (hide)'!DT55,'Demand background (hide)'!DV55:DW55))*(1-'Parameters calculator (hide)'!$B$43))*(1-'Parameters calculator (hide)'!$B$44+('Parameters calculator (hide)'!$B$45*'Parameters calculator (hide)'!$B$47))</f>
        <v>#VALUE!</v>
      </c>
      <c r="P66" s="5">
        <f t="shared" ca="1" si="4"/>
        <v>0</v>
      </c>
      <c r="Q66" s="5">
        <f t="shared" ca="1" si="5"/>
        <v>0</v>
      </c>
      <c r="R66" s="5">
        <f t="shared" ca="1" si="6"/>
        <v>0</v>
      </c>
      <c r="S66" s="5">
        <f t="shared" ca="1" si="7"/>
        <v>0</v>
      </c>
      <c r="T66" s="5" t="e">
        <f ca="1">M66/IF(Summary!$C$8&lt;&gt;"Patients",1,$I$9)</f>
        <v>#VALUE!</v>
      </c>
      <c r="U66" s="5" t="e">
        <f ca="1">((N66-M66)/IF(Summary!$C$8&lt;&gt;"Patients",1,$I$9))</f>
        <v>#VALUE!</v>
      </c>
      <c r="V66" s="5">
        <f t="shared" si="8"/>
        <v>0</v>
      </c>
      <c r="X66" s="5" t="e">
        <f ca="1">(VLOOKUP(D66,'SPC background (hide)'!$AG$2:$AN$54,8,0)/IF(Summary!$C$8&lt;&gt;"Patients",1,$I$9))*(1-$I$4)*(1-$I$5+($I$6*$I$7))</f>
        <v>#N/A</v>
      </c>
    </row>
    <row r="67" spans="1:24" x14ac:dyDescent="0.2">
      <c r="A67" s="297">
        <f t="shared" ca="1" si="9"/>
        <v>45124</v>
      </c>
      <c r="B67" s="67" t="str">
        <f t="shared" ca="1" si="11"/>
        <v/>
      </c>
      <c r="C67" s="67" t="str">
        <f t="shared" ca="1" si="12"/>
        <v/>
      </c>
      <c r="D67" s="59">
        <f ca="1">IF(MAX(D15:D66)=53,WEEKNUM(A67,21),53)</f>
        <v>53</v>
      </c>
      <c r="E67" s="5" t="e">
        <f ca="1">VLOOKUP($D67,'SPC background (hide)'!$AG$2:$AS$54,12,0)</f>
        <v>#N/A</v>
      </c>
      <c r="F67" s="5" t="e">
        <f ca="1">VLOOKUP($D67,'SPC background (hide)'!$AG$2:$AS$54,13,0)</f>
        <v>#N/A</v>
      </c>
      <c r="G67" s="5" t="str">
        <f>IF(Setup!$I$15="Yes",VLOOKUP(D67,'SPC background (hide)'!$AG$2:$AT$54,14,0)/IF(Summary!$C$8="Patients",'Summary Calculations (hide)'!$I$9,1),"")</f>
        <v/>
      </c>
      <c r="H67" s="67" t="str">
        <f>IF(Setup!$I$13="Yes",'Planned background (hide)'!$V$23/IF(Summary!$C$8="Patients",'Summary Calculations (hide)'!$I$9,1),"")</f>
        <v/>
      </c>
      <c r="I67" s="5">
        <f ca="1">IFERROR(HLOOKUP(A67,'Capacity calculation (hide)'!$BK$1:$DK$4,4,0),Capacity!$I$15)</f>
        <v>0</v>
      </c>
      <c r="J67" s="5">
        <f ca="1">IFERROR(HLOOKUP(A67,'Capacity calculation (hide)'!$BK$1:$DK$4,4,0),Capacity!$U$15)</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#N/A</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#N/A</v>
      </c>
      <c r="U67" s="5" t="e">
        <f ca="1">((N67-M67)/IF(Summary!$C$8&lt;&gt;"Patients",1,$I$9))</f>
        <v>#N/A</v>
      </c>
      <c r="V67" s="5">
        <f t="shared" ref="V67" si="18">SUM(G67:H67)</f>
        <v>0</v>
      </c>
      <c r="W67" s="67"/>
      <c r="X67" s="5" t="e">
        <f ca="1">(VLOOKUP(D67,'SPC background (hide)'!$AG$2:$AN$54,8,0)/IF(Summary!$C$8&lt;&gt;"Patients",1,$I$9))*(1-$I$4)*(1-$I$5+($I$6*$I$7))</f>
        <v>#N/A</v>
      </c>
    </row>
    <row r="68" spans="1:24" s="67" customFormat="1" x14ac:dyDescent="0.2">
      <c r="X68" s="5"/>
    </row>
    <row r="69" spans="1:24" x14ac:dyDescent="0.2">
      <c r="X69" s="5"/>
    </row>
    <row r="70" spans="1:24" x14ac:dyDescent="0.2">
      <c r="D70" t="s">
        <v>290</v>
      </c>
      <c r="E70" s="5" t="e">
        <f ca="1">AVERAGE(E15:E67)</f>
        <v>#N/A</v>
      </c>
      <c r="F70" s="5" t="e">
        <f ca="1">AVERAGE(F15:F67)</f>
        <v>#N/A</v>
      </c>
      <c r="G70" s="5" t="str">
        <f>IF(Setup!$I$15="Yes",AVERAGE(G15:G67),"")</f>
        <v/>
      </c>
      <c r="H70" s="5" t="str">
        <f>IF(Setup!$I$13="Yes",AVERAGE(H15:H67),"")</f>
        <v/>
      </c>
      <c r="I70" s="5">
        <f ca="1">AVERAGE(I15:I67)</f>
        <v>0</v>
      </c>
      <c r="J70" s="5">
        <f ca="1">AVERAGE(J15:J67)</f>
        <v>0</v>
      </c>
      <c r="K70" s="5">
        <f ca="1">AVERAGE(K15:K67)</f>
        <v>0</v>
      </c>
      <c r="L70" s="5">
        <f ca="1">AVERAGE(L15:L67)</f>
        <v>0</v>
      </c>
      <c r="M70" s="104" t="e">
        <f ca="1">IF(Summary!B15=0,AVERAGE(M15:M67)/IF(Summary!$C$8&lt;&gt;"Patients",1,$I$9),AVERAGE('Planning (hide)'!C4:C55))</f>
        <v>#VALUE!</v>
      </c>
      <c r="N70" s="104" t="e" cm="1">
        <f t="array" aca="1" ref="N70" ca="1">IF(Summary!B15=0,AVERAGE(N15:N67)/IF(Summary!$C$8&lt;&gt;"Patients",1,$I$9),AVERAGE('Planning (hide)'!C4:C55+'Planning (hide)'!D4:D55))</f>
        <v>#VALUE!</v>
      </c>
      <c r="R70" s="5">
        <f ca="1">AVERAGE(R15:R67)</f>
        <v>0</v>
      </c>
      <c r="S70" s="5">
        <f ca="1">AVERAGE(S15:S67)</f>
        <v>0</v>
      </c>
      <c r="V70" s="104">
        <f>IF(AND(Setup!$I$13="No",Setup!$I$15="No"),0,IF(H70&lt;&gt;"",H70,0)+IF(G70&lt;&gt;"",G70,0))</f>
        <v>0</v>
      </c>
      <c r="X70" s="5" t="e">
        <f ca="1">AVERAGE(X15:X67)</f>
        <v>#N/A</v>
      </c>
    </row>
    <row r="71" spans="1:24" x14ac:dyDescent="0.2">
      <c r="E71" s="60"/>
      <c r="I71" t="s">
        <v>308</v>
      </c>
      <c r="K71" s="104">
        <f ca="1">(K70)/IF(Summary!$C$8&lt;&gt;"Patients",1,$I$9)</f>
        <v>0</v>
      </c>
      <c r="L71" s="104">
        <f ca="1">(L70)/IF(Summary!$C$8&lt;&gt;"Patients",1,$I$9)</f>
        <v>0</v>
      </c>
      <c r="M71" s="5"/>
      <c r="N71" s="5" t="e">
        <f ca="1">N70-M70</f>
        <v>#VALUE!</v>
      </c>
      <c r="R71" s="5">
        <f ca="1">SUM(R15:R67)</f>
        <v>0</v>
      </c>
      <c r="S71" s="5">
        <f ca="1">SUM(S15:S67)</f>
        <v>0</v>
      </c>
      <c r="V71" s="5">
        <f>SUM(V15:V67)</f>
        <v>0</v>
      </c>
      <c r="X71" s="5" t="e">
        <f ca="1">SUM(X15:X67)</f>
        <v>#N/A</v>
      </c>
    </row>
    <row r="72" spans="1:24" x14ac:dyDescent="0.2">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1126</v>
      </c>
    </row>
    <row r="3" spans="1:29" x14ac:dyDescent="0.2">
      <c r="A3" t="s">
        <v>1112</v>
      </c>
      <c r="B3" s="301">
        <f>Summary!$D$42</f>
        <v>0</v>
      </c>
      <c r="H3" t="s">
        <v>153</v>
      </c>
      <c r="I3" t="s">
        <v>148</v>
      </c>
      <c r="J3" t="s">
        <v>149</v>
      </c>
      <c r="K3" t="s">
        <v>156</v>
      </c>
      <c r="L3" t="s">
        <v>1124</v>
      </c>
      <c r="M3" t="s">
        <v>531</v>
      </c>
      <c r="N3" t="s">
        <v>1125</v>
      </c>
    </row>
    <row r="4" spans="1:29" x14ac:dyDescent="0.2">
      <c r="A4" t="s">
        <v>1113</v>
      </c>
      <c r="B4" s="301">
        <f>Summary!$D$43</f>
        <v>0</v>
      </c>
      <c r="H4">
        <v>1</v>
      </c>
      <c r="I4">
        <f>'SPC background (hide)'!L4</f>
        <v>99</v>
      </c>
      <c r="J4">
        <f ca="1">'SPC background (hide)'!M4</f>
        <v>1</v>
      </c>
      <c r="K4" s="5">
        <f ca="1">'SPC background (hide)'!O4</f>
        <v>0</v>
      </c>
      <c r="L4" t="str">
        <f ca="1">IFERROR(VLOOKUP(H4,'SPC background (hide)'!$AI$2:$AJ$54,2,FALSE),"")</f>
        <v/>
      </c>
      <c r="M4" s="5">
        <f ca="1">'SPC background (hide)'!P4</f>
        <v>0</v>
      </c>
      <c r="N4" s="5">
        <f ca="1">'SPC background (hide)'!Q4</f>
        <v>0</v>
      </c>
    </row>
    <row r="5" spans="1:29" x14ac:dyDescent="0.2">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
      <c r="A6" t="s">
        <v>1114</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
      <c r="A8" t="s">
        <v>418</v>
      </c>
      <c r="B8" s="3">
        <f ca="1">'Summary Calculations (hide)'!I7</f>
        <v>1</v>
      </c>
      <c r="H8" s="67">
        <v>5</v>
      </c>
      <c r="I8" s="67">
        <f ca="1">'SPC background (hide)'!L8</f>
        <v>1</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
      <c r="A10" t="s">
        <v>1146</v>
      </c>
      <c r="B10" s="3"/>
      <c r="H10" t="s">
        <v>1123</v>
      </c>
      <c r="T10" t="s">
        <v>1129</v>
      </c>
    </row>
    <row r="11" spans="1:29" x14ac:dyDescent="0.2">
      <c r="A11" t="s">
        <v>1115</v>
      </c>
      <c r="B11" s="3" t="e">
        <f ca="1">(1-B5)*(1-(B6+B7))</f>
        <v>#N/A</v>
      </c>
      <c r="C11" s="51" t="s">
        <v>1142</v>
      </c>
      <c r="D11" t="s">
        <v>1136</v>
      </c>
      <c r="T11" t="s">
        <v>1130</v>
      </c>
      <c r="U11" t="s">
        <v>1131</v>
      </c>
      <c r="V11" t="s">
        <v>1132</v>
      </c>
      <c r="W11" t="s">
        <v>1133</v>
      </c>
      <c r="X11" t="s">
        <v>1134</v>
      </c>
      <c r="Y11" t="s">
        <v>1135</v>
      </c>
      <c r="Z11" t="s">
        <v>156</v>
      </c>
      <c r="AA11" t="s">
        <v>1139</v>
      </c>
      <c r="AB11" t="s">
        <v>1140</v>
      </c>
      <c r="AC11" t="s">
        <v>1141</v>
      </c>
    </row>
    <row r="12" spans="1:29" x14ac:dyDescent="0.2">
      <c r="A12" t="s">
        <v>1116</v>
      </c>
      <c r="B12" s="3" t="e">
        <f ca="1">(1-B5) * (B7*B8)</f>
        <v>#N/A</v>
      </c>
      <c r="C12" s="51" t="s">
        <v>1143</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1127</v>
      </c>
      <c r="R12" t="s">
        <v>391</v>
      </c>
      <c r="T12">
        <v>152</v>
      </c>
    </row>
    <row r="13" spans="1:29" x14ac:dyDescent="0.2">
      <c r="A13" t="s">
        <v>1120</v>
      </c>
      <c r="B13" s="3" t="e">
        <f ca="1">B11+B12</f>
        <v>#N/A</v>
      </c>
      <c r="C13" s="51" t="s">
        <v>1121</v>
      </c>
      <c r="H13" s="297">
        <f ca="1">'Summary Calculations (hide)'!A15</f>
        <v>44760</v>
      </c>
      <c r="I13">
        <f ca="1">'Summary Calculations (hide)'!B15</f>
        <v>2022</v>
      </c>
      <c r="J13" t="str">
        <f ca="1">'Summary Calculations (hide)'!C15</f>
        <v>Jul</v>
      </c>
      <c r="K13">
        <f ca="1">'Summary Calculations (hide)'!D15</f>
        <v>29</v>
      </c>
      <c r="L13">
        <f ca="1">VLOOKUP($K13,'SPC background (hide)'!$AG$2:$AS$54,3,0)</f>
        <v>5</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
      <c r="A14" t="s">
        <v>1117</v>
      </c>
      <c r="B14" s="3" t="e">
        <f ca="1">1 - B7</f>
        <v>#N/A</v>
      </c>
      <c r="C14" s="51" t="s">
        <v>1144</v>
      </c>
      <c r="H14" s="297">
        <f ca="1">'Summary Calculations (hide)'!A16</f>
        <v>44767</v>
      </c>
      <c r="I14" t="str">
        <f ca="1">'Summary Calculations (hide)'!B16</f>
        <v/>
      </c>
      <c r="J14" t="str">
        <f ca="1">'Summary Calculations (hide)'!C16</f>
        <v/>
      </c>
      <c r="K14">
        <f ca="1">'Summary Calculations (hide)'!D16</f>
        <v>30</v>
      </c>
      <c r="L14" s="67">
        <f ca="1">VLOOKUP($K14,'SPC background (hide)'!$AG$2:$AS$54,3,0)</f>
        <v>5</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
      <c r="A15" t="s">
        <v>1118</v>
      </c>
      <c r="B15" s="3" t="e">
        <f ca="1">B7*B8</f>
        <v>#N/A</v>
      </c>
      <c r="C15" s="51" t="s">
        <v>1145</v>
      </c>
      <c r="H15" s="297">
        <f ca="1">'Summary Calculations (hide)'!A17</f>
        <v>44774</v>
      </c>
      <c r="I15" t="str">
        <f ca="1">'Summary Calculations (hide)'!B17</f>
        <v/>
      </c>
      <c r="J15" t="str">
        <f ca="1">'Summary Calculations (hide)'!C17</f>
        <v>Aug</v>
      </c>
      <c r="K15">
        <f ca="1">'Summary Calculations (hide)'!D17</f>
        <v>31</v>
      </c>
      <c r="L15" s="67">
        <f ca="1">VLOOKUP($K15,'SPC background (hide)'!$AG$2:$AS$54,3,0)</f>
        <v>5</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
      <c r="A16" t="s">
        <v>1128</v>
      </c>
      <c r="B16" s="3" t="e">
        <f ca="1">B14+B15</f>
        <v>#N/A</v>
      </c>
      <c r="C16" s="51" t="s">
        <v>1122</v>
      </c>
      <c r="H16" s="297">
        <f ca="1">'Summary Calculations (hide)'!A18</f>
        <v>44781</v>
      </c>
      <c r="I16" t="str">
        <f ca="1">'Summary Calculations (hide)'!B18</f>
        <v/>
      </c>
      <c r="J16" t="str">
        <f ca="1">'Summary Calculations (hide)'!C18</f>
        <v/>
      </c>
      <c r="K16">
        <f ca="1">'Summary Calculations (hide)'!D18</f>
        <v>32</v>
      </c>
      <c r="L16" s="67">
        <f ca="1">VLOOKUP($K16,'SPC background (hide)'!$AG$2:$AS$54,3,0)</f>
        <v>5</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
      <c r="H17" s="297">
        <f ca="1">'Summary Calculations (hide)'!A19</f>
        <v>44788</v>
      </c>
      <c r="I17" t="str">
        <f ca="1">'Summary Calculations (hide)'!B19</f>
        <v/>
      </c>
      <c r="J17" t="str">
        <f ca="1">'Summary Calculations (hide)'!C19</f>
        <v/>
      </c>
      <c r="K17">
        <f ca="1">'Summary Calculations (hide)'!D19</f>
        <v>33</v>
      </c>
      <c r="L17" s="67">
        <f ca="1">VLOOKUP($K17,'SPC background (hide)'!$AG$2:$AS$54,3,0)</f>
        <v>5</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
      <c r="A18" s="3"/>
      <c r="B18" s="3"/>
      <c r="C18" s="3"/>
      <c r="H18" s="297">
        <f ca="1">'Summary Calculations (hide)'!A20</f>
        <v>44795</v>
      </c>
      <c r="I18" t="str">
        <f ca="1">'Summary Calculations (hide)'!B20</f>
        <v/>
      </c>
      <c r="J18" t="str">
        <f ca="1">'Summary Calculations (hide)'!C20</f>
        <v/>
      </c>
      <c r="K18">
        <f ca="1">'Summary Calculations (hide)'!D20</f>
        <v>34</v>
      </c>
      <c r="L18" s="67">
        <f ca="1">VLOOKUP($K18,'SPC background (hide)'!$AG$2:$AS$54,3,0)</f>
        <v>5</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
      <c r="A19" s="3"/>
      <c r="B19" s="3"/>
      <c r="C19" s="3"/>
      <c r="H19" s="297">
        <f ca="1">'Summary Calculations (hide)'!A21</f>
        <v>44802</v>
      </c>
      <c r="I19" t="str">
        <f ca="1">'Summary Calculations (hide)'!B21</f>
        <v/>
      </c>
      <c r="J19" t="str">
        <f ca="1">'Summary Calculations (hide)'!C21</f>
        <v/>
      </c>
      <c r="K19">
        <f ca="1">'Summary Calculations (hide)'!D21</f>
        <v>35</v>
      </c>
      <c r="L19" s="67">
        <f ca="1">VLOOKUP($K19,'SPC background (hide)'!$AG$2:$AS$54,3,0)</f>
        <v>5</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
      <c r="A20" s="3"/>
      <c r="B20" s="3"/>
      <c r="C20" s="3"/>
      <c r="H20" s="297">
        <f ca="1">'Summary Calculations (hide)'!A22</f>
        <v>44809</v>
      </c>
      <c r="I20" t="str">
        <f ca="1">'Summary Calculations (hide)'!B22</f>
        <v/>
      </c>
      <c r="J20" t="str">
        <f ca="1">'Summary Calculations (hide)'!C22</f>
        <v>Sep</v>
      </c>
      <c r="K20">
        <f ca="1">'Summary Calculations (hide)'!D22</f>
        <v>36</v>
      </c>
      <c r="L20" s="67">
        <f ca="1">VLOOKUP($K20,'SPC background (hide)'!$AG$2:$AS$54,3,0)</f>
        <v>5</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
      <c r="A21" s="3"/>
      <c r="B21" s="3"/>
      <c r="C21" s="3"/>
      <c r="H21" s="297">
        <f ca="1">'Summary Calculations (hide)'!A23</f>
        <v>44816</v>
      </c>
      <c r="I21" t="str">
        <f ca="1">'Summary Calculations (hide)'!B23</f>
        <v/>
      </c>
      <c r="J21" t="str">
        <f ca="1">'Summary Calculations (hide)'!C23</f>
        <v/>
      </c>
      <c r="K21">
        <f ca="1">'Summary Calculations (hide)'!D23</f>
        <v>37</v>
      </c>
      <c r="L21" s="67">
        <f ca="1">VLOOKUP($K21,'SPC background (hide)'!$AG$2:$AS$54,3,0)</f>
        <v>5</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
      <c r="A22" s="3"/>
      <c r="B22" s="3"/>
      <c r="C22" s="3"/>
      <c r="H22" s="297">
        <f ca="1">'Summary Calculations (hide)'!A24</f>
        <v>44823</v>
      </c>
      <c r="I22" t="str">
        <f ca="1">'Summary Calculations (hide)'!B24</f>
        <v/>
      </c>
      <c r="J22" t="str">
        <f ca="1">'Summary Calculations (hide)'!C24</f>
        <v/>
      </c>
      <c r="K22">
        <f ca="1">'Summary Calculations (hide)'!D24</f>
        <v>38</v>
      </c>
      <c r="L22" s="67">
        <f ca="1">VLOOKUP($K22,'SPC background (hide)'!$AG$2:$AS$54,3,0)</f>
        <v>5</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
      <c r="A23" s="3"/>
      <c r="B23" s="3"/>
      <c r="C23" s="3"/>
      <c r="H23" s="297">
        <f ca="1">'Summary Calculations (hide)'!A25</f>
        <v>44830</v>
      </c>
      <c r="I23" t="str">
        <f ca="1">'Summary Calculations (hide)'!B25</f>
        <v/>
      </c>
      <c r="J23" t="str">
        <f ca="1">'Summary Calculations (hide)'!C25</f>
        <v/>
      </c>
      <c r="K23">
        <f ca="1">'Summary Calculations (hide)'!D25</f>
        <v>39</v>
      </c>
      <c r="L23" s="67">
        <f ca="1">VLOOKUP($K23,'SPC background (hide)'!$AG$2:$AS$54,3,0)</f>
        <v>5</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
      <c r="A24" s="3"/>
      <c r="B24" s="3"/>
      <c r="C24" s="3"/>
      <c r="H24" s="297">
        <f ca="1">'Summary Calculations (hide)'!A26</f>
        <v>44837</v>
      </c>
      <c r="I24" t="str">
        <f ca="1">'Summary Calculations (hide)'!B26</f>
        <v/>
      </c>
      <c r="J24" t="str">
        <f ca="1">'Summary Calculations (hide)'!C26</f>
        <v>Oct</v>
      </c>
      <c r="K24">
        <f ca="1">'Summary Calculations (hide)'!D26</f>
        <v>40</v>
      </c>
      <c r="L24" s="67">
        <f ca="1">VLOOKUP($K24,'SPC background (hide)'!$AG$2:$AS$54,3,0)</f>
        <v>5</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
      <c r="A25" s="3"/>
      <c r="B25" s="3"/>
      <c r="C25" s="3"/>
      <c r="H25" s="297">
        <f ca="1">'Summary Calculations (hide)'!A27</f>
        <v>44844</v>
      </c>
      <c r="I25" t="str">
        <f ca="1">'Summary Calculations (hide)'!B27</f>
        <v/>
      </c>
      <c r="J25" t="str">
        <f ca="1">'Summary Calculations (hide)'!C27</f>
        <v/>
      </c>
      <c r="K25">
        <f ca="1">'Summary Calculations (hide)'!D27</f>
        <v>41</v>
      </c>
      <c r="L25" s="67">
        <f ca="1">VLOOKUP($K25,'SPC background (hide)'!$AG$2:$AS$54,3,0)</f>
        <v>5</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ht="15" x14ac:dyDescent="0.25">
      <c r="A26" s="3"/>
      <c r="B26" s="3"/>
      <c r="C26" s="302"/>
      <c r="H26" s="297">
        <f ca="1">'Summary Calculations (hide)'!A28</f>
        <v>44851</v>
      </c>
      <c r="I26" t="str">
        <f ca="1">'Summary Calculations (hide)'!B28</f>
        <v/>
      </c>
      <c r="J26" t="str">
        <f ca="1">'Summary Calculations (hide)'!C28</f>
        <v/>
      </c>
      <c r="K26">
        <f ca="1">'Summary Calculations (hide)'!D28</f>
        <v>42</v>
      </c>
      <c r="L26" s="67">
        <f ca="1">VLOOKUP($K26,'SPC background (hide)'!$AG$2:$AS$54,3,0)</f>
        <v>5</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
      <c r="A27" s="3"/>
      <c r="B27" s="3"/>
      <c r="C27" s="3"/>
      <c r="H27" s="297">
        <f ca="1">'Summary Calculations (hide)'!A29</f>
        <v>44858</v>
      </c>
      <c r="I27" t="str">
        <f ca="1">'Summary Calculations (hide)'!B29</f>
        <v/>
      </c>
      <c r="J27" t="str">
        <f ca="1">'Summary Calculations (hide)'!C29</f>
        <v/>
      </c>
      <c r="K27">
        <f ca="1">'Summary Calculations (hide)'!D29</f>
        <v>43</v>
      </c>
      <c r="L27" s="67">
        <f ca="1">VLOOKUP($K27,'SPC background (hide)'!$AG$2:$AS$54,3,0)</f>
        <v>5</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
      <c r="A28" s="3"/>
      <c r="B28" s="3"/>
      <c r="C28" s="3"/>
      <c r="H28" s="297">
        <f ca="1">'Summary Calculations (hide)'!A30</f>
        <v>44865</v>
      </c>
      <c r="I28" t="str">
        <f ca="1">'Summary Calculations (hide)'!B30</f>
        <v/>
      </c>
      <c r="J28" t="str">
        <f ca="1">'Summary Calculations (hide)'!C30</f>
        <v/>
      </c>
      <c r="K28">
        <f ca="1">'Summary Calculations (hide)'!D30</f>
        <v>44</v>
      </c>
      <c r="L28" s="67">
        <f ca="1">VLOOKUP($K28,'SPC background (hide)'!$AG$2:$AS$54,3,0)</f>
        <v>5</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
      <c r="A29" s="3"/>
      <c r="B29" s="3"/>
      <c r="C29" s="3"/>
      <c r="H29" s="297">
        <f ca="1">'Summary Calculations (hide)'!A31</f>
        <v>44872</v>
      </c>
      <c r="I29" t="str">
        <f ca="1">'Summary Calculations (hide)'!B31</f>
        <v/>
      </c>
      <c r="J29" t="str">
        <f ca="1">'Summary Calculations (hide)'!C31</f>
        <v>Nov</v>
      </c>
      <c r="K29">
        <f ca="1">'Summary Calculations (hide)'!D31</f>
        <v>45</v>
      </c>
      <c r="L29" s="67">
        <f ca="1">VLOOKUP($K29,'SPC background (hide)'!$AG$2:$AS$54,3,0)</f>
        <v>5</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
      <c r="A30" s="3"/>
      <c r="B30" s="3"/>
      <c r="C30" s="3"/>
      <c r="H30" s="297">
        <f ca="1">'Summary Calculations (hide)'!A32</f>
        <v>44879</v>
      </c>
      <c r="I30" t="str">
        <f ca="1">'Summary Calculations (hide)'!B32</f>
        <v/>
      </c>
      <c r="J30" t="str">
        <f ca="1">'Summary Calculations (hide)'!C32</f>
        <v/>
      </c>
      <c r="K30">
        <f ca="1">'Summary Calculations (hide)'!D32</f>
        <v>46</v>
      </c>
      <c r="L30" s="67">
        <f ca="1">VLOOKUP($K30,'SPC background (hide)'!$AG$2:$AS$54,3,0)</f>
        <v>5</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
      <c r="A31" s="3"/>
      <c r="B31" s="3"/>
      <c r="C31" s="3"/>
      <c r="H31" s="297">
        <f ca="1">'Summary Calculations (hide)'!A33</f>
        <v>44886</v>
      </c>
      <c r="I31" t="str">
        <f ca="1">'Summary Calculations (hide)'!B33</f>
        <v/>
      </c>
      <c r="J31" t="str">
        <f ca="1">'Summary Calculations (hide)'!C33</f>
        <v/>
      </c>
      <c r="K31">
        <f ca="1">'Summary Calculations (hide)'!D33</f>
        <v>47</v>
      </c>
      <c r="L31" s="67">
        <f ca="1">VLOOKUP($K31,'SPC background (hide)'!$AG$2:$AS$54,3,0)</f>
        <v>5</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
      <c r="A32" s="3"/>
      <c r="B32" s="3"/>
      <c r="C32" s="3"/>
      <c r="H32" s="297">
        <f ca="1">'Summary Calculations (hide)'!A34</f>
        <v>44893</v>
      </c>
      <c r="I32" t="str">
        <f ca="1">'Summary Calculations (hide)'!B34</f>
        <v/>
      </c>
      <c r="J32" t="str">
        <f ca="1">'Summary Calculations (hide)'!C34</f>
        <v/>
      </c>
      <c r="K32">
        <f ca="1">'Summary Calculations (hide)'!D34</f>
        <v>48</v>
      </c>
      <c r="L32" s="67">
        <f ca="1">VLOOKUP($K32,'SPC background (hide)'!$AG$2:$AS$54,3,0)</f>
        <v>5</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
      <c r="B33" t="s">
        <v>1147</v>
      </c>
      <c r="H33" s="297">
        <f ca="1">'Summary Calculations (hide)'!A35</f>
        <v>44900</v>
      </c>
      <c r="I33" t="str">
        <f ca="1">'Summary Calculations (hide)'!B35</f>
        <v/>
      </c>
      <c r="J33" t="str">
        <f ca="1">'Summary Calculations (hide)'!C35</f>
        <v>Dec</v>
      </c>
      <c r="K33">
        <f ca="1">'Summary Calculations (hide)'!D35</f>
        <v>49</v>
      </c>
      <c r="L33" s="67">
        <f ca="1">VLOOKUP($K33,'SPC background (hide)'!$AG$2:$AS$54,3,0)</f>
        <v>5</v>
      </c>
      <c r="M33" s="67" t="e">
        <f t="shared" ca="1" si="0"/>
        <v>#N/A</v>
      </c>
      <c r="N33" s="67" t="e">
        <f t="shared" ca="1" si="1"/>
        <v>#N/A</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
      <c r="A34" t="s">
        <v>1119</v>
      </c>
      <c r="B34" s="5">
        <f ca="1">'Parameters calculator (hide)'!C79</f>
        <v>0</v>
      </c>
      <c r="H34" s="297">
        <f ca="1">'Summary Calculations (hide)'!A36</f>
        <v>44907</v>
      </c>
      <c r="I34" t="str">
        <f ca="1">'Summary Calculations (hide)'!B36</f>
        <v/>
      </c>
      <c r="J34" t="str">
        <f ca="1">'Summary Calculations (hide)'!C36</f>
        <v/>
      </c>
      <c r="K34">
        <f ca="1">'Summary Calculations (hide)'!D36</f>
        <v>50</v>
      </c>
      <c r="L34" s="67">
        <f ca="1">VLOOKUP($K34,'SPC background (hide)'!$AG$2:$AS$54,3,0)</f>
        <v>5</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
      <c r="H35" s="297">
        <f ca="1">'Summary Calculations (hide)'!A37</f>
        <v>44914</v>
      </c>
      <c r="I35" t="str">
        <f ca="1">'Summary Calculations (hide)'!B37</f>
        <v/>
      </c>
      <c r="J35" t="str">
        <f ca="1">'Summary Calculations (hide)'!C37</f>
        <v/>
      </c>
      <c r="K35">
        <f ca="1">'Summary Calculations (hide)'!D37</f>
        <v>51</v>
      </c>
      <c r="L35" s="67">
        <f ca="1">VLOOKUP($K35,'SPC background (hide)'!$AG$2:$AS$54,3,0)</f>
        <v>5</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
      <c r="H36" s="297">
        <f ca="1">'Summary Calculations (hide)'!A38</f>
        <v>44921</v>
      </c>
      <c r="I36" t="str">
        <f ca="1">'Summary Calculations (hide)'!B38</f>
        <v/>
      </c>
      <c r="J36" t="str">
        <f ca="1">'Summary Calculations (hide)'!C38</f>
        <v/>
      </c>
      <c r="K36">
        <f ca="1">'Summary Calculations (hide)'!D38</f>
        <v>52</v>
      </c>
      <c r="L36" s="67">
        <f ca="1">VLOOKUP($K36,'SPC background (hide)'!$AG$2:$AS$54,3,0)</f>
        <v>5</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
      <c r="H37" s="297">
        <f ca="1">'Summary Calculations (hide)'!A39</f>
        <v>44928</v>
      </c>
      <c r="I37">
        <f ca="1">'Summary Calculations (hide)'!B39</f>
        <v>2023</v>
      </c>
      <c r="J37" t="str">
        <f ca="1">'Summary Calculations (hide)'!C39</f>
        <v>Jan</v>
      </c>
      <c r="K37">
        <f ca="1">'Summary Calculations (hide)'!D39</f>
        <v>1</v>
      </c>
      <c r="L37" s="67">
        <f ca="1">VLOOKUP($K37,'SPC background (hide)'!$AG$2:$AS$54,3,0)</f>
        <v>5</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
      <c r="H38" s="297">
        <f ca="1">'Summary Calculations (hide)'!A40</f>
        <v>44935</v>
      </c>
      <c r="I38" t="str">
        <f ca="1">'Summary Calculations (hide)'!B40</f>
        <v/>
      </c>
      <c r="J38" t="str">
        <f ca="1">'Summary Calculations (hide)'!C40</f>
        <v/>
      </c>
      <c r="K38">
        <f ca="1">'Summary Calculations (hide)'!D40</f>
        <v>2</v>
      </c>
      <c r="L38" s="67">
        <f ca="1">VLOOKUP($K38,'SPC background (hide)'!$AG$2:$AS$54,3,0)</f>
        <v>5</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
      <c r="H39" s="297">
        <f ca="1">'Summary Calculations (hide)'!A41</f>
        <v>44942</v>
      </c>
      <c r="I39" t="str">
        <f ca="1">'Summary Calculations (hide)'!B41</f>
        <v/>
      </c>
      <c r="J39" t="str">
        <f ca="1">'Summary Calculations (hide)'!C41</f>
        <v/>
      </c>
      <c r="K39">
        <f ca="1">'Summary Calculations (hide)'!D41</f>
        <v>3</v>
      </c>
      <c r="L39" s="67">
        <f ca="1">VLOOKUP($K39,'SPC background (hide)'!$AG$2:$AS$54,3,0)</f>
        <v>5</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
      <c r="H40" s="297">
        <f ca="1">'Summary Calculations (hide)'!A42</f>
        <v>44949</v>
      </c>
      <c r="I40" t="str">
        <f ca="1">'Summary Calculations (hide)'!B42</f>
        <v/>
      </c>
      <c r="J40" t="str">
        <f ca="1">'Summary Calculations (hide)'!C42</f>
        <v/>
      </c>
      <c r="K40">
        <f ca="1">'Summary Calculations (hide)'!D42</f>
        <v>4</v>
      </c>
      <c r="L40" s="67">
        <f ca="1">VLOOKUP($K40,'SPC background (hide)'!$AG$2:$AS$54,3,0)</f>
        <v>5</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
      <c r="H41" s="297">
        <f ca="1">'Summary Calculations (hide)'!A43</f>
        <v>44956</v>
      </c>
      <c r="I41" t="str">
        <f ca="1">'Summary Calculations (hide)'!B43</f>
        <v/>
      </c>
      <c r="J41" t="str">
        <f ca="1">'Summary Calculations (hide)'!C43</f>
        <v/>
      </c>
      <c r="K41">
        <f ca="1">'Summary Calculations (hide)'!D43</f>
        <v>5</v>
      </c>
      <c r="L41" s="67">
        <f ca="1">VLOOKUP($K41,'SPC background (hide)'!$AG$2:$AS$54,3,0)</f>
        <v>5</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
      <c r="H42" s="297">
        <f ca="1">'Summary Calculations (hide)'!A44</f>
        <v>44963</v>
      </c>
      <c r="I42" t="str">
        <f ca="1">'Summary Calculations (hide)'!B44</f>
        <v/>
      </c>
      <c r="J42" t="str">
        <f ca="1">'Summary Calculations (hide)'!C44</f>
        <v>Feb</v>
      </c>
      <c r="K42">
        <f ca="1">'Summary Calculations (hide)'!D44</f>
        <v>6</v>
      </c>
      <c r="L42" s="67">
        <f ca="1">VLOOKUP($K42,'SPC background (hide)'!$AG$2:$AS$54,3,0)</f>
        <v>5</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
      <c r="H43" s="297">
        <f ca="1">'Summary Calculations (hide)'!A45</f>
        <v>44970</v>
      </c>
      <c r="I43" t="str">
        <f ca="1">'Summary Calculations (hide)'!B45</f>
        <v/>
      </c>
      <c r="J43" t="str">
        <f ca="1">'Summary Calculations (hide)'!C45</f>
        <v/>
      </c>
      <c r="K43">
        <f ca="1">'Summary Calculations (hide)'!D45</f>
        <v>7</v>
      </c>
      <c r="L43" s="67">
        <f ca="1">VLOOKUP($K43,'SPC background (hide)'!$AG$2:$AS$54,3,0)</f>
        <v>5</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
      <c r="H44" s="297">
        <f ca="1">'Summary Calculations (hide)'!A46</f>
        <v>44977</v>
      </c>
      <c r="I44" t="str">
        <f ca="1">'Summary Calculations (hide)'!B46</f>
        <v/>
      </c>
      <c r="J44" t="str">
        <f ca="1">'Summary Calculations (hide)'!C46</f>
        <v/>
      </c>
      <c r="K44">
        <f ca="1">'Summary Calculations (hide)'!D46</f>
        <v>8</v>
      </c>
      <c r="L44" s="67">
        <f ca="1">VLOOKUP($K44,'SPC background (hide)'!$AG$2:$AS$54,3,0)</f>
        <v>5</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
      <c r="H45" s="297">
        <f ca="1">'Summary Calculations (hide)'!A47</f>
        <v>44984</v>
      </c>
      <c r="I45" t="str">
        <f ca="1">'Summary Calculations (hide)'!B47</f>
        <v/>
      </c>
      <c r="J45" t="str">
        <f ca="1">'Summary Calculations (hide)'!C47</f>
        <v/>
      </c>
      <c r="K45">
        <f ca="1">'Summary Calculations (hide)'!D47</f>
        <v>9</v>
      </c>
      <c r="L45" s="67">
        <f ca="1">VLOOKUP($K45,'SPC background (hide)'!$AG$2:$AS$54,3,0)</f>
        <v>5</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
      <c r="H46" s="297">
        <f ca="1">'Summary Calculations (hide)'!A48</f>
        <v>44991</v>
      </c>
      <c r="I46" t="str">
        <f ca="1">'Summary Calculations (hide)'!B48</f>
        <v/>
      </c>
      <c r="J46" t="str">
        <f ca="1">'Summary Calculations (hide)'!C48</f>
        <v>Mar</v>
      </c>
      <c r="K46">
        <f ca="1">'Summary Calculations (hide)'!D48</f>
        <v>10</v>
      </c>
      <c r="L46" s="67">
        <f ca="1">VLOOKUP($K46,'SPC background (hide)'!$AG$2:$AS$54,3,0)</f>
        <v>5</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
      <c r="H47" s="297">
        <f ca="1">'Summary Calculations (hide)'!A49</f>
        <v>44998</v>
      </c>
      <c r="I47" t="str">
        <f ca="1">'Summary Calculations (hide)'!B49</f>
        <v/>
      </c>
      <c r="J47" t="str">
        <f ca="1">'Summary Calculations (hide)'!C49</f>
        <v/>
      </c>
      <c r="K47">
        <f ca="1">'Summary Calculations (hide)'!D49</f>
        <v>11</v>
      </c>
      <c r="L47" s="67">
        <f ca="1">VLOOKUP($K47,'SPC background (hide)'!$AG$2:$AS$54,3,0)</f>
        <v>5</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
      <c r="H48" s="297">
        <f ca="1">'Summary Calculations (hide)'!A50</f>
        <v>45005</v>
      </c>
      <c r="I48" t="str">
        <f ca="1">'Summary Calculations (hide)'!B50</f>
        <v/>
      </c>
      <c r="J48" t="str">
        <f ca="1">'Summary Calculations (hide)'!C50</f>
        <v/>
      </c>
      <c r="K48">
        <f ca="1">'Summary Calculations (hide)'!D50</f>
        <v>12</v>
      </c>
      <c r="L48" s="67">
        <f ca="1">VLOOKUP($K48,'SPC background (hide)'!$AG$2:$AS$54,3,0)</f>
        <v>5</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
      <c r="H49" s="297">
        <f ca="1">'Summary Calculations (hide)'!A51</f>
        <v>45012</v>
      </c>
      <c r="I49" t="str">
        <f ca="1">'Summary Calculations (hide)'!B51</f>
        <v/>
      </c>
      <c r="J49" t="str">
        <f ca="1">'Summary Calculations (hide)'!C51</f>
        <v/>
      </c>
      <c r="K49">
        <f ca="1">'Summary Calculations (hide)'!D51</f>
        <v>13</v>
      </c>
      <c r="L49" s="67">
        <f ca="1">VLOOKUP($K49,'SPC background (hide)'!$AG$2:$AS$54,3,0)</f>
        <v>5</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
      <c r="H50" s="297">
        <f ca="1">'Summary Calculations (hide)'!A52</f>
        <v>45019</v>
      </c>
      <c r="I50" t="str">
        <f ca="1">'Summary Calculations (hide)'!B52</f>
        <v/>
      </c>
      <c r="J50" t="str">
        <f ca="1">'Summary Calculations (hide)'!C52</f>
        <v>Apr</v>
      </c>
      <c r="K50">
        <f ca="1">'Summary Calculations (hide)'!D52</f>
        <v>14</v>
      </c>
      <c r="L50" s="67">
        <f ca="1">VLOOKUP($K50,'SPC background (hide)'!$AG$2:$AS$54,3,0)</f>
        <v>5</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
      <c r="H51" s="297">
        <f ca="1">'Summary Calculations (hide)'!A53</f>
        <v>45026</v>
      </c>
      <c r="I51" t="str">
        <f ca="1">'Summary Calculations (hide)'!B53</f>
        <v/>
      </c>
      <c r="J51" t="str">
        <f ca="1">'Summary Calculations (hide)'!C53</f>
        <v/>
      </c>
      <c r="K51">
        <f ca="1">'Summary Calculations (hide)'!D53</f>
        <v>15</v>
      </c>
      <c r="L51" s="67">
        <f ca="1">VLOOKUP($K51,'SPC background (hide)'!$AG$2:$AS$54,3,0)</f>
        <v>5</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
      <c r="H52" s="297">
        <f ca="1">'Summary Calculations (hide)'!A54</f>
        <v>45033</v>
      </c>
      <c r="I52" t="str">
        <f ca="1">'Summary Calculations (hide)'!B54</f>
        <v/>
      </c>
      <c r="J52" t="str">
        <f ca="1">'Summary Calculations (hide)'!C54</f>
        <v/>
      </c>
      <c r="K52">
        <f ca="1">'Summary Calculations (hide)'!D54</f>
        <v>16</v>
      </c>
      <c r="L52" s="67">
        <f ca="1">VLOOKUP($K52,'SPC background (hide)'!$AG$2:$AS$54,3,0)</f>
        <v>5</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
      <c r="H53" s="297">
        <f ca="1">'Summary Calculations (hide)'!A55</f>
        <v>45040</v>
      </c>
      <c r="I53" t="str">
        <f ca="1">'Summary Calculations (hide)'!B55</f>
        <v/>
      </c>
      <c r="J53" t="str">
        <f ca="1">'Summary Calculations (hide)'!C55</f>
        <v/>
      </c>
      <c r="K53">
        <f ca="1">'Summary Calculations (hide)'!D55</f>
        <v>17</v>
      </c>
      <c r="L53" s="67">
        <f ca="1">VLOOKUP($K53,'SPC background (hide)'!$AG$2:$AS$54,3,0)</f>
        <v>5</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
      <c r="H54" s="297">
        <f ca="1">'Summary Calculations (hide)'!A56</f>
        <v>45047</v>
      </c>
      <c r="I54" t="str">
        <f ca="1">'Summary Calculations (hide)'!B56</f>
        <v/>
      </c>
      <c r="J54" t="str">
        <f ca="1">'Summary Calculations (hide)'!C56</f>
        <v>May</v>
      </c>
      <c r="K54">
        <f ca="1">'Summary Calculations (hide)'!D56</f>
        <v>18</v>
      </c>
      <c r="L54" s="67">
        <f ca="1">VLOOKUP($K54,'SPC background (hide)'!$AG$2:$AS$54,3,0)</f>
        <v>5</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
      <c r="H55" s="297">
        <f ca="1">'Summary Calculations (hide)'!A57</f>
        <v>45054</v>
      </c>
      <c r="I55" t="str">
        <f ca="1">'Summary Calculations (hide)'!B57</f>
        <v/>
      </c>
      <c r="J55" t="str">
        <f ca="1">'Summary Calculations (hide)'!C57</f>
        <v/>
      </c>
      <c r="K55">
        <f ca="1">'Summary Calculations (hide)'!D57</f>
        <v>19</v>
      </c>
      <c r="L55" s="67">
        <f ca="1">VLOOKUP($K55,'SPC background (hide)'!$AG$2:$AS$54,3,0)</f>
        <v>5</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
      <c r="H56" s="297">
        <f ca="1">'Summary Calculations (hide)'!A58</f>
        <v>45061</v>
      </c>
      <c r="I56" t="str">
        <f ca="1">'Summary Calculations (hide)'!B58</f>
        <v/>
      </c>
      <c r="J56" t="str">
        <f ca="1">'Summary Calculations (hide)'!C58</f>
        <v/>
      </c>
      <c r="K56">
        <f ca="1">'Summary Calculations (hide)'!D58</f>
        <v>20</v>
      </c>
      <c r="L56" s="67">
        <f ca="1">VLOOKUP($K56,'SPC background (hide)'!$AG$2:$AS$54,3,0)</f>
        <v>5</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
      <c r="H57" s="297">
        <f ca="1">'Summary Calculations (hide)'!A59</f>
        <v>45068</v>
      </c>
      <c r="I57" t="str">
        <f ca="1">'Summary Calculations (hide)'!B59</f>
        <v/>
      </c>
      <c r="J57" t="str">
        <f ca="1">'Summary Calculations (hide)'!C59</f>
        <v/>
      </c>
      <c r="K57">
        <f ca="1">'Summary Calculations (hide)'!D59</f>
        <v>21</v>
      </c>
      <c r="L57" s="67">
        <f ca="1">VLOOKUP($K57,'SPC background (hide)'!$AG$2:$AS$54,3,0)</f>
        <v>5</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
      <c r="H58" s="297">
        <f ca="1">'Summary Calculations (hide)'!A60</f>
        <v>45075</v>
      </c>
      <c r="I58" t="str">
        <f ca="1">'Summary Calculations (hide)'!B60</f>
        <v/>
      </c>
      <c r="J58" t="str">
        <f ca="1">'Summary Calculations (hide)'!C60</f>
        <v/>
      </c>
      <c r="K58">
        <f ca="1">'Summary Calculations (hide)'!D60</f>
        <v>22</v>
      </c>
      <c r="L58" s="67">
        <f ca="1">VLOOKUP($K58,'SPC background (hide)'!$AG$2:$AS$54,3,0)</f>
        <v>5</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
      <c r="H59" s="297">
        <f ca="1">'Summary Calculations (hide)'!A61</f>
        <v>45082</v>
      </c>
      <c r="I59" t="str">
        <f ca="1">'Summary Calculations (hide)'!B61</f>
        <v/>
      </c>
      <c r="J59" t="str">
        <f ca="1">'Summary Calculations (hide)'!C61</f>
        <v>Jun</v>
      </c>
      <c r="K59">
        <f ca="1">'Summary Calculations (hide)'!D61</f>
        <v>23</v>
      </c>
      <c r="L59" s="67">
        <f ca="1">VLOOKUP($K59,'SPC background (hide)'!$AG$2:$AS$54,3,0)</f>
        <v>5</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
      <c r="H60" s="297">
        <f ca="1">'Summary Calculations (hide)'!A62</f>
        <v>45089</v>
      </c>
      <c r="I60" t="str">
        <f ca="1">'Summary Calculations (hide)'!B62</f>
        <v/>
      </c>
      <c r="J60" t="str">
        <f ca="1">'Summary Calculations (hide)'!C62</f>
        <v/>
      </c>
      <c r="K60">
        <f ca="1">'Summary Calculations (hide)'!D62</f>
        <v>24</v>
      </c>
      <c r="L60" s="67">
        <f ca="1">VLOOKUP($K60,'SPC background (hide)'!$AG$2:$AS$54,3,0)</f>
        <v>5</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
      <c r="H61" s="297">
        <f ca="1">'Summary Calculations (hide)'!A63</f>
        <v>45096</v>
      </c>
      <c r="I61" t="str">
        <f ca="1">'Summary Calculations (hide)'!B63</f>
        <v/>
      </c>
      <c r="J61" t="str">
        <f ca="1">'Summary Calculations (hide)'!C63</f>
        <v/>
      </c>
      <c r="K61">
        <f ca="1">'Summary Calculations (hide)'!D63</f>
        <v>25</v>
      </c>
      <c r="L61" s="67">
        <f ca="1">VLOOKUP($K61,'SPC background (hide)'!$AG$2:$AS$54,3,0)</f>
        <v>5</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
      <c r="H62" s="297">
        <f ca="1">'Summary Calculations (hide)'!A64</f>
        <v>45103</v>
      </c>
      <c r="I62" t="str">
        <f ca="1">'Summary Calculations (hide)'!B64</f>
        <v/>
      </c>
      <c r="J62" t="str">
        <f ca="1">'Summary Calculations (hide)'!C64</f>
        <v/>
      </c>
      <c r="K62">
        <f ca="1">'Summary Calculations (hide)'!D64</f>
        <v>26</v>
      </c>
      <c r="L62" s="67">
        <f ca="1">VLOOKUP($K62,'SPC background (hide)'!$AG$2:$AS$54,3,0)</f>
        <v>5</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
      <c r="H63" s="297">
        <f ca="1">'Summary Calculations (hide)'!A65</f>
        <v>45110</v>
      </c>
      <c r="I63" t="str">
        <f ca="1">'Summary Calculations (hide)'!B65</f>
        <v/>
      </c>
      <c r="J63" t="str">
        <f ca="1">'Summary Calculations (hide)'!C65</f>
        <v>Jul</v>
      </c>
      <c r="K63">
        <f ca="1">'Summary Calculations (hide)'!D65</f>
        <v>27</v>
      </c>
      <c r="L63" s="67">
        <f ca="1">VLOOKUP($K63,'SPC background (hide)'!$AG$2:$AS$54,3,0)</f>
        <v>5</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
      <c r="H64" s="297">
        <f ca="1">'Summary Calculations (hide)'!A66</f>
        <v>45117</v>
      </c>
      <c r="I64" t="str">
        <f ca="1">'Summary Calculations (hide)'!B66</f>
        <v/>
      </c>
      <c r="J64" t="str">
        <f ca="1">'Summary Calculations (hide)'!C66</f>
        <v/>
      </c>
      <c r="K64">
        <f ca="1">'Summary Calculations (hide)'!D66</f>
        <v>28</v>
      </c>
      <c r="L64" s="67">
        <f ca="1">VLOOKUP($K64,'SPC background (hide)'!$AG$2:$AS$54,3,0)</f>
        <v>5</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
      <c r="H65" s="7"/>
      <c r="I65" s="3"/>
      <c r="J65" s="3"/>
      <c r="K65" s="3"/>
      <c r="L65" s="3"/>
      <c r="M65" s="3"/>
      <c r="N65" s="3"/>
      <c r="O65" s="3"/>
      <c r="P65" s="3"/>
      <c r="Q65" s="3"/>
      <c r="R65" s="67"/>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7" sqref="C7"/>
    </sheetView>
  </sheetViews>
  <sheetFormatPr defaultColWidth="9" defaultRowHeight="14.25" x14ac:dyDescent="0.2"/>
  <cols>
    <col min="1" max="1" width="0.75" style="67" customWidth="1"/>
    <col min="2" max="2" width="19.625" style="67" customWidth="1"/>
    <col min="3" max="4" width="10.125" style="67" customWidth="1"/>
    <col min="5" max="5" width="5.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ht="15" x14ac:dyDescent="0.25">
      <c r="B2" s="2" t="s">
        <v>510</v>
      </c>
    </row>
    <row r="3" spans="2:62" x14ac:dyDescent="0.2">
      <c r="C3" s="45"/>
      <c r="D3" s="45"/>
    </row>
    <row r="4" spans="2:62" x14ac:dyDescent="0.2">
      <c r="B4" s="67" t="s">
        <v>490</v>
      </c>
      <c r="C4" s="162" t="s">
        <v>19</v>
      </c>
      <c r="D4" s="45"/>
    </row>
    <row r="5" spans="2:62" x14ac:dyDescent="0.2">
      <c r="F5" s="79"/>
      <c r="G5" s="79"/>
      <c r="H5" s="79"/>
      <c r="I5" s="79"/>
      <c r="J5" s="79"/>
      <c r="K5" s="79"/>
      <c r="L5" s="79"/>
      <c r="M5" s="79"/>
      <c r="N5" s="79"/>
      <c r="O5" s="79"/>
      <c r="P5" s="79"/>
      <c r="Q5" s="79"/>
      <c r="R5" s="79"/>
      <c r="S5" s="79"/>
      <c r="T5" s="79"/>
      <c r="U5" s="79"/>
      <c r="V5" s="79"/>
      <c r="W5" s="79"/>
    </row>
    <row r="6" spans="2:62" ht="14.25" customHeight="1" x14ac:dyDescent="0.2">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ht="15" x14ac:dyDescent="0.25">
      <c r="B8" s="304" t="s">
        <v>1154</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5" x14ac:dyDescent="0.2">
      <c r="B11" s="1" t="s">
        <v>1156</v>
      </c>
      <c r="C11" s="389">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
      <c r="B12" s="81"/>
      <c r="C12" s="67" t="s">
        <v>1229</v>
      </c>
      <c r="D12" s="346"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
      <c r="B13" s="332"/>
      <c r="C13" s="346" t="str">
        <f>IF(C11&lt;&gt;"","New value","")</f>
        <v>New value</v>
      </c>
      <c r="D13" s="346" t="e">
        <f ca="1">IF(OR(C11="",C11=1),"",D12*(1+C11))</f>
        <v>#N/A</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
      <c r="B14" s="67" t="s">
        <v>1152</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
      <c r="B15" s="67" t="s">
        <v>1148</v>
      </c>
      <c r="C15" s="390"/>
      <c r="D15" s="307"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
      <c r="B16" s="67" t="s">
        <v>1149</v>
      </c>
      <c r="C16" s="390"/>
      <c r="D16" s="307"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
      <c r="B17" s="67" t="s">
        <v>1150</v>
      </c>
      <c r="C17" s="390"/>
      <c r="D17" s="307"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
      <c r="B18" s="67" t="s">
        <v>1151</v>
      </c>
      <c r="C18" s="390"/>
      <c r="D18" s="307">
        <f ca="1">'Parameters calculator (hide)'!B46</f>
        <v>0</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
      <c r="B22" s="432" t="s">
        <v>512</v>
      </c>
      <c r="C22" s="485" t="s">
        <v>511</v>
      </c>
      <c r="D22" s="48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
      <c r="B23" s="483"/>
      <c r="C23" s="486"/>
      <c r="D23" s="486"/>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5" hidden="1" x14ac:dyDescent="0.2">
      <c r="B24" s="484"/>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
      <c r="B26" s="163" t="s">
        <v>1110</v>
      </c>
      <c r="C26" s="220">
        <f t="shared" ref="C26:C45" si="0">IF(B26="","",COUNTIF(F26:BE26,"X"))</f>
        <v>5</v>
      </c>
      <c r="D26" s="164">
        <v>2.2972972972972974</v>
      </c>
      <c r="F26" s="155"/>
      <c r="G26" s="155"/>
      <c r="H26" s="155"/>
      <c r="I26" s="155"/>
      <c r="J26" s="155"/>
      <c r="K26" s="155"/>
      <c r="L26" s="155"/>
      <c r="M26" s="155"/>
      <c r="N26" s="155"/>
      <c r="O26" s="155" t="s">
        <v>482</v>
      </c>
      <c r="P26" s="155"/>
      <c r="Q26" s="155"/>
      <c r="R26" s="155"/>
      <c r="S26" s="155"/>
      <c r="T26" s="155"/>
      <c r="U26" s="155" t="s">
        <v>1236</v>
      </c>
      <c r="V26" s="155" t="s">
        <v>1236</v>
      </c>
      <c r="W26" s="155" t="s">
        <v>1236</v>
      </c>
      <c r="X26" s="155" t="s">
        <v>1236</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
      <c r="B27" s="163" t="s">
        <v>1237</v>
      </c>
      <c r="C27" s="220">
        <f t="shared" si="0"/>
        <v>7</v>
      </c>
      <c r="D27" s="164">
        <v>2.7567567567567566</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1236</v>
      </c>
      <c r="AY27" s="158" t="s">
        <v>1236</v>
      </c>
      <c r="AZ27" s="158"/>
      <c r="BA27" s="158"/>
      <c r="BB27" s="158"/>
      <c r="BC27" s="158"/>
      <c r="BD27" s="158"/>
      <c r="BE27" s="158"/>
    </row>
    <row r="28" spans="2:62" hidden="1" x14ac:dyDescent="0.2">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
      <c r="B126" s="125"/>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8Qh8MaOEyJK76PNDGxxDxgVYZNX4bC2ydnGX/2PoDfo5tqdUsZQYWrpMvJKlffPsKxjzzIgoJ+RBNAXjSG+/yQ==" saltValue="tDUTdMuZaQmYKg1jFAfBJA=="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57150</xdr:rowOff>
                  </from>
                  <to>
                    <xdr:col>60</xdr:col>
                    <xdr:colOff>19050</xdr:colOff>
                    <xdr:row>4</xdr:row>
                    <xdr:rowOff>104775</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142875</xdr:rowOff>
                  </from>
                  <to>
                    <xdr:col>60</xdr:col>
                    <xdr:colOff>19050</xdr:colOff>
                    <xdr:row>8</xdr:row>
                    <xdr:rowOff>28575</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28575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25" x14ac:dyDescent="0.2"/>
  <cols>
    <col min="1" max="1" width="16.75" style="67" bestFit="1" customWidth="1"/>
    <col min="2" max="14" width="8.75" style="67"/>
    <col min="15" max="15" width="22" style="67" customWidth="1"/>
    <col min="16" max="16384" width="8.75" style="67"/>
  </cols>
  <sheetData>
    <row r="1" spans="1:10" x14ac:dyDescent="0.2">
      <c r="A1" s="67" t="s">
        <v>1258</v>
      </c>
      <c r="B1" s="67">
        <v>2</v>
      </c>
    </row>
    <row r="3" spans="1:10" x14ac:dyDescent="0.2">
      <c r="A3" s="67" t="s">
        <v>1243</v>
      </c>
      <c r="B3" s="67" t="s">
        <v>14</v>
      </c>
      <c r="C3" s="67" t="s">
        <v>1244</v>
      </c>
      <c r="D3" s="67" t="s">
        <v>1245</v>
      </c>
      <c r="E3" s="67" t="s">
        <v>529</v>
      </c>
      <c r="F3" s="67" t="s">
        <v>75</v>
      </c>
      <c r="G3" s="67" t="s">
        <v>1246</v>
      </c>
      <c r="H3" s="67" t="s">
        <v>99</v>
      </c>
      <c r="I3" s="67" t="s">
        <v>1247</v>
      </c>
      <c r="J3" s="67" t="s">
        <v>391</v>
      </c>
    </row>
    <row r="4" spans="1:10" x14ac:dyDescent="0.2">
      <c r="A4" t="s">
        <v>1259</v>
      </c>
      <c r="B4" t="s">
        <v>19</v>
      </c>
      <c r="C4" s="317">
        <v>44039</v>
      </c>
      <c r="D4" t="s">
        <v>20</v>
      </c>
      <c r="E4">
        <v>0.2</v>
      </c>
      <c r="F4">
        <v>0.05</v>
      </c>
      <c r="G4">
        <v>0.12</v>
      </c>
      <c r="H4">
        <v>0.05</v>
      </c>
      <c r="I4">
        <v>0.25</v>
      </c>
      <c r="J4" t="s">
        <v>22</v>
      </c>
    </row>
    <row r="5" spans="1:10" x14ac:dyDescent="0.2">
      <c r="A5" s="67" t="s">
        <v>1282</v>
      </c>
      <c r="B5" s="67" t="s">
        <v>21</v>
      </c>
      <c r="C5" s="317">
        <v>43969</v>
      </c>
      <c r="D5" s="67" t="s">
        <v>20</v>
      </c>
      <c r="E5" s="67">
        <v>0.05</v>
      </c>
      <c r="J5" s="67" t="s">
        <v>22</v>
      </c>
    </row>
  </sheetData>
  <sheetProtection algorithmName="SHA-512" hashValue="7x+EoG3IyzDEL05A+LdFoTDCR25LqZwsrYmAz020anbng2LhhQCCWNKaoeVAgDnPPTHbft28kkTTOt1bSMVvQw==" saltValue="qr/3obZnftNh22VJazZ2RA==" spinCount="100000" sheet="1" objects="1" scenarios="1"/>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4.25" x14ac:dyDescent="0.2"/>
  <cols>
    <col min="1" max="1" width="16.75" bestFit="1" customWidth="1"/>
    <col min="2" max="2" width="9.75" bestFit="1" customWidth="1"/>
    <col min="3" max="4" width="9" hidden="1" customWidth="1"/>
    <col min="7" max="7" width="9" style="67"/>
    <col min="8" max="8" width="9" style="67" hidden="1" customWidth="1"/>
    <col min="30" max="30" width="11.75" bestFit="1" customWidth="1"/>
    <col min="31" max="31" width="10.75" customWidth="1"/>
    <col min="32" max="32" width="9" customWidth="1"/>
  </cols>
  <sheetData>
    <row r="1" spans="1:31" x14ac:dyDescent="0.2">
      <c r="A1" t="s">
        <v>556</v>
      </c>
    </row>
    <row r="2" spans="1:31" x14ac:dyDescent="0.2">
      <c r="B2" s="87"/>
      <c r="C2" t="s">
        <v>519</v>
      </c>
      <c r="E2" t="s">
        <v>494</v>
      </c>
      <c r="I2" t="s">
        <v>520</v>
      </c>
    </row>
    <row r="3" spans="1:31" x14ac:dyDescent="0.2">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1159</v>
      </c>
      <c r="AE3" t="s">
        <v>1160</v>
      </c>
    </row>
    <row r="4" spans="1:31" x14ac:dyDescent="0.2">
      <c r="A4" s="87">
        <f ca="1">IF(Planning!$C$6="",TODAY()-WEEKDAY(TODAY(),3)+7,Planning!$C$6)</f>
        <v>44760</v>
      </c>
      <c r="B4">
        <f ca="1">WEEKNUM(A4,21)</f>
        <v>29</v>
      </c>
      <c r="C4" s="5" t="e">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#VALUE!</v>
      </c>
      <c r="D4" s="5" t="e">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#VALUE!</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#VALUE!</v>
      </c>
      <c r="AE4" s="67" t="e">
        <f ca="1">VLOOKUP($B4,'Summary Calculations (hide)'!$D$15:$U$67,18,0)</f>
        <v>#VALUE!</v>
      </c>
    </row>
    <row r="5" spans="1:31" x14ac:dyDescent="0.2">
      <c r="A5" s="87">
        <f ca="1">A4+7</f>
        <v>44767</v>
      </c>
      <c r="B5" s="67">
        <f t="shared" ref="B5:B55" ca="1" si="0">WEEKNUM(A5,21)</f>
        <v>30</v>
      </c>
      <c r="C5" s="5" t="e">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#VALUE!</v>
      </c>
      <c r="D5" s="5" t="e">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#VALUE!</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#VALUE!</v>
      </c>
      <c r="AE5" s="67" t="e">
        <f ca="1">VLOOKUP($B5,'Summary Calculations (hide)'!$D$15:$U$67,18,0)</f>
        <v>#VALUE!</v>
      </c>
    </row>
    <row r="6" spans="1:31" x14ac:dyDescent="0.2">
      <c r="A6" s="87">
        <f t="shared" ref="A6:A55" ca="1" si="3">A5+7</f>
        <v>44774</v>
      </c>
      <c r="B6" s="67">
        <f t="shared" ca="1" si="0"/>
        <v>31</v>
      </c>
      <c r="C6" s="5" t="e">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#VALUE!</v>
      </c>
      <c r="D6" s="5" t="e">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#VALUE!</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#VALUE!</v>
      </c>
      <c r="AE6" s="67" t="e">
        <f ca="1">VLOOKUP($B6,'Summary Calculations (hide)'!$D$15:$U$67,18,0)</f>
        <v>#VALUE!</v>
      </c>
    </row>
    <row r="7" spans="1:31" x14ac:dyDescent="0.2">
      <c r="A7" s="87">
        <f t="shared" ca="1" si="3"/>
        <v>44781</v>
      </c>
      <c r="B7" s="67">
        <f t="shared" ca="1" si="0"/>
        <v>32</v>
      </c>
      <c r="C7" s="5" t="e">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#VALUE!</v>
      </c>
      <c r="D7" s="5" t="e">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#VALUE!</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#VALUE!</v>
      </c>
      <c r="AE7" s="67" t="e">
        <f ca="1">VLOOKUP($B7,'Summary Calculations (hide)'!$D$15:$U$67,18,0)</f>
        <v>#VALUE!</v>
      </c>
    </row>
    <row r="8" spans="1:31" x14ac:dyDescent="0.2">
      <c r="A8" s="87">
        <f t="shared" ca="1" si="3"/>
        <v>44788</v>
      </c>
      <c r="B8" s="67">
        <f t="shared" ca="1" si="0"/>
        <v>33</v>
      </c>
      <c r="C8" s="5" t="e">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#VALUE!</v>
      </c>
      <c r="D8" s="5" t="e">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#VALUE!</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#VALUE!</v>
      </c>
      <c r="AE8" s="67" t="e">
        <f ca="1">VLOOKUP($B8,'Summary Calculations (hide)'!$D$15:$U$67,18,0)</f>
        <v>#VALUE!</v>
      </c>
    </row>
    <row r="9" spans="1:31" x14ac:dyDescent="0.2">
      <c r="A9" s="87">
        <f t="shared" ca="1" si="3"/>
        <v>44795</v>
      </c>
      <c r="B9" s="67">
        <f t="shared" ca="1" si="0"/>
        <v>34</v>
      </c>
      <c r="C9" s="5" t="e">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#VALUE!</v>
      </c>
      <c r="D9" s="5" t="e">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#VALUE!</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#VALUE!</v>
      </c>
      <c r="AE9" s="67" t="e">
        <f ca="1">VLOOKUP($B9,'Summary Calculations (hide)'!$D$15:$U$67,18,0)</f>
        <v>#VALUE!</v>
      </c>
    </row>
    <row r="10" spans="1:31" x14ac:dyDescent="0.2">
      <c r="A10" s="87">
        <f t="shared" ca="1" si="3"/>
        <v>44802</v>
      </c>
      <c r="B10" s="67">
        <f t="shared" ca="1" si="0"/>
        <v>35</v>
      </c>
      <c r="C10" s="5" t="e">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#VALUE!</v>
      </c>
      <c r="D10" s="5" t="e">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#VALUE!</v>
      </c>
      <c r="E10" s="5">
        <f ca="1">VLOOKUP($B10,'Summary Calculations (hide)'!$D$15:$U$67,15,0)</f>
        <v>0</v>
      </c>
      <c r="F10" s="5">
        <f ca="1">VLOOKUP($B10,'Summary Calculations (hide)'!$D$15:$U$67,16,0)</f>
        <v>0</v>
      </c>
      <c r="G10" s="5">
        <f t="shared" ca="1" si="1"/>
        <v>0</v>
      </c>
      <c r="H10" s="5">
        <f t="shared" ca="1" si="2"/>
        <v>2.7567567567567566</v>
      </c>
      <c r="I10" s="67">
        <f ca="1">IF(OFFSET(Planning!$E$25,0,ROW(A7),1,1)&lt;&gt;"",-'Planning (hide)'!$G10,0)</f>
        <v>0</v>
      </c>
      <c r="J10" s="67">
        <f ca="1">IF(OFFSET(Planning!$E$25,COLUMN(A7),ROW(A7),1,1)&lt;&gt;"",OFFSET(Planning!$D$25,COLUMN(A7),0,1,1),0)</f>
        <v>0</v>
      </c>
      <c r="K10" s="67">
        <f ca="1">IF(OFFSET(Planning!$E$25,COLUMN(B7),ROW(B7),1,1)&lt;&gt;"",OFFSET(Planning!$D$25,COLUMN(B7),0,1,1),0)</f>
        <v>2.7567567567567566</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#VALUE!</v>
      </c>
      <c r="AE10" s="67" t="e">
        <f ca="1">VLOOKUP($B10,'Summary Calculations (hide)'!$D$15:$U$67,18,0)</f>
        <v>#VALUE!</v>
      </c>
    </row>
    <row r="11" spans="1:31" x14ac:dyDescent="0.2">
      <c r="A11" s="87">
        <f t="shared" ca="1" si="3"/>
        <v>44809</v>
      </c>
      <c r="B11" s="67">
        <f t="shared" ca="1" si="0"/>
        <v>36</v>
      </c>
      <c r="C11" s="5" t="e">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#VALUE!</v>
      </c>
      <c r="D11" s="5" t="e">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#VALUE!</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#VALUE!</v>
      </c>
      <c r="AE11" s="67" t="e">
        <f ca="1">VLOOKUP($B11,'Summary Calculations (hide)'!$D$15:$U$67,18,0)</f>
        <v>#VALUE!</v>
      </c>
    </row>
    <row r="12" spans="1:31" x14ac:dyDescent="0.2">
      <c r="A12" s="87">
        <f t="shared" ca="1" si="3"/>
        <v>44816</v>
      </c>
      <c r="B12" s="67">
        <f t="shared" ca="1" si="0"/>
        <v>37</v>
      </c>
      <c r="C12" s="5" t="e">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#VALUE!</v>
      </c>
      <c r="D12" s="5" t="e">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#VALUE!</v>
      </c>
      <c r="E12" s="5">
        <f ca="1">VLOOKUP($B12,'Summary Calculations (hide)'!$D$15:$U$67,15,0)</f>
        <v>0</v>
      </c>
      <c r="F12" s="5">
        <f ca="1">VLOOKUP($B12,'Summary Calculations (hide)'!$D$15:$U$67,16,0)</f>
        <v>0</v>
      </c>
      <c r="G12" s="5">
        <f t="shared" ca="1" si="1"/>
        <v>0</v>
      </c>
      <c r="H12" s="5">
        <f t="shared" ca="1" si="2"/>
        <v>2.7567567567567566</v>
      </c>
      <c r="I12" s="67">
        <f ca="1">IF(OFFSET(Planning!$E$25,0,ROW(A9),1,1)&lt;&gt;"",-'Planning (hide)'!$G12,0)</f>
        <v>0</v>
      </c>
      <c r="J12" s="67">
        <f ca="1">IF(OFFSET(Planning!$E$25,COLUMN(A9),ROW(A9),1,1)&lt;&gt;"",OFFSET(Planning!$D$25,COLUMN(A9),0,1,1),0)</f>
        <v>0</v>
      </c>
      <c r="K12" s="67">
        <f ca="1">IF(OFFSET(Planning!$E$25,COLUMN(B9),ROW(B9),1,1)&lt;&gt;"",OFFSET(Planning!$D$25,COLUMN(B9),0,1,1),0)</f>
        <v>2.7567567567567566</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#VALUE!</v>
      </c>
      <c r="AE12" s="67" t="e">
        <f ca="1">VLOOKUP($B12,'Summary Calculations (hide)'!$D$15:$U$67,18,0)</f>
        <v>#VALUE!</v>
      </c>
    </row>
    <row r="13" spans="1:31" x14ac:dyDescent="0.2">
      <c r="A13" s="87">
        <f t="shared" ca="1" si="3"/>
        <v>44823</v>
      </c>
      <c r="B13" s="67">
        <f t="shared" ca="1" si="0"/>
        <v>38</v>
      </c>
      <c r="C13" s="5" t="e">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#VALUE!</v>
      </c>
      <c r="D13" s="5" t="e">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#VALUE!</v>
      </c>
      <c r="E13" s="5">
        <f ca="1">VLOOKUP($B13,'Summary Calculations (hide)'!$D$15:$U$67,15,0)</f>
        <v>0</v>
      </c>
      <c r="F13" s="5">
        <f ca="1">VLOOKUP($B13,'Summary Calculations (hide)'!$D$15:$U$67,16,0)</f>
        <v>0</v>
      </c>
      <c r="G13" s="5">
        <f t="shared" ca="1" si="1"/>
        <v>0</v>
      </c>
      <c r="H13" s="5">
        <f t="shared" ca="1" si="2"/>
        <v>2.2972972972972974</v>
      </c>
      <c r="I13" s="67">
        <f ca="1">IF(OFFSET(Planning!$E$25,0,ROW(A10),1,1)&lt;&gt;"",-'Planning (hide)'!$G13,0)</f>
        <v>0</v>
      </c>
      <c r="J13" s="67">
        <f ca="1">IF(OFFSET(Planning!$E$25,COLUMN(A10),ROW(A10),1,1)&lt;&gt;"",OFFSET(Planning!$D$25,COLUMN(A10),0,1,1),0)</f>
        <v>2.2972972972972974</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#VALUE!</v>
      </c>
      <c r="AE13" s="67" t="e">
        <f ca="1">VLOOKUP($B13,'Summary Calculations (hide)'!$D$15:$U$67,18,0)</f>
        <v>#VALUE!</v>
      </c>
    </row>
    <row r="14" spans="1:31" x14ac:dyDescent="0.2">
      <c r="A14" s="87">
        <f t="shared" ca="1" si="3"/>
        <v>44830</v>
      </c>
      <c r="B14" s="67">
        <f t="shared" ca="1" si="0"/>
        <v>39</v>
      </c>
      <c r="C14" s="5" t="e">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#VALUE!</v>
      </c>
      <c r="D14" s="5" t="e">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#VALUE!</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#VALUE!</v>
      </c>
      <c r="AE14" s="67" t="e">
        <f ca="1">VLOOKUP($B14,'Summary Calculations (hide)'!$D$15:$U$67,18,0)</f>
        <v>#VALUE!</v>
      </c>
    </row>
    <row r="15" spans="1:31" x14ac:dyDescent="0.2">
      <c r="A15" s="87">
        <f t="shared" ca="1" si="3"/>
        <v>44837</v>
      </c>
      <c r="B15" s="67">
        <f t="shared" ca="1" si="0"/>
        <v>40</v>
      </c>
      <c r="C15" s="5" t="e">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#VALUE!</v>
      </c>
      <c r="D15" s="5" t="e">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#VALUE!</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#VALUE!</v>
      </c>
      <c r="AE15" s="67" t="e">
        <f ca="1">VLOOKUP($B15,'Summary Calculations (hide)'!$D$15:$U$67,18,0)</f>
        <v>#VALUE!</v>
      </c>
    </row>
    <row r="16" spans="1:31" x14ac:dyDescent="0.2">
      <c r="A16" s="87">
        <f t="shared" ca="1" si="3"/>
        <v>44844</v>
      </c>
      <c r="B16" s="67">
        <f t="shared" ca="1" si="0"/>
        <v>41</v>
      </c>
      <c r="C16" s="5" t="e">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#VALUE!</v>
      </c>
      <c r="D16" s="5" t="e">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#VALUE!</v>
      </c>
      <c r="E16" s="5">
        <f ca="1">VLOOKUP($B16,'Summary Calculations (hide)'!$D$15:$U$67,15,0)</f>
        <v>0</v>
      </c>
      <c r="F16" s="5">
        <f ca="1">VLOOKUP($B16,'Summary Calculations (hide)'!$D$15:$U$67,16,0)</f>
        <v>0</v>
      </c>
      <c r="G16" s="5">
        <f t="shared" ca="1" si="1"/>
        <v>0</v>
      </c>
      <c r="H16" s="5">
        <f t="shared" ca="1" si="2"/>
        <v>2.7567567567567566</v>
      </c>
      <c r="I16" s="67">
        <f ca="1">IF(OFFSET(Planning!$E$25,0,ROW(A13),1,1)&lt;&gt;"",-'Planning (hide)'!$G16,0)</f>
        <v>0</v>
      </c>
      <c r="J16" s="67">
        <f ca="1">IF(OFFSET(Planning!$E$25,COLUMN(A13),ROW(A13),1,1)&lt;&gt;"",OFFSET(Planning!$D$25,COLUMN(A13),0,1,1),0)</f>
        <v>0</v>
      </c>
      <c r="K16" s="67">
        <f ca="1">IF(OFFSET(Planning!$E$25,COLUMN(B13),ROW(B13),1,1)&lt;&gt;"",OFFSET(Planning!$D$25,COLUMN(B13),0,1,1),0)</f>
        <v>2.7567567567567566</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#VALUE!</v>
      </c>
      <c r="AE16" s="67" t="e">
        <f ca="1">VLOOKUP($B16,'Summary Calculations (hide)'!$D$15:$U$67,18,0)</f>
        <v>#VALUE!</v>
      </c>
    </row>
    <row r="17" spans="1:31" x14ac:dyDescent="0.2">
      <c r="A17" s="87">
        <f t="shared" ca="1" si="3"/>
        <v>44851</v>
      </c>
      <c r="B17" s="67">
        <f t="shared" ca="1" si="0"/>
        <v>42</v>
      </c>
      <c r="C17" s="5" t="e">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#VALUE!</v>
      </c>
      <c r="D17" s="5" t="e">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#VALUE!</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#VALUE!</v>
      </c>
      <c r="AE17" s="67" t="e">
        <f ca="1">VLOOKUP($B17,'Summary Calculations (hide)'!$D$15:$U$67,18,0)</f>
        <v>#VALUE!</v>
      </c>
    </row>
    <row r="18" spans="1:31" x14ac:dyDescent="0.2">
      <c r="A18" s="87">
        <f t="shared" ca="1" si="3"/>
        <v>44858</v>
      </c>
      <c r="B18" s="67">
        <f t="shared" ca="1" si="0"/>
        <v>43</v>
      </c>
      <c r="C18" s="5" t="e">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#VALUE!</v>
      </c>
      <c r="D18" s="5" t="e">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#VALUE!</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#VALUE!</v>
      </c>
      <c r="AE18" s="67" t="e">
        <f ca="1">VLOOKUP($B18,'Summary Calculations (hide)'!$D$15:$U$67,18,0)</f>
        <v>#VALUE!</v>
      </c>
    </row>
    <row r="19" spans="1:31" x14ac:dyDescent="0.2">
      <c r="A19" s="87">
        <f t="shared" ca="1" si="3"/>
        <v>44865</v>
      </c>
      <c r="B19" s="67">
        <f t="shared" ca="1" si="0"/>
        <v>44</v>
      </c>
      <c r="C19" s="5" t="e">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#VALUE!</v>
      </c>
      <c r="D19" s="5" t="e">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#VALUE!</v>
      </c>
      <c r="E19" s="5">
        <f ca="1">VLOOKUP($B19,'Summary Calculations (hide)'!$D$15:$U$67,15,0)</f>
        <v>0</v>
      </c>
      <c r="F19" s="5">
        <f ca="1">VLOOKUP($B19,'Summary Calculations (hide)'!$D$15:$U$67,16,0)</f>
        <v>0</v>
      </c>
      <c r="G19" s="5">
        <f t="shared" ca="1" si="1"/>
        <v>0</v>
      </c>
      <c r="H19" s="5">
        <f t="shared" ca="1" si="2"/>
        <v>2.2972972972972974</v>
      </c>
      <c r="I19" s="67">
        <f ca="1">IF(OFFSET(Planning!$E$25,0,ROW(A16),1,1)&lt;&gt;"",-'Planning (hide)'!$G19,0)</f>
        <v>0</v>
      </c>
      <c r="J19" s="67">
        <f ca="1">IF(OFFSET(Planning!$E$25,COLUMN(A16),ROW(A16),1,1)&lt;&gt;"",OFFSET(Planning!$D$25,COLUMN(A16),0,1,1),0)</f>
        <v>2.2972972972972974</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#VALUE!</v>
      </c>
      <c r="AE19" s="67" t="e">
        <f ca="1">VLOOKUP($B19,'Summary Calculations (hide)'!$D$15:$U$67,18,0)</f>
        <v>#VALUE!</v>
      </c>
    </row>
    <row r="20" spans="1:31" x14ac:dyDescent="0.2">
      <c r="A20" s="87">
        <f t="shared" ca="1" si="3"/>
        <v>44872</v>
      </c>
      <c r="B20" s="67">
        <f t="shared" ca="1" si="0"/>
        <v>45</v>
      </c>
      <c r="C20" s="5" t="e">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#VALUE!</v>
      </c>
      <c r="D20" s="5" t="e">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#VALUE!</v>
      </c>
      <c r="E20" s="5">
        <f ca="1">VLOOKUP($B20,'Summary Calculations (hide)'!$D$15:$U$67,15,0)</f>
        <v>0</v>
      </c>
      <c r="F20" s="5">
        <f ca="1">VLOOKUP($B20,'Summary Calculations (hide)'!$D$15:$U$67,16,0)</f>
        <v>0</v>
      </c>
      <c r="G20" s="5">
        <f t="shared" ca="1" si="1"/>
        <v>0</v>
      </c>
      <c r="H20" s="5">
        <f t="shared" ca="1" si="2"/>
        <v>2.2972972972972974</v>
      </c>
      <c r="I20" s="67">
        <f ca="1">IF(OFFSET(Planning!$E$25,0,ROW(A17),1,1)&lt;&gt;"",-'Planning (hide)'!$G20,0)</f>
        <v>0</v>
      </c>
      <c r="J20" s="67">
        <f ca="1">IF(OFFSET(Planning!$E$25,COLUMN(A17),ROW(A17),1,1)&lt;&gt;"",OFFSET(Planning!$D$25,COLUMN(A17),0,1,1),0)</f>
        <v>2.2972972972972974</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#VALUE!</v>
      </c>
      <c r="AE20" s="67" t="e">
        <f ca="1">VLOOKUP($B20,'Summary Calculations (hide)'!$D$15:$U$67,18,0)</f>
        <v>#VALUE!</v>
      </c>
    </row>
    <row r="21" spans="1:31" x14ac:dyDescent="0.2">
      <c r="A21" s="87">
        <f t="shared" ca="1" si="3"/>
        <v>44879</v>
      </c>
      <c r="B21" s="67">
        <f t="shared" ca="1" si="0"/>
        <v>46</v>
      </c>
      <c r="C21" s="5" t="e">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#VALUE!</v>
      </c>
      <c r="D21" s="5" t="e">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#VALUE!</v>
      </c>
      <c r="E21" s="5">
        <f ca="1">VLOOKUP($B21,'Summary Calculations (hide)'!$D$15:$U$67,15,0)</f>
        <v>0</v>
      </c>
      <c r="F21" s="5">
        <f ca="1">VLOOKUP($B21,'Summary Calculations (hide)'!$D$15:$U$67,16,0)</f>
        <v>0</v>
      </c>
      <c r="G21" s="5">
        <f t="shared" ca="1" si="1"/>
        <v>0</v>
      </c>
      <c r="H21" s="5">
        <f t="shared" ca="1" si="2"/>
        <v>2.2972972972972974</v>
      </c>
      <c r="I21" s="67">
        <f ca="1">IF(OFFSET(Planning!$E$25,0,ROW(A18),1,1)&lt;&gt;"",-'Planning (hide)'!$G21,0)</f>
        <v>0</v>
      </c>
      <c r="J21" s="67">
        <f ca="1">IF(OFFSET(Planning!$E$25,COLUMN(A18),ROW(A18),1,1)&lt;&gt;"",OFFSET(Planning!$D$25,COLUMN(A18),0,1,1),0)</f>
        <v>2.2972972972972974</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#VALUE!</v>
      </c>
      <c r="AE21" s="67" t="e">
        <f ca="1">VLOOKUP($B21,'Summary Calculations (hide)'!$D$15:$U$67,18,0)</f>
        <v>#VALUE!</v>
      </c>
    </row>
    <row r="22" spans="1:31" x14ac:dyDescent="0.2">
      <c r="A22" s="87">
        <f t="shared" ca="1" si="3"/>
        <v>44886</v>
      </c>
      <c r="B22" s="67">
        <f t="shared" ca="1" si="0"/>
        <v>47</v>
      </c>
      <c r="C22" s="5" t="e">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#VALUE!</v>
      </c>
      <c r="D22" s="5" t="e">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#VALUE!</v>
      </c>
      <c r="E22" s="5">
        <f ca="1">VLOOKUP($B22,'Summary Calculations (hide)'!$D$15:$U$67,15,0)</f>
        <v>0</v>
      </c>
      <c r="F22" s="5">
        <f ca="1">VLOOKUP($B22,'Summary Calculations (hide)'!$D$15:$U$67,16,0)</f>
        <v>0</v>
      </c>
      <c r="G22" s="5">
        <f t="shared" ca="1" si="1"/>
        <v>0</v>
      </c>
      <c r="H22" s="5">
        <f t="shared" ca="1" si="2"/>
        <v>2.2972972972972974</v>
      </c>
      <c r="I22" s="67">
        <f ca="1">IF(OFFSET(Planning!$E$25,0,ROW(A19),1,1)&lt;&gt;"",-'Planning (hide)'!$G22,0)</f>
        <v>0</v>
      </c>
      <c r="J22" s="67">
        <f ca="1">IF(OFFSET(Planning!$E$25,COLUMN(A19),ROW(A19),1,1)&lt;&gt;"",OFFSET(Planning!$D$25,COLUMN(A19),0,1,1),0)</f>
        <v>2.2972972972972974</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#VALUE!</v>
      </c>
      <c r="AE22" s="67" t="e">
        <f ca="1">VLOOKUP($B22,'Summary Calculations (hide)'!$D$15:$U$67,18,0)</f>
        <v>#VALUE!</v>
      </c>
    </row>
    <row r="23" spans="1:31" x14ac:dyDescent="0.2">
      <c r="A23" s="87">
        <f t="shared" ca="1" si="3"/>
        <v>44893</v>
      </c>
      <c r="B23" s="67">
        <f t="shared" ca="1" si="0"/>
        <v>48</v>
      </c>
      <c r="C23" s="5" t="e">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#VALUE!</v>
      </c>
      <c r="D23" s="5" t="e">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#VALUE!</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#VALUE!</v>
      </c>
      <c r="AE23" s="67" t="e">
        <f ca="1">VLOOKUP($B23,'Summary Calculations (hide)'!$D$15:$U$67,18,0)</f>
        <v>#VALUE!</v>
      </c>
    </row>
    <row r="24" spans="1:31" x14ac:dyDescent="0.2">
      <c r="A24" s="87">
        <f t="shared" ca="1" si="3"/>
        <v>44900</v>
      </c>
      <c r="B24" s="67">
        <f t="shared" ca="1" si="0"/>
        <v>49</v>
      </c>
      <c r="C24" s="5" t="e">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#VALUE!</v>
      </c>
      <c r="D24" s="5" t="e">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#VALUE!</v>
      </c>
      <c r="E24" s="5">
        <f ca="1">VLOOKUP($B24,'Summary Calculations (hide)'!$D$15:$U$67,15,0)</f>
        <v>0</v>
      </c>
      <c r="F24" s="5">
        <f ca="1">VLOOKUP($B24,'Summary Calculations (hide)'!$D$15:$U$67,16,0)</f>
        <v>0</v>
      </c>
      <c r="G24" s="5">
        <f t="shared" ca="1" si="1"/>
        <v>0</v>
      </c>
      <c r="H24" s="5">
        <f t="shared" ca="1" si="2"/>
        <v>2.7567567567567566</v>
      </c>
      <c r="I24" s="67">
        <f ca="1">IF(OFFSET(Planning!$E$25,0,ROW(A21),1,1)&lt;&gt;"",-'Planning (hide)'!$G24,0)</f>
        <v>0</v>
      </c>
      <c r="J24" s="67">
        <f ca="1">IF(OFFSET(Planning!$E$25,COLUMN(A21),ROW(A21),1,1)&lt;&gt;"",OFFSET(Planning!$D$25,COLUMN(A21),0,1,1),0)</f>
        <v>0</v>
      </c>
      <c r="K24" s="67">
        <f ca="1">IF(OFFSET(Planning!$E$25,COLUMN(B21),ROW(B21),1,1)&lt;&gt;"",OFFSET(Planning!$D$25,COLUMN(B21),0,1,1),0)</f>
        <v>2.7567567567567566</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#VALUE!</v>
      </c>
      <c r="AE24" s="67" t="e">
        <f ca="1">VLOOKUP($B24,'Summary Calculations (hide)'!$D$15:$U$67,18,0)</f>
        <v>#VALUE!</v>
      </c>
    </row>
    <row r="25" spans="1:31" x14ac:dyDescent="0.2">
      <c r="A25" s="87">
        <f t="shared" ca="1" si="3"/>
        <v>44907</v>
      </c>
      <c r="B25" s="67">
        <f t="shared" ca="1" si="0"/>
        <v>50</v>
      </c>
      <c r="C25" s="5" t="e">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#VALUE!</v>
      </c>
      <c r="D25" s="5" t="e">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#VALUE!</v>
      </c>
      <c r="E25" s="5">
        <f ca="1">VLOOKUP($B25,'Summary Calculations (hide)'!$D$15:$U$67,15,0)</f>
        <v>0</v>
      </c>
      <c r="F25" s="5">
        <f ca="1">VLOOKUP($B25,'Summary Calculations (hide)'!$D$15:$U$67,16,0)</f>
        <v>0</v>
      </c>
      <c r="G25" s="5">
        <f t="shared" ca="1" si="1"/>
        <v>0</v>
      </c>
      <c r="H25" s="5">
        <f t="shared" ca="1" si="2"/>
        <v>2.7567567567567566</v>
      </c>
      <c r="I25" s="67">
        <f ca="1">IF(OFFSET(Planning!$E$25,0,ROW(A22),1,1)&lt;&gt;"",-'Planning (hide)'!$G25,0)</f>
        <v>0</v>
      </c>
      <c r="J25" s="67">
        <f ca="1">IF(OFFSET(Planning!$E$25,COLUMN(A22),ROW(A22),1,1)&lt;&gt;"",OFFSET(Planning!$D$25,COLUMN(A22),0,1,1),0)</f>
        <v>0</v>
      </c>
      <c r="K25" s="67">
        <f ca="1">IF(OFFSET(Planning!$E$25,COLUMN(B22),ROW(B22),1,1)&lt;&gt;"",OFFSET(Planning!$D$25,COLUMN(B22),0,1,1),0)</f>
        <v>2.7567567567567566</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#VALUE!</v>
      </c>
      <c r="AE25" s="67" t="e">
        <f ca="1">VLOOKUP($B25,'Summary Calculations (hide)'!$D$15:$U$67,18,0)</f>
        <v>#VALUE!</v>
      </c>
    </row>
    <row r="26" spans="1:31" x14ac:dyDescent="0.2">
      <c r="A26" s="87">
        <f t="shared" ca="1" si="3"/>
        <v>44914</v>
      </c>
      <c r="B26" s="67">
        <f t="shared" ca="1" si="0"/>
        <v>51</v>
      </c>
      <c r="C26" s="5" t="e">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#VALUE!</v>
      </c>
      <c r="D26" s="5" t="e">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#VALUE!</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#VALUE!</v>
      </c>
      <c r="AE26" s="67" t="e">
        <f ca="1">VLOOKUP($B26,'Summary Calculations (hide)'!$D$15:$U$67,18,0)</f>
        <v>#VALUE!</v>
      </c>
    </row>
    <row r="27" spans="1:31" x14ac:dyDescent="0.2">
      <c r="A27" s="87">
        <f t="shared" ca="1" si="3"/>
        <v>44921</v>
      </c>
      <c r="B27" s="67">
        <f t="shared" ca="1" si="0"/>
        <v>52</v>
      </c>
      <c r="C27" s="5" t="e">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#VALUE!</v>
      </c>
      <c r="D27" s="5" t="e">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#VALUE!</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#VALUE!</v>
      </c>
      <c r="AE27" s="67" t="e">
        <f ca="1">VLOOKUP($B27,'Summary Calculations (hide)'!$D$15:$U$67,18,0)</f>
        <v>#VALUE!</v>
      </c>
    </row>
    <row r="28" spans="1:31" x14ac:dyDescent="0.2">
      <c r="A28" s="87">
        <f t="shared" ca="1" si="3"/>
        <v>44928</v>
      </c>
      <c r="B28" s="67">
        <f t="shared" ca="1" si="0"/>
        <v>1</v>
      </c>
      <c r="C28" s="5" t="e">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#VALUE!</v>
      </c>
      <c r="D28" s="5" t="e">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#VALUE!</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#VALUE!</v>
      </c>
      <c r="AE28" s="67" t="e">
        <f ca="1">VLOOKUP($B28,'Summary Calculations (hide)'!$D$15:$U$67,18,0)</f>
        <v>#VALUE!</v>
      </c>
    </row>
    <row r="29" spans="1:31" x14ac:dyDescent="0.2">
      <c r="A29" s="87">
        <f t="shared" ca="1" si="3"/>
        <v>44935</v>
      </c>
      <c r="B29" s="67">
        <f t="shared" ca="1" si="0"/>
        <v>2</v>
      </c>
      <c r="C29" s="5" t="e">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#VALUE!</v>
      </c>
      <c r="D29" s="5" t="e">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#VALUE!</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#VALUE!</v>
      </c>
      <c r="AE29" s="67" t="e">
        <f ca="1">VLOOKUP($B29,'Summary Calculations (hide)'!$D$15:$U$67,18,0)</f>
        <v>#VALUE!</v>
      </c>
    </row>
    <row r="30" spans="1:31" x14ac:dyDescent="0.2">
      <c r="A30" s="87">
        <f t="shared" ca="1" si="3"/>
        <v>44942</v>
      </c>
      <c r="B30" s="67">
        <f t="shared" ca="1" si="0"/>
        <v>3</v>
      </c>
      <c r="C30" s="5" t="e">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#VALUE!</v>
      </c>
      <c r="D30" s="5" t="e">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#VALUE!</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#VALUE!</v>
      </c>
      <c r="AE30" s="67" t="e">
        <f ca="1">VLOOKUP($B30,'Summary Calculations (hide)'!$D$15:$U$67,18,0)</f>
        <v>#VALUE!</v>
      </c>
    </row>
    <row r="31" spans="1:31" x14ac:dyDescent="0.2">
      <c r="A31" s="87">
        <f t="shared" ca="1" si="3"/>
        <v>44949</v>
      </c>
      <c r="B31" s="67">
        <f t="shared" ca="1" si="0"/>
        <v>4</v>
      </c>
      <c r="C31" s="5" t="e">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#VALUE!</v>
      </c>
      <c r="D31" s="5" t="e">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#VALUE!</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#VALUE!</v>
      </c>
      <c r="AE31" s="67" t="e">
        <f ca="1">VLOOKUP($B31,'Summary Calculations (hide)'!$D$15:$U$67,18,0)</f>
        <v>#VALUE!</v>
      </c>
    </row>
    <row r="32" spans="1:31" x14ac:dyDescent="0.2">
      <c r="A32" s="87">
        <f t="shared" ca="1" si="3"/>
        <v>44956</v>
      </c>
      <c r="B32" s="67">
        <f t="shared" ca="1" si="0"/>
        <v>5</v>
      </c>
      <c r="C32" s="5" t="e">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#VALUE!</v>
      </c>
      <c r="D32" s="5" t="e">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#VALUE!</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#VALUE!</v>
      </c>
      <c r="AE32" s="67" t="e">
        <f ca="1">VLOOKUP($B32,'Summary Calculations (hide)'!$D$15:$U$67,18,0)</f>
        <v>#VALUE!</v>
      </c>
    </row>
    <row r="33" spans="1:31" x14ac:dyDescent="0.2">
      <c r="A33" s="87">
        <f t="shared" ca="1" si="3"/>
        <v>44963</v>
      </c>
      <c r="B33" s="67">
        <f t="shared" ca="1" si="0"/>
        <v>6</v>
      </c>
      <c r="C33" s="5" t="e">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#VALUE!</v>
      </c>
      <c r="D33" s="5" t="e">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#VALUE!</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#VALUE!</v>
      </c>
      <c r="AE33" s="67" t="e">
        <f ca="1">VLOOKUP($B33,'Summary Calculations (hide)'!$D$15:$U$67,18,0)</f>
        <v>#VALUE!</v>
      </c>
    </row>
    <row r="34" spans="1:31" x14ac:dyDescent="0.2">
      <c r="A34" s="87">
        <f t="shared" ca="1" si="3"/>
        <v>44970</v>
      </c>
      <c r="B34" s="67">
        <f t="shared" ca="1" si="0"/>
        <v>7</v>
      </c>
      <c r="C34" s="5" t="e">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#VALUE!</v>
      </c>
      <c r="D34" s="5" t="e">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#VALUE!</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#VALUE!</v>
      </c>
      <c r="AE34" s="67" t="e">
        <f ca="1">VLOOKUP($B34,'Summary Calculations (hide)'!$D$15:$U$67,18,0)</f>
        <v>#VALUE!</v>
      </c>
    </row>
    <row r="35" spans="1:31" x14ac:dyDescent="0.2">
      <c r="A35" s="87">
        <f t="shared" ca="1" si="3"/>
        <v>44977</v>
      </c>
      <c r="B35" s="67">
        <f t="shared" ca="1" si="0"/>
        <v>8</v>
      </c>
      <c r="C35" s="5" t="e">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#VALUE!</v>
      </c>
      <c r="D35" s="5" t="e">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#VALUE!</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#VALUE!</v>
      </c>
      <c r="AE35" s="67" t="e">
        <f ca="1">VLOOKUP($B35,'Summary Calculations (hide)'!$D$15:$U$67,18,0)</f>
        <v>#VALUE!</v>
      </c>
    </row>
    <row r="36" spans="1:31" x14ac:dyDescent="0.2">
      <c r="A36" s="87">
        <f t="shared" ca="1" si="3"/>
        <v>44984</v>
      </c>
      <c r="B36" s="67">
        <f t="shared" ca="1" si="0"/>
        <v>9</v>
      </c>
      <c r="C36" s="5" t="e">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#VALUE!</v>
      </c>
      <c r="D36" s="5" t="e">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#VALUE!</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#VALUE!</v>
      </c>
      <c r="AE36" s="67" t="e">
        <f ca="1">VLOOKUP($B36,'Summary Calculations (hide)'!$D$15:$U$67,18,0)</f>
        <v>#VALUE!</v>
      </c>
    </row>
    <row r="37" spans="1:31" x14ac:dyDescent="0.2">
      <c r="A37" s="87">
        <f t="shared" ca="1" si="3"/>
        <v>44991</v>
      </c>
      <c r="B37" s="67">
        <f t="shared" ca="1" si="0"/>
        <v>10</v>
      </c>
      <c r="C37" s="5" t="e">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#VALUE!</v>
      </c>
      <c r="D37" s="5" t="e">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#VALUE!</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#VALUE!</v>
      </c>
      <c r="AE37" s="67" t="e">
        <f ca="1">VLOOKUP($B37,'Summary Calculations (hide)'!$D$15:$U$67,18,0)</f>
        <v>#VALUE!</v>
      </c>
    </row>
    <row r="38" spans="1:31" x14ac:dyDescent="0.2">
      <c r="A38" s="87">
        <f t="shared" ca="1" si="3"/>
        <v>44998</v>
      </c>
      <c r="B38" s="67">
        <f t="shared" ca="1" si="0"/>
        <v>11</v>
      </c>
      <c r="C38" s="5" t="e">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#VALUE!</v>
      </c>
      <c r="D38" s="5" t="e">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#VALUE!</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#VALUE!</v>
      </c>
      <c r="AE38" s="67" t="e">
        <f ca="1">VLOOKUP($B38,'Summary Calculations (hide)'!$D$15:$U$67,18,0)</f>
        <v>#VALUE!</v>
      </c>
    </row>
    <row r="39" spans="1:31" x14ac:dyDescent="0.2">
      <c r="A39" s="87">
        <f t="shared" ca="1" si="3"/>
        <v>45005</v>
      </c>
      <c r="B39" s="67">
        <f t="shared" ca="1" si="0"/>
        <v>12</v>
      </c>
      <c r="C39" s="5" t="e">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#VALUE!</v>
      </c>
      <c r="D39" s="5" t="e">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#VALUE!</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#VALUE!</v>
      </c>
      <c r="AE39" s="67" t="e">
        <f ca="1">VLOOKUP($B39,'Summary Calculations (hide)'!$D$15:$U$67,18,0)</f>
        <v>#VALUE!</v>
      </c>
    </row>
    <row r="40" spans="1:31" x14ac:dyDescent="0.2">
      <c r="A40" s="87">
        <f t="shared" ca="1" si="3"/>
        <v>45012</v>
      </c>
      <c r="B40" s="67">
        <f t="shared" ca="1" si="0"/>
        <v>13</v>
      </c>
      <c r="C40" s="5" t="e">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#VALUE!</v>
      </c>
      <c r="D40" s="5" t="e">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#VALUE!</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#VALUE!</v>
      </c>
      <c r="AE40" s="67" t="e">
        <f ca="1">VLOOKUP($B40,'Summary Calculations (hide)'!$D$15:$U$67,18,0)</f>
        <v>#VALUE!</v>
      </c>
    </row>
    <row r="41" spans="1:31" x14ac:dyDescent="0.2">
      <c r="A41" s="87">
        <f t="shared" ca="1" si="3"/>
        <v>45019</v>
      </c>
      <c r="B41" s="67">
        <f t="shared" ca="1" si="0"/>
        <v>14</v>
      </c>
      <c r="C41" s="5" t="e">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#VALUE!</v>
      </c>
      <c r="D41" s="5" t="e">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#VALUE!</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#VALUE!</v>
      </c>
      <c r="AE41" s="67" t="e">
        <f ca="1">VLOOKUP($B41,'Summary Calculations (hide)'!$D$15:$U$67,18,0)</f>
        <v>#VALUE!</v>
      </c>
    </row>
    <row r="42" spans="1:31" x14ac:dyDescent="0.2">
      <c r="A42" s="87">
        <f ca="1">A41+7</f>
        <v>45026</v>
      </c>
      <c r="B42" s="67">
        <f t="shared" ca="1" si="0"/>
        <v>15</v>
      </c>
      <c r="C42" s="5" t="e">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#VALUE!</v>
      </c>
      <c r="D42" s="5" t="e">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#VALUE!</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#VALUE!</v>
      </c>
      <c r="AE42" s="67" t="e">
        <f ca="1">VLOOKUP($B42,'Summary Calculations (hide)'!$D$15:$U$67,18,0)</f>
        <v>#VALUE!</v>
      </c>
    </row>
    <row r="43" spans="1:31" x14ac:dyDescent="0.2">
      <c r="A43" s="87">
        <f t="shared" ca="1" si="3"/>
        <v>45033</v>
      </c>
      <c r="B43" s="67">
        <f t="shared" ca="1" si="0"/>
        <v>16</v>
      </c>
      <c r="C43" s="5" t="e">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#VALUE!</v>
      </c>
      <c r="D43" s="5" t="e">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#VALUE!</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#VALUE!</v>
      </c>
      <c r="AE43" s="67" t="e">
        <f ca="1">VLOOKUP($B43,'Summary Calculations (hide)'!$D$15:$U$67,18,0)</f>
        <v>#VALUE!</v>
      </c>
    </row>
    <row r="44" spans="1:31" x14ac:dyDescent="0.2">
      <c r="A44" s="87">
        <f t="shared" ca="1" si="3"/>
        <v>45040</v>
      </c>
      <c r="B44" s="67">
        <f t="shared" ca="1" si="0"/>
        <v>17</v>
      </c>
      <c r="C44" s="5" t="e">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#VALUE!</v>
      </c>
      <c r="D44" s="5" t="e">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#VALUE!</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#VALUE!</v>
      </c>
      <c r="AE44" s="67" t="e">
        <f ca="1">VLOOKUP($B44,'Summary Calculations (hide)'!$D$15:$U$67,18,0)</f>
        <v>#VALUE!</v>
      </c>
    </row>
    <row r="45" spans="1:31" x14ac:dyDescent="0.2">
      <c r="A45" s="87">
        <f t="shared" ca="1" si="3"/>
        <v>45047</v>
      </c>
      <c r="B45" s="67">
        <f t="shared" ca="1" si="0"/>
        <v>18</v>
      </c>
      <c r="C45" s="5" t="e">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#VALUE!</v>
      </c>
      <c r="D45" s="5" t="e">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#VALUE!</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#VALUE!</v>
      </c>
      <c r="AE45" s="67" t="e">
        <f ca="1">VLOOKUP($B45,'Summary Calculations (hide)'!$D$15:$U$67,18,0)</f>
        <v>#VALUE!</v>
      </c>
    </row>
    <row r="46" spans="1:31" x14ac:dyDescent="0.2">
      <c r="A46" s="87">
        <f t="shared" ca="1" si="3"/>
        <v>45054</v>
      </c>
      <c r="B46" s="67">
        <f t="shared" ca="1" si="0"/>
        <v>19</v>
      </c>
      <c r="C46" s="5" t="e">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#VALUE!</v>
      </c>
      <c r="D46" s="5" t="e">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#VALUE!</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#VALUE!</v>
      </c>
      <c r="AE46" s="67" t="e">
        <f ca="1">VLOOKUP($B46,'Summary Calculations (hide)'!$D$15:$U$67,18,0)</f>
        <v>#VALUE!</v>
      </c>
    </row>
    <row r="47" spans="1:31" x14ac:dyDescent="0.2">
      <c r="A47" s="87">
        <f t="shared" ca="1" si="3"/>
        <v>45061</v>
      </c>
      <c r="B47" s="67">
        <f t="shared" ca="1" si="0"/>
        <v>20</v>
      </c>
      <c r="C47" s="5" t="e">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#VALUE!</v>
      </c>
      <c r="D47" s="5" t="e">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#VALUE!</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#VALUE!</v>
      </c>
      <c r="AE47" s="67" t="e">
        <f ca="1">VLOOKUP($B47,'Summary Calculations (hide)'!$D$15:$U$67,18,0)</f>
        <v>#VALUE!</v>
      </c>
    </row>
    <row r="48" spans="1:31" x14ac:dyDescent="0.2">
      <c r="A48" s="87">
        <f t="shared" ca="1" si="3"/>
        <v>45068</v>
      </c>
      <c r="B48" s="67">
        <f t="shared" ca="1" si="0"/>
        <v>21</v>
      </c>
      <c r="C48" s="5" t="e">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#VALUE!</v>
      </c>
      <c r="D48" s="5" t="e">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#VALUE!</v>
      </c>
      <c r="E48" s="5">
        <f ca="1">VLOOKUP($B48,'Summary Calculations (hide)'!$D$15:$U$67,15,0)</f>
        <v>0</v>
      </c>
      <c r="F48" s="5">
        <f ca="1">VLOOKUP($B48,'Summary Calculations (hide)'!$D$15:$U$67,16,0)</f>
        <v>0</v>
      </c>
      <c r="G48" s="5">
        <f t="shared" ca="1" si="1"/>
        <v>0</v>
      </c>
      <c r="H48" s="5">
        <f t="shared" ca="1" si="2"/>
        <v>2.7567567567567566</v>
      </c>
      <c r="I48" s="67">
        <f ca="1">IF(OFFSET(Planning!$E$25,0,ROW(A45),1,1)&lt;&gt;"",-'Planning (hide)'!$G48,0)</f>
        <v>0</v>
      </c>
      <c r="J48" s="67">
        <f ca="1">IF(OFFSET(Planning!$E$25,COLUMN(A45),ROW(A45),1,1)&lt;&gt;"",OFFSET(Planning!$D$25,COLUMN(A45),0,1,1),0)</f>
        <v>0</v>
      </c>
      <c r="K48" s="67">
        <f ca="1">IF(OFFSET(Planning!$E$25,COLUMN(B45),ROW(B45),1,1)&lt;&gt;"",OFFSET(Planning!$D$25,COLUMN(B45),0,1,1),0)</f>
        <v>2.7567567567567566</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#VALUE!</v>
      </c>
      <c r="AE48" s="67" t="e">
        <f ca="1">VLOOKUP($B48,'Summary Calculations (hide)'!$D$15:$U$67,18,0)</f>
        <v>#VALUE!</v>
      </c>
    </row>
    <row r="49" spans="1:31" x14ac:dyDescent="0.2">
      <c r="A49" s="87">
        <f t="shared" ca="1" si="3"/>
        <v>45075</v>
      </c>
      <c r="B49" s="67">
        <f t="shared" ca="1" si="0"/>
        <v>22</v>
      </c>
      <c r="C49" s="5" t="e">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#VALUE!</v>
      </c>
      <c r="D49" s="5" t="e">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#VALUE!</v>
      </c>
      <c r="E49" s="5">
        <f ca="1">VLOOKUP($B49,'Summary Calculations (hide)'!$D$15:$U$67,15,0)</f>
        <v>0</v>
      </c>
      <c r="F49" s="5">
        <f ca="1">VLOOKUP($B49,'Summary Calculations (hide)'!$D$15:$U$67,16,0)</f>
        <v>0</v>
      </c>
      <c r="G49" s="5">
        <f t="shared" ca="1" si="1"/>
        <v>0</v>
      </c>
      <c r="H49" s="5">
        <f t="shared" ca="1" si="2"/>
        <v>2.7567567567567566</v>
      </c>
      <c r="I49" s="67">
        <f ca="1">IF(OFFSET(Planning!$E$25,0,ROW(A46),1,1)&lt;&gt;"",-'Planning (hide)'!$G49,0)</f>
        <v>0</v>
      </c>
      <c r="J49" s="67">
        <f ca="1">IF(OFFSET(Planning!$E$25,COLUMN(A46),ROW(A46),1,1)&lt;&gt;"",OFFSET(Planning!$D$25,COLUMN(A46),0,1,1),0)</f>
        <v>0</v>
      </c>
      <c r="K49" s="67">
        <f ca="1">IF(OFFSET(Planning!$E$25,COLUMN(B46),ROW(B46),1,1)&lt;&gt;"",OFFSET(Planning!$D$25,COLUMN(B46),0,1,1),0)</f>
        <v>2.7567567567567566</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#VALUE!</v>
      </c>
      <c r="AE49" s="67" t="e">
        <f ca="1">VLOOKUP($B49,'Summary Calculations (hide)'!$D$15:$U$67,18,0)</f>
        <v>#VALUE!</v>
      </c>
    </row>
    <row r="50" spans="1:31" x14ac:dyDescent="0.2">
      <c r="A50" s="87">
        <f t="shared" ca="1" si="3"/>
        <v>45082</v>
      </c>
      <c r="B50" s="67">
        <f t="shared" ca="1" si="0"/>
        <v>23</v>
      </c>
      <c r="C50" s="5" t="e">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#VALUE!</v>
      </c>
      <c r="D50" s="5" t="e">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#VALUE!</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#VALUE!</v>
      </c>
      <c r="AE50" s="67" t="e">
        <f ca="1">VLOOKUP($B50,'Summary Calculations (hide)'!$D$15:$U$67,18,0)</f>
        <v>#VALUE!</v>
      </c>
    </row>
    <row r="51" spans="1:31" x14ac:dyDescent="0.2">
      <c r="A51" s="87">
        <f t="shared" ca="1" si="3"/>
        <v>45089</v>
      </c>
      <c r="B51" s="67">
        <f t="shared" ca="1" si="0"/>
        <v>24</v>
      </c>
      <c r="C51" s="5" t="e">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#VALUE!</v>
      </c>
      <c r="D51" s="5" t="e">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#VALUE!</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#VALUE!</v>
      </c>
      <c r="AE51" s="67" t="e">
        <f ca="1">VLOOKUP($B51,'Summary Calculations (hide)'!$D$15:$U$67,18,0)</f>
        <v>#VALUE!</v>
      </c>
    </row>
    <row r="52" spans="1:31" x14ac:dyDescent="0.2">
      <c r="A52" s="87">
        <f t="shared" ca="1" si="3"/>
        <v>45096</v>
      </c>
      <c r="B52" s="67">
        <f t="shared" ca="1" si="0"/>
        <v>25</v>
      </c>
      <c r="C52" s="5" t="e">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#VALUE!</v>
      </c>
      <c r="D52" s="5" t="e">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#VALUE!</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#VALUE!</v>
      </c>
      <c r="AE52" s="67" t="e">
        <f ca="1">VLOOKUP($B52,'Summary Calculations (hide)'!$D$15:$U$67,18,0)</f>
        <v>#VALUE!</v>
      </c>
    </row>
    <row r="53" spans="1:31" x14ac:dyDescent="0.2">
      <c r="A53" s="87">
        <f t="shared" ca="1" si="3"/>
        <v>45103</v>
      </c>
      <c r="B53" s="67">
        <f t="shared" ca="1" si="0"/>
        <v>26</v>
      </c>
      <c r="C53" s="5" t="e">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#VALUE!</v>
      </c>
      <c r="D53" s="5" t="e">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#VALUE!</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#VALUE!</v>
      </c>
      <c r="AE53" s="67" t="e">
        <f ca="1">VLOOKUP($B53,'Summary Calculations (hide)'!$D$15:$U$67,18,0)</f>
        <v>#VALUE!</v>
      </c>
    </row>
    <row r="54" spans="1:31" x14ac:dyDescent="0.2">
      <c r="A54" s="87">
        <f t="shared" ca="1" si="3"/>
        <v>45110</v>
      </c>
      <c r="B54" s="67">
        <f t="shared" ca="1" si="0"/>
        <v>27</v>
      </c>
      <c r="C54" s="5" t="e">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#VALUE!</v>
      </c>
      <c r="D54" s="5" t="e">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#VALUE!</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#VALUE!</v>
      </c>
      <c r="AE54" s="67" t="e">
        <f ca="1">VLOOKUP($B54,'Summary Calculations (hide)'!$D$15:$U$67,18,0)</f>
        <v>#VALUE!</v>
      </c>
    </row>
    <row r="55" spans="1:31" x14ac:dyDescent="0.2">
      <c r="A55" s="87">
        <f t="shared" ca="1" si="3"/>
        <v>45117</v>
      </c>
      <c r="B55" s="67">
        <f t="shared" ca="1" si="0"/>
        <v>28</v>
      </c>
      <c r="C55" s="5" t="e">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#VALUE!</v>
      </c>
      <c r="D55" s="5" t="e">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#VALUE!</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#VALUE!</v>
      </c>
      <c r="AE55" s="67" t="e">
        <f ca="1">VLOOKUP($B55,'Summary Calculations (hide)'!$D$15:$U$67,18,0)</f>
        <v>#VALUE!</v>
      </c>
    </row>
    <row r="62" spans="1:31" x14ac:dyDescent="0.2">
      <c r="C62" s="5"/>
    </row>
    <row r="63" spans="1:31" x14ac:dyDescent="0.2">
      <c r="C63" s="5"/>
    </row>
    <row r="64" spans="1:31" x14ac:dyDescent="0.2">
      <c r="C64" s="5"/>
    </row>
    <row r="65" spans="3:3" x14ac:dyDescent="0.2">
      <c r="C65" s="5"/>
    </row>
    <row r="66" spans="3:3" x14ac:dyDescent="0.2">
      <c r="C66" s="5"/>
    </row>
    <row r="67" spans="3:3" x14ac:dyDescent="0.2">
      <c r="C67" s="5"/>
    </row>
    <row r="68" spans="3:3" x14ac:dyDescent="0.2">
      <c r="C68" s="5"/>
    </row>
    <row r="69" spans="3:3" x14ac:dyDescent="0.2">
      <c r="C69" s="5"/>
    </row>
    <row r="70" spans="3:3" x14ac:dyDescent="0.2">
      <c r="C70" s="5"/>
    </row>
    <row r="71" spans="3:3" x14ac:dyDescent="0.2">
      <c r="C71" s="5"/>
    </row>
    <row r="72" spans="3:3" x14ac:dyDescent="0.2">
      <c r="C72" s="5"/>
    </row>
    <row r="73" spans="3:3" x14ac:dyDescent="0.2">
      <c r="C73" s="5"/>
    </row>
    <row r="74" spans="3:3" x14ac:dyDescent="0.2">
      <c r="C74" s="5"/>
    </row>
    <row r="75" spans="3:3" x14ac:dyDescent="0.2">
      <c r="C75" s="5"/>
    </row>
    <row r="76" spans="3:3" x14ac:dyDescent="0.2">
      <c r="C76" s="5"/>
    </row>
    <row r="77" spans="3:3" x14ac:dyDescent="0.2">
      <c r="C77" s="5"/>
    </row>
    <row r="78" spans="3:3" x14ac:dyDescent="0.2">
      <c r="C78" s="5"/>
    </row>
    <row r="79" spans="3:3" x14ac:dyDescent="0.2">
      <c r="C79" s="5"/>
    </row>
    <row r="80" spans="3:3" x14ac:dyDescent="0.2">
      <c r="C80" s="5"/>
    </row>
    <row r="81" spans="3:3" x14ac:dyDescent="0.2">
      <c r="C81" s="5"/>
    </row>
    <row r="82" spans="3:3" x14ac:dyDescent="0.2">
      <c r="C82" s="5"/>
    </row>
    <row r="83" spans="3:3" x14ac:dyDescent="0.2">
      <c r="C83" s="5"/>
    </row>
    <row r="84" spans="3:3" x14ac:dyDescent="0.2">
      <c r="C84" s="5"/>
    </row>
    <row r="85" spans="3:3" x14ac:dyDescent="0.2">
      <c r="C85" s="5"/>
    </row>
    <row r="86" spans="3:3" x14ac:dyDescent="0.2">
      <c r="C86" s="5"/>
    </row>
    <row r="87" spans="3:3" x14ac:dyDescent="0.2">
      <c r="C87" s="5"/>
    </row>
    <row r="88" spans="3:3" x14ac:dyDescent="0.2">
      <c r="C88" s="5"/>
    </row>
    <row r="89" spans="3:3" x14ac:dyDescent="0.2">
      <c r="C89" s="5"/>
    </row>
    <row r="90" spans="3:3" x14ac:dyDescent="0.2">
      <c r="C90" s="5"/>
    </row>
    <row r="91" spans="3:3" x14ac:dyDescent="0.2">
      <c r="C91" s="5"/>
    </row>
    <row r="92" spans="3:3" x14ac:dyDescent="0.2">
      <c r="C92" s="5"/>
    </row>
    <row r="93" spans="3:3" x14ac:dyDescent="0.2">
      <c r="C93" s="5"/>
    </row>
    <row r="94" spans="3:3" x14ac:dyDescent="0.2">
      <c r="C94" s="5"/>
    </row>
    <row r="95" spans="3:3" x14ac:dyDescent="0.2">
      <c r="C95" s="5"/>
    </row>
    <row r="96" spans="3:3" x14ac:dyDescent="0.2">
      <c r="C96" s="5"/>
    </row>
    <row r="97" spans="3:3" x14ac:dyDescent="0.2">
      <c r="C97" s="5"/>
    </row>
    <row r="98" spans="3:3" x14ac:dyDescent="0.2">
      <c r="C98" s="5"/>
    </row>
    <row r="99" spans="3:3" x14ac:dyDescent="0.2">
      <c r="C99" s="5"/>
    </row>
    <row r="100" spans="3:3" x14ac:dyDescent="0.2">
      <c r="C100" s="5"/>
    </row>
    <row r="101" spans="3:3" x14ac:dyDescent="0.2">
      <c r="C101" s="5"/>
    </row>
    <row r="102" spans="3:3" x14ac:dyDescent="0.2">
      <c r="C102" s="5"/>
    </row>
    <row r="103" spans="3:3" x14ac:dyDescent="0.2">
      <c r="C103" s="5"/>
    </row>
    <row r="104" spans="3:3" x14ac:dyDescent="0.2">
      <c r="C104" s="5"/>
    </row>
    <row r="105" spans="3:3" x14ac:dyDescent="0.2">
      <c r="C105" s="5"/>
    </row>
    <row r="106" spans="3:3" x14ac:dyDescent="0.2">
      <c r="C106" s="5"/>
    </row>
    <row r="107" spans="3:3" x14ac:dyDescent="0.2">
      <c r="C107" s="5"/>
    </row>
    <row r="108" spans="3:3" x14ac:dyDescent="0.2">
      <c r="C108" s="5"/>
    </row>
    <row r="109" spans="3:3" x14ac:dyDescent="0.2">
      <c r="C109" s="5"/>
    </row>
    <row r="110" spans="3:3" x14ac:dyDescent="0.2">
      <c r="C110" s="5"/>
    </row>
    <row r="111" spans="3:3" x14ac:dyDescent="0.2">
      <c r="C111" s="5"/>
    </row>
    <row r="112" spans="3:3" x14ac:dyDescent="0.2">
      <c r="C112" s="5"/>
    </row>
    <row r="113" spans="3:3" x14ac:dyDescent="0.2">
      <c r="C113" s="5"/>
    </row>
    <row r="114" spans="3:3" x14ac:dyDescent="0.2">
      <c r="C114" s="5"/>
    </row>
    <row r="115" spans="3:3" x14ac:dyDescent="0.2">
      <c r="C115" s="5"/>
    </row>
    <row r="116" spans="3:3" x14ac:dyDescent="0.2">
      <c r="C116" s="5"/>
    </row>
    <row r="117" spans="3:3" x14ac:dyDescent="0.2">
      <c r="C117" s="5"/>
    </row>
    <row r="118" spans="3:3" x14ac:dyDescent="0.2">
      <c r="C118" s="5"/>
    </row>
    <row r="119" spans="3:3" x14ac:dyDescent="0.2">
      <c r="C119" s="5"/>
    </row>
    <row r="120" spans="3:3" x14ac:dyDescent="0.2">
      <c r="C120" s="5"/>
    </row>
    <row r="121" spans="3:3" x14ac:dyDescent="0.2">
      <c r="C121" s="5"/>
    </row>
    <row r="122" spans="3:3" x14ac:dyDescent="0.2">
      <c r="C122" s="5"/>
    </row>
    <row r="123" spans="3:3" x14ac:dyDescent="0.2">
      <c r="C123" s="5"/>
    </row>
    <row r="124" spans="3:3" x14ac:dyDescent="0.2">
      <c r="C124" s="5"/>
    </row>
    <row r="125" spans="3:3" x14ac:dyDescent="0.2">
      <c r="C125" s="5"/>
    </row>
    <row r="126" spans="3:3" x14ac:dyDescent="0.2">
      <c r="C126" s="5"/>
    </row>
    <row r="127" spans="3:3" x14ac:dyDescent="0.2">
      <c r="C127" s="5"/>
    </row>
    <row r="128" spans="3:3" x14ac:dyDescent="0.2">
      <c r="C128" s="5"/>
    </row>
    <row r="129" spans="3:3" x14ac:dyDescent="0.2">
      <c r="C129" s="5"/>
    </row>
    <row r="130" spans="3:3" x14ac:dyDescent="0.2">
      <c r="C130" s="5"/>
    </row>
    <row r="131" spans="3:3" x14ac:dyDescent="0.2">
      <c r="C131" s="5"/>
    </row>
    <row r="132" spans="3:3" x14ac:dyDescent="0.2">
      <c r="C132" s="5"/>
    </row>
    <row r="133" spans="3:3" x14ac:dyDescent="0.2">
      <c r="C133" s="5"/>
    </row>
    <row r="134" spans="3:3" x14ac:dyDescent="0.2">
      <c r="C134" s="5"/>
    </row>
    <row r="135" spans="3:3" x14ac:dyDescent="0.2">
      <c r="C135" s="5"/>
    </row>
    <row r="136" spans="3:3" x14ac:dyDescent="0.2">
      <c r="C136" s="5"/>
    </row>
    <row r="137" spans="3:3" x14ac:dyDescent="0.2">
      <c r="C137" s="5"/>
    </row>
    <row r="138" spans="3:3" x14ac:dyDescent="0.2">
      <c r="C138" s="5"/>
    </row>
    <row r="139" spans="3:3" x14ac:dyDescent="0.2">
      <c r="C139" s="5"/>
    </row>
    <row r="140" spans="3:3" x14ac:dyDescent="0.2">
      <c r="C140" s="5"/>
    </row>
    <row r="141" spans="3:3" x14ac:dyDescent="0.2">
      <c r="C141" s="5"/>
    </row>
    <row r="142" spans="3:3" x14ac:dyDescent="0.2">
      <c r="C142" s="5"/>
    </row>
    <row r="143" spans="3:3" x14ac:dyDescent="0.2">
      <c r="C143" s="5"/>
    </row>
    <row r="144" spans="3:3" x14ac:dyDescent="0.2">
      <c r="C144" s="5"/>
    </row>
    <row r="145" spans="3:3" x14ac:dyDescent="0.2">
      <c r="C145" s="5"/>
    </row>
    <row r="146" spans="3:3" x14ac:dyDescent="0.2">
      <c r="C146" s="5"/>
    </row>
    <row r="147" spans="3:3" x14ac:dyDescent="0.2">
      <c r="C147" s="5"/>
    </row>
    <row r="148" spans="3:3" x14ac:dyDescent="0.2">
      <c r="C148" s="5"/>
    </row>
    <row r="149" spans="3:3" x14ac:dyDescent="0.2">
      <c r="C149" s="5"/>
    </row>
    <row r="150" spans="3:3" x14ac:dyDescent="0.2">
      <c r="C150" s="5"/>
    </row>
    <row r="151" spans="3:3" x14ac:dyDescent="0.2">
      <c r="C151" s="5"/>
    </row>
    <row r="152" spans="3:3" x14ac:dyDescent="0.2">
      <c r="C152" s="5"/>
    </row>
    <row r="153" spans="3:3" x14ac:dyDescent="0.2">
      <c r="C153" s="5"/>
    </row>
    <row r="154" spans="3:3" x14ac:dyDescent="0.2">
      <c r="C154" s="5"/>
    </row>
    <row r="155" spans="3:3" x14ac:dyDescent="0.2">
      <c r="C155" s="5"/>
    </row>
    <row r="156" spans="3:3" x14ac:dyDescent="0.2">
      <c r="C156" s="5"/>
    </row>
    <row r="157" spans="3:3" x14ac:dyDescent="0.2">
      <c r="C157" s="5"/>
    </row>
    <row r="158" spans="3:3" x14ac:dyDescent="0.2">
      <c r="C158" s="5"/>
    </row>
    <row r="159" spans="3:3" x14ac:dyDescent="0.2">
      <c r="C159" s="5"/>
    </row>
    <row r="160" spans="3:3" x14ac:dyDescent="0.2">
      <c r="C160" s="5"/>
    </row>
    <row r="161" spans="3:3" x14ac:dyDescent="0.2">
      <c r="C161" s="5"/>
    </row>
    <row r="162" spans="3:3" x14ac:dyDescent="0.2">
      <c r="C162" s="5"/>
    </row>
    <row r="163" spans="3:3" x14ac:dyDescent="0.2">
      <c r="C163" s="5"/>
    </row>
    <row r="164" spans="3:3" x14ac:dyDescent="0.2">
      <c r="C164" s="5"/>
    </row>
    <row r="165" spans="3:3" x14ac:dyDescent="0.2">
      <c r="C165" s="5"/>
    </row>
    <row r="166" spans="3:3" x14ac:dyDescent="0.2">
      <c r="C166" s="5"/>
    </row>
    <row r="167" spans="3:3" x14ac:dyDescent="0.2">
      <c r="C167" s="5"/>
    </row>
    <row r="168" spans="3:3" x14ac:dyDescent="0.2">
      <c r="C168" s="5"/>
    </row>
    <row r="169" spans="3:3" x14ac:dyDescent="0.2">
      <c r="C169" s="5"/>
    </row>
    <row r="170" spans="3:3" x14ac:dyDescent="0.2">
      <c r="C170" s="5"/>
    </row>
    <row r="171" spans="3:3" x14ac:dyDescent="0.2">
      <c r="C171" s="5"/>
    </row>
    <row r="172" spans="3:3" x14ac:dyDescent="0.2">
      <c r="C172" s="5"/>
    </row>
    <row r="173" spans="3:3" x14ac:dyDescent="0.2">
      <c r="C173" s="5"/>
    </row>
    <row r="174" spans="3:3" x14ac:dyDescent="0.2">
      <c r="C174" s="5"/>
    </row>
    <row r="175" spans="3:3" x14ac:dyDescent="0.2">
      <c r="C175" s="5"/>
    </row>
    <row r="176" spans="3:3" x14ac:dyDescent="0.2">
      <c r="C176" s="5"/>
    </row>
    <row r="177" spans="3:3" x14ac:dyDescent="0.2">
      <c r="C177" s="5"/>
    </row>
    <row r="178" spans="3:3" x14ac:dyDescent="0.2">
      <c r="C178" s="5"/>
    </row>
    <row r="179" spans="3:3" x14ac:dyDescent="0.2">
      <c r="C179" s="5"/>
    </row>
    <row r="180" spans="3:3" x14ac:dyDescent="0.2">
      <c r="C180" s="5"/>
    </row>
    <row r="181" spans="3:3" x14ac:dyDescent="0.2">
      <c r="C181" s="5"/>
    </row>
    <row r="182" spans="3:3" x14ac:dyDescent="0.2">
      <c r="C182" s="5"/>
    </row>
    <row r="183" spans="3:3" x14ac:dyDescent="0.2">
      <c r="C183" s="5"/>
    </row>
    <row r="184" spans="3:3" x14ac:dyDescent="0.2">
      <c r="C184" s="5"/>
    </row>
    <row r="185" spans="3:3" x14ac:dyDescent="0.2">
      <c r="C185" s="5"/>
    </row>
    <row r="186" spans="3:3" x14ac:dyDescent="0.2">
      <c r="C186" s="5"/>
    </row>
    <row r="187" spans="3:3" x14ac:dyDescent="0.2">
      <c r="C187" s="5"/>
    </row>
    <row r="188" spans="3:3" x14ac:dyDescent="0.2">
      <c r="C188" s="5"/>
    </row>
    <row r="189" spans="3:3" x14ac:dyDescent="0.2">
      <c r="C189" s="5"/>
    </row>
    <row r="190" spans="3:3" x14ac:dyDescent="0.2">
      <c r="C190" s="5"/>
    </row>
    <row r="191" spans="3:3" x14ac:dyDescent="0.2">
      <c r="C191" s="5"/>
    </row>
    <row r="192" spans="3:3" x14ac:dyDescent="0.2">
      <c r="C192" s="5"/>
    </row>
    <row r="193" spans="3:3" x14ac:dyDescent="0.2">
      <c r="C193" s="5"/>
    </row>
    <row r="194" spans="3:3" x14ac:dyDescent="0.2">
      <c r="C194" s="5"/>
    </row>
    <row r="195" spans="3:3" x14ac:dyDescent="0.2">
      <c r="C195" s="5"/>
    </row>
    <row r="196" spans="3:3" x14ac:dyDescent="0.2">
      <c r="C196" s="5"/>
    </row>
    <row r="197" spans="3:3" x14ac:dyDescent="0.2">
      <c r="C197" s="5"/>
    </row>
    <row r="198" spans="3:3" x14ac:dyDescent="0.2">
      <c r="C198" s="5"/>
    </row>
    <row r="199" spans="3:3" x14ac:dyDescent="0.2">
      <c r="C199" s="5"/>
    </row>
    <row r="200" spans="3:3" x14ac:dyDescent="0.2">
      <c r="C200" s="5"/>
    </row>
    <row r="201" spans="3:3" x14ac:dyDescent="0.2">
      <c r="C201" s="5"/>
    </row>
    <row r="202" spans="3:3" x14ac:dyDescent="0.2">
      <c r="C202" s="5"/>
    </row>
    <row r="203" spans="3:3" x14ac:dyDescent="0.2">
      <c r="C203" s="5"/>
    </row>
    <row r="204" spans="3:3" x14ac:dyDescent="0.2">
      <c r="C204" s="5"/>
    </row>
    <row r="205" spans="3:3" x14ac:dyDescent="0.2">
      <c r="C205" s="5"/>
    </row>
    <row r="206" spans="3:3" x14ac:dyDescent="0.2">
      <c r="C206" s="5"/>
    </row>
    <row r="207" spans="3:3" x14ac:dyDescent="0.2">
      <c r="C207" s="5"/>
    </row>
    <row r="208" spans="3:3" x14ac:dyDescent="0.2">
      <c r="C208" s="5"/>
    </row>
    <row r="209" spans="3:3" x14ac:dyDescent="0.2">
      <c r="C209" s="5"/>
    </row>
    <row r="210" spans="3:3" x14ac:dyDescent="0.2">
      <c r="C210" s="5"/>
    </row>
    <row r="211" spans="3:3" x14ac:dyDescent="0.2">
      <c r="C211" s="5"/>
    </row>
    <row r="212" spans="3:3" x14ac:dyDescent="0.2">
      <c r="C212" s="5"/>
    </row>
    <row r="213" spans="3:3" x14ac:dyDescent="0.2">
      <c r="C213" s="5"/>
    </row>
    <row r="214" spans="3:3" x14ac:dyDescent="0.2">
      <c r="C214" s="5"/>
    </row>
    <row r="215" spans="3:3" x14ac:dyDescent="0.2">
      <c r="C215" s="5"/>
    </row>
    <row r="216" spans="3:3" x14ac:dyDescent="0.2">
      <c r="C216" s="5"/>
    </row>
    <row r="217" spans="3:3" x14ac:dyDescent="0.2">
      <c r="C217" s="5"/>
    </row>
    <row r="218" spans="3:3" x14ac:dyDescent="0.2">
      <c r="C218" s="5"/>
    </row>
    <row r="219" spans="3:3" x14ac:dyDescent="0.2">
      <c r="C219" s="5"/>
    </row>
    <row r="220" spans="3:3" x14ac:dyDescent="0.2">
      <c r="C220" s="5"/>
    </row>
    <row r="221" spans="3:3" x14ac:dyDescent="0.2">
      <c r="C221" s="5"/>
    </row>
    <row r="222" spans="3:3" x14ac:dyDescent="0.2">
      <c r="C222" s="5"/>
    </row>
    <row r="223" spans="3:3" x14ac:dyDescent="0.2">
      <c r="C223" s="5"/>
    </row>
    <row r="224" spans="3:3" x14ac:dyDescent="0.2">
      <c r="C224" s="5"/>
    </row>
    <row r="225" spans="3:3" x14ac:dyDescent="0.2">
      <c r="C225" s="5"/>
    </row>
    <row r="226" spans="3:3" x14ac:dyDescent="0.2">
      <c r="C226" s="5"/>
    </row>
    <row r="227" spans="3:3" x14ac:dyDescent="0.2">
      <c r="C227" s="5"/>
    </row>
    <row r="228" spans="3:3" x14ac:dyDescent="0.2">
      <c r="C228" s="5"/>
    </row>
    <row r="229" spans="3:3" x14ac:dyDescent="0.2">
      <c r="C229" s="5"/>
    </row>
    <row r="230" spans="3:3" x14ac:dyDescent="0.2">
      <c r="C230" s="5"/>
    </row>
    <row r="231" spans="3:3" x14ac:dyDescent="0.2">
      <c r="C231" s="5"/>
    </row>
    <row r="232" spans="3:3" x14ac:dyDescent="0.2">
      <c r="C232" s="5"/>
    </row>
    <row r="233" spans="3:3" x14ac:dyDescent="0.2">
      <c r="C233" s="5"/>
    </row>
    <row r="234" spans="3:3" x14ac:dyDescent="0.2">
      <c r="C234" s="5"/>
    </row>
    <row r="235" spans="3:3" x14ac:dyDescent="0.2">
      <c r="C235" s="5"/>
    </row>
    <row r="236" spans="3:3" x14ac:dyDescent="0.2">
      <c r="C236" s="5"/>
    </row>
    <row r="237" spans="3:3" x14ac:dyDescent="0.2">
      <c r="C237" s="5"/>
    </row>
    <row r="238" spans="3:3" x14ac:dyDescent="0.2">
      <c r="C238" s="5"/>
    </row>
    <row r="239" spans="3:3" x14ac:dyDescent="0.2">
      <c r="C239" s="5"/>
    </row>
    <row r="240" spans="3:3" x14ac:dyDescent="0.2">
      <c r="C240" s="5"/>
    </row>
    <row r="241" spans="3:3" x14ac:dyDescent="0.2">
      <c r="C241" s="5"/>
    </row>
    <row r="242" spans="3:3" x14ac:dyDescent="0.2">
      <c r="C242" s="5"/>
    </row>
    <row r="243" spans="3:3" x14ac:dyDescent="0.2">
      <c r="C243" s="5"/>
    </row>
    <row r="244" spans="3:3" x14ac:dyDescent="0.2">
      <c r="C244" s="5"/>
    </row>
    <row r="245" spans="3:3" x14ac:dyDescent="0.2">
      <c r="C245" s="5"/>
    </row>
    <row r="246" spans="3:3" x14ac:dyDescent="0.2">
      <c r="C246" s="5"/>
    </row>
    <row r="247" spans="3:3" x14ac:dyDescent="0.2">
      <c r="C247" s="5"/>
    </row>
    <row r="248" spans="3:3" x14ac:dyDescent="0.2">
      <c r="C248" s="5"/>
    </row>
    <row r="249" spans="3:3" x14ac:dyDescent="0.2">
      <c r="C249" s="5"/>
    </row>
    <row r="250" spans="3:3" x14ac:dyDescent="0.2">
      <c r="C250" s="5"/>
    </row>
    <row r="251" spans="3:3" x14ac:dyDescent="0.2">
      <c r="C251" s="5"/>
    </row>
    <row r="252" spans="3:3" x14ac:dyDescent="0.2">
      <c r="C252" s="5"/>
    </row>
    <row r="253" spans="3:3" x14ac:dyDescent="0.2">
      <c r="C253" s="5"/>
    </row>
    <row r="254" spans="3:3" x14ac:dyDescent="0.2">
      <c r="C254" s="5"/>
    </row>
    <row r="255" spans="3:3" x14ac:dyDescent="0.2">
      <c r="C255" s="5"/>
    </row>
    <row r="256" spans="3:3" x14ac:dyDescent="0.2">
      <c r="C256" s="5"/>
    </row>
    <row r="257" spans="3:3" x14ac:dyDescent="0.2">
      <c r="C257" s="5"/>
    </row>
    <row r="258" spans="3:3" x14ac:dyDescent="0.2">
      <c r="C258" s="5"/>
    </row>
    <row r="259" spans="3:3" x14ac:dyDescent="0.2">
      <c r="C259" s="5"/>
    </row>
    <row r="260" spans="3:3" x14ac:dyDescent="0.2">
      <c r="C260" s="5"/>
    </row>
    <row r="261" spans="3:3" x14ac:dyDescent="0.2">
      <c r="C261" s="5"/>
    </row>
    <row r="262" spans="3:3" x14ac:dyDescent="0.2">
      <c r="C262" s="5"/>
    </row>
    <row r="263" spans="3:3" x14ac:dyDescent="0.2">
      <c r="C263" s="5"/>
    </row>
    <row r="264" spans="3:3" x14ac:dyDescent="0.2">
      <c r="C264" s="5"/>
    </row>
    <row r="265" spans="3:3" x14ac:dyDescent="0.2">
      <c r="C265" s="5"/>
    </row>
    <row r="266" spans="3:3" x14ac:dyDescent="0.2">
      <c r="C266" s="5"/>
    </row>
    <row r="267" spans="3:3" x14ac:dyDescent="0.2">
      <c r="C267" s="5"/>
    </row>
    <row r="268" spans="3:3" x14ac:dyDescent="0.2">
      <c r="C268" s="5"/>
    </row>
    <row r="269" spans="3:3" x14ac:dyDescent="0.2">
      <c r="C269" s="5"/>
    </row>
    <row r="270" spans="3:3" x14ac:dyDescent="0.2">
      <c r="C270" s="5"/>
    </row>
    <row r="271" spans="3:3" x14ac:dyDescent="0.2">
      <c r="C271" s="5"/>
    </row>
    <row r="272" spans="3:3" x14ac:dyDescent="0.2">
      <c r="C272" s="5"/>
    </row>
    <row r="273" spans="3:3" x14ac:dyDescent="0.2">
      <c r="C273" s="5"/>
    </row>
    <row r="274" spans="3:3" x14ac:dyDescent="0.2">
      <c r="C274" s="5"/>
    </row>
    <row r="275" spans="3:3" x14ac:dyDescent="0.2">
      <c r="C275" s="5"/>
    </row>
    <row r="276" spans="3:3" x14ac:dyDescent="0.2">
      <c r="C276" s="5"/>
    </row>
    <row r="277" spans="3:3" x14ac:dyDescent="0.2">
      <c r="C277" s="5"/>
    </row>
    <row r="278" spans="3:3" x14ac:dyDescent="0.2">
      <c r="C278" s="5"/>
    </row>
    <row r="279" spans="3:3" x14ac:dyDescent="0.2">
      <c r="C279" s="5"/>
    </row>
    <row r="280" spans="3:3" x14ac:dyDescent="0.2">
      <c r="C280" s="5"/>
    </row>
    <row r="281" spans="3:3" x14ac:dyDescent="0.2">
      <c r="C281" s="5"/>
    </row>
    <row r="282" spans="3:3" x14ac:dyDescent="0.2">
      <c r="C282" s="5"/>
    </row>
    <row r="283" spans="3:3" x14ac:dyDescent="0.2">
      <c r="C283" s="5"/>
    </row>
    <row r="284" spans="3:3" x14ac:dyDescent="0.2">
      <c r="C284" s="5"/>
    </row>
    <row r="285" spans="3:3" x14ac:dyDescent="0.2">
      <c r="C285" s="5"/>
    </row>
    <row r="286" spans="3:3" x14ac:dyDescent="0.2">
      <c r="C286" s="5"/>
    </row>
    <row r="287" spans="3:3" x14ac:dyDescent="0.2">
      <c r="C287" s="5"/>
    </row>
    <row r="288" spans="3:3" x14ac:dyDescent="0.2">
      <c r="C288" s="5"/>
    </row>
    <row r="289" spans="3:3" x14ac:dyDescent="0.2">
      <c r="C289" s="5"/>
    </row>
    <row r="290" spans="3:3" x14ac:dyDescent="0.2">
      <c r="C290" s="5"/>
    </row>
    <row r="291" spans="3:3" x14ac:dyDescent="0.2">
      <c r="C291" s="5"/>
    </row>
    <row r="292" spans="3:3" x14ac:dyDescent="0.2">
      <c r="C292" s="5"/>
    </row>
    <row r="293" spans="3:3" x14ac:dyDescent="0.2">
      <c r="C293" s="5"/>
    </row>
    <row r="294" spans="3:3" x14ac:dyDescent="0.2">
      <c r="C294" s="5"/>
    </row>
    <row r="295" spans="3:3" x14ac:dyDescent="0.2">
      <c r="C295" s="5"/>
    </row>
    <row r="296" spans="3:3" x14ac:dyDescent="0.2">
      <c r="C296" s="5"/>
    </row>
    <row r="297" spans="3:3" x14ac:dyDescent="0.2">
      <c r="C297" s="5"/>
    </row>
    <row r="298" spans="3:3" x14ac:dyDescent="0.2">
      <c r="C298" s="5"/>
    </row>
    <row r="299" spans="3:3" x14ac:dyDescent="0.2">
      <c r="C299" s="5"/>
    </row>
    <row r="300" spans="3:3" x14ac:dyDescent="0.2">
      <c r="C300" s="5"/>
    </row>
    <row r="301" spans="3:3" x14ac:dyDescent="0.2">
      <c r="C301" s="5"/>
    </row>
    <row r="302" spans="3:3" x14ac:dyDescent="0.2">
      <c r="C302" s="5"/>
    </row>
    <row r="303" spans="3:3" x14ac:dyDescent="0.2">
      <c r="C303" s="5"/>
    </row>
    <row r="304" spans="3:3" x14ac:dyDescent="0.2">
      <c r="C304" s="5"/>
    </row>
    <row r="305" spans="3:3" x14ac:dyDescent="0.2">
      <c r="C305" s="5"/>
    </row>
    <row r="306" spans="3:3" x14ac:dyDescent="0.2">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5" t="s">
        <v>528</v>
      </c>
      <c r="B3" s="165" t="s">
        <v>11</v>
      </c>
    </row>
    <row r="4" spans="1:3" x14ac:dyDescent="0.2">
      <c r="A4" s="166" t="s">
        <v>529</v>
      </c>
      <c r="B4" s="166" t="s">
        <v>530</v>
      </c>
      <c r="C4" s="5" t="e">
        <f ca="1">'Summary Calculations (hide)'!X72</f>
        <v>#N/A</v>
      </c>
    </row>
    <row r="5" spans="1:3" x14ac:dyDescent="0.2">
      <c r="A5" s="166" t="s">
        <v>531</v>
      </c>
      <c r="B5" s="166" t="s">
        <v>532</v>
      </c>
      <c r="C5" s="5" t="e">
        <f ca="1">'Summary Calculations (hide)'!M70</f>
        <v>#VALUE!</v>
      </c>
    </row>
    <row r="6" spans="1:3" x14ac:dyDescent="0.2">
      <c r="A6" s="166" t="s">
        <v>533</v>
      </c>
      <c r="B6" s="166" t="s">
        <v>534</v>
      </c>
      <c r="C6" s="5" t="e">
        <f ca="1">'Summary Calculations (hide)'!N70</f>
        <v>#VALUE!</v>
      </c>
    </row>
    <row r="7" spans="1:3" ht="42.75" x14ac:dyDescent="0.2">
      <c r="A7" s="166" t="s">
        <v>99</v>
      </c>
      <c r="B7" s="166" t="s">
        <v>535</v>
      </c>
      <c r="C7" t="e">
        <f ca="1">'Parameters calculator (hide)'!B45</f>
        <v>#N/A</v>
      </c>
    </row>
    <row r="8" spans="1:3" ht="28.5" x14ac:dyDescent="0.2">
      <c r="A8" s="166" t="s">
        <v>536</v>
      </c>
      <c r="B8" s="166" t="s">
        <v>537</v>
      </c>
      <c r="C8">
        <f ca="1">'Parameters calculator (hide)'!B46</f>
        <v>0</v>
      </c>
    </row>
    <row r="9" spans="1:3" ht="42.75" x14ac:dyDescent="0.2">
      <c r="A9" s="166" t="s">
        <v>538</v>
      </c>
      <c r="B9" s="166" t="s">
        <v>539</v>
      </c>
      <c r="C9">
        <v>0</v>
      </c>
    </row>
    <row r="10" spans="1:3" ht="28.5" x14ac:dyDescent="0.2">
      <c r="A10" s="166" t="s">
        <v>540</v>
      </c>
      <c r="B10" s="166" t="s">
        <v>541</v>
      </c>
      <c r="C10">
        <v>0</v>
      </c>
    </row>
    <row r="11" spans="1:3" ht="57" x14ac:dyDescent="0.2">
      <c r="A11" s="166" t="s">
        <v>542</v>
      </c>
      <c r="B11" s="166" t="s">
        <v>543</v>
      </c>
      <c r="C11">
        <f ca="1">'Parameters calculator (hide)'!B47</f>
        <v>1</v>
      </c>
    </row>
    <row r="12" spans="1:3" x14ac:dyDescent="0.2">
      <c r="A12" s="166" t="s">
        <v>494</v>
      </c>
      <c r="B12" s="166" t="s">
        <v>544</v>
      </c>
      <c r="C12" s="5">
        <f ca="1">SUM('Summary Calculations (hide)'!R70:S70)</f>
        <v>0</v>
      </c>
    </row>
    <row r="13" spans="1:3" x14ac:dyDescent="0.2">
      <c r="A13" s="166" t="s">
        <v>545</v>
      </c>
      <c r="B13" s="166" t="s">
        <v>546</v>
      </c>
      <c r="C13" s="5" t="e">
        <f ca="1">'Parameters calculator (hide)'!F63</f>
        <v>#VALUE!</v>
      </c>
    </row>
    <row r="14" spans="1:3" x14ac:dyDescent="0.2">
      <c r="A14" s="166" t="s">
        <v>547</v>
      </c>
      <c r="B14" s="166" t="s">
        <v>548</v>
      </c>
      <c r="C14" s="5">
        <f ca="1">'Parameters calculator (hide)'!B79</f>
        <v>0</v>
      </c>
    </row>
    <row r="15" spans="1:3" x14ac:dyDescent="0.2">
      <c r="A15" s="166" t="s">
        <v>75</v>
      </c>
      <c r="B15" s="166" t="s">
        <v>549</v>
      </c>
      <c r="C15" t="e">
        <f ca="1">'Parameters calculator (hide)'!B43+'Parameters calculator (hide)'!B44</f>
        <v>#N/A</v>
      </c>
    </row>
    <row r="16" spans="1:3" x14ac:dyDescent="0.2">
      <c r="A16" s="166" t="s">
        <v>550</v>
      </c>
      <c r="B16" s="166" t="s">
        <v>551</v>
      </c>
      <c r="C16">
        <v>0</v>
      </c>
    </row>
    <row r="17" spans="1:3" x14ac:dyDescent="0.2">
      <c r="A17" s="166" t="s">
        <v>552</v>
      </c>
      <c r="B17" s="166" t="s">
        <v>553</v>
      </c>
      <c r="C17">
        <f>IF(Summary!$C$8="Patients",0,1)</f>
        <v>0</v>
      </c>
    </row>
    <row r="18" spans="1:3" ht="28.5" x14ac:dyDescent="0.2">
      <c r="A18" s="166" t="s">
        <v>554</v>
      </c>
      <c r="B18" s="166" t="s">
        <v>555</v>
      </c>
      <c r="C18">
        <f>IF(C17=0,1,'Summary Calculations (hide)'!$I$9)</f>
        <v>1</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B6228694CFF094BAF2319550995D0A6" ma:contentTypeVersion="55" ma:contentTypeDescription="Create a new document." ma:contentTypeScope="" ma:versionID="d4b6bd64ec359eda23f8aa2f92353cf9">
  <xsd:schema xmlns:xsd="http://www.w3.org/2001/XMLSchema" xmlns:xs="http://www.w3.org/2001/XMLSchema" xmlns:p="http://schemas.microsoft.com/office/2006/metadata/properties" xmlns:ns1="http://schemas.microsoft.com/sharepoint/v3" xmlns:ns2="00405e2d-ab17-4d57-81f5-1ee9003f9ce6" xmlns:ns3="36e1300c-9968-4ef4-9456-fc51d76d31d2" xmlns:ns4="cccaf3ac-2de9-44d4-aa31-54302fceb5f7" targetNamespace="http://schemas.microsoft.com/office/2006/metadata/properties" ma:root="true" ma:fieldsID="b47c9b9e5620c53073d365704233df2c" ns1:_="" ns2:_="" ns3:_="" ns4:_="">
    <xsd:import namespace="http://schemas.microsoft.com/sharepoint/v3"/>
    <xsd:import namespace="00405e2d-ab17-4d57-81f5-1ee9003f9ce6"/>
    <xsd:import namespace="36e1300c-9968-4ef4-9456-fc51d76d31d2"/>
    <xsd:import namespace="cccaf3ac-2de9-44d4-aa31-54302fceb5f7"/>
    <xsd:element name="properties">
      <xsd:complexType>
        <xsd:sequence>
          <xsd:element name="documentManagement">
            <xsd:complexType>
              <xsd:all>
                <xsd:element ref="ns1:_ip_UnifiedCompliancePolicyProperties" minOccurs="0"/>
                <xsd:element ref="ns1:_ip_UnifiedCompliancePolicyUIAction" minOccurs="0"/>
                <xsd:element ref="ns2:SharedWithUsers" minOccurs="0"/>
                <xsd:element ref="ns2:SharedWithDetails" minOccurs="0"/>
                <xsd:element ref="ns3:Review_x0020_Date"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0405e2d-ab17-4d57-81f5-1ee9003f9ce6"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6e1300c-9968-4ef4-9456-fc51d76d31d2" elementFormDefault="qualified">
    <xsd:import namespace="http://schemas.microsoft.com/office/2006/documentManagement/types"/>
    <xsd:import namespace="http://schemas.microsoft.com/office/infopath/2007/PartnerControls"/>
    <xsd:element name="Review_x0020_Date" ma:index="12" nillable="true" ma:displayName="Review date" ma:indexed="true" ma:internalName="Review_x0020_Dat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443b0bdb-28a8-4814-9fb9-624c17c095f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ccaf3ac-2de9-44d4-aa31-54302fceb5f7"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f1d7d862-90c4-479f-9c9e-a83ff5c9712d}" ma:internalName="TaxCatchAll" ma:showField="CatchAllData" ma:web="ebd64cbd-6cf5-435c-bd4a-b8fc9bc14ad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Review_x0020_Date xmlns="36e1300c-9968-4ef4-9456-fc51d76d31d2" xsi:nil="true"/>
    <_ip_UnifiedCompliancePolicyProperties xmlns="http://schemas.microsoft.com/sharepoint/v3" xsi:nil="true"/>
    <lcf76f155ced4ddcb4097134ff3c332f xmlns="36e1300c-9968-4ef4-9456-fc51d76d31d2">
      <Terms xmlns="http://schemas.microsoft.com/office/infopath/2007/PartnerControls"/>
    </lcf76f155ced4ddcb4097134ff3c332f>
    <TaxCatchAll xmlns="cccaf3ac-2de9-44d4-aa31-54302fceb5f7" xsi:nil="true"/>
  </documentManagement>
</p:properties>
</file>

<file path=customXml/itemProps1.xml><?xml version="1.0" encoding="utf-8"?>
<ds:datastoreItem xmlns:ds="http://schemas.openxmlformats.org/officeDocument/2006/customXml" ds:itemID="{7051936D-EB37-4146-BDD0-3E58960EA1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0405e2d-ab17-4d57-81f5-1ee9003f9ce6"/>
    <ds:schemaRef ds:uri="36e1300c-9968-4ef4-9456-fc51d76d31d2"/>
    <ds:schemaRef ds:uri="cccaf3ac-2de9-44d4-aa31-54302fceb5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15B947-227E-42E3-B195-145132777785}">
  <ds:schemaRefs>
    <ds:schemaRef ds:uri="http://schemas.microsoft.com/sharepoint/v3/contenttype/forms"/>
  </ds:schemaRefs>
</ds:datastoreItem>
</file>

<file path=customXml/itemProps3.xml><?xml version="1.0" encoding="utf-8"?>
<ds:datastoreItem xmlns:ds="http://schemas.openxmlformats.org/officeDocument/2006/customXml" ds:itemID="{D56AF031-E031-4D7B-8AB9-38B3DA0D3342}">
  <ds:schemaRefs>
    <ds:schemaRef ds:uri="http://schemas.microsoft.com/sharepoint/v3"/>
    <ds:schemaRef ds:uri="http://schemas.openxmlformats.org/package/2006/metadata/core-properties"/>
    <ds:schemaRef ds:uri="http://schemas.microsoft.com/office/infopath/2007/PartnerControls"/>
    <ds:schemaRef ds:uri="cccaf3ac-2de9-44d4-aa31-54302fceb5f7"/>
    <ds:schemaRef ds:uri="http://schemas.microsoft.com/office/2006/metadata/properties"/>
    <ds:schemaRef ds:uri="http://schemas.microsoft.com/office/2006/documentManagement/types"/>
    <ds:schemaRef ds:uri="http://purl.org/dc/terms/"/>
    <ds:schemaRef ds:uri="http://purl.org/dc/elements/1.1/"/>
    <ds:schemaRef ds:uri="36e1300c-9968-4ef4-9456-fc51d76d31d2"/>
    <ds:schemaRef ds:uri="00405e2d-ab17-4d57-81f5-1ee9003f9ce6"/>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(hide)</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Bytheway, Mark</cp:lastModifiedBy>
  <dcterms:created xsi:type="dcterms:W3CDTF">2018-01-30T12:52:20Z</dcterms:created>
  <dcterms:modified xsi:type="dcterms:W3CDTF">2022-07-14T11:52:58Z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0x010100CB6228694CFF094BAF2319550995D0A6</vt:lpwstr>
  </property>
  <property fmtid="{D5CDD505-2E9C-101B-9397-08002B2CF9AE}" pid="3" name="MediaServiceImageTags">
    <vt:lpwstr/>
  </property>
</Properties>
</file>