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aikp\Documents\GitHub\Covid_modelling\archive\"/>
    </mc:Choice>
  </mc:AlternateContent>
  <xr:revisionPtr revIDLastSave="0" documentId="8_{2033D910-C045-4080-A1D0-631AABA906B1}" xr6:coauthVersionLast="47" xr6:coauthVersionMax="47" xr10:uidLastSave="{00000000-0000-0000-0000-000000000000}"/>
  <bookViews>
    <workbookView xWindow="-120" yWindow="-120" windowWidth="29040" windowHeight="15840" tabRatio="794" firstSheet="3" activeTab="18"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r:id="rId11"/>
    <sheet name="Planned background (hide)" sheetId="15" state="hidden" r:id="rId12"/>
    <sheet name="Planned SPC" sheetId="21"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E6" i="30"/>
  <c r="D6" i="30"/>
  <c r="B7" i="30"/>
  <c r="A7" i="30" s="1"/>
  <c r="BK1" i="31" l="1"/>
  <c r="A15" i="36"/>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K3"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 i="31" l="1"/>
  <c r="DJ110" i="31"/>
  <c r="DK110" i="31" s="1"/>
  <c r="DK1"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271" i="3"/>
  <c r="D263" i="3"/>
  <c r="D255" i="3"/>
  <c r="D247" i="3"/>
  <c r="D239" i="3"/>
  <c r="D231" i="3"/>
  <c r="D223" i="3"/>
  <c r="D215" i="3"/>
  <c r="D207" i="3"/>
  <c r="D199" i="3"/>
  <c r="D191" i="3"/>
  <c r="D183" i="3"/>
  <c r="D270" i="3"/>
  <c r="D262" i="3"/>
  <c r="D254" i="3"/>
  <c r="D246" i="3"/>
  <c r="D238" i="3"/>
  <c r="D230" i="3"/>
  <c r="D222" i="3"/>
  <c r="D214" i="3"/>
  <c r="D206" i="3"/>
  <c r="D198" i="3"/>
  <c r="D190" i="3"/>
  <c r="D182" i="3"/>
  <c r="D269" i="3"/>
  <c r="D261" i="3"/>
  <c r="D253" i="3"/>
  <c r="D245" i="3"/>
  <c r="D237" i="3"/>
  <c r="D229" i="3"/>
  <c r="D221" i="3"/>
  <c r="D213" i="3"/>
  <c r="D205" i="3"/>
  <c r="D197" i="3"/>
  <c r="D189" i="3"/>
  <c r="D181" i="3"/>
  <c r="D267" i="3"/>
  <c r="D259" i="3"/>
  <c r="D243" i="3"/>
  <c r="D235" i="3"/>
  <c r="D227" i="3"/>
  <c r="D219" i="3"/>
  <c r="D211" i="3"/>
  <c r="D203" i="3"/>
  <c r="D195" i="3"/>
  <c r="D187" i="3"/>
  <c r="D179" i="3"/>
  <c r="D264" i="3"/>
  <c r="D248" i="3"/>
  <c r="D232" i="3"/>
  <c r="D208" i="3"/>
  <c r="D192" i="3"/>
  <c r="D268" i="3"/>
  <c r="D260" i="3"/>
  <c r="D252" i="3"/>
  <c r="D244" i="3"/>
  <c r="D236" i="3"/>
  <c r="D228" i="3"/>
  <c r="D220" i="3"/>
  <c r="D212" i="3"/>
  <c r="D204" i="3"/>
  <c r="D196" i="3"/>
  <c r="D188" i="3"/>
  <c r="D180" i="3"/>
  <c r="D251" i="3"/>
  <c r="D256" i="3"/>
  <c r="D266" i="3"/>
  <c r="D258" i="3"/>
  <c r="D250" i="3"/>
  <c r="D242" i="3"/>
  <c r="D234" i="3"/>
  <c r="D226" i="3"/>
  <c r="D218" i="3"/>
  <c r="D210" i="3"/>
  <c r="D202" i="3"/>
  <c r="D194" i="3"/>
  <c r="D186" i="3"/>
  <c r="D178" i="3"/>
  <c r="D265" i="3"/>
  <c r="D257" i="3"/>
  <c r="D249" i="3"/>
  <c r="D241" i="3"/>
  <c r="D233" i="3"/>
  <c r="D225" i="3"/>
  <c r="D217" i="3"/>
  <c r="D209" i="3"/>
  <c r="D201" i="3"/>
  <c r="D193" i="3"/>
  <c r="D185" i="3"/>
  <c r="D272" i="3"/>
  <c r="D240" i="3"/>
  <c r="D224" i="3"/>
  <c r="D216" i="3"/>
  <c r="D200" i="3"/>
  <c r="D184" i="3"/>
  <c r="C182" i="3"/>
  <c r="C190" i="3"/>
  <c r="C198" i="3"/>
  <c r="C206" i="3"/>
  <c r="C214" i="3"/>
  <c r="C222" i="3"/>
  <c r="C230" i="3"/>
  <c r="C238" i="3"/>
  <c r="C246" i="3"/>
  <c r="C254" i="3"/>
  <c r="C262" i="3"/>
  <c r="C270" i="3"/>
  <c r="C185" i="3"/>
  <c r="C201" i="3"/>
  <c r="C225" i="3"/>
  <c r="C249" i="3"/>
  <c r="C181" i="3"/>
  <c r="C221" i="3"/>
  <c r="C261" i="3"/>
  <c r="C183" i="3"/>
  <c r="C191" i="3"/>
  <c r="C199" i="3"/>
  <c r="C207" i="3"/>
  <c r="C215" i="3"/>
  <c r="C223" i="3"/>
  <c r="C231" i="3"/>
  <c r="C239" i="3"/>
  <c r="C247" i="3"/>
  <c r="C255" i="3"/>
  <c r="C263" i="3"/>
  <c r="C271" i="3"/>
  <c r="C193" i="3"/>
  <c r="C217" i="3"/>
  <c r="C233" i="3"/>
  <c r="C257" i="3"/>
  <c r="C197" i="3"/>
  <c r="C237" i="3"/>
  <c r="C184" i="3"/>
  <c r="C192" i="3"/>
  <c r="C200" i="3"/>
  <c r="C208" i="3"/>
  <c r="C216" i="3"/>
  <c r="C224" i="3"/>
  <c r="C232" i="3"/>
  <c r="C240" i="3"/>
  <c r="C248" i="3"/>
  <c r="C256" i="3"/>
  <c r="C264" i="3"/>
  <c r="C272" i="3"/>
  <c r="C209" i="3"/>
  <c r="C241" i="3"/>
  <c r="C265" i="3"/>
  <c r="C205" i="3"/>
  <c r="C253" i="3"/>
  <c r="C178" i="3"/>
  <c r="C186" i="3"/>
  <c r="C194" i="3"/>
  <c r="C202" i="3"/>
  <c r="C210" i="3"/>
  <c r="C218" i="3"/>
  <c r="C226" i="3"/>
  <c r="C234" i="3"/>
  <c r="C242" i="3"/>
  <c r="C250" i="3"/>
  <c r="C258" i="3"/>
  <c r="C266" i="3"/>
  <c r="C188" i="3"/>
  <c r="C204" i="3"/>
  <c r="C220" i="3"/>
  <c r="C236" i="3"/>
  <c r="C252" i="3"/>
  <c r="C268" i="3"/>
  <c r="C213" i="3"/>
  <c r="C245" i="3"/>
  <c r="C179" i="3"/>
  <c r="C187" i="3"/>
  <c r="C195" i="3"/>
  <c r="C203" i="3"/>
  <c r="C211" i="3"/>
  <c r="C219" i="3"/>
  <c r="C227" i="3"/>
  <c r="C235" i="3"/>
  <c r="C243" i="3"/>
  <c r="C251" i="3"/>
  <c r="C259" i="3"/>
  <c r="C267"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D164" i="3" s="1"/>
  <c r="A68" i="12"/>
  <c r="B65" i="3"/>
  <c r="AP56" i="6" s="1"/>
  <c r="B66" i="3"/>
  <c r="AQ58" i="6"/>
  <c r="C164" i="3" l="1"/>
  <c r="D165" i="3"/>
  <c r="C68" i="3"/>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D166" i="3" l="1"/>
  <c r="C165" i="3"/>
  <c r="A70" i="12"/>
  <c r="B67" i="3"/>
  <c r="AP58" i="6" s="1"/>
  <c r="AQ60" i="6"/>
  <c r="C166" i="3" l="1"/>
  <c r="D167" i="3"/>
  <c r="A71" i="12"/>
  <c r="B68" i="3"/>
  <c r="AP59" i="6" s="1"/>
  <c r="AQ61" i="6"/>
  <c r="C167" i="3" l="1"/>
  <c r="D168" i="3"/>
  <c r="A72" i="12"/>
  <c r="B69" i="3"/>
  <c r="AP60" i="6" s="1"/>
  <c r="AQ62" i="6"/>
  <c r="C168" i="3" l="1"/>
  <c r="D169" i="3"/>
  <c r="A73" i="12"/>
  <c r="B70" i="3"/>
  <c r="AP61" i="6" s="1"/>
  <c r="AQ63" i="6"/>
  <c r="C169" i="3" l="1"/>
  <c r="D170" i="3"/>
  <c r="A74" i="12"/>
  <c r="B71" i="3"/>
  <c r="AP62" i="6" s="1"/>
  <c r="AQ64" i="6"/>
  <c r="D171" i="3" l="1"/>
  <c r="C170" i="3"/>
  <c r="A75" i="12"/>
  <c r="B72" i="3"/>
  <c r="AP63" i="6" s="1"/>
  <c r="AQ65" i="6"/>
  <c r="D172" i="3" l="1"/>
  <c r="C171" i="3"/>
  <c r="A76" i="12"/>
  <c r="B73" i="3"/>
  <c r="AP64" i="6" s="1"/>
  <c r="AQ66" i="6"/>
  <c r="D173" i="3" l="1"/>
  <c r="C172" i="3"/>
  <c r="A77" i="12"/>
  <c r="B74" i="3"/>
  <c r="AP65" i="6" s="1"/>
  <c r="AQ67" i="6"/>
  <c r="C173" i="3" l="1"/>
  <c r="D174" i="3"/>
  <c r="A78" i="12"/>
  <c r="B75" i="3"/>
  <c r="AP66" i="6" s="1"/>
  <c r="AQ68" i="6"/>
  <c r="D175" i="3" l="1"/>
  <c r="C174" i="3"/>
  <c r="A79" i="12"/>
  <c r="B76" i="3"/>
  <c r="AP67" i="6" s="1"/>
  <c r="AQ69" i="6"/>
  <c r="D176" i="3" l="1"/>
  <c r="C175" i="3"/>
  <c r="A80" i="12"/>
  <c r="B77" i="3"/>
  <c r="AP68" i="6" s="1"/>
  <c r="AQ70" i="6"/>
  <c r="C176" i="3" l="1"/>
  <c r="D177" i="3"/>
  <c r="C177" i="3" s="1"/>
  <c r="A81" i="12"/>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Q30" i="17" s="1"/>
  <c r="J58" i="17"/>
  <c r="J28" i="17"/>
  <c r="J37" i="17"/>
  <c r="J42" i="17"/>
  <c r="J18" i="17"/>
  <c r="J52" i="17"/>
  <c r="J55" i="17"/>
  <c r="J20" i="17"/>
  <c r="Q20" i="17" s="1"/>
  <c r="J57" i="17"/>
  <c r="J49" i="17"/>
  <c r="J33" i="17"/>
  <c r="Q33" i="17" s="1"/>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A173" i="12"/>
  <c r="B170" i="3"/>
  <c r="AP161" i="6" s="1"/>
  <c r="AQ161" i="6"/>
  <c r="BL111" i="31"/>
  <c r="J61" i="17" s="1"/>
  <c r="J35" i="17" l="1"/>
  <c r="J67" i="17"/>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I70" i="17" l="1"/>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 i="36" l="1"/>
  <c r="R71" i="17"/>
  <c r="E32" i="18" s="1"/>
  <c r="E55" i="36"/>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R70" i="17"/>
  <c r="AR13" i="15"/>
  <c r="AR25" i="15"/>
  <c r="AR26" i="15"/>
  <c r="AR12" i="15"/>
  <c r="AR11" i="15"/>
  <c r="F55" i="36" l="1"/>
  <c r="S71" i="17"/>
  <c r="E33" i="18" s="1"/>
  <c r="AR48" i="15"/>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X71" i="17" l="1"/>
  <c r="F62" i="26"/>
  <c r="H62" i="26" s="1"/>
  <c r="X72" i="17"/>
  <c r="C4" i="37" s="1"/>
  <c r="E30" i="18"/>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U5" i="6" s="1"/>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T25" i="17"/>
  <c r="C4" i="36" s="1"/>
  <c r="T26" i="17"/>
  <c r="C27" i="36" s="1"/>
  <c r="T22" i="17"/>
  <c r="C23" i="36" s="1"/>
  <c r="T23" i="17"/>
  <c r="C31" i="36" s="1"/>
  <c r="U22" i="17"/>
  <c r="U23" i="17"/>
  <c r="U24" i="17"/>
  <c r="U26" i="17"/>
  <c r="U25" i="17"/>
  <c r="C39" i="36" l="1"/>
  <c r="AD55"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5" i="36" l="1"/>
  <c r="AE5" i="36"/>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<sst xmlns="http://schemas.openxmlformats.org/spreadsheetml/2006/main" count="2366" uniqueCount="1308">
  <si>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</si>
  <si>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</si>
  <si>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</si>
  <si>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</si>
  <si>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</si>
  <si>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</si>
  <si>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</si>
  <si>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</si>
  <si>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</si>
  <si>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</si>
  <si>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</si>
  <si>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</si>
  <si>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</si>
  <si>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</si>
  <si>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</si>
  <si>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</si>
  <si>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</si>
  <si>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</si>
  <si>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</si>
  <si>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</si>
  <si>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</si>
  <si>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</si>
  <si>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</si>
  <si>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</si>
  <si>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</si>
  <si>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</si>
  <si>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</si>
  <si>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</si>
  <si>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</si>
  <si>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</si>
  <si>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</si>
  <si>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</si>
  <si>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</si>
  <si>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</si>
  <si>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</si>
  <si>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</si>
  <si>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</si>
  <si>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</si>
  <si>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</si>
  <si>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</si>
  <si>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</si>
  <si>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</si>
  <si>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</si>
  <si>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</si>
  <si>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</si>
  <si>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</si>
  <si>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</si>
  <si>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</si>
  <si>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</si>
  <si>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</si>
  <si>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</si>
  <si>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</si>
  <si>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</si>
  <si>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</si>
  <si>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</si>
  <si>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</si>
  <si>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</si>
  <si>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</si>
  <si>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</si>
  <si>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</si>
  <si>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</si>
  <si>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</si>
  <si>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</si>
  <si>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</si>
  <si>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</si>
  <si>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</si>
  <si>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</si>
  <si>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</si>
  <si>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</si>
  <si>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</si>
  <si>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</si>
  <si>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</si>
  <si>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</si>
  <si>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</si>
  <si>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</si>
  <si>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</si>
  <si>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</si>
  <si>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</si>
  <si>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</si>
  <si>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</si>
  <si>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</si>
  <si>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</si>
  <si>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</si>
  <si>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</si>
  <si>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</si>
  <si>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</si>
  <si>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</si>
  <si>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</si>
  <si>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</si>
  <si>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</si>
  <si>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</si>
  <si>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</si>
  <si>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</si>
  <si>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</si>
  <si>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</si>
  <si>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</si>
  <si>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</si>
  <si>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</si>
  <si>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</si>
  <si>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</si>
  <si>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</si>
  <si>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</si>
  <si>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</si>
  <si>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</si>
  <si>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</si>
  <si>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</si>
  <si>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</si>
  <si>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</si>
  <si>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</si>
  <si>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</si>
  <si>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</si>
  <si>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</si>
  <si>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</si>
  <si>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</si>
  <si>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</si>
  <si>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</si>
  <si>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</si>
  <si>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</si>
  <si>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</si>
  <si>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</si>
  <si>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</si>
  <si>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</si>
  <si>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</si>
  <si>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</si>
  <si>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</si>
  <si>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</si>
  <si>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</si>
  <si>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</si>
  <si>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</si>
  <si>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</si>
  <si>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</si>
  <si>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</si>
  <si>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</si>
  <si>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</si>
  <si>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</si>
  <si>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</si>
  <si>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</si>
  <si>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</si>
  <si>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</si>
  <si>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</si>
  <si>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</si>
  <si>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</si>
  <si>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</si>
  <si>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</si>
  <si>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</si>
  <si>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</si>
  <si>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</si>
  <si>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</si>
  <si>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</si>
  <si>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</si>
  <si>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</si>
  <si>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</si>
  <si>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</si>
  <si>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</si>
  <si>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</si>
  <si>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</si>
  <si>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</si>
  <si>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</si>
  <si>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</si>
  <si>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</si>
  <si>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</si>
  <si>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</si>
  <si>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</si>
  <si>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</si>
  <si>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</si>
  <si>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</si>
  <si>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</si>
  <si>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</si>
  <si>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</si>
  <si>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</si>
  <si>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</si>
  <si>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</si>
  <si>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</si>
  <si>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</si>
  <si>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</si>
  <si>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</si>
  <si>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</si>
  <si>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</si>
  <si>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</si>
  <si>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</si>
  <si>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</si>
  <si>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</si>
  <si>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</si>
  <si>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</si>
  <si>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</si>
  <si>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</si>
  <si>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</si>
  <si>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</si>
  <si>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</si>
  <si>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</si>
  <si>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</si>
  <si>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</si>
  <si>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</si>
  <si>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</si>
  <si>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</si>
  <si>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</si>
  <si>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</si>
  <si>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</si>
  <si>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</si>
  <si>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</si>
  <si>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</si>
  <si>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</si>
  <si>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</si>
  <si>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</si>
  <si>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</si>
  <si>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</si>
  <si>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</si>
  <si>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</si>
  <si>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</si>
  <si>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</si>
  <si>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</si>
  <si>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</si>
  <si>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</si>
  <si>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</si>
  <si>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</si>
  <si>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</si>
  <si>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</si>
  <si>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</si>
  <si>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</si>
  <si>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</si>
  <si>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</si>
  <si>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</si>
  <si>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</si>
  <si>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</si>
  <si>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</si>
  <si>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</si>
  <si>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</si>
  <si>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</si>
  <si>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</si>
  <si>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</si>
  <si>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</si>
  <si>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</si>
  <si>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</si>
  <si>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</si>
  <si>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</si>
  <si>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</si>
  <si>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</si>
  <si>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</si>
  <si>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</si>
  <si>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</si>
  <si>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</si>
  <si>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</si>
  <si>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</si>
  <si>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</si>
  <si>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</si>
  <si>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</si>
  <si>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</si>
  <si>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</si>
  <si>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</si>
  <si>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</si>
  <si>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</si>
  <si>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</si>
  <si>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</si>
  <si>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</si>
  <si>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</si>
  <si>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</si>
  <si>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</si>
  <si>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</si>
  <si>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</si>
  <si>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</si>
  <si>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</si>
  <si>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</si>
  <si>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</si>
  <si>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</si>
  <si>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</si>
  <si>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</si>
  <si>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</si>
  <si>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</si>
  <si>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</si>
  <si>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</si>
  <si>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</si>
  <si>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</si>
  <si>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</si>
  <si>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</si>
  <si>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</si>
  <si>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</si>
  <si>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</si>
  <si>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</si>
  <si>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</si>
  <si>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</si>
  <si>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</si>
  <si>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</si>
  <si>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</si>
  <si>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</si>
  <si>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</si>
  <si>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</si>
  <si>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</si>
  <si>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</si>
  <si>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</si>
  <si>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</si>
  <si>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</si>
  <si>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</si>
  <si>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</si>
  <si>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</si>
  <si>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</si>
  <si>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</si>
  <si>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</si>
  <si>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</si>
  <si>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</si>
  <si>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</si>
  <si>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</si>
  <si>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</si>
  <si>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</si>
  <si>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</si>
  <si>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</si>
  <si>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</si>
  <si>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</si>
  <si>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</si>
  <si>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</si>
  <si>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</si>
  <si>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</si>
  <si>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</si>
  <si>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</si>
  <si>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</si>
  <si>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</si>
  <si>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</si>
  <si>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</si>
  <si>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</si>
  <si>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</si>
  <si>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</si>
  <si>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</si>
  <si>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</si>
  <si>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</si>
  <si>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</si>
  <si>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</si>
  <si>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</si>
  <si>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</si>
  <si>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</si>
  <si>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</si>
  <si>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</si>
  <si>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</si>
  <si>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</si>
  <si>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</si>
  <si>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</si>
  <si>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</si>
  <si>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</si>
  <si>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</si>
  <si>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</si>
  <si>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</si>
  <si>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</si>
  <si>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</si>
  <si>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</si>
  <si>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</si>
  <si>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</si>
  <si>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</si>
  <si>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</si>
  <si>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</si>
  <si>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</si>
  <si>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</si>
  <si>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</si>
  <si>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</si>
  <si>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</si>
  <si>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</si>
  <si>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</si>
  <si>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</si>
  <si>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</si>
  <si>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</si>
  <si>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</si>
  <si>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</si>
  <si>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</si>
  <si>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</si>
  <si>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</si>
  <si>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</si>
  <si>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</si>
  <si>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</si>
  <si>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</si>
  <si>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</si>
  <si>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</si>
  <si>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</si>
  <si>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</si>
  <si>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</si>
  <si>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</si>
  <si>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</si>
  <si>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</si>
  <si>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</si>
  <si>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</si>
  <si>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</si>
  <si>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</si>
  <si>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</si>
  <si>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</si>
  <si>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</si>
  <si>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</si>
  <si>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</si>
  <si>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</si>
  <si>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</si>
  <si>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</si>
  <si>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</si>
  <si>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</si>
  <si>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</si>
  <si>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</si>
  <si>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</si>
  <si>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</si>
  <si>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</si>
  <si>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</si>
  <si>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</si>
  <si>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</si>
  <si>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</si>
  <si>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</si>
  <si>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</si>
  <si>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</si>
  <si>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</si>
  <si>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</si>
  <si>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</si>
  <si>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</si>
  <si>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</si>
  <si>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</si>
  <si>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</si>
  <si>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</si>
  <si>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</si>
  <si>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</si>
  <si>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</si>
  <si>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</si>
  <si>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</si>
  <si>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</si>
  <si>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</si>
  <si>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</si>
  <si>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</si>
  <si>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</si>
  <si>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</si>
  <si>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</si>
  <si>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</si>
  <si>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</si>
  <si>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</si>
  <si>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</si>
  <si>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</si>
  <si>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</si>
  <si>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</si>
  <si>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</si>
  <si>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</si>
  <si>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</si>
  <si>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</si>
  <si>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</si>
  <si>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</si>
  <si>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</si>
  <si>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</si>
  <si>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</si>
  <si>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</si>
  <si>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</si>
  <si>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</si>
  <si>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</si>
  <si>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</si>
  <si>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</si>
  <si>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</si>
  <si>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</si>
  <si>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</si>
  <si>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</si>
  <si>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</si>
  <si>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</si>
  <si>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</si>
  <si>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</si>
  <si>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</si>
  <si>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</si>
  <si>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</si>
  <si>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</si>
  <si>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</si>
  <si>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</si>
  <si>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</si>
  <si>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</si>
  <si>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</si>
  <si>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</si>
  <si>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</si>
  <si>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</si>
  <si>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</si>
  <si>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</si>
  <si>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</si>
  <si>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</si>
  <si>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</si>
  <si>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</si>
  <si>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</si>
  <si>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</si>
  <si>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</si>
  <si>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</si>
  <si>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</si>
  <si>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</si>
  <si>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</si>
  <si>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</si>
  <si>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</si>
  <si>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</si>
  <si>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</si>
  <si>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</si>
  <si>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</si>
  <si>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</si>
  <si>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</si>
  <si>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</si>
  <si>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</si>
  <si>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</si>
  <si>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</si>
  <si>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</si>
  <si>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</si>
  <si>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</si>
  <si>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</si>
  <si>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</si>
  <si>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</si>
  <si>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</si>
  <si>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</si>
  <si>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</si>
  <si>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</si>
  <si>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</si>
  <si>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</si>
  <si>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</si>
  <si>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</si>
  <si>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</si>
  <si>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</si>
  <si>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</si>
  <si>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</si>
  <si>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</si>
  <si>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</si>
  <si>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</si>
  <si>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</si>
  <si>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</si>
  <si>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</si>
  <si>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</si>
  <si>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</si>
  <si>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</si>
  <si>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</si>
  <si>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</si>
  <si>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</si>
  <si>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</si>
  <si>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</si>
  <si>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</si>
  <si>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</si>
  <si>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</si>
  <si>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</si>
  <si>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</si>
  <si>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</si>
  <si>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</si>
  <si>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</si>
  <si>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</si>
  <si>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</si>
  <si>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</si>
  <si>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</si>
  <si>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</si>
  <si>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</si>
  <si>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</si>
  <si>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</si>
  <si>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</si>
  <si>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</si>
  <si>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</si>
  <si>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</si>
  <si>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</si>
  <si>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</si>
  <si>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</si>
  <si>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</si>
  <si>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</si>
  <si>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</si>
  <si>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</si>
  <si>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</si>
  <si>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</si>
  <si>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</si>
  <si>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</si>
  <si>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</si>
  <si>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</si>
  <si>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</si>
  <si>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</si>
  <si>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</si>
  <si>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</si>
  <si>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</si>
  <si>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</si>
  <si>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</si>
  <si>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</si>
  <si>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</si>
  <si>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</si>
  <si>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</si>
  <si>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</si>
  <si>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</si>
  <si>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</si>
  <si>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</si>
  <si>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</si>
  <si>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</si>
  <si>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</si>
  <si>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</si>
  <si>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</si>
  <si>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</si>
  <si>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</si>
  <si>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</si>
  <si>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</si>
  <si>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</si>
  <si>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</si>
  <si>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</si>
  <si>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</si>
  <si>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</si>
  <si>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</si>
  <si>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</si>
  <si>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</si>
  <si>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</si>
  <si>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</si>
  <si>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</si>
  <si>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</si>
  <si>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</si>
  <si>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</si>
  <si>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</si>
  <si>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</si>
  <si>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</si>
  <si>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</si>
  <si>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</si>
  <si>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</si>
  <si>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</si>
  <si>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</si>
  <si>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</si>
  <si>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</si>
  <si>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</si>
  <si>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</si>
  <si>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</si>
  <si>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</si>
  <si>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</si>
  <si>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</si>
  <si>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</si>
  <si>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</si>
  <si>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</si>
  <si>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</si>
  <si>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</si>
  <si>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</si>
  <si>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</si>
  <si>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</si>
  <si>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</si>
  <si>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</si>
  <si>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</si>
  <si>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</si>
  <si>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</si>
  <si>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</si>
  <si>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</si>
  <si>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</si>
  <si>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</si>
  <si>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</si>
  <si>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</si>
  <si>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</si>
  <si>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</si>
  <si>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</si>
  <si>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</si>
  <si>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</si>
  <si>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</si>
  <si>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</si>
  <si>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</si>
  <si>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</si>
  <si>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</si>
  <si>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</si>
  <si>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</si>
  <si>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</si>
  <si>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</si>
  <si>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</si>
  <si>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</si>
  <si>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</si>
  <si>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</si>
  <si>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</si>
  <si>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</si>
  <si>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</si>
  <si>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</si>
  <si>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</si>
  <si>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</si>
  <si>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</si>
  <si>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</si>
  <si>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</si>
  <si>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</si>
  <si>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</si>
  <si>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</si>
  <si>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</si>
  <si>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</si>
  <si>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</si>
  <si>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</si>
  <si>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</si>
  <si>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</si>
  <si>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</si>
  <si>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</si>
  <si>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</si>
  <si>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</si>
  <si>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</si>
  <si>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</si>
  <si>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</si>
  <si>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</si>
  <si>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</si>
  <si>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</si>
  <si>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</si>
  <si>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</si>
  <si>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</si>
  <si>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</si>
  <si>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</si>
  <si>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</si>
  <si>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</si>
  <si>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</si>
  <si>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</si>
  <si>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</si>
  <si>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</si>
  <si>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</si>
  <si>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</si>
  <si>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</si>
  <si>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</si>
  <si>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</si>
  <si>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</si>
  <si>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</si>
  <si>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</si>
  <si>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</si>
  <si>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</si>
  <si>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</si>
  <si>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</si>
  <si>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</si>
  <si>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</si>
  <si>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</si>
  <si>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</si>
  <si>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</si>
  <si>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</si>
  <si>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</si>
  <si>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</si>
  <si>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</si>
  <si>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</si>
  <si>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</si>
  <si>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</si>
  <si>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</si>
  <si>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</si>
  <si>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</si>
  <si>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</si>
  <si>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</si>
  <si>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</si>
  <si>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</si>
  <si>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</si>
  <si>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</si>
  <si>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</si>
  <si>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</si>
  <si>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</si>
  <si>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</si>
  <si>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</si>
  <si>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</si>
  <si>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</si>
  <si>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</si>
  <si>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</si>
  <si>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</si>
  <si>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</si>
  <si>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</si>
  <si>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</si>
  <si>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</si>
  <si>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</si>
  <si>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</si>
  <si>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</si>
  <si>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</si>
  <si>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</si>
  <si>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</si>
  <si>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</si>
  <si>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</si>
  <si>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</si>
  <si>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</si>
  <si>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</si>
  <si>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</si>
  <si>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</si>
  <si>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</si>
  <si>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</si>
  <si>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</si>
  <si>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</si>
  <si>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</si>
  <si>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</si>
  <si>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</si>
  <si>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</si>
  <si>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</si>
  <si>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</si>
  <si>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</si>
  <si>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</si>
  <si>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</si>
  <si>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</si>
  <si>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</si>
  <si>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</si>
  <si>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</si>
  <si>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</si>
  <si>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</si>
  <si>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</si>
  <si>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</si>
  <si>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</si>
  <si>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</si>
  <si>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</si>
  <si>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</si>
  <si>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</si>
  <si>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</si>
  <si>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</si>
  <si>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</si>
  <si>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</si>
  <si>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</si>
  <si>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</si>
  <si>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</si>
  <si>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</si>
  <si>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</si>
  <si>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</si>
  <si>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</si>
  <si>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</si>
  <si>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</si>
  <si>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</si>
  <si>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</si>
  <si>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</si>
  <si>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</si>
  <si>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</si>
  <si>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</si>
  <si>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</si>
  <si>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</si>
  <si>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</si>
  <si>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</si>
  <si>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</si>
  <si>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</si>
  <si>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</si>
  <si>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</si>
  <si>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</si>
  <si>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</si>
  <si>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</si>
  <si>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</si>
  <si>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</si>
  <si>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</si>
  <si>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</si>
  <si>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</si>
  <si>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</si>
  <si>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</si>
  <si>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</si>
  <si>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</si>
  <si>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</si>
  <si>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</si>
  <si>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</si>
  <si>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</si>
  <si>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</si>
  <si>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</si>
  <si>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</si>
  <si>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</si>
  <si>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</si>
  <si>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</si>
  <si>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</si>
  <si>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</si>
  <si>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</si>
  <si>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</si>
  <si>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</si>
  <si>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</si>
  <si>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</si>
  <si>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</si>
  <si>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</si>
  <si>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</si>
  <si>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</si>
  <si>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</si>
  <si>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</si>
  <si>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</si>
  <si>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</si>
  <si>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</si>
  <si>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</si>
  <si>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</si>
  <si>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</si>
  <si>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</si>
  <si>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</si>
  <si>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</si>
  <si>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</si>
  <si>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</si>
  <si>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</si>
  <si>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</si>
  <si>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</si>
  <si>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</si>
  <si>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</si>
  <si>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</si>
  <si>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</si>
  <si>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</si>
  <si>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</si>
  <si>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</si>
  <si>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</si>
  <si>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</si>
  <si>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</si>
  <si>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</si>
  <si>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</si>
  <si>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</si>
  <si>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</si>
  <si>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</si>
  <si>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</si>
  <si>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</si>
  <si>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</si>
  <si>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</si>
  <si>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</si>
  <si>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</si>
  <si>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</si>
  <si>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</si>
  <si>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</si>
  <si>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</si>
  <si>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</si>
  <si>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</si>
  <si>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</si>
  <si>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</si>
  <si>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</si>
  <si>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</si>
  <si>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</si>
  <si>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</si>
  <si>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</si>
  <si>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</si>
  <si>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</si>
  <si>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</si>
  <si>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</si>
  <si>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</si>
  <si>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</si>
  <si>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</si>
  <si>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</si>
  <si>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</si>
  <si>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</si>
  <si>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</si>
  <si>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</si>
  <si>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</si>
  <si>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</si>
  <si>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</si>
  <si>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</si>
  <si>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</si>
  <si>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</si>
  <si>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</si>
  <si>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</si>
  <si>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</si>
  <si>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</si>
  <si>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</si>
  <si>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</si>
  <si>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</si>
  <si>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</si>
  <si>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</si>
  <si>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</si>
  <si>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</si>
  <si>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</si>
  <si>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</si>
  <si>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</si>
  <si>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</si>
  <si>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</si>
  <si>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</si>
  <si>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</si>
  <si>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</si>
  <si>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</si>
  <si>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</si>
  <si>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</si>
  <si>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</si>
  <si>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</si>
  <si>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</si>
  <si>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</si>
  <si>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</si>
  <si>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</si>
  <si>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</si>
  <si>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</si>
  <si>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</si>
  <si>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</si>
  <si>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</si>
  <si>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</si>
  <si>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</si>
  <si>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</si>
  <si>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</si>
  <si>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</si>
  <si>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</si>
  <si>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</si>
  <si>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</si>
  <si>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</si>
  <si>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</si>
  <si>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</si>
  <si>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</si>
  <si>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</si>
  <si>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</si>
  <si>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</si>
  <si>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</si>
  <si>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</si>
  <si>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</si>
  <si>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</si>
  <si>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</si>
  <si>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</si>
  <si>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</si>
  <si>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</si>
  <si>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</si>
  <si>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</si>
  <si>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</si>
  <si>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</si>
  <si>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</si>
  <si>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</si>
  <si>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</si>
  <si>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</si>
  <si>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</si>
  <si>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</si>
  <si>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</si>
  <si>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</si>
  <si>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</si>
  <si>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</si>
  <si>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</si>
  <si>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</si>
  <si>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</si>
  <si>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</si>
  <si>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</si>
  <si>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</si>
  <si>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</si>
  <si>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</si>
  <si>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</si>
  <si>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</si>
  <si>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</si>
  <si>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</si>
  <si>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</si>
  <si>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</si>
  <si>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</si>
  <si>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</si>
  <si>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</si>
  <si>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</si>
  <si>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</si>
  <si>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</si>
  <si>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</si>
  <si>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</si>
  <si>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</si>
  <si>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</si>
  <si>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</si>
  <si>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</si>
  <si>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</si>
  <si>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</si>
  <si>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</si>
  <si>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</si>
  <si>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</si>
  <si>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</si>
  <si>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</si>
  <si>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</si>
  <si>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</si>
  <si>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</si>
  <si>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</si>
  <si>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</si>
  <si>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</si>
  <si>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</si>
  <si>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</si>
  <si>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</si>
  <si>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</si>
  <si>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</si>
  <si>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</si>
  <si>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</si>
  <si>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</si>
  <si>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</si>
  <si>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</si>
  <si>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</si>
  <si>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</si>
  <si>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</si>
  <si>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</si>
  <si>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</si>
  <si>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</si>
  <si>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</si>
  <si>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</si>
  <si>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</si>
  <si>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</si>
  <si>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</si>
  <si>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</si>
  <si>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</si>
  <si>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</si>
  <si>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</si>
  <si>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</si>
  <si>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</si>
  <si>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</si>
  <si>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</si>
  <si>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</si>
  <si>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</si>
  <si>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</si>
  <si>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</si>
  <si>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</si>
  <si>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</si>
  <si>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</si>
  <si>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</si>
  <si>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</si>
  <si>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</si>
  <si>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</si>
  <si>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</si>
  <si>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</si>
  <si>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</si>
  <si>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</si>
  <si>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</si>
  <si>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</si>
  <si>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</si>
  <si>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</si>
  <si>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</si>
  <si>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</si>
  <si>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</si>
  <si>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</si>
  <si>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</si>
  <si>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</si>
  <si>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</si>
  <si>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</si>
  <si>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</si>
  <si>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</si>
  <si>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</si>
  <si>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</si>
  <si>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</si>
  <si>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</si>
  <si>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</si>
  <si>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</si>
  <si>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</si>
  <si>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</si>
  <si>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</si>
  <si>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</si>
  <si>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</si>
  <si>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</si>
  <si>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</si>
  <si>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</si>
  <si>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</si>
  <si>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</si>
  <si>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</si>
  <si>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</si>
  <si>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</si>
  <si>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</si>
  <si>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</si>
  <si>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</si>
  <si>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</si>
  <si>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</si>
  <si>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</si>
  <si>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</si>
  <si>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</si>
  <si>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</si>
  <si>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</si>
  <si>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</si>
  <si>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</si>
  <si>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</si>
  <si>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</si>
  <si>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</si>
  <si>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</si>
  <si>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</si>
  <si>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</si>
  <si>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</si>
  <si>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</si>
  <si>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</si>
  <si>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</si>
  <si>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</si>
  <si>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</si>
  <si>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</si>
  <si>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</si>
  <si>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</si>
  <si>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</si>
  <si>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</si>
  <si>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</si>
  <si>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</si>
  <si>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</si>
  <si>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</si>
  <si>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</si>
  <si>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</si>
  <si>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</si>
  <si>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</si>
  <si>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</si>
  <si>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</si>
  <si>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</si>
  <si>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</si>
  <si>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</si>
  <si>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</si>
  <si>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</si>
  <si>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</si>
  <si>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</si>
  <si>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</si>
  <si>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</si>
  <si>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</si>
  <si>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</si>
  <si>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</si>
  <si>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</si>
  <si>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</si>
  <si>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</si>
  <si>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</si>
  <si>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</si>
  <si>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</si>
  <si>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</si>
  <si>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</si>
  <si>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</si>
  <si>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</si>
  <si>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</si>
  <si>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</si>
  <si>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</si>
  <si>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</si>
  <si>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</si>
  <si>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</si>
  <si>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</si>
  <si>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</si>
  <si>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</si>
  <si>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</si>
  <si>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</si>
  <si>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</si>
  <si>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</si>
  <si>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</si>
  <si>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</si>
  <si>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</si>
  <si>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</si>
  <si>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</si>
  <si>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</si>
  <si>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</si>
  <si>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</si>
  <si>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</si>
  <si>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</si>
  <si>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</si>
  <si>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</si>
  <si>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</si>
  <si>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</si>
  <si>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</si>
  <si>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</si>
  <si>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</si>
  <si>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</si>
  <si>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</si>
  <si>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</si>
  <si>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</si>
  <si>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</si>
  <si>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</si>
  <si>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</si>
  <si>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</si>
  <si>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</si>
  <si>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</si>
  <si>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</si>
  <si>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</si>
  <si>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</si>
  <si>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</si>
  <si>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</si>
  <si>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</si>
  <si>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</si>
  <si>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</si>
  <si>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</si>
  <si>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</si>
  <si>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</si>
  <si>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</si>
  <si>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</si>
  <si>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</si>
  <si>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</si>
  <si>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</si>
  <si>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</si>
  <si>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</si>
  <si>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</si>
  <si>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</si>
  <si>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</si>
  <si>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</si>
  <si>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</si>
  <si>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</si>
  <si>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</si>
  <si>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</si>
  <si>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</si>
  <si>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</si>
  <si>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</si>
  <si>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</si>
  <si>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</si>
  <si>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</si>
  <si>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</si>
  <si>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</si>
  <si>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</si>
  <si>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</si>
  <si>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</si>
  <si>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</si>
  <si>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</si>
  <si>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</si>
  <si>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</si>
  <si>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</si>
  <si>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</si>
  <si>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</si>
  <si>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</si>
  <si>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</si>
  <si>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</si>
  <si>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</si>
  <si>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</si>
  <si>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</si>
  <si>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</si>
  <si>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</si>
  <si>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</si>
  <si>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</si>
  <si>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</si>
  <si>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</si>
  <si>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</si>
  <si>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</si>
  <si>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</si>
  <si>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</si>
  <si>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</si>
  <si>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</si>
  <si>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</si>
  <si>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</si>
  <si>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</si>
  <si>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</si>
  <si>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</si>
  <si>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</si>
  <si>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</si>
  <si>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</si>
  <si>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</si>
  <si>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</si>
  <si>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</si>
  <si>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</si>
  <si>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</si>
  <si>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</si>
  <si>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</si>
  <si>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</si>
  <si>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</si>
  <si>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</si>
  <si>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</si>
  <si>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</si>
  <si>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</si>
  <si>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</si>
  <si>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</si>
  <si>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</si>
  <si>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</si>
  <si>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</si>
  <si>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</si>
  <si>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</si>
  <si>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</si>
  <si>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3.4ii</t>
  </si>
  <si>
    <t>5% Increase</t>
  </si>
  <si>
    <t>Current Template:</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</si>
  <si>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</si>
  <si>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</si>
  <si>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</si>
  <si>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</si>
  <si>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</si>
  <si>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</si>
  <si>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</si>
  <si>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</si>
  <si>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Bug fix
Capacity calculation headers patched to cover cases that were previously not expected (ie. wk 53 logic).
Required capacity summary patched - was previously summing 53 weeks, corrected to 52.</t>
  </si>
  <si>
    <t>Version: 3.5</t>
  </si>
  <si>
    <t>Adhoc NHS funded Mobiel scanner arrived 13th July will be onsite to 30th September.</t>
  </si>
  <si>
    <t>Slot A</t>
  </si>
  <si>
    <t>Slot B</t>
  </si>
  <si>
    <t>Cacrys</t>
  </si>
  <si>
    <t>CT Colon</t>
  </si>
  <si>
    <t>CT Biopsy</t>
  </si>
  <si>
    <t>Template list</t>
  </si>
  <si>
    <t>DCT OP</t>
  </si>
  <si>
    <t>Monday</t>
  </si>
  <si>
    <t>2 ww</t>
  </si>
  <si>
    <t>Biopsy</t>
  </si>
  <si>
    <t>Tuesday</t>
  </si>
  <si>
    <t>Wednesday</t>
  </si>
  <si>
    <t>Thursday</t>
  </si>
  <si>
    <t>Cardiac</t>
  </si>
  <si>
    <t>PP</t>
  </si>
  <si>
    <t>Friday</t>
  </si>
  <si>
    <t>DCT IP</t>
  </si>
  <si>
    <t>Saturday</t>
  </si>
  <si>
    <t>Sunday</t>
  </si>
  <si>
    <t>BDGH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</si>
</sst>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3">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59" fillId="0" borderId="0" xfId="0" applyFont="1"/>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0" fontId="68" fillId="0" borderId="0" xfId="0" applyFont="1"/>
    <xf numFmtId="0" fontId="14" fillId="0" borderId="82" xfId="0" applyFont="1" applyFill="1" applyBorder="1" applyAlignment="1" applyProtection="1">
      <alignment horizontal="center" vertical="center"/>
      <protection locked="0"/>
    </xf>
    <xf numFmtId="169" fontId="61" fillId="0" borderId="15" xfId="0" applyNumberFormat="1" applyFont="1" applyBorder="1" applyProtection="1">
      <protection hidden="1"/>
    </xf>
    <xf numFmtId="169" fontId="61" fillId="0" borderId="16" xfId="0" applyNumberFormat="1" applyFont="1" applyBorder="1" applyProtection="1">
      <protection hidden="1"/>
    </xf>
    <xf numFmtId="169" fontId="61" fillId="0" borderId="17" xfId="0" applyNumberFormat="1" applyFont="1" applyBorder="1" applyProtection="1">
      <protection hidden="1"/>
    </xf>
    <xf numFmtId="169" fontId="61" fillId="9" borderId="0" xfId="0" applyNumberFormat="1" applyFont="1" applyFill="1" applyProtection="1">
      <protection hidden="1"/>
    </xf>
    <xf numFmtId="14" fontId="0" fillId="0" borderId="53" xfId="0" applyNumberFormat="1" applyBorder="1" applyProtection="1">
      <protection locked="0"/>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15657.95</c:v>
                </c:pt>
                <c:pt idx="1">
                  <c:v>15657.95</c:v>
                </c:pt>
                <c:pt idx="2">
                  <c:v>15657.95</c:v>
                </c:pt>
                <c:pt idx="3">
                  <c:v>15657.95</c:v>
                </c:pt>
                <c:pt idx="4">
                  <c:v>15657.95</c:v>
                </c:pt>
                <c:pt idx="5">
                  <c:v>15657.95</c:v>
                </c:pt>
                <c:pt idx="6">
                  <c:v>15657.95</c:v>
                </c:pt>
                <c:pt idx="7">
                  <c:v>15657.95</c:v>
                </c:pt>
                <c:pt idx="8">
                  <c:v>15657.95</c:v>
                </c:pt>
                <c:pt idx="9">
                  <c:v>15657.95</c:v>
                </c:pt>
                <c:pt idx="10">
                  <c:v>15657.95</c:v>
                </c:pt>
                <c:pt idx="11">
                  <c:v>15657.95</c:v>
                </c:pt>
                <c:pt idx="12">
                  <c:v>15657.95</c:v>
                </c:pt>
                <c:pt idx="13">
                  <c:v>15657.95</c:v>
                </c:pt>
                <c:pt idx="14">
                  <c:v>15657.95</c:v>
                </c:pt>
                <c:pt idx="15">
                  <c:v>15657.95</c:v>
                </c:pt>
                <c:pt idx="16">
                  <c:v>15657.95</c:v>
                </c:pt>
                <c:pt idx="17">
                  <c:v>15657.95</c:v>
                </c:pt>
                <c:pt idx="18">
                  <c:v>15657.95</c:v>
                </c:pt>
                <c:pt idx="19">
                  <c:v>15657.95</c:v>
                </c:pt>
                <c:pt idx="20">
                  <c:v>15657.95</c:v>
                </c:pt>
                <c:pt idx="21">
                  <c:v>15657.95</c:v>
                </c:pt>
                <c:pt idx="22">
                  <c:v>15657.95</c:v>
                </c:pt>
                <c:pt idx="23">
                  <c:v>15657.95</c:v>
                </c:pt>
                <c:pt idx="24">
                  <c:v>15657.95</c:v>
                </c:pt>
                <c:pt idx="25">
                  <c:v>15657.95</c:v>
                </c:pt>
                <c:pt idx="26">
                  <c:v>15657.95</c:v>
                </c:pt>
                <c:pt idx="27">
                  <c:v>16157.95</c:v>
                </c:pt>
                <c:pt idx="28">
                  <c:v>16157.95</c:v>
                </c:pt>
                <c:pt idx="29">
                  <c:v>16157.95</c:v>
                </c:pt>
                <c:pt idx="30">
                  <c:v>16157.95</c:v>
                </c:pt>
                <c:pt idx="31">
                  <c:v>16157.95</c:v>
                </c:pt>
                <c:pt idx="32">
                  <c:v>16157.95</c:v>
                </c:pt>
                <c:pt idx="33">
                  <c:v>16157.95</c:v>
                </c:pt>
                <c:pt idx="34">
                  <c:v>16157.95</c:v>
                </c:pt>
                <c:pt idx="35">
                  <c:v>16157.95</c:v>
                </c:pt>
                <c:pt idx="36">
                  <c:v>16157.95</c:v>
                </c:pt>
                <c:pt idx="37">
                  <c:v>15657.95</c:v>
                </c:pt>
                <c:pt idx="38">
                  <c:v>15657.95</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14765</c:v>
                </c:pt>
                <c:pt idx="1">
                  <c:v>14765</c:v>
                </c:pt>
                <c:pt idx="2">
                  <c:v>14765</c:v>
                </c:pt>
                <c:pt idx="3">
                  <c:v>14765</c:v>
                </c:pt>
                <c:pt idx="4">
                  <c:v>14765</c:v>
                </c:pt>
                <c:pt idx="5">
                  <c:v>14765</c:v>
                </c:pt>
                <c:pt idx="6">
                  <c:v>14765</c:v>
                </c:pt>
                <c:pt idx="7">
                  <c:v>14765</c:v>
                </c:pt>
                <c:pt idx="8">
                  <c:v>14765</c:v>
                </c:pt>
                <c:pt idx="9">
                  <c:v>14765</c:v>
                </c:pt>
                <c:pt idx="10">
                  <c:v>14765</c:v>
                </c:pt>
                <c:pt idx="11">
                  <c:v>14765</c:v>
                </c:pt>
                <c:pt idx="12">
                  <c:v>14765</c:v>
                </c:pt>
                <c:pt idx="13">
                  <c:v>14765</c:v>
                </c:pt>
                <c:pt idx="14">
                  <c:v>14765</c:v>
                </c:pt>
                <c:pt idx="15">
                  <c:v>14765</c:v>
                </c:pt>
                <c:pt idx="16">
                  <c:v>14765</c:v>
                </c:pt>
                <c:pt idx="17">
                  <c:v>14765</c:v>
                </c:pt>
                <c:pt idx="18">
                  <c:v>14765</c:v>
                </c:pt>
                <c:pt idx="19">
                  <c:v>14765</c:v>
                </c:pt>
                <c:pt idx="20">
                  <c:v>14765</c:v>
                </c:pt>
                <c:pt idx="21">
                  <c:v>14765</c:v>
                </c:pt>
                <c:pt idx="22">
                  <c:v>14765</c:v>
                </c:pt>
                <c:pt idx="23">
                  <c:v>14765</c:v>
                </c:pt>
                <c:pt idx="24">
                  <c:v>14765</c:v>
                </c:pt>
                <c:pt idx="25">
                  <c:v>14765</c:v>
                </c:pt>
                <c:pt idx="26">
                  <c:v>14765</c:v>
                </c:pt>
                <c:pt idx="27">
                  <c:v>14765</c:v>
                </c:pt>
                <c:pt idx="28">
                  <c:v>14765</c:v>
                </c:pt>
                <c:pt idx="29">
                  <c:v>14765</c:v>
                </c:pt>
                <c:pt idx="30">
                  <c:v>14765</c:v>
                </c:pt>
                <c:pt idx="31">
                  <c:v>14765</c:v>
                </c:pt>
                <c:pt idx="32">
                  <c:v>14765</c:v>
                </c:pt>
                <c:pt idx="33">
                  <c:v>14765</c:v>
                </c:pt>
                <c:pt idx="34">
                  <c:v>14765</c:v>
                </c:pt>
                <c:pt idx="35">
                  <c:v>14765</c:v>
                </c:pt>
                <c:pt idx="36">
                  <c:v>14765</c:v>
                </c:pt>
                <c:pt idx="37">
                  <c:v>14765</c:v>
                </c:pt>
                <c:pt idx="38">
                  <c:v>14765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15657.95</c:v>
                </c:pt>
                <c:pt idx="1">
                  <c:v>15657.95</c:v>
                </c:pt>
                <c:pt idx="2">
                  <c:v>15657.95</c:v>
                </c:pt>
                <c:pt idx="3">
                  <c:v>15657.95</c:v>
                </c:pt>
                <c:pt idx="4">
                  <c:v>15657.95</c:v>
                </c:pt>
                <c:pt idx="5">
                  <c:v>15657.95</c:v>
                </c:pt>
                <c:pt idx="6">
                  <c:v>15657.95</c:v>
                </c:pt>
                <c:pt idx="7">
                  <c:v>15657.95</c:v>
                </c:pt>
                <c:pt idx="8">
                  <c:v>15657.95</c:v>
                </c:pt>
                <c:pt idx="9">
                  <c:v>15657.95</c:v>
                </c:pt>
                <c:pt idx="10">
                  <c:v>15657.95</c:v>
                </c:pt>
                <c:pt idx="11">
                  <c:v>15657.95</c:v>
                </c:pt>
                <c:pt idx="12">
                  <c:v>15657.95</c:v>
                </c:pt>
                <c:pt idx="13">
                  <c:v>15657.95</c:v>
                </c:pt>
                <c:pt idx="14">
                  <c:v>15657.95</c:v>
                </c:pt>
                <c:pt idx="15">
                  <c:v>15657.95</c:v>
                </c:pt>
                <c:pt idx="16">
                  <c:v>15657.95</c:v>
                </c:pt>
                <c:pt idx="17">
                  <c:v>15657.95</c:v>
                </c:pt>
                <c:pt idx="18">
                  <c:v>15657.95</c:v>
                </c:pt>
                <c:pt idx="19">
                  <c:v>15657.95</c:v>
                </c:pt>
                <c:pt idx="20">
                  <c:v>15657.95</c:v>
                </c:pt>
                <c:pt idx="21">
                  <c:v>15657.95</c:v>
                </c:pt>
                <c:pt idx="22">
                  <c:v>15657.95</c:v>
                </c:pt>
                <c:pt idx="23">
                  <c:v>15657.95</c:v>
                </c:pt>
                <c:pt idx="24">
                  <c:v>15657.95</c:v>
                </c:pt>
                <c:pt idx="25">
                  <c:v>15657.95</c:v>
                </c:pt>
                <c:pt idx="26">
                  <c:v>15657.95</c:v>
                </c:pt>
                <c:pt idx="27">
                  <c:v>15657.95</c:v>
                </c:pt>
                <c:pt idx="28">
                  <c:v>15657.95</c:v>
                </c:pt>
                <c:pt idx="29">
                  <c:v>15657.95</c:v>
                </c:pt>
                <c:pt idx="30">
                  <c:v>15657.95</c:v>
                </c:pt>
                <c:pt idx="31">
                  <c:v>15657.95</c:v>
                </c:pt>
                <c:pt idx="32">
                  <c:v>15657.95</c:v>
                </c:pt>
                <c:pt idx="33">
                  <c:v>15657.95</c:v>
                </c:pt>
                <c:pt idx="34">
                  <c:v>15657.95</c:v>
                </c:pt>
                <c:pt idx="35">
                  <c:v>15657.95</c:v>
                </c:pt>
                <c:pt idx="36">
                  <c:v>15657.95</c:v>
                </c:pt>
                <c:pt idx="37">
                  <c:v>15657.95</c:v>
                </c:pt>
                <c:pt idx="38">
                  <c:v>15657.95</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14765</c:v>
                </c:pt>
                <c:pt idx="1">
                  <c:v>14765</c:v>
                </c:pt>
                <c:pt idx="2">
                  <c:v>14765</c:v>
                </c:pt>
                <c:pt idx="3">
                  <c:v>14765</c:v>
                </c:pt>
                <c:pt idx="4">
                  <c:v>14765</c:v>
                </c:pt>
                <c:pt idx="5">
                  <c:v>14765</c:v>
                </c:pt>
                <c:pt idx="6">
                  <c:v>14765</c:v>
                </c:pt>
                <c:pt idx="7">
                  <c:v>14765</c:v>
                </c:pt>
                <c:pt idx="8">
                  <c:v>14765</c:v>
                </c:pt>
                <c:pt idx="9">
                  <c:v>14765</c:v>
                </c:pt>
                <c:pt idx="10">
                  <c:v>14765</c:v>
                </c:pt>
                <c:pt idx="11">
                  <c:v>14765</c:v>
                </c:pt>
                <c:pt idx="12">
                  <c:v>14765</c:v>
                </c:pt>
                <c:pt idx="13">
                  <c:v>14765</c:v>
                </c:pt>
                <c:pt idx="14">
                  <c:v>14765</c:v>
                </c:pt>
                <c:pt idx="15">
                  <c:v>14765</c:v>
                </c:pt>
                <c:pt idx="16">
                  <c:v>14765</c:v>
                </c:pt>
                <c:pt idx="17">
                  <c:v>14765</c:v>
                </c:pt>
                <c:pt idx="18">
                  <c:v>14765</c:v>
                </c:pt>
                <c:pt idx="19">
                  <c:v>14765</c:v>
                </c:pt>
                <c:pt idx="20">
                  <c:v>14765</c:v>
                </c:pt>
                <c:pt idx="21">
                  <c:v>14765</c:v>
                </c:pt>
                <c:pt idx="22">
                  <c:v>14765</c:v>
                </c:pt>
                <c:pt idx="23">
                  <c:v>14765</c:v>
                </c:pt>
                <c:pt idx="24">
                  <c:v>14765</c:v>
                </c:pt>
                <c:pt idx="25">
                  <c:v>14765</c:v>
                </c:pt>
                <c:pt idx="26">
                  <c:v>14765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6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6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6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65"/>
                <c:lvl>
                  <c:pt idx="0">
                    <c:v>Apr</c:v>
                  </c:pt>
                  <c:pt idx="5">
                    <c:v>May</c:v>
                  </c:pt>
                  <c:pt idx="9">
                    <c:v>Jun</c:v>
                  </c:pt>
                  <c:pt idx="13">
                    <c:v>Jul</c:v>
                  </c:pt>
                  <c:pt idx="18">
                    <c:v>Aug</c:v>
                  </c:pt>
                  <c:pt idx="22">
                    <c:v>Sep</c:v>
                  </c:pt>
                  <c:pt idx="26">
                    <c:v>Oct</c:v>
                  </c:pt>
                  <c:pt idx="31">
                    <c:v>Nov</c:v>
                  </c:pt>
                  <c:pt idx="35">
                    <c:v>Dec</c:v>
                  </c:pt>
                  <c:pt idx="40">
                    <c:v>Jan</c:v>
                  </c:pt>
                  <c:pt idx="44">
                    <c:v>Feb</c:v>
                  </c:pt>
                  <c:pt idx="48">
                    <c:v>Mar</c:v>
                  </c:pt>
                  <c:pt idx="52">
                    <c:v>Apr</c:v>
                  </c:pt>
                  <c:pt idx="57">
                    <c:v>May</c:v>
                  </c:pt>
                  <c:pt idx="61">
                    <c:v>Jun</c:v>
                  </c:pt>
                  <c:pt idx="65">
                    <c:v>Jul</c:v>
                  </c:pt>
                  <c:pt idx="70">
                    <c:v>Aug</c:v>
                  </c:pt>
                  <c:pt idx="74">
                    <c:v>Sep</c:v>
                  </c:pt>
                  <c:pt idx="79">
                    <c:v>Oct</c:v>
                  </c:pt>
                  <c:pt idx="83">
                    <c:v>Nov</c:v>
                  </c:pt>
                  <c:pt idx="87">
                    <c:v>Dec</c:v>
                  </c:pt>
                  <c:pt idx="92">
                    <c:v>Jan</c:v>
                  </c:pt>
                  <c:pt idx="96">
                    <c:v>Feb</c:v>
                  </c:pt>
                  <c:pt idx="100">
                    <c:v>Mar</c:v>
                  </c:pt>
                  <c:pt idx="105">
                    <c:v>Apr</c:v>
                  </c:pt>
                  <c:pt idx="109">
                    <c:v>May</c:v>
                  </c:pt>
                  <c:pt idx="113">
                    <c:v>Jun</c:v>
                  </c:pt>
                  <c:pt idx="118">
                    <c:v>Jul</c:v>
                  </c:pt>
                  <c:pt idx="122">
                    <c:v>Aug</c:v>
                  </c:pt>
                  <c:pt idx="127">
                    <c:v>Sep</c:v>
                  </c:pt>
                  <c:pt idx="131">
                    <c:v>Oct</c:v>
                  </c:pt>
                  <c:pt idx="135">
                    <c:v>Nov</c:v>
                  </c:pt>
                  <c:pt idx="140">
                    <c:v>Dec</c:v>
                  </c:pt>
                  <c:pt idx="144">
                    <c:v>Jan</c:v>
                  </c:pt>
                  <c:pt idx="148">
                    <c:v>Feb</c:v>
                  </c:pt>
                  <c:pt idx="152">
                    <c:v>Mar</c:v>
                  </c:pt>
                  <c:pt idx="157">
                    <c:v>Apr</c:v>
                  </c:pt>
                  <c:pt idx="161">
                    <c:v>May</c:v>
                  </c:pt>
                </c:lvl>
                <c:lvl>
                  <c:pt idx="0">
                    <c:v>2018</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2019</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2020</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2021</c:v>
                  </c:pt>
                  <c:pt idx="145">
                    <c:v> </c:v>
                  </c:pt>
                  <c:pt idx="146">
                    <c:v> </c:v>
                  </c:pt>
                  <c:pt idx="147">
                    <c:v> </c:v>
                  </c:pt>
                  <c:pt idx="148">
                    <c:v> </c:v>
                  </c:pt>
                  <c:pt idx="149">
                    <c:v> </c:v>
                  </c:pt>
                  <c:pt idx="150">
                    <c:v> </c:v>
                  </c:pt>
                  <c:pt idx="151">
                    <c:v> </c:v>
                  </c:pt>
                  <c:pt idx="152">
                    <c:v> </c:v>
                  </c:pt>
                  <c:pt idx="153">
                    <c:v> </c:v>
                  </c:pt>
                  <c:pt idx="154">
                    <c:v> </c:v>
                  </c:pt>
                  <c:pt idx="155">
                    <c:v> </c:v>
                  </c:pt>
                  <c:pt idx="156">
                    <c:v> </c:v>
                  </c:pt>
                  <c:pt idx="157">
                    <c:v> </c:v>
                  </c:pt>
                  <c:pt idx="158">
                    <c:v> </c:v>
                  </c:pt>
                  <c:pt idx="159">
                    <c:v> </c:v>
                  </c:pt>
                  <c:pt idx="160">
                    <c:v> </c:v>
                  </c:pt>
                  <c:pt idx="161">
                    <c:v> </c:v>
                  </c:pt>
                  <c:pt idx="162">
                    <c:v> </c:v>
                  </c:pt>
                  <c:pt idx="163">
                    <c:v> </c:v>
                  </c:pt>
                  <c:pt idx="164">
                    <c:v> </c:v>
                  </c:pt>
                </c:lvl>
              </c:multiLvlStrCache>
            </c:multiLvlStrRef>
          </c:cat>
          <c:val>
            <c:numRef>
              <c:f>[0]!ChartRange_Data</c:f>
              <c:numCache>
                <c:formatCode>#,##0</c:formatCode>
                <c:ptCount val="165"/>
                <c:pt idx="0">
                  <c:v>1095</c:v>
                </c:pt>
                <c:pt idx="1">
                  <c:v>11341</c:v>
                </c:pt>
                <c:pt idx="2">
                  <c:v>14326</c:v>
                </c:pt>
                <c:pt idx="3">
                  <c:v>14643</c:v>
                </c:pt>
                <c:pt idx="4">
                  <c:v>13635</c:v>
                </c:pt>
                <c:pt idx="5">
                  <c:v>14655</c:v>
                </c:pt>
                <c:pt idx="6">
                  <c:v>12946</c:v>
                </c:pt>
                <c:pt idx="7">
                  <c:v>14221</c:v>
                </c:pt>
                <c:pt idx="8">
                  <c:v>13246</c:v>
                </c:pt>
                <c:pt idx="9">
                  <c:v>12271</c:v>
                </c:pt>
                <c:pt idx="10">
                  <c:v>13262</c:v>
                </c:pt>
                <c:pt idx="11">
                  <c:v>13861</c:v>
                </c:pt>
                <c:pt idx="12">
                  <c:v>14284</c:v>
                </c:pt>
                <c:pt idx="13">
                  <c:v>13260</c:v>
                </c:pt>
                <c:pt idx="14">
                  <c:v>14610</c:v>
                </c:pt>
                <c:pt idx="15">
                  <c:v>13276</c:v>
                </c:pt>
                <c:pt idx="16">
                  <c:v>14687</c:v>
                </c:pt>
                <c:pt idx="17">
                  <c:v>14790</c:v>
                </c:pt>
                <c:pt idx="18">
                  <c:v>12481</c:v>
                </c:pt>
                <c:pt idx="19">
                  <c:v>13516</c:v>
                </c:pt>
                <c:pt idx="20">
                  <c:v>14821</c:v>
                </c:pt>
                <c:pt idx="21">
                  <c:v>14551</c:v>
                </c:pt>
                <c:pt idx="22">
                  <c:v>13456</c:v>
                </c:pt>
                <c:pt idx="23">
                  <c:v>14011</c:v>
                </c:pt>
                <c:pt idx="24">
                  <c:v>13546</c:v>
                </c:pt>
                <c:pt idx="25">
                  <c:v>13845</c:v>
                </c:pt>
                <c:pt idx="26">
                  <c:v>14670</c:v>
                </c:pt>
                <c:pt idx="27">
                  <c:v>14628</c:v>
                </c:pt>
                <c:pt idx="28">
                  <c:v>15586</c:v>
                </c:pt>
                <c:pt idx="29">
                  <c:v>14446</c:v>
                </c:pt>
                <c:pt idx="30">
                  <c:v>14013</c:v>
                </c:pt>
                <c:pt idx="31">
                  <c:v>13111</c:v>
                </c:pt>
                <c:pt idx="32">
                  <c:v>14370</c:v>
                </c:pt>
                <c:pt idx="33">
                  <c:v>14822</c:v>
                </c:pt>
                <c:pt idx="34">
                  <c:v>14357</c:v>
                </c:pt>
                <c:pt idx="35">
                  <c:v>14671</c:v>
                </c:pt>
                <c:pt idx="36">
                  <c:v>13907</c:v>
                </c:pt>
                <c:pt idx="37">
                  <c:v>15285</c:v>
                </c:pt>
                <c:pt idx="38">
                  <c:v>14040</c:v>
                </c:pt>
                <c:pt idx="39">
                  <c:v>10845</c:v>
                </c:pt>
                <c:pt idx="40">
                  <c:v>11282</c:v>
                </c:pt>
                <c:pt idx="41">
                  <c:v>14760</c:v>
                </c:pt>
                <c:pt idx="42">
                  <c:v>15992</c:v>
                </c:pt>
                <c:pt idx="43">
                  <c:v>16202</c:v>
                </c:pt>
                <c:pt idx="44">
                  <c:v>16472</c:v>
                </c:pt>
                <c:pt idx="45">
                  <c:v>15092</c:v>
                </c:pt>
                <c:pt idx="46">
                  <c:v>15558</c:v>
                </c:pt>
                <c:pt idx="47">
                  <c:v>15362</c:v>
                </c:pt>
                <c:pt idx="48">
                  <c:v>14628</c:v>
                </c:pt>
                <c:pt idx="49">
                  <c:v>16833</c:v>
                </c:pt>
                <c:pt idx="50">
                  <c:v>16035</c:v>
                </c:pt>
                <c:pt idx="51">
                  <c:v>14867</c:v>
                </c:pt>
                <c:pt idx="52">
                  <c:v>14221</c:v>
                </c:pt>
                <c:pt idx="53">
                  <c:v>13501</c:v>
                </c:pt>
                <c:pt idx="54">
                  <c:v>11702</c:v>
                </c:pt>
                <c:pt idx="55">
                  <c:v>13981</c:v>
                </c:pt>
                <c:pt idx="56">
                  <c:v>13802</c:v>
                </c:pt>
                <c:pt idx="57">
                  <c:v>13396</c:v>
                </c:pt>
                <c:pt idx="58">
                  <c:v>14085</c:v>
                </c:pt>
                <c:pt idx="59">
                  <c:v>14250</c:v>
                </c:pt>
                <c:pt idx="60">
                  <c:v>12285</c:v>
                </c:pt>
                <c:pt idx="61">
                  <c:v>13846</c:v>
                </c:pt>
                <c:pt idx="62">
                  <c:v>13532</c:v>
                </c:pt>
                <c:pt idx="63">
                  <c:v>14584</c:v>
                </c:pt>
                <c:pt idx="64">
                  <c:v>14328</c:v>
                </c:pt>
                <c:pt idx="65">
                  <c:v>13877</c:v>
                </c:pt>
                <c:pt idx="66">
                  <c:v>13607</c:v>
                </c:pt>
                <c:pt idx="67">
                  <c:v>14236</c:v>
                </c:pt>
                <c:pt idx="68">
                  <c:v>13789</c:v>
                </c:pt>
                <c:pt idx="69">
                  <c:v>13891</c:v>
                </c:pt>
                <c:pt idx="70">
                  <c:v>13621</c:v>
                </c:pt>
                <c:pt idx="71">
                  <c:v>14146</c:v>
                </c:pt>
                <c:pt idx="72">
                  <c:v>14297</c:v>
                </c:pt>
                <c:pt idx="73">
                  <c:v>12870</c:v>
                </c:pt>
                <c:pt idx="74">
                  <c:v>14220</c:v>
                </c:pt>
                <c:pt idx="75">
                  <c:v>14747</c:v>
                </c:pt>
                <c:pt idx="76">
                  <c:v>14116</c:v>
                </c:pt>
                <c:pt idx="77">
                  <c:v>15631</c:v>
                </c:pt>
                <c:pt idx="78">
                  <c:v>13950</c:v>
                </c:pt>
                <c:pt idx="79">
                  <c:v>15390</c:v>
                </c:pt>
                <c:pt idx="80">
                  <c:v>14868</c:v>
                </c:pt>
                <c:pt idx="81">
                  <c:v>14461</c:v>
                </c:pt>
                <c:pt idx="82">
                  <c:v>14535</c:v>
                </c:pt>
                <c:pt idx="83">
                  <c:v>14148</c:v>
                </c:pt>
                <c:pt idx="84">
                  <c:v>15525</c:v>
                </c:pt>
                <c:pt idx="85">
                  <c:v>16592</c:v>
                </c:pt>
                <c:pt idx="86">
                  <c:v>14011</c:v>
                </c:pt>
                <c:pt idx="87">
                  <c:v>14370</c:v>
                </c:pt>
                <c:pt idx="88">
                  <c:v>15300</c:v>
                </c:pt>
                <c:pt idx="89">
                  <c:v>15422</c:v>
                </c:pt>
                <c:pt idx="90">
                  <c:v>10351</c:v>
                </c:pt>
                <c:pt idx="91">
                  <c:v>13261</c:v>
                </c:pt>
                <c:pt idx="92">
                  <c:v>15708</c:v>
                </c:pt>
                <c:pt idx="93">
                  <c:v>15724</c:v>
                </c:pt>
                <c:pt idx="94">
                  <c:v>18016</c:v>
                </c:pt>
                <c:pt idx="95">
                  <c:v>16278</c:v>
                </c:pt>
                <c:pt idx="96">
                  <c:v>14565</c:v>
                </c:pt>
                <c:pt idx="97">
                  <c:v>15167</c:v>
                </c:pt>
                <c:pt idx="98">
                  <c:v>13456</c:v>
                </c:pt>
                <c:pt idx="99">
                  <c:v>14839</c:v>
                </c:pt>
                <c:pt idx="100">
                  <c:v>14761</c:v>
                </c:pt>
                <c:pt idx="101">
                  <c:v>13471</c:v>
                </c:pt>
                <c:pt idx="102">
                  <c:v>10426</c:v>
                </c:pt>
                <c:pt idx="103">
                  <c:v>7575</c:v>
                </c:pt>
                <c:pt idx="104">
                  <c:v>3300</c:v>
                </c:pt>
                <c:pt idx="105">
                  <c:v>7290</c:v>
                </c:pt>
                <c:pt idx="106">
                  <c:v>7875</c:v>
                </c:pt>
                <c:pt idx="107">
                  <c:v>9360</c:v>
                </c:pt>
                <c:pt idx="108">
                  <c:v>9900</c:v>
                </c:pt>
                <c:pt idx="109">
                  <c:v>10245</c:v>
                </c:pt>
                <c:pt idx="110">
                  <c:v>11385</c:v>
                </c:pt>
                <c:pt idx="111">
                  <c:v>11671</c:v>
                </c:pt>
                <c:pt idx="112">
                  <c:v>10082</c:v>
                </c:pt>
                <c:pt idx="113">
                  <c:v>11926</c:v>
                </c:pt>
                <c:pt idx="114">
                  <c:v>11507</c:v>
                </c:pt>
                <c:pt idx="115">
                  <c:v>11912</c:v>
                </c:pt>
                <c:pt idx="116">
                  <c:v>12585</c:v>
                </c:pt>
                <c:pt idx="117">
                  <c:v>12288</c:v>
                </c:pt>
                <c:pt idx="118">
                  <c:v>12198</c:v>
                </c:pt>
                <c:pt idx="119">
                  <c:v>12750</c:v>
                </c:pt>
                <c:pt idx="120">
                  <c:v>13320</c:v>
                </c:pt>
                <c:pt idx="121">
                  <c:v>12945</c:v>
                </c:pt>
                <c:pt idx="122">
                  <c:v>12705</c:v>
                </c:pt>
                <c:pt idx="123">
                  <c:v>12721</c:v>
                </c:pt>
                <c:pt idx="124">
                  <c:v>12090</c:v>
                </c:pt>
                <c:pt idx="125">
                  <c:v>11566</c:v>
                </c:pt>
                <c:pt idx="126">
                  <c:v>11370</c:v>
                </c:pt>
                <c:pt idx="127">
                  <c:v>13155</c:v>
                </c:pt>
                <c:pt idx="128">
                  <c:v>13068</c:v>
                </c:pt>
                <c:pt idx="129">
                  <c:v>11987</c:v>
                </c:pt>
                <c:pt idx="130">
                  <c:v>12932</c:v>
                </c:pt>
                <c:pt idx="131">
                  <c:v>13290</c:v>
                </c:pt>
                <c:pt idx="132">
                  <c:v>13952</c:v>
                </c:pt>
                <c:pt idx="133">
                  <c:v>12691</c:v>
                </c:pt>
                <c:pt idx="134">
                  <c:v>12871</c:v>
                </c:pt>
                <c:pt idx="135">
                  <c:v>12796</c:v>
                </c:pt>
                <c:pt idx="136">
                  <c:v>13606</c:v>
                </c:pt>
                <c:pt idx="137">
                  <c:v>13773</c:v>
                </c:pt>
                <c:pt idx="138">
                  <c:v>13050</c:v>
                </c:pt>
                <c:pt idx="139">
                  <c:v>14400</c:v>
                </c:pt>
                <c:pt idx="140">
                  <c:v>14806</c:v>
                </c:pt>
                <c:pt idx="141">
                  <c:v>14775</c:v>
                </c:pt>
                <c:pt idx="142">
                  <c:v>11895</c:v>
                </c:pt>
                <c:pt idx="143">
                  <c:v>11356</c:v>
                </c:pt>
                <c:pt idx="144">
                  <c:v>14790</c:v>
                </c:pt>
                <c:pt idx="145">
                  <c:v>13471</c:v>
                </c:pt>
                <c:pt idx="146">
                  <c:v>15076</c:v>
                </c:pt>
                <c:pt idx="147">
                  <c:v>13772</c:v>
                </c:pt>
                <c:pt idx="148">
                  <c:v>13846</c:v>
                </c:pt>
                <c:pt idx="149">
                  <c:v>13530</c:v>
                </c:pt>
                <c:pt idx="150">
                  <c:v>13698</c:v>
                </c:pt>
                <c:pt idx="151">
                  <c:v>14146</c:v>
                </c:pt>
                <c:pt idx="152">
                  <c:v>14730</c:v>
                </c:pt>
                <c:pt idx="153">
                  <c:v>15002</c:v>
                </c:pt>
                <c:pt idx="154">
                  <c:v>15513</c:v>
                </c:pt>
                <c:pt idx="155">
                  <c:v>15631</c:v>
                </c:pt>
                <c:pt idx="156">
                  <c:v>15196</c:v>
                </c:pt>
                <c:pt idx="157">
                  <c:v>14176</c:v>
                </c:pt>
                <c:pt idx="158">
                  <c:v>15435</c:v>
                </c:pt>
                <c:pt idx="159">
                  <c:v>16816</c:v>
                </c:pt>
                <c:pt idx="160">
                  <c:v>15902</c:v>
                </c:pt>
                <c:pt idx="161">
                  <c:v>14371</c:v>
                </c:pt>
                <c:pt idx="162">
                  <c:v>16293</c:v>
                </c:pt>
                <c:pt idx="163">
                  <c:v>15615</c:v>
                </c:pt>
                <c:pt idx="164">
                  <c:v>17296</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65"/>
                <c:pt idx="0">
                  <c:v>11778.005728314238</c:v>
                </c:pt>
                <c:pt idx="1">
                  <c:v>11778.005728314238</c:v>
                </c:pt>
                <c:pt idx="2">
                  <c:v>11778.005728314238</c:v>
                </c:pt>
                <c:pt idx="3">
                  <c:v>11778.005728314238</c:v>
                </c:pt>
                <c:pt idx="4">
                  <c:v>11778.005728314238</c:v>
                </c:pt>
                <c:pt idx="5">
                  <c:v>11778.005728314238</c:v>
                </c:pt>
                <c:pt idx="6">
                  <c:v>11778.005728314238</c:v>
                </c:pt>
                <c:pt idx="7">
                  <c:v>11778.005728314238</c:v>
                </c:pt>
                <c:pt idx="8">
                  <c:v>11778.005728314238</c:v>
                </c:pt>
                <c:pt idx="9">
                  <c:v>11778.005728314238</c:v>
                </c:pt>
                <c:pt idx="10">
                  <c:v>11778.005728314238</c:v>
                </c:pt>
                <c:pt idx="11">
                  <c:v>11778.005728314238</c:v>
                </c:pt>
                <c:pt idx="12">
                  <c:v>11778.005728314238</c:v>
                </c:pt>
                <c:pt idx="13">
                  <c:v>11778.005728314238</c:v>
                </c:pt>
                <c:pt idx="14">
                  <c:v>11778.005728314238</c:v>
                </c:pt>
                <c:pt idx="15">
                  <c:v>11778.005728314238</c:v>
                </c:pt>
                <c:pt idx="16">
                  <c:v>11778.005728314238</c:v>
                </c:pt>
                <c:pt idx="17">
                  <c:v>11778.005728314238</c:v>
                </c:pt>
                <c:pt idx="18">
                  <c:v>11778.005728314238</c:v>
                </c:pt>
                <c:pt idx="19">
                  <c:v>11778.005728314238</c:v>
                </c:pt>
                <c:pt idx="20">
                  <c:v>11778.005728314238</c:v>
                </c:pt>
                <c:pt idx="21">
                  <c:v>11778.005728314238</c:v>
                </c:pt>
                <c:pt idx="22">
                  <c:v>11778.005728314238</c:v>
                </c:pt>
                <c:pt idx="23">
                  <c:v>11778.005728314238</c:v>
                </c:pt>
                <c:pt idx="24">
                  <c:v>11778.005728314238</c:v>
                </c:pt>
                <c:pt idx="25">
                  <c:v>11778.005728314238</c:v>
                </c:pt>
                <c:pt idx="26">
                  <c:v>11778.005728314238</c:v>
                </c:pt>
                <c:pt idx="27">
                  <c:v>11778.005728314238</c:v>
                </c:pt>
                <c:pt idx="28">
                  <c:v>11778.005728314238</c:v>
                </c:pt>
                <c:pt idx="29">
                  <c:v>11778.005728314238</c:v>
                </c:pt>
                <c:pt idx="30">
                  <c:v>11778.005728314238</c:v>
                </c:pt>
                <c:pt idx="31">
                  <c:v>11778.005728314238</c:v>
                </c:pt>
                <c:pt idx="32">
                  <c:v>11778.005728314238</c:v>
                </c:pt>
                <c:pt idx="33">
                  <c:v>11778.005728314238</c:v>
                </c:pt>
                <c:pt idx="34">
                  <c:v>11778.005728314238</c:v>
                </c:pt>
                <c:pt idx="35">
                  <c:v>11778.005728314238</c:v>
                </c:pt>
                <c:pt idx="36">
                  <c:v>11778.005728314238</c:v>
                </c:pt>
                <c:pt idx="37">
                  <c:v>11778.005728314238</c:v>
                </c:pt>
                <c:pt idx="38">
                  <c:v>11778.005728314238</c:v>
                </c:pt>
                <c:pt idx="39">
                  <c:v>11778.005728314238</c:v>
                </c:pt>
                <c:pt idx="40">
                  <c:v>11778.005728314238</c:v>
                </c:pt>
                <c:pt idx="41">
                  <c:v>11778.005728314238</c:v>
                </c:pt>
                <c:pt idx="42">
                  <c:v>11778.005728314238</c:v>
                </c:pt>
                <c:pt idx="43">
                  <c:v>11778.005728314238</c:v>
                </c:pt>
                <c:pt idx="44">
                  <c:v>11778.005728314238</c:v>
                </c:pt>
                <c:pt idx="45">
                  <c:v>11778.005728314238</c:v>
                </c:pt>
                <c:pt idx="46">
                  <c:v>11778.005728314238</c:v>
                </c:pt>
                <c:pt idx="47">
                  <c:v>11778.005728314238</c:v>
                </c:pt>
                <c:pt idx="48">
                  <c:v>11778.005728314238</c:v>
                </c:pt>
                <c:pt idx="49">
                  <c:v>11778.005728314238</c:v>
                </c:pt>
                <c:pt idx="50">
                  <c:v>11778.005728314238</c:v>
                </c:pt>
                <c:pt idx="51">
                  <c:v>11778.005728314238</c:v>
                </c:pt>
                <c:pt idx="52">
                  <c:v>11778.005728314238</c:v>
                </c:pt>
                <c:pt idx="53">
                  <c:v>11778.005728314238</c:v>
                </c:pt>
                <c:pt idx="54">
                  <c:v>11778.005728314238</c:v>
                </c:pt>
                <c:pt idx="55">
                  <c:v>11778.005728314238</c:v>
                </c:pt>
                <c:pt idx="56">
                  <c:v>11778.005728314238</c:v>
                </c:pt>
                <c:pt idx="57">
                  <c:v>11778.005728314238</c:v>
                </c:pt>
                <c:pt idx="58">
                  <c:v>11778.005728314238</c:v>
                </c:pt>
                <c:pt idx="59">
                  <c:v>11778.005728314238</c:v>
                </c:pt>
                <c:pt idx="60">
                  <c:v>11778.005728314238</c:v>
                </c:pt>
                <c:pt idx="61">
                  <c:v>11778.005728314238</c:v>
                </c:pt>
                <c:pt idx="62">
                  <c:v>11778.005728314238</c:v>
                </c:pt>
                <c:pt idx="63">
                  <c:v>11778.005728314238</c:v>
                </c:pt>
                <c:pt idx="64">
                  <c:v>11778.005728314238</c:v>
                </c:pt>
                <c:pt idx="65">
                  <c:v>11778.005728314238</c:v>
                </c:pt>
                <c:pt idx="66">
                  <c:v>11778.005728314238</c:v>
                </c:pt>
                <c:pt idx="67">
                  <c:v>11778.005728314238</c:v>
                </c:pt>
                <c:pt idx="68">
                  <c:v>11778.005728314238</c:v>
                </c:pt>
                <c:pt idx="69">
                  <c:v>11778.005728314238</c:v>
                </c:pt>
                <c:pt idx="70">
                  <c:v>11778.005728314238</c:v>
                </c:pt>
                <c:pt idx="71">
                  <c:v>11778.005728314238</c:v>
                </c:pt>
                <c:pt idx="72">
                  <c:v>11778.005728314238</c:v>
                </c:pt>
                <c:pt idx="73">
                  <c:v>11778.005728314238</c:v>
                </c:pt>
                <c:pt idx="74">
                  <c:v>11778.005728314238</c:v>
                </c:pt>
                <c:pt idx="75">
                  <c:v>11778.005728314238</c:v>
                </c:pt>
                <c:pt idx="76">
                  <c:v>11778.005728314238</c:v>
                </c:pt>
                <c:pt idx="77">
                  <c:v>11778.005728314238</c:v>
                </c:pt>
                <c:pt idx="78">
                  <c:v>11778.005728314238</c:v>
                </c:pt>
                <c:pt idx="79">
                  <c:v>11778.005728314238</c:v>
                </c:pt>
                <c:pt idx="80">
                  <c:v>11778.005728314238</c:v>
                </c:pt>
                <c:pt idx="81">
                  <c:v>11778.005728314238</c:v>
                </c:pt>
                <c:pt idx="82">
                  <c:v>11778.005728314238</c:v>
                </c:pt>
                <c:pt idx="83">
                  <c:v>11778.005728314238</c:v>
                </c:pt>
                <c:pt idx="84">
                  <c:v>11778.005728314238</c:v>
                </c:pt>
                <c:pt idx="85">
                  <c:v>11778.005728314238</c:v>
                </c:pt>
                <c:pt idx="86">
                  <c:v>11778.005728314238</c:v>
                </c:pt>
                <c:pt idx="87">
                  <c:v>11778.005728314238</c:v>
                </c:pt>
                <c:pt idx="88">
                  <c:v>11778.005728314238</c:v>
                </c:pt>
                <c:pt idx="89">
                  <c:v>11778.005728314238</c:v>
                </c:pt>
                <c:pt idx="90">
                  <c:v>11778.005728314238</c:v>
                </c:pt>
                <c:pt idx="91">
                  <c:v>11778.005728314238</c:v>
                </c:pt>
                <c:pt idx="92">
                  <c:v>11778.005728314238</c:v>
                </c:pt>
                <c:pt idx="93">
                  <c:v>11778.005728314238</c:v>
                </c:pt>
                <c:pt idx="94">
                  <c:v>11778.005728314238</c:v>
                </c:pt>
                <c:pt idx="95">
                  <c:v>11778.005728314238</c:v>
                </c:pt>
                <c:pt idx="96">
                  <c:v>11778.005728314238</c:v>
                </c:pt>
                <c:pt idx="97">
                  <c:v>11778.005728314238</c:v>
                </c:pt>
                <c:pt idx="98">
                  <c:v>11778.005728314238</c:v>
                </c:pt>
                <c:pt idx="99">
                  <c:v>11778.005728314238</c:v>
                </c:pt>
                <c:pt idx="100">
                  <c:v>11778.005728314238</c:v>
                </c:pt>
                <c:pt idx="101">
                  <c:v>11778.005728314238</c:v>
                </c:pt>
                <c:pt idx="102">
                  <c:v>11778.005728314238</c:v>
                </c:pt>
                <c:pt idx="103">
                  <c:v>11778.005728314238</c:v>
                </c:pt>
                <c:pt idx="104">
                  <c:v>11778.005728314238</c:v>
                </c:pt>
                <c:pt idx="105">
                  <c:v>11778.005728314238</c:v>
                </c:pt>
                <c:pt idx="106">
                  <c:v>11778.005728314238</c:v>
                </c:pt>
                <c:pt idx="107">
                  <c:v>11778.005728314238</c:v>
                </c:pt>
                <c:pt idx="108">
                  <c:v>11778.005728314238</c:v>
                </c:pt>
                <c:pt idx="109">
                  <c:v>11778.005728314238</c:v>
                </c:pt>
                <c:pt idx="110">
                  <c:v>11778.005728314238</c:v>
                </c:pt>
                <c:pt idx="111">
                  <c:v>11778.005728314238</c:v>
                </c:pt>
                <c:pt idx="112">
                  <c:v>11778.005728314238</c:v>
                </c:pt>
                <c:pt idx="113">
                  <c:v>11778.005728314238</c:v>
                </c:pt>
                <c:pt idx="114">
                  <c:v>11778.005728314238</c:v>
                </c:pt>
                <c:pt idx="115">
                  <c:v>11778.005728314238</c:v>
                </c:pt>
                <c:pt idx="116">
                  <c:v>11778.005728314238</c:v>
                </c:pt>
                <c:pt idx="117">
                  <c:v>11778.005728314238</c:v>
                </c:pt>
                <c:pt idx="118">
                  <c:v>11778.005728314238</c:v>
                </c:pt>
                <c:pt idx="119">
                  <c:v>11778.005728314238</c:v>
                </c:pt>
                <c:pt idx="120">
                  <c:v>11778.005728314238</c:v>
                </c:pt>
                <c:pt idx="121">
                  <c:v>11778.005728314238</c:v>
                </c:pt>
                <c:pt idx="122">
                  <c:v>11778.005728314238</c:v>
                </c:pt>
                <c:pt idx="123">
                  <c:v>11778.005728314238</c:v>
                </c:pt>
                <c:pt idx="124">
                  <c:v>11778.005728314238</c:v>
                </c:pt>
                <c:pt idx="125">
                  <c:v>11778.005728314238</c:v>
                </c:pt>
                <c:pt idx="126">
                  <c:v>11778.005728314238</c:v>
                </c:pt>
                <c:pt idx="127">
                  <c:v>11778.005728314238</c:v>
                </c:pt>
                <c:pt idx="128">
                  <c:v>11778.005728314238</c:v>
                </c:pt>
                <c:pt idx="129">
                  <c:v>11778.005728314238</c:v>
                </c:pt>
                <c:pt idx="130">
                  <c:v>11778.005728314238</c:v>
                </c:pt>
                <c:pt idx="131">
                  <c:v>11778.005728314238</c:v>
                </c:pt>
                <c:pt idx="132">
                  <c:v>11778.005728314238</c:v>
                </c:pt>
                <c:pt idx="133">
                  <c:v>11778.005728314238</c:v>
                </c:pt>
                <c:pt idx="134">
                  <c:v>11778.005728314238</c:v>
                </c:pt>
                <c:pt idx="135">
                  <c:v>11778.005728314238</c:v>
                </c:pt>
                <c:pt idx="136">
                  <c:v>11778.005728314238</c:v>
                </c:pt>
                <c:pt idx="137">
                  <c:v>11778.005728314238</c:v>
                </c:pt>
                <c:pt idx="138">
                  <c:v>11778.005728314238</c:v>
                </c:pt>
                <c:pt idx="139">
                  <c:v>11778.005728314238</c:v>
                </c:pt>
                <c:pt idx="140">
                  <c:v>11778.005728314238</c:v>
                </c:pt>
                <c:pt idx="141">
                  <c:v>11778.005728314238</c:v>
                </c:pt>
                <c:pt idx="142">
                  <c:v>11778.005728314238</c:v>
                </c:pt>
                <c:pt idx="143">
                  <c:v>11778.005728314238</c:v>
                </c:pt>
                <c:pt idx="144">
                  <c:v>11778.005728314238</c:v>
                </c:pt>
                <c:pt idx="145">
                  <c:v>11778.005728314238</c:v>
                </c:pt>
                <c:pt idx="146">
                  <c:v>11778.005728314238</c:v>
                </c:pt>
                <c:pt idx="147">
                  <c:v>11778.005728314238</c:v>
                </c:pt>
                <c:pt idx="148">
                  <c:v>11778.005728314238</c:v>
                </c:pt>
                <c:pt idx="149">
                  <c:v>11778.005728314238</c:v>
                </c:pt>
                <c:pt idx="150">
                  <c:v>11778.005728314238</c:v>
                </c:pt>
                <c:pt idx="151">
                  <c:v>11778.005728314238</c:v>
                </c:pt>
                <c:pt idx="152">
                  <c:v>11778.005728314238</c:v>
                </c:pt>
                <c:pt idx="153">
                  <c:v>11778.005728314238</c:v>
                </c:pt>
                <c:pt idx="154">
                  <c:v>11778.005728314238</c:v>
                </c:pt>
                <c:pt idx="155">
                  <c:v>11778.005728314238</c:v>
                </c:pt>
                <c:pt idx="156">
                  <c:v>11778.005728314238</c:v>
                </c:pt>
                <c:pt idx="157">
                  <c:v>11778.005728314238</c:v>
                </c:pt>
                <c:pt idx="158">
                  <c:v>11778.005728314238</c:v>
                </c:pt>
                <c:pt idx="159">
                  <c:v>11778.005728314238</c:v>
                </c:pt>
                <c:pt idx="160">
                  <c:v>11778.005728314238</c:v>
                </c:pt>
                <c:pt idx="161">
                  <c:v>11778.005728314238</c:v>
                </c:pt>
                <c:pt idx="162">
                  <c:v>11778.005728314238</c:v>
                </c:pt>
                <c:pt idx="163">
                  <c:v>11778.005728314238</c:v>
                </c:pt>
                <c:pt idx="164">
                  <c:v>11778.005728314238</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65"/>
                <c:pt idx="0">
                  <c:v>17195.763502454993</c:v>
                </c:pt>
                <c:pt idx="1">
                  <c:v>17195.763502454993</c:v>
                </c:pt>
                <c:pt idx="2">
                  <c:v>17195.763502454993</c:v>
                </c:pt>
                <c:pt idx="3">
                  <c:v>17195.763502454993</c:v>
                </c:pt>
                <c:pt idx="4">
                  <c:v>17195.763502454993</c:v>
                </c:pt>
                <c:pt idx="5">
                  <c:v>17195.763502454993</c:v>
                </c:pt>
                <c:pt idx="6">
                  <c:v>17195.763502454993</c:v>
                </c:pt>
                <c:pt idx="7">
                  <c:v>17195.763502454993</c:v>
                </c:pt>
                <c:pt idx="8">
                  <c:v>17195.763502454993</c:v>
                </c:pt>
                <c:pt idx="9">
                  <c:v>17195.763502454993</c:v>
                </c:pt>
                <c:pt idx="10">
                  <c:v>17195.763502454993</c:v>
                </c:pt>
                <c:pt idx="11">
                  <c:v>17195.763502454993</c:v>
                </c:pt>
                <c:pt idx="12">
                  <c:v>17195.763502454993</c:v>
                </c:pt>
                <c:pt idx="13">
                  <c:v>17195.763502454993</c:v>
                </c:pt>
                <c:pt idx="14">
                  <c:v>17195.763502454993</c:v>
                </c:pt>
                <c:pt idx="15">
                  <c:v>17195.763502454993</c:v>
                </c:pt>
                <c:pt idx="16">
                  <c:v>17195.763502454993</c:v>
                </c:pt>
                <c:pt idx="17">
                  <c:v>17195.763502454993</c:v>
                </c:pt>
                <c:pt idx="18">
                  <c:v>17195.763502454993</c:v>
                </c:pt>
                <c:pt idx="19">
                  <c:v>17195.763502454993</c:v>
                </c:pt>
                <c:pt idx="20">
                  <c:v>17195.763502454993</c:v>
                </c:pt>
                <c:pt idx="21">
                  <c:v>17195.763502454993</c:v>
                </c:pt>
                <c:pt idx="22">
                  <c:v>17195.763502454993</c:v>
                </c:pt>
                <c:pt idx="23">
                  <c:v>17195.763502454993</c:v>
                </c:pt>
                <c:pt idx="24">
                  <c:v>17195.763502454993</c:v>
                </c:pt>
                <c:pt idx="25">
                  <c:v>17195.763502454993</c:v>
                </c:pt>
                <c:pt idx="26">
                  <c:v>17195.763502454993</c:v>
                </c:pt>
                <c:pt idx="27">
                  <c:v>17195.763502454993</c:v>
                </c:pt>
                <c:pt idx="28">
                  <c:v>17195.763502454993</c:v>
                </c:pt>
                <c:pt idx="29">
                  <c:v>17195.763502454993</c:v>
                </c:pt>
                <c:pt idx="30">
                  <c:v>17195.763502454993</c:v>
                </c:pt>
                <c:pt idx="31">
                  <c:v>17195.763502454993</c:v>
                </c:pt>
                <c:pt idx="32">
                  <c:v>17195.763502454993</c:v>
                </c:pt>
                <c:pt idx="33">
                  <c:v>17195.763502454993</c:v>
                </c:pt>
                <c:pt idx="34">
                  <c:v>17195.763502454993</c:v>
                </c:pt>
                <c:pt idx="35">
                  <c:v>17195.763502454993</c:v>
                </c:pt>
                <c:pt idx="36">
                  <c:v>17195.763502454993</c:v>
                </c:pt>
                <c:pt idx="37">
                  <c:v>17195.763502454993</c:v>
                </c:pt>
                <c:pt idx="38">
                  <c:v>17195.763502454993</c:v>
                </c:pt>
                <c:pt idx="39">
                  <c:v>17195.763502454993</c:v>
                </c:pt>
                <c:pt idx="40">
                  <c:v>17195.763502454993</c:v>
                </c:pt>
                <c:pt idx="41">
                  <c:v>17195.763502454993</c:v>
                </c:pt>
                <c:pt idx="42">
                  <c:v>17195.763502454993</c:v>
                </c:pt>
                <c:pt idx="43">
                  <c:v>17195.763502454993</c:v>
                </c:pt>
                <c:pt idx="44">
                  <c:v>17195.763502454993</c:v>
                </c:pt>
                <c:pt idx="45">
                  <c:v>17195.763502454993</c:v>
                </c:pt>
                <c:pt idx="46">
                  <c:v>17195.763502454993</c:v>
                </c:pt>
                <c:pt idx="47">
                  <c:v>17195.763502454993</c:v>
                </c:pt>
                <c:pt idx="48">
                  <c:v>17195.763502454993</c:v>
                </c:pt>
                <c:pt idx="49">
                  <c:v>17195.763502454993</c:v>
                </c:pt>
                <c:pt idx="50">
                  <c:v>17195.763502454993</c:v>
                </c:pt>
                <c:pt idx="51">
                  <c:v>17195.763502454993</c:v>
                </c:pt>
                <c:pt idx="52">
                  <c:v>17195.763502454993</c:v>
                </c:pt>
                <c:pt idx="53">
                  <c:v>17195.763502454993</c:v>
                </c:pt>
                <c:pt idx="54">
                  <c:v>17195.763502454993</c:v>
                </c:pt>
                <c:pt idx="55">
                  <c:v>17195.763502454993</c:v>
                </c:pt>
                <c:pt idx="56">
                  <c:v>17195.763502454993</c:v>
                </c:pt>
                <c:pt idx="57">
                  <c:v>17195.763502454993</c:v>
                </c:pt>
                <c:pt idx="58">
                  <c:v>17195.763502454993</c:v>
                </c:pt>
                <c:pt idx="59">
                  <c:v>17195.763502454993</c:v>
                </c:pt>
                <c:pt idx="60">
                  <c:v>17195.763502454993</c:v>
                </c:pt>
                <c:pt idx="61">
                  <c:v>17195.763502454993</c:v>
                </c:pt>
                <c:pt idx="62">
                  <c:v>17195.763502454993</c:v>
                </c:pt>
                <c:pt idx="63">
                  <c:v>17195.763502454993</c:v>
                </c:pt>
                <c:pt idx="64">
                  <c:v>17195.763502454993</c:v>
                </c:pt>
                <c:pt idx="65">
                  <c:v>17195.763502454993</c:v>
                </c:pt>
                <c:pt idx="66">
                  <c:v>17195.763502454993</c:v>
                </c:pt>
                <c:pt idx="67">
                  <c:v>17195.763502454993</c:v>
                </c:pt>
                <c:pt idx="68">
                  <c:v>17195.763502454993</c:v>
                </c:pt>
                <c:pt idx="69">
                  <c:v>17195.763502454993</c:v>
                </c:pt>
                <c:pt idx="70">
                  <c:v>17195.763502454993</c:v>
                </c:pt>
                <c:pt idx="71">
                  <c:v>17195.763502454993</c:v>
                </c:pt>
                <c:pt idx="72">
                  <c:v>17195.763502454993</c:v>
                </c:pt>
                <c:pt idx="73">
                  <c:v>17195.763502454993</c:v>
                </c:pt>
                <c:pt idx="74">
                  <c:v>17195.763502454993</c:v>
                </c:pt>
                <c:pt idx="75">
                  <c:v>17195.763502454993</c:v>
                </c:pt>
                <c:pt idx="76">
                  <c:v>17195.763502454993</c:v>
                </c:pt>
                <c:pt idx="77">
                  <c:v>17195.763502454993</c:v>
                </c:pt>
                <c:pt idx="78">
                  <c:v>17195.763502454993</c:v>
                </c:pt>
                <c:pt idx="79">
                  <c:v>17195.763502454993</c:v>
                </c:pt>
                <c:pt idx="80">
                  <c:v>17195.763502454993</c:v>
                </c:pt>
                <c:pt idx="81">
                  <c:v>17195.763502454993</c:v>
                </c:pt>
                <c:pt idx="82">
                  <c:v>17195.763502454993</c:v>
                </c:pt>
                <c:pt idx="83">
                  <c:v>17195.763502454993</c:v>
                </c:pt>
                <c:pt idx="84">
                  <c:v>17195.763502454993</c:v>
                </c:pt>
                <c:pt idx="85">
                  <c:v>17195.763502454993</c:v>
                </c:pt>
                <c:pt idx="86">
                  <c:v>17195.763502454993</c:v>
                </c:pt>
                <c:pt idx="87">
                  <c:v>17195.763502454993</c:v>
                </c:pt>
                <c:pt idx="88">
                  <c:v>17195.763502454993</c:v>
                </c:pt>
                <c:pt idx="89">
                  <c:v>17195.763502454993</c:v>
                </c:pt>
                <c:pt idx="90">
                  <c:v>17195.763502454993</c:v>
                </c:pt>
                <c:pt idx="91">
                  <c:v>17195.763502454993</c:v>
                </c:pt>
                <c:pt idx="92">
                  <c:v>17195.763502454993</c:v>
                </c:pt>
                <c:pt idx="93">
                  <c:v>17195.763502454993</c:v>
                </c:pt>
                <c:pt idx="94">
                  <c:v>17195.763502454993</c:v>
                </c:pt>
                <c:pt idx="95">
                  <c:v>17195.763502454993</c:v>
                </c:pt>
                <c:pt idx="96">
                  <c:v>17195.763502454993</c:v>
                </c:pt>
                <c:pt idx="97">
                  <c:v>17195.763502454993</c:v>
                </c:pt>
                <c:pt idx="98">
                  <c:v>17195.763502454993</c:v>
                </c:pt>
                <c:pt idx="99">
                  <c:v>17195.763502454993</c:v>
                </c:pt>
                <c:pt idx="100">
                  <c:v>17195.763502454993</c:v>
                </c:pt>
                <c:pt idx="101">
                  <c:v>17195.763502454993</c:v>
                </c:pt>
                <c:pt idx="102">
                  <c:v>17195.763502454993</c:v>
                </c:pt>
                <c:pt idx="103">
                  <c:v>17195.763502454993</c:v>
                </c:pt>
                <c:pt idx="104">
                  <c:v>17195.763502454993</c:v>
                </c:pt>
                <c:pt idx="105">
                  <c:v>17195.763502454993</c:v>
                </c:pt>
                <c:pt idx="106">
                  <c:v>17195.763502454993</c:v>
                </c:pt>
                <c:pt idx="107">
                  <c:v>17195.763502454993</c:v>
                </c:pt>
                <c:pt idx="108">
                  <c:v>17195.763502454993</c:v>
                </c:pt>
                <c:pt idx="109">
                  <c:v>17195.763502454993</c:v>
                </c:pt>
                <c:pt idx="110">
                  <c:v>17195.763502454993</c:v>
                </c:pt>
                <c:pt idx="111">
                  <c:v>17195.763502454993</c:v>
                </c:pt>
                <c:pt idx="112">
                  <c:v>17195.763502454993</c:v>
                </c:pt>
                <c:pt idx="113">
                  <c:v>17195.763502454993</c:v>
                </c:pt>
                <c:pt idx="114">
                  <c:v>17195.763502454993</c:v>
                </c:pt>
                <c:pt idx="115">
                  <c:v>17195.763502454993</c:v>
                </c:pt>
                <c:pt idx="116">
                  <c:v>17195.763502454993</c:v>
                </c:pt>
                <c:pt idx="117">
                  <c:v>17195.763502454993</c:v>
                </c:pt>
                <c:pt idx="118">
                  <c:v>17195.763502454993</c:v>
                </c:pt>
                <c:pt idx="119">
                  <c:v>17195.763502454993</c:v>
                </c:pt>
                <c:pt idx="120">
                  <c:v>17195.763502454993</c:v>
                </c:pt>
                <c:pt idx="121">
                  <c:v>17195.763502454993</c:v>
                </c:pt>
                <c:pt idx="122">
                  <c:v>17195.763502454993</c:v>
                </c:pt>
                <c:pt idx="123">
                  <c:v>17195.763502454993</c:v>
                </c:pt>
                <c:pt idx="124">
                  <c:v>17195.763502454993</c:v>
                </c:pt>
                <c:pt idx="125">
                  <c:v>17195.763502454993</c:v>
                </c:pt>
                <c:pt idx="126">
                  <c:v>17195.763502454993</c:v>
                </c:pt>
                <c:pt idx="127">
                  <c:v>17195.763502454993</c:v>
                </c:pt>
                <c:pt idx="128">
                  <c:v>17195.763502454993</c:v>
                </c:pt>
                <c:pt idx="129">
                  <c:v>17195.763502454993</c:v>
                </c:pt>
                <c:pt idx="130">
                  <c:v>17195.763502454993</c:v>
                </c:pt>
                <c:pt idx="131">
                  <c:v>17195.763502454993</c:v>
                </c:pt>
                <c:pt idx="132">
                  <c:v>17195.763502454993</c:v>
                </c:pt>
                <c:pt idx="133">
                  <c:v>17195.763502454993</c:v>
                </c:pt>
                <c:pt idx="134">
                  <c:v>17195.763502454993</c:v>
                </c:pt>
                <c:pt idx="135">
                  <c:v>17195.763502454993</c:v>
                </c:pt>
                <c:pt idx="136">
                  <c:v>17195.763502454993</c:v>
                </c:pt>
                <c:pt idx="137">
                  <c:v>17195.763502454993</c:v>
                </c:pt>
                <c:pt idx="138">
                  <c:v>17195.763502454993</c:v>
                </c:pt>
                <c:pt idx="139">
                  <c:v>17195.763502454993</c:v>
                </c:pt>
                <c:pt idx="140">
                  <c:v>17195.763502454993</c:v>
                </c:pt>
                <c:pt idx="141">
                  <c:v>17195.763502454993</c:v>
                </c:pt>
                <c:pt idx="142">
                  <c:v>17195.763502454993</c:v>
                </c:pt>
                <c:pt idx="143">
                  <c:v>17195.763502454993</c:v>
                </c:pt>
                <c:pt idx="144">
                  <c:v>17195.763502454993</c:v>
                </c:pt>
                <c:pt idx="145">
                  <c:v>17195.763502454993</c:v>
                </c:pt>
                <c:pt idx="146">
                  <c:v>17195.763502454993</c:v>
                </c:pt>
                <c:pt idx="147">
                  <c:v>17195.763502454993</c:v>
                </c:pt>
                <c:pt idx="148">
                  <c:v>17195.763502454993</c:v>
                </c:pt>
                <c:pt idx="149">
                  <c:v>17195.763502454993</c:v>
                </c:pt>
                <c:pt idx="150">
                  <c:v>17195.763502454993</c:v>
                </c:pt>
                <c:pt idx="151">
                  <c:v>17195.763502454993</c:v>
                </c:pt>
                <c:pt idx="152">
                  <c:v>17195.763502454993</c:v>
                </c:pt>
                <c:pt idx="153">
                  <c:v>17195.763502454993</c:v>
                </c:pt>
                <c:pt idx="154">
                  <c:v>17195.763502454993</c:v>
                </c:pt>
                <c:pt idx="155">
                  <c:v>17195.763502454993</c:v>
                </c:pt>
                <c:pt idx="156">
                  <c:v>17195.763502454993</c:v>
                </c:pt>
                <c:pt idx="157">
                  <c:v>17195.763502454993</c:v>
                </c:pt>
                <c:pt idx="158">
                  <c:v>17195.763502454993</c:v>
                </c:pt>
                <c:pt idx="159">
                  <c:v>17195.763502454993</c:v>
                </c:pt>
                <c:pt idx="160">
                  <c:v>17195.763502454993</c:v>
                </c:pt>
                <c:pt idx="161">
                  <c:v>17195.763502454993</c:v>
                </c:pt>
                <c:pt idx="162">
                  <c:v>17195.763502454993</c:v>
                </c:pt>
                <c:pt idx="163">
                  <c:v>17195.763502454993</c:v>
                </c:pt>
                <c:pt idx="164">
                  <c:v>17195.763502454993</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65"/>
                <c:pt idx="0">
                  <c:v>14486.884615384615</c:v>
                </c:pt>
                <c:pt idx="1">
                  <c:v>14486.884615384615</c:v>
                </c:pt>
                <c:pt idx="2">
                  <c:v>14486.884615384615</c:v>
                </c:pt>
                <c:pt idx="3">
                  <c:v>14486.884615384615</c:v>
                </c:pt>
                <c:pt idx="4">
                  <c:v>14486.884615384615</c:v>
                </c:pt>
                <c:pt idx="5">
                  <c:v>14486.884615384615</c:v>
                </c:pt>
                <c:pt idx="6">
                  <c:v>14486.884615384615</c:v>
                </c:pt>
                <c:pt idx="7">
                  <c:v>14486.884615384615</c:v>
                </c:pt>
                <c:pt idx="8">
                  <c:v>14486.884615384615</c:v>
                </c:pt>
                <c:pt idx="9">
                  <c:v>14486.884615384615</c:v>
                </c:pt>
                <c:pt idx="10">
                  <c:v>14486.884615384615</c:v>
                </c:pt>
                <c:pt idx="11">
                  <c:v>14486.884615384615</c:v>
                </c:pt>
                <c:pt idx="12">
                  <c:v>14486.884615384615</c:v>
                </c:pt>
                <c:pt idx="13">
                  <c:v>14486.884615384615</c:v>
                </c:pt>
                <c:pt idx="14">
                  <c:v>14486.884615384615</c:v>
                </c:pt>
                <c:pt idx="15">
                  <c:v>14486.884615384615</c:v>
                </c:pt>
                <c:pt idx="16">
                  <c:v>14486.884615384615</c:v>
                </c:pt>
                <c:pt idx="17">
                  <c:v>14486.884615384615</c:v>
                </c:pt>
                <c:pt idx="18">
                  <c:v>14486.884615384615</c:v>
                </c:pt>
                <c:pt idx="19">
                  <c:v>14486.884615384615</c:v>
                </c:pt>
                <c:pt idx="20">
                  <c:v>14486.884615384615</c:v>
                </c:pt>
                <c:pt idx="21">
                  <c:v>14486.884615384615</c:v>
                </c:pt>
                <c:pt idx="22">
                  <c:v>14486.884615384615</c:v>
                </c:pt>
                <c:pt idx="23">
                  <c:v>14486.884615384615</c:v>
                </c:pt>
                <c:pt idx="24">
                  <c:v>14486.884615384615</c:v>
                </c:pt>
                <c:pt idx="25">
                  <c:v>14486.884615384615</c:v>
                </c:pt>
                <c:pt idx="26">
                  <c:v>14486.884615384615</c:v>
                </c:pt>
                <c:pt idx="27">
                  <c:v>14486.884615384615</c:v>
                </c:pt>
                <c:pt idx="28">
                  <c:v>14486.884615384615</c:v>
                </c:pt>
                <c:pt idx="29">
                  <c:v>14486.884615384615</c:v>
                </c:pt>
                <c:pt idx="30">
                  <c:v>14486.884615384615</c:v>
                </c:pt>
                <c:pt idx="31">
                  <c:v>14486.884615384615</c:v>
                </c:pt>
                <c:pt idx="32">
                  <c:v>14486.884615384615</c:v>
                </c:pt>
                <c:pt idx="33">
                  <c:v>14486.884615384615</c:v>
                </c:pt>
                <c:pt idx="34">
                  <c:v>14486.884615384615</c:v>
                </c:pt>
                <c:pt idx="35">
                  <c:v>14486.884615384615</c:v>
                </c:pt>
                <c:pt idx="36">
                  <c:v>14486.884615384615</c:v>
                </c:pt>
                <c:pt idx="37">
                  <c:v>14486.884615384615</c:v>
                </c:pt>
                <c:pt idx="38">
                  <c:v>14486.884615384615</c:v>
                </c:pt>
                <c:pt idx="39">
                  <c:v>14486.884615384615</c:v>
                </c:pt>
                <c:pt idx="40">
                  <c:v>14486.884615384615</c:v>
                </c:pt>
                <c:pt idx="41">
                  <c:v>14486.884615384615</c:v>
                </c:pt>
                <c:pt idx="42">
                  <c:v>14486.884615384615</c:v>
                </c:pt>
                <c:pt idx="43">
                  <c:v>14486.884615384615</c:v>
                </c:pt>
                <c:pt idx="44">
                  <c:v>14486.884615384615</c:v>
                </c:pt>
                <c:pt idx="45">
                  <c:v>14486.884615384615</c:v>
                </c:pt>
                <c:pt idx="46">
                  <c:v>14486.884615384615</c:v>
                </c:pt>
                <c:pt idx="47">
                  <c:v>14486.884615384615</c:v>
                </c:pt>
                <c:pt idx="48">
                  <c:v>14486.884615384615</c:v>
                </c:pt>
                <c:pt idx="49">
                  <c:v>14486.884615384615</c:v>
                </c:pt>
                <c:pt idx="50">
                  <c:v>14486.884615384615</c:v>
                </c:pt>
                <c:pt idx="51">
                  <c:v>14486.884615384615</c:v>
                </c:pt>
                <c:pt idx="52">
                  <c:v>14486.884615384615</c:v>
                </c:pt>
                <c:pt idx="53">
                  <c:v>14486.884615384615</c:v>
                </c:pt>
                <c:pt idx="54">
                  <c:v>14486.884615384615</c:v>
                </c:pt>
                <c:pt idx="55">
                  <c:v>14486.884615384615</c:v>
                </c:pt>
                <c:pt idx="56">
                  <c:v>14486.884615384615</c:v>
                </c:pt>
                <c:pt idx="57">
                  <c:v>14486.884615384615</c:v>
                </c:pt>
                <c:pt idx="58">
                  <c:v>14486.884615384615</c:v>
                </c:pt>
                <c:pt idx="59">
                  <c:v>14486.884615384615</c:v>
                </c:pt>
                <c:pt idx="60">
                  <c:v>14486.884615384615</c:v>
                </c:pt>
                <c:pt idx="61">
                  <c:v>14486.884615384615</c:v>
                </c:pt>
                <c:pt idx="62">
                  <c:v>14486.884615384615</c:v>
                </c:pt>
                <c:pt idx="63">
                  <c:v>14486.884615384615</c:v>
                </c:pt>
                <c:pt idx="64">
                  <c:v>14486.884615384615</c:v>
                </c:pt>
                <c:pt idx="65">
                  <c:v>14486.884615384615</c:v>
                </c:pt>
                <c:pt idx="66">
                  <c:v>14486.884615384615</c:v>
                </c:pt>
                <c:pt idx="67">
                  <c:v>14486.884615384615</c:v>
                </c:pt>
                <c:pt idx="68">
                  <c:v>14486.884615384615</c:v>
                </c:pt>
                <c:pt idx="69">
                  <c:v>14486.884615384615</c:v>
                </c:pt>
                <c:pt idx="70">
                  <c:v>14486.884615384615</c:v>
                </c:pt>
                <c:pt idx="71">
                  <c:v>14486.884615384615</c:v>
                </c:pt>
                <c:pt idx="72">
                  <c:v>14486.884615384615</c:v>
                </c:pt>
                <c:pt idx="73">
                  <c:v>14486.884615384615</c:v>
                </c:pt>
                <c:pt idx="74">
                  <c:v>14486.884615384615</c:v>
                </c:pt>
                <c:pt idx="75">
                  <c:v>14486.884615384615</c:v>
                </c:pt>
                <c:pt idx="76">
                  <c:v>14486.884615384615</c:v>
                </c:pt>
                <c:pt idx="77">
                  <c:v>14486.884615384615</c:v>
                </c:pt>
                <c:pt idx="78">
                  <c:v>14486.884615384615</c:v>
                </c:pt>
                <c:pt idx="79">
                  <c:v>14486.884615384615</c:v>
                </c:pt>
                <c:pt idx="80">
                  <c:v>14486.884615384615</c:v>
                </c:pt>
                <c:pt idx="81">
                  <c:v>14486.884615384615</c:v>
                </c:pt>
                <c:pt idx="82">
                  <c:v>14486.884615384615</c:v>
                </c:pt>
                <c:pt idx="83">
                  <c:v>14486.884615384615</c:v>
                </c:pt>
                <c:pt idx="84">
                  <c:v>14486.884615384615</c:v>
                </c:pt>
                <c:pt idx="85">
                  <c:v>14486.884615384615</c:v>
                </c:pt>
                <c:pt idx="86">
                  <c:v>14486.884615384615</c:v>
                </c:pt>
                <c:pt idx="87">
                  <c:v>14486.884615384615</c:v>
                </c:pt>
                <c:pt idx="88">
                  <c:v>14486.884615384615</c:v>
                </c:pt>
                <c:pt idx="89">
                  <c:v>14486.884615384615</c:v>
                </c:pt>
                <c:pt idx="90">
                  <c:v>14486.884615384615</c:v>
                </c:pt>
                <c:pt idx="91">
                  <c:v>14486.884615384615</c:v>
                </c:pt>
                <c:pt idx="92">
                  <c:v>14486.884615384615</c:v>
                </c:pt>
                <c:pt idx="93">
                  <c:v>14486.884615384615</c:v>
                </c:pt>
                <c:pt idx="94">
                  <c:v>14486.884615384615</c:v>
                </c:pt>
                <c:pt idx="95">
                  <c:v>14486.884615384615</c:v>
                </c:pt>
                <c:pt idx="96">
                  <c:v>14486.884615384615</c:v>
                </c:pt>
                <c:pt idx="97">
                  <c:v>14486.884615384615</c:v>
                </c:pt>
                <c:pt idx="98">
                  <c:v>14486.884615384615</c:v>
                </c:pt>
                <c:pt idx="99">
                  <c:v>14486.884615384615</c:v>
                </c:pt>
                <c:pt idx="100">
                  <c:v>14486.884615384615</c:v>
                </c:pt>
                <c:pt idx="101">
                  <c:v>14486.884615384615</c:v>
                </c:pt>
                <c:pt idx="102">
                  <c:v>14486.884615384615</c:v>
                </c:pt>
                <c:pt idx="103">
                  <c:v>14486.884615384615</c:v>
                </c:pt>
                <c:pt idx="104">
                  <c:v>14486.884615384615</c:v>
                </c:pt>
                <c:pt idx="105">
                  <c:v>14486.884615384615</c:v>
                </c:pt>
                <c:pt idx="106">
                  <c:v>14486.884615384615</c:v>
                </c:pt>
                <c:pt idx="107">
                  <c:v>14486.884615384615</c:v>
                </c:pt>
                <c:pt idx="108">
                  <c:v>14486.884615384615</c:v>
                </c:pt>
                <c:pt idx="109">
                  <c:v>14486.884615384615</c:v>
                </c:pt>
                <c:pt idx="110">
                  <c:v>14486.884615384615</c:v>
                </c:pt>
                <c:pt idx="111">
                  <c:v>14486.884615384615</c:v>
                </c:pt>
                <c:pt idx="112">
                  <c:v>14486.884615384615</c:v>
                </c:pt>
                <c:pt idx="113">
                  <c:v>14486.884615384615</c:v>
                </c:pt>
                <c:pt idx="114">
                  <c:v>14486.884615384615</c:v>
                </c:pt>
                <c:pt idx="115">
                  <c:v>14486.884615384615</c:v>
                </c:pt>
                <c:pt idx="116">
                  <c:v>14486.884615384615</c:v>
                </c:pt>
                <c:pt idx="117">
                  <c:v>14486.884615384615</c:v>
                </c:pt>
                <c:pt idx="118">
                  <c:v>14486.884615384615</c:v>
                </c:pt>
                <c:pt idx="119">
                  <c:v>14486.884615384615</c:v>
                </c:pt>
                <c:pt idx="120">
                  <c:v>14486.884615384615</c:v>
                </c:pt>
                <c:pt idx="121">
                  <c:v>14486.884615384615</c:v>
                </c:pt>
                <c:pt idx="122">
                  <c:v>14486.884615384615</c:v>
                </c:pt>
                <c:pt idx="123">
                  <c:v>14486.884615384615</c:v>
                </c:pt>
                <c:pt idx="124">
                  <c:v>14486.884615384615</c:v>
                </c:pt>
                <c:pt idx="125">
                  <c:v>14486.884615384615</c:v>
                </c:pt>
                <c:pt idx="126">
                  <c:v>14486.884615384615</c:v>
                </c:pt>
                <c:pt idx="127">
                  <c:v>14486.884615384615</c:v>
                </c:pt>
                <c:pt idx="128">
                  <c:v>14486.884615384615</c:v>
                </c:pt>
                <c:pt idx="129">
                  <c:v>14486.884615384615</c:v>
                </c:pt>
                <c:pt idx="130">
                  <c:v>14486.884615384615</c:v>
                </c:pt>
                <c:pt idx="131">
                  <c:v>14486.884615384615</c:v>
                </c:pt>
                <c:pt idx="132">
                  <c:v>14486.884615384615</c:v>
                </c:pt>
                <c:pt idx="133">
                  <c:v>14486.884615384615</c:v>
                </c:pt>
                <c:pt idx="134">
                  <c:v>14486.884615384615</c:v>
                </c:pt>
                <c:pt idx="135">
                  <c:v>14486.884615384615</c:v>
                </c:pt>
                <c:pt idx="136">
                  <c:v>14486.884615384615</c:v>
                </c:pt>
                <c:pt idx="137">
                  <c:v>14486.884615384615</c:v>
                </c:pt>
                <c:pt idx="138">
                  <c:v>14486.884615384615</c:v>
                </c:pt>
                <c:pt idx="139">
                  <c:v>14486.884615384615</c:v>
                </c:pt>
                <c:pt idx="140">
                  <c:v>14486.884615384615</c:v>
                </c:pt>
                <c:pt idx="141">
                  <c:v>14486.884615384615</c:v>
                </c:pt>
                <c:pt idx="142">
                  <c:v>14486.884615384615</c:v>
                </c:pt>
                <c:pt idx="143">
                  <c:v>14486.884615384615</c:v>
                </c:pt>
                <c:pt idx="144">
                  <c:v>14486.884615384615</c:v>
                </c:pt>
                <c:pt idx="145">
                  <c:v>14486.884615384615</c:v>
                </c:pt>
                <c:pt idx="146">
                  <c:v>14486.884615384615</c:v>
                </c:pt>
                <c:pt idx="147">
                  <c:v>14486.884615384615</c:v>
                </c:pt>
                <c:pt idx="148">
                  <c:v>14486.884615384615</c:v>
                </c:pt>
                <c:pt idx="149">
                  <c:v>14486.884615384615</c:v>
                </c:pt>
                <c:pt idx="150">
                  <c:v>14486.884615384615</c:v>
                </c:pt>
                <c:pt idx="151">
                  <c:v>14486.884615384615</c:v>
                </c:pt>
                <c:pt idx="152">
                  <c:v>14486.884615384615</c:v>
                </c:pt>
                <c:pt idx="153">
                  <c:v>14486.884615384615</c:v>
                </c:pt>
                <c:pt idx="154">
                  <c:v>14486.884615384615</c:v>
                </c:pt>
                <c:pt idx="155">
                  <c:v>14486.884615384615</c:v>
                </c:pt>
                <c:pt idx="156">
                  <c:v>14486.884615384615</c:v>
                </c:pt>
                <c:pt idx="157">
                  <c:v>14486.884615384615</c:v>
                </c:pt>
                <c:pt idx="158">
                  <c:v>14486.884615384615</c:v>
                </c:pt>
                <c:pt idx="159">
                  <c:v>14486.884615384615</c:v>
                </c:pt>
                <c:pt idx="160">
                  <c:v>14486.884615384615</c:v>
                </c:pt>
                <c:pt idx="161">
                  <c:v>14486.884615384615</c:v>
                </c:pt>
                <c:pt idx="162">
                  <c:v>14486.884615384615</c:v>
                </c:pt>
                <c:pt idx="163">
                  <c:v>14486.884615384615</c:v>
                </c:pt>
                <c:pt idx="164">
                  <c:v>14486.884615384615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65"/>
                <c:pt idx="0">
                  <c:v>1095</c:v>
                </c:pt>
                <c:pt idx="1">
                  <c:v>11341</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10845</c:v>
                </c:pt>
                <c:pt idx="40">
                  <c:v>11282</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11702</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10351</c:v>
                </c:pt>
                <c:pt idx="91">
                  <c:v>#N/A</c:v>
                </c:pt>
                <c:pt idx="92">
                  <c:v>#N/A</c:v>
                </c:pt>
                <c:pt idx="93">
                  <c:v>#N/A</c:v>
                </c:pt>
                <c:pt idx="94">
                  <c:v>18016</c:v>
                </c:pt>
                <c:pt idx="95">
                  <c:v>#N/A</c:v>
                </c:pt>
                <c:pt idx="96">
                  <c:v>#N/A</c:v>
                </c:pt>
                <c:pt idx="97">
                  <c:v>#N/A</c:v>
                </c:pt>
                <c:pt idx="98">
                  <c:v>#N/A</c:v>
                </c:pt>
                <c:pt idx="99">
                  <c:v>#N/A</c:v>
                </c:pt>
                <c:pt idx="100">
                  <c:v>#N/A</c:v>
                </c:pt>
                <c:pt idx="101">
                  <c:v>#N/A</c:v>
                </c:pt>
                <c:pt idx="102">
                  <c:v>10426</c:v>
                </c:pt>
                <c:pt idx="103">
                  <c:v>7575</c:v>
                </c:pt>
                <c:pt idx="104">
                  <c:v>3300</c:v>
                </c:pt>
                <c:pt idx="105">
                  <c:v>7290</c:v>
                </c:pt>
                <c:pt idx="106">
                  <c:v>7875</c:v>
                </c:pt>
                <c:pt idx="107">
                  <c:v>9360</c:v>
                </c:pt>
                <c:pt idx="108">
                  <c:v>9900</c:v>
                </c:pt>
                <c:pt idx="109">
                  <c:v>10245</c:v>
                </c:pt>
                <c:pt idx="110">
                  <c:v>11385</c:v>
                </c:pt>
                <c:pt idx="111">
                  <c:v>11671</c:v>
                </c:pt>
                <c:pt idx="112">
                  <c:v>10082</c:v>
                </c:pt>
                <c:pt idx="113">
                  <c:v>#N/A</c:v>
                </c:pt>
                <c:pt idx="114">
                  <c:v>11507</c:v>
                </c:pt>
                <c:pt idx="115">
                  <c:v>#N/A</c:v>
                </c:pt>
                <c:pt idx="116">
                  <c:v>#N/A</c:v>
                </c:pt>
                <c:pt idx="117">
                  <c:v>#N/A</c:v>
                </c:pt>
                <c:pt idx="118">
                  <c:v>#N/A</c:v>
                </c:pt>
                <c:pt idx="119">
                  <c:v>#N/A</c:v>
                </c:pt>
                <c:pt idx="120">
                  <c:v>#N/A</c:v>
                </c:pt>
                <c:pt idx="121">
                  <c:v>#N/A</c:v>
                </c:pt>
                <c:pt idx="122">
                  <c:v>#N/A</c:v>
                </c:pt>
                <c:pt idx="123">
                  <c:v>#N/A</c:v>
                </c:pt>
                <c:pt idx="124">
                  <c:v>#N/A</c:v>
                </c:pt>
                <c:pt idx="125">
                  <c:v>11566</c:v>
                </c:pt>
                <c:pt idx="126">
                  <c:v>11370</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11356</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17296</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6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14040</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13471</c:v>
                </c:pt>
                <c:pt idx="102">
                  <c:v>10426</c:v>
                </c:pt>
                <c:pt idx="103">
                  <c:v>7575</c:v>
                </c:pt>
                <c:pt idx="104">
                  <c:v>3300</c:v>
                </c:pt>
                <c:pt idx="105">
                  <c:v>7290</c:v>
                </c:pt>
                <c:pt idx="106">
                  <c:v>7875</c:v>
                </c:pt>
                <c:pt idx="107">
                  <c:v>9360</c:v>
                </c:pt>
                <c:pt idx="108">
                  <c:v>9900</c:v>
                </c:pt>
                <c:pt idx="109">
                  <c:v>10245</c:v>
                </c:pt>
                <c:pt idx="110">
                  <c:v>11385</c:v>
                </c:pt>
                <c:pt idx="111">
                  <c:v>11671</c:v>
                </c:pt>
                <c:pt idx="112">
                  <c:v>10082</c:v>
                </c:pt>
                <c:pt idx="113">
                  <c:v>11926</c:v>
                </c:pt>
                <c:pt idx="114">
                  <c:v>11507</c:v>
                </c:pt>
                <c:pt idx="115">
                  <c:v>11912</c:v>
                </c:pt>
                <c:pt idx="116">
                  <c:v>12585</c:v>
                </c:pt>
                <c:pt idx="117">
                  <c:v>12288</c:v>
                </c:pt>
                <c:pt idx="118">
                  <c:v>#N/A</c:v>
                </c:pt>
                <c:pt idx="119">
                  <c:v>#N/A</c:v>
                </c:pt>
                <c:pt idx="120">
                  <c:v>#N/A</c:v>
                </c:pt>
                <c:pt idx="121">
                  <c:v>#N/A</c:v>
                </c:pt>
                <c:pt idx="122">
                  <c:v>#N/A</c:v>
                </c:pt>
                <c:pt idx="123">
                  <c:v>12721</c:v>
                </c:pt>
                <c:pt idx="124">
                  <c:v>12090</c:v>
                </c:pt>
                <c:pt idx="125">
                  <c:v>11566</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16293</c:v>
                </c:pt>
                <c:pt idx="163">
                  <c:v>#N/A</c:v>
                </c:pt>
                <c:pt idx="164">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6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7290</c:v>
                </c:pt>
                <c:pt idx="106">
                  <c:v>7875</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13698</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6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14760</c:v>
                </c:pt>
                <c:pt idx="42">
                  <c:v>15992</c:v>
                </c:pt>
                <c:pt idx="43">
                  <c:v>16202</c:v>
                </c:pt>
                <c:pt idx="44">
                  <c:v>#N/A</c:v>
                </c:pt>
                <c:pt idx="45">
                  <c:v>#N/A</c:v>
                </c:pt>
                <c:pt idx="46">
                  <c:v>#N/A</c:v>
                </c:pt>
                <c:pt idx="47">
                  <c:v>#N/A</c:v>
                </c:pt>
                <c:pt idx="48">
                  <c:v>#N/A</c:v>
                </c:pt>
                <c:pt idx="49">
                  <c:v>#N/A</c:v>
                </c:pt>
                <c:pt idx="50">
                  <c:v>#N/A</c:v>
                </c:pt>
                <c:pt idx="51">
                  <c:v>#N/A</c:v>
                </c:pt>
                <c:pt idx="52">
                  <c:v>14221</c:v>
                </c:pt>
                <c:pt idx="53">
                  <c:v>13501</c:v>
                </c:pt>
                <c:pt idx="54">
                  <c:v>11702</c:v>
                </c:pt>
                <c:pt idx="55">
                  <c:v>#N/A</c:v>
                </c:pt>
                <c:pt idx="56">
                  <c:v>#N/A</c:v>
                </c:pt>
                <c:pt idx="57">
                  <c:v>#N/A</c:v>
                </c:pt>
                <c:pt idx="58">
                  <c:v>#N/A</c:v>
                </c:pt>
                <c:pt idx="59">
                  <c:v>#N/A</c:v>
                </c:pt>
                <c:pt idx="60">
                  <c:v>#N/A</c:v>
                </c:pt>
                <c:pt idx="61">
                  <c:v>#N/A</c:v>
                </c:pt>
                <c:pt idx="62">
                  <c:v>#N/A</c:v>
                </c:pt>
                <c:pt idx="63">
                  <c:v>#N/A</c:v>
                </c:pt>
                <c:pt idx="64">
                  <c:v>14328</c:v>
                </c:pt>
                <c:pt idx="65">
                  <c:v>13877</c:v>
                </c:pt>
                <c:pt idx="66">
                  <c:v>13607</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13471</c:v>
                </c:pt>
                <c:pt idx="102">
                  <c:v>10426</c:v>
                </c:pt>
                <c:pt idx="103">
                  <c:v>7575</c:v>
                </c:pt>
                <c:pt idx="104">
                  <c:v>3300</c:v>
                </c:pt>
                <c:pt idx="105">
                  <c:v>7290</c:v>
                </c:pt>
                <c:pt idx="106">
                  <c:v>7875</c:v>
                </c:pt>
                <c:pt idx="107">
                  <c:v>9360</c:v>
                </c:pt>
                <c:pt idx="108">
                  <c:v>9900</c:v>
                </c:pt>
                <c:pt idx="109">
                  <c:v>10245</c:v>
                </c:pt>
                <c:pt idx="110">
                  <c:v>11385</c:v>
                </c:pt>
                <c:pt idx="111">
                  <c:v>11671</c:v>
                </c:pt>
                <c:pt idx="112">
                  <c:v>10082</c:v>
                </c:pt>
                <c:pt idx="113">
                  <c:v>11926</c:v>
                </c:pt>
                <c:pt idx="114">
                  <c:v>11507</c:v>
                </c:pt>
                <c:pt idx="115">
                  <c:v>11912</c:v>
                </c:pt>
                <c:pt idx="116">
                  <c:v>12585</c:v>
                </c:pt>
                <c:pt idx="117">
                  <c:v>12288</c:v>
                </c:pt>
                <c:pt idx="118">
                  <c:v>12198</c:v>
                </c:pt>
                <c:pt idx="119">
                  <c:v>12750</c:v>
                </c:pt>
                <c:pt idx="120">
                  <c:v>13320</c:v>
                </c:pt>
                <c:pt idx="121">
                  <c:v>12945</c:v>
                </c:pt>
                <c:pt idx="122">
                  <c:v>12705</c:v>
                </c:pt>
                <c:pt idx="123">
                  <c:v>12721</c:v>
                </c:pt>
                <c:pt idx="124">
                  <c:v>12090</c:v>
                </c:pt>
                <c:pt idx="125">
                  <c:v>11566</c:v>
                </c:pt>
                <c:pt idx="126">
                  <c:v>11370</c:v>
                </c:pt>
                <c:pt idx="127">
                  <c:v>13155</c:v>
                </c:pt>
                <c:pt idx="128">
                  <c:v>13068</c:v>
                </c:pt>
                <c:pt idx="129">
                  <c:v>11987</c:v>
                </c:pt>
                <c:pt idx="130">
                  <c:v>12932</c:v>
                </c:pt>
                <c:pt idx="131">
                  <c:v>13290</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6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65"/>
                <c:pt idx="0">
                  <c:v>14765</c:v>
                </c:pt>
                <c:pt idx="1">
                  <c:v>14765</c:v>
                </c:pt>
                <c:pt idx="2">
                  <c:v>14765</c:v>
                </c:pt>
                <c:pt idx="3">
                  <c:v>14765</c:v>
                </c:pt>
                <c:pt idx="4">
                  <c:v>14765</c:v>
                </c:pt>
                <c:pt idx="5">
                  <c:v>14765</c:v>
                </c:pt>
                <c:pt idx="6">
                  <c:v>14765</c:v>
                </c:pt>
                <c:pt idx="7">
                  <c:v>14765</c:v>
                </c:pt>
                <c:pt idx="8">
                  <c:v>14765</c:v>
                </c:pt>
                <c:pt idx="9">
                  <c:v>14765</c:v>
                </c:pt>
                <c:pt idx="10">
                  <c:v>14765</c:v>
                </c:pt>
                <c:pt idx="11">
                  <c:v>14765</c:v>
                </c:pt>
                <c:pt idx="12">
                  <c:v>14765</c:v>
                </c:pt>
                <c:pt idx="13">
                  <c:v>14765</c:v>
                </c:pt>
                <c:pt idx="14">
                  <c:v>14765</c:v>
                </c:pt>
                <c:pt idx="15">
                  <c:v>14765</c:v>
                </c:pt>
                <c:pt idx="16">
                  <c:v>14765</c:v>
                </c:pt>
                <c:pt idx="17">
                  <c:v>14765</c:v>
                </c:pt>
                <c:pt idx="18">
                  <c:v>14765</c:v>
                </c:pt>
                <c:pt idx="19">
                  <c:v>14765</c:v>
                </c:pt>
                <c:pt idx="20">
                  <c:v>14765</c:v>
                </c:pt>
                <c:pt idx="21">
                  <c:v>14765</c:v>
                </c:pt>
                <c:pt idx="22">
                  <c:v>14765</c:v>
                </c:pt>
                <c:pt idx="23">
                  <c:v>14765</c:v>
                </c:pt>
                <c:pt idx="24">
                  <c:v>14765</c:v>
                </c:pt>
                <c:pt idx="25">
                  <c:v>14765</c:v>
                </c:pt>
                <c:pt idx="26">
                  <c:v>14765</c:v>
                </c:pt>
                <c:pt idx="27">
                  <c:v>14765</c:v>
                </c:pt>
                <c:pt idx="28">
                  <c:v>14765</c:v>
                </c:pt>
                <c:pt idx="29">
                  <c:v>14765</c:v>
                </c:pt>
                <c:pt idx="30">
                  <c:v>14765</c:v>
                </c:pt>
                <c:pt idx="31">
                  <c:v>14765</c:v>
                </c:pt>
                <c:pt idx="32">
                  <c:v>14765</c:v>
                </c:pt>
                <c:pt idx="33">
                  <c:v>14765</c:v>
                </c:pt>
                <c:pt idx="34">
                  <c:v>14765</c:v>
                </c:pt>
                <c:pt idx="35">
                  <c:v>14765</c:v>
                </c:pt>
                <c:pt idx="36">
                  <c:v>14765</c:v>
                </c:pt>
                <c:pt idx="37">
                  <c:v>14765</c:v>
                </c:pt>
                <c:pt idx="38">
                  <c:v>14765</c:v>
                </c:pt>
                <c:pt idx="39">
                  <c:v>14765</c:v>
                </c:pt>
                <c:pt idx="40">
                  <c:v>14765</c:v>
                </c:pt>
                <c:pt idx="41">
                  <c:v>14765</c:v>
                </c:pt>
                <c:pt idx="42">
                  <c:v>14765</c:v>
                </c:pt>
                <c:pt idx="43">
                  <c:v>14765</c:v>
                </c:pt>
                <c:pt idx="44">
                  <c:v>14765</c:v>
                </c:pt>
                <c:pt idx="45">
                  <c:v>14765</c:v>
                </c:pt>
                <c:pt idx="46">
                  <c:v>14765</c:v>
                </c:pt>
                <c:pt idx="47">
                  <c:v>14765</c:v>
                </c:pt>
                <c:pt idx="48">
                  <c:v>14765</c:v>
                </c:pt>
                <c:pt idx="49">
                  <c:v>14765</c:v>
                </c:pt>
                <c:pt idx="50">
                  <c:v>14765</c:v>
                </c:pt>
                <c:pt idx="51">
                  <c:v>14765</c:v>
                </c:pt>
                <c:pt idx="52">
                  <c:v>14765</c:v>
                </c:pt>
                <c:pt idx="53">
                  <c:v>14765</c:v>
                </c:pt>
                <c:pt idx="54">
                  <c:v>14765</c:v>
                </c:pt>
                <c:pt idx="55">
                  <c:v>14765</c:v>
                </c:pt>
                <c:pt idx="56">
                  <c:v>14765</c:v>
                </c:pt>
                <c:pt idx="57">
                  <c:v>14765</c:v>
                </c:pt>
                <c:pt idx="58">
                  <c:v>14765</c:v>
                </c:pt>
                <c:pt idx="59">
                  <c:v>14765</c:v>
                </c:pt>
                <c:pt idx="60">
                  <c:v>14765</c:v>
                </c:pt>
                <c:pt idx="61">
                  <c:v>14765</c:v>
                </c:pt>
                <c:pt idx="62">
                  <c:v>14765</c:v>
                </c:pt>
                <c:pt idx="63">
                  <c:v>14765</c:v>
                </c:pt>
                <c:pt idx="64">
                  <c:v>14765</c:v>
                </c:pt>
                <c:pt idx="65">
                  <c:v>14765</c:v>
                </c:pt>
                <c:pt idx="66">
                  <c:v>14765</c:v>
                </c:pt>
                <c:pt idx="67">
                  <c:v>14765</c:v>
                </c:pt>
                <c:pt idx="68">
                  <c:v>14765</c:v>
                </c:pt>
                <c:pt idx="69">
                  <c:v>14765</c:v>
                </c:pt>
                <c:pt idx="70">
                  <c:v>14765</c:v>
                </c:pt>
                <c:pt idx="71">
                  <c:v>14765</c:v>
                </c:pt>
                <c:pt idx="72">
                  <c:v>14765</c:v>
                </c:pt>
                <c:pt idx="73">
                  <c:v>14765</c:v>
                </c:pt>
                <c:pt idx="74">
                  <c:v>14765</c:v>
                </c:pt>
                <c:pt idx="75">
                  <c:v>14765</c:v>
                </c:pt>
                <c:pt idx="76">
                  <c:v>14765</c:v>
                </c:pt>
                <c:pt idx="77">
                  <c:v>14765</c:v>
                </c:pt>
                <c:pt idx="78">
                  <c:v>14765</c:v>
                </c:pt>
                <c:pt idx="79">
                  <c:v>14765</c:v>
                </c:pt>
                <c:pt idx="80">
                  <c:v>14765</c:v>
                </c:pt>
                <c:pt idx="81">
                  <c:v>14765</c:v>
                </c:pt>
                <c:pt idx="82">
                  <c:v>14765</c:v>
                </c:pt>
                <c:pt idx="83">
                  <c:v>14765</c:v>
                </c:pt>
                <c:pt idx="84">
                  <c:v>14765</c:v>
                </c:pt>
                <c:pt idx="85">
                  <c:v>14765</c:v>
                </c:pt>
                <c:pt idx="86">
                  <c:v>14765</c:v>
                </c:pt>
                <c:pt idx="87">
                  <c:v>14765</c:v>
                </c:pt>
                <c:pt idx="88">
                  <c:v>14765</c:v>
                </c:pt>
                <c:pt idx="89">
                  <c:v>14765</c:v>
                </c:pt>
                <c:pt idx="90">
                  <c:v>14765</c:v>
                </c:pt>
                <c:pt idx="91">
                  <c:v>14765</c:v>
                </c:pt>
                <c:pt idx="92">
                  <c:v>14765</c:v>
                </c:pt>
                <c:pt idx="93">
                  <c:v>14765</c:v>
                </c:pt>
                <c:pt idx="94">
                  <c:v>14765</c:v>
                </c:pt>
                <c:pt idx="95">
                  <c:v>14765</c:v>
                </c:pt>
                <c:pt idx="96">
                  <c:v>14765</c:v>
                </c:pt>
                <c:pt idx="97">
                  <c:v>14765</c:v>
                </c:pt>
                <c:pt idx="98">
                  <c:v>14765</c:v>
                </c:pt>
                <c:pt idx="99">
                  <c:v>14765</c:v>
                </c:pt>
                <c:pt idx="100">
                  <c:v>14765</c:v>
                </c:pt>
                <c:pt idx="101">
                  <c:v>14765</c:v>
                </c:pt>
                <c:pt idx="102">
                  <c:v>14765</c:v>
                </c:pt>
                <c:pt idx="103">
                  <c:v>14765</c:v>
                </c:pt>
                <c:pt idx="104">
                  <c:v>14765</c:v>
                </c:pt>
                <c:pt idx="105">
                  <c:v>14765</c:v>
                </c:pt>
                <c:pt idx="106">
                  <c:v>14765</c:v>
                </c:pt>
                <c:pt idx="107">
                  <c:v>14765</c:v>
                </c:pt>
                <c:pt idx="108">
                  <c:v>14765</c:v>
                </c:pt>
                <c:pt idx="109">
                  <c:v>14765</c:v>
                </c:pt>
                <c:pt idx="110">
                  <c:v>14765</c:v>
                </c:pt>
                <c:pt idx="111">
                  <c:v>14765</c:v>
                </c:pt>
                <c:pt idx="112">
                  <c:v>14765</c:v>
                </c:pt>
                <c:pt idx="113">
                  <c:v>14765</c:v>
                </c:pt>
                <c:pt idx="114">
                  <c:v>14765</c:v>
                </c:pt>
                <c:pt idx="115">
                  <c:v>14765</c:v>
                </c:pt>
                <c:pt idx="116">
                  <c:v>14765</c:v>
                </c:pt>
                <c:pt idx="117">
                  <c:v>14765</c:v>
                </c:pt>
                <c:pt idx="118">
                  <c:v>14765</c:v>
                </c:pt>
                <c:pt idx="119">
                  <c:v>14765</c:v>
                </c:pt>
                <c:pt idx="120">
                  <c:v>14765</c:v>
                </c:pt>
                <c:pt idx="121">
                  <c:v>14765</c:v>
                </c:pt>
                <c:pt idx="122">
                  <c:v>14765</c:v>
                </c:pt>
                <c:pt idx="123">
                  <c:v>14765</c:v>
                </c:pt>
                <c:pt idx="124">
                  <c:v>14765</c:v>
                </c:pt>
                <c:pt idx="125">
                  <c:v>14765</c:v>
                </c:pt>
                <c:pt idx="126">
                  <c:v>14765</c:v>
                </c:pt>
                <c:pt idx="127">
                  <c:v>14765</c:v>
                </c:pt>
                <c:pt idx="128">
                  <c:v>14765</c:v>
                </c:pt>
                <c:pt idx="129">
                  <c:v>14765</c:v>
                </c:pt>
                <c:pt idx="130">
                  <c:v>14765</c:v>
                </c:pt>
                <c:pt idx="131">
                  <c:v>14765</c:v>
                </c:pt>
                <c:pt idx="132">
                  <c:v>14765</c:v>
                </c:pt>
                <c:pt idx="133">
                  <c:v>14765</c:v>
                </c:pt>
                <c:pt idx="134">
                  <c:v>14765</c:v>
                </c:pt>
                <c:pt idx="135">
                  <c:v>14765</c:v>
                </c:pt>
                <c:pt idx="136">
                  <c:v>14765</c:v>
                </c:pt>
                <c:pt idx="137">
                  <c:v>14765</c:v>
                </c:pt>
                <c:pt idx="138">
                  <c:v>14765</c:v>
                </c:pt>
                <c:pt idx="139">
                  <c:v>14765</c:v>
                </c:pt>
                <c:pt idx="140">
                  <c:v>14765</c:v>
                </c:pt>
                <c:pt idx="141">
                  <c:v>14765</c:v>
                </c:pt>
                <c:pt idx="142">
                  <c:v>14765</c:v>
                </c:pt>
                <c:pt idx="143">
                  <c:v>14765</c:v>
                </c:pt>
                <c:pt idx="144">
                  <c:v>14765</c:v>
                </c:pt>
                <c:pt idx="145">
                  <c:v>14765</c:v>
                </c:pt>
                <c:pt idx="146">
                  <c:v>14765</c:v>
                </c:pt>
                <c:pt idx="147">
                  <c:v>14765</c:v>
                </c:pt>
                <c:pt idx="148">
                  <c:v>14765</c:v>
                </c:pt>
                <c:pt idx="149">
                  <c:v>14765</c:v>
                </c:pt>
                <c:pt idx="150">
                  <c:v>14765</c:v>
                </c:pt>
                <c:pt idx="151">
                  <c:v>14765</c:v>
                </c:pt>
                <c:pt idx="152">
                  <c:v>14765</c:v>
                </c:pt>
                <c:pt idx="153">
                  <c:v>14765</c:v>
                </c:pt>
                <c:pt idx="154">
                  <c:v>14765</c:v>
                </c:pt>
                <c:pt idx="155">
                  <c:v>14765</c:v>
                </c:pt>
                <c:pt idx="156">
                  <c:v>14765</c:v>
                </c:pt>
                <c:pt idx="157">
                  <c:v>14765</c:v>
                </c:pt>
                <c:pt idx="158">
                  <c:v>14765</c:v>
                </c:pt>
                <c:pt idx="159">
                  <c:v>14765</c:v>
                </c:pt>
                <c:pt idx="160">
                  <c:v>14765</c:v>
                </c:pt>
                <c:pt idx="161">
                  <c:v>14765</c:v>
                </c:pt>
                <c:pt idx="162">
                  <c:v>14765</c:v>
                </c:pt>
                <c:pt idx="163">
                  <c:v>14765</c:v>
                </c:pt>
                <c:pt idx="164">
                  <c:v>14765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65"/>
                <c:pt idx="0">
                  <c:v>15657.95</c:v>
                </c:pt>
                <c:pt idx="1">
                  <c:v>15657.95</c:v>
                </c:pt>
                <c:pt idx="2">
                  <c:v>15657.95</c:v>
                </c:pt>
                <c:pt idx="3">
                  <c:v>15657.95</c:v>
                </c:pt>
                <c:pt idx="4">
                  <c:v>15657.95</c:v>
                </c:pt>
                <c:pt idx="5">
                  <c:v>15657.95</c:v>
                </c:pt>
                <c:pt idx="6">
                  <c:v>15657.95</c:v>
                </c:pt>
                <c:pt idx="7">
                  <c:v>15657.95</c:v>
                </c:pt>
                <c:pt idx="8">
                  <c:v>15657.95</c:v>
                </c:pt>
                <c:pt idx="9">
                  <c:v>15657.95</c:v>
                </c:pt>
                <c:pt idx="10">
                  <c:v>15657.95</c:v>
                </c:pt>
                <c:pt idx="11">
                  <c:v>15657.95</c:v>
                </c:pt>
                <c:pt idx="12">
                  <c:v>15657.95</c:v>
                </c:pt>
                <c:pt idx="13">
                  <c:v>15657.95</c:v>
                </c:pt>
                <c:pt idx="14">
                  <c:v>15657.95</c:v>
                </c:pt>
                <c:pt idx="15">
                  <c:v>15657.95</c:v>
                </c:pt>
                <c:pt idx="16">
                  <c:v>15657.95</c:v>
                </c:pt>
                <c:pt idx="17">
                  <c:v>15657.95</c:v>
                </c:pt>
                <c:pt idx="18">
                  <c:v>15657.95</c:v>
                </c:pt>
                <c:pt idx="19">
                  <c:v>15657.95</c:v>
                </c:pt>
                <c:pt idx="20">
                  <c:v>15657.95</c:v>
                </c:pt>
                <c:pt idx="21">
                  <c:v>15657.95</c:v>
                </c:pt>
                <c:pt idx="22">
                  <c:v>15657.95</c:v>
                </c:pt>
                <c:pt idx="23">
                  <c:v>15657.95</c:v>
                </c:pt>
                <c:pt idx="24">
                  <c:v>15657.95</c:v>
                </c:pt>
                <c:pt idx="25">
                  <c:v>15657.95</c:v>
                </c:pt>
                <c:pt idx="26">
                  <c:v>15657.95</c:v>
                </c:pt>
                <c:pt idx="27">
                  <c:v>15657.95</c:v>
                </c:pt>
                <c:pt idx="28">
                  <c:v>15657.95</c:v>
                </c:pt>
                <c:pt idx="29">
                  <c:v>15657.95</c:v>
                </c:pt>
                <c:pt idx="30">
                  <c:v>15657.95</c:v>
                </c:pt>
                <c:pt idx="31">
                  <c:v>15657.95</c:v>
                </c:pt>
                <c:pt idx="32">
                  <c:v>15657.95</c:v>
                </c:pt>
                <c:pt idx="33">
                  <c:v>15657.95</c:v>
                </c:pt>
                <c:pt idx="34">
                  <c:v>15657.95</c:v>
                </c:pt>
                <c:pt idx="35">
                  <c:v>15657.95</c:v>
                </c:pt>
                <c:pt idx="36">
                  <c:v>15657.95</c:v>
                </c:pt>
                <c:pt idx="37">
                  <c:v>15657.95</c:v>
                </c:pt>
                <c:pt idx="38">
                  <c:v>15657.95</c:v>
                </c:pt>
                <c:pt idx="39">
                  <c:v>15657.95</c:v>
                </c:pt>
                <c:pt idx="40">
                  <c:v>15657.95</c:v>
                </c:pt>
                <c:pt idx="41">
                  <c:v>15657.95</c:v>
                </c:pt>
                <c:pt idx="42">
                  <c:v>15657.95</c:v>
                </c:pt>
                <c:pt idx="43">
                  <c:v>15657.95</c:v>
                </c:pt>
                <c:pt idx="44">
                  <c:v>15657.95</c:v>
                </c:pt>
                <c:pt idx="45">
                  <c:v>15657.95</c:v>
                </c:pt>
                <c:pt idx="46">
                  <c:v>15657.95</c:v>
                </c:pt>
                <c:pt idx="47">
                  <c:v>15657.95</c:v>
                </c:pt>
                <c:pt idx="48">
                  <c:v>15657.95</c:v>
                </c:pt>
                <c:pt idx="49">
                  <c:v>15657.95</c:v>
                </c:pt>
                <c:pt idx="50">
                  <c:v>15657.95</c:v>
                </c:pt>
                <c:pt idx="51">
                  <c:v>15657.95</c:v>
                </c:pt>
                <c:pt idx="52">
                  <c:v>15657.95</c:v>
                </c:pt>
                <c:pt idx="53">
                  <c:v>15657.95</c:v>
                </c:pt>
                <c:pt idx="54">
                  <c:v>15657.95</c:v>
                </c:pt>
                <c:pt idx="55">
                  <c:v>15657.95</c:v>
                </c:pt>
                <c:pt idx="56">
                  <c:v>15657.95</c:v>
                </c:pt>
                <c:pt idx="57">
                  <c:v>15657.95</c:v>
                </c:pt>
                <c:pt idx="58">
                  <c:v>15657.95</c:v>
                </c:pt>
                <c:pt idx="59">
                  <c:v>15657.95</c:v>
                </c:pt>
                <c:pt idx="60">
                  <c:v>15657.95</c:v>
                </c:pt>
                <c:pt idx="61">
                  <c:v>15657.95</c:v>
                </c:pt>
                <c:pt idx="62">
                  <c:v>15657.95</c:v>
                </c:pt>
                <c:pt idx="63">
                  <c:v>15657.95</c:v>
                </c:pt>
                <c:pt idx="64">
                  <c:v>15657.95</c:v>
                </c:pt>
                <c:pt idx="65">
                  <c:v>15657.95</c:v>
                </c:pt>
                <c:pt idx="66">
                  <c:v>15657.95</c:v>
                </c:pt>
                <c:pt idx="67">
                  <c:v>15657.95</c:v>
                </c:pt>
                <c:pt idx="68">
                  <c:v>15657.95</c:v>
                </c:pt>
                <c:pt idx="69">
                  <c:v>15657.95</c:v>
                </c:pt>
                <c:pt idx="70">
                  <c:v>15657.95</c:v>
                </c:pt>
                <c:pt idx="71">
                  <c:v>15657.95</c:v>
                </c:pt>
                <c:pt idx="72">
                  <c:v>15657.95</c:v>
                </c:pt>
                <c:pt idx="73">
                  <c:v>15657.95</c:v>
                </c:pt>
                <c:pt idx="74">
                  <c:v>15657.95</c:v>
                </c:pt>
                <c:pt idx="75">
                  <c:v>15657.95</c:v>
                </c:pt>
                <c:pt idx="76">
                  <c:v>15657.95</c:v>
                </c:pt>
                <c:pt idx="77">
                  <c:v>15657.95</c:v>
                </c:pt>
                <c:pt idx="78">
                  <c:v>15657.95</c:v>
                </c:pt>
                <c:pt idx="79">
                  <c:v>15657.95</c:v>
                </c:pt>
                <c:pt idx="80">
                  <c:v>15657.95</c:v>
                </c:pt>
                <c:pt idx="81">
                  <c:v>15657.95</c:v>
                </c:pt>
                <c:pt idx="82">
                  <c:v>15657.95</c:v>
                </c:pt>
                <c:pt idx="83">
                  <c:v>15657.95</c:v>
                </c:pt>
                <c:pt idx="84">
                  <c:v>15657.95</c:v>
                </c:pt>
                <c:pt idx="85">
                  <c:v>15657.95</c:v>
                </c:pt>
                <c:pt idx="86">
                  <c:v>15657.95</c:v>
                </c:pt>
                <c:pt idx="87">
                  <c:v>15657.95</c:v>
                </c:pt>
                <c:pt idx="88">
                  <c:v>15657.95</c:v>
                </c:pt>
                <c:pt idx="89">
                  <c:v>15657.95</c:v>
                </c:pt>
                <c:pt idx="90">
                  <c:v>15657.95</c:v>
                </c:pt>
                <c:pt idx="91">
                  <c:v>15657.95</c:v>
                </c:pt>
                <c:pt idx="92">
                  <c:v>15657.95</c:v>
                </c:pt>
                <c:pt idx="93">
                  <c:v>15657.95</c:v>
                </c:pt>
                <c:pt idx="94">
                  <c:v>15657.95</c:v>
                </c:pt>
                <c:pt idx="95">
                  <c:v>15657.95</c:v>
                </c:pt>
                <c:pt idx="96">
                  <c:v>15657.95</c:v>
                </c:pt>
                <c:pt idx="97">
                  <c:v>15657.95</c:v>
                </c:pt>
                <c:pt idx="98">
                  <c:v>15657.95</c:v>
                </c:pt>
                <c:pt idx="99">
                  <c:v>15657.95</c:v>
                </c:pt>
                <c:pt idx="100">
                  <c:v>15657.95</c:v>
                </c:pt>
                <c:pt idx="101">
                  <c:v>15657.95</c:v>
                </c:pt>
                <c:pt idx="102">
                  <c:v>15657.95</c:v>
                </c:pt>
                <c:pt idx="103">
                  <c:v>15657.95</c:v>
                </c:pt>
                <c:pt idx="104">
                  <c:v>15657.95</c:v>
                </c:pt>
                <c:pt idx="105">
                  <c:v>15657.95</c:v>
                </c:pt>
                <c:pt idx="106">
                  <c:v>15657.95</c:v>
                </c:pt>
                <c:pt idx="107">
                  <c:v>15657.95</c:v>
                </c:pt>
                <c:pt idx="108">
                  <c:v>15657.95</c:v>
                </c:pt>
                <c:pt idx="109">
                  <c:v>15657.95</c:v>
                </c:pt>
                <c:pt idx="110">
                  <c:v>15657.95</c:v>
                </c:pt>
                <c:pt idx="111">
                  <c:v>15657.95</c:v>
                </c:pt>
                <c:pt idx="112">
                  <c:v>15657.95</c:v>
                </c:pt>
                <c:pt idx="113">
                  <c:v>15657.95</c:v>
                </c:pt>
                <c:pt idx="114">
                  <c:v>15657.95</c:v>
                </c:pt>
                <c:pt idx="115">
                  <c:v>15657.95</c:v>
                </c:pt>
                <c:pt idx="116">
                  <c:v>15657.95</c:v>
                </c:pt>
                <c:pt idx="117">
                  <c:v>15657.95</c:v>
                </c:pt>
                <c:pt idx="118">
                  <c:v>15657.95</c:v>
                </c:pt>
                <c:pt idx="119">
                  <c:v>15657.95</c:v>
                </c:pt>
                <c:pt idx="120">
                  <c:v>15657.95</c:v>
                </c:pt>
                <c:pt idx="121">
                  <c:v>15657.95</c:v>
                </c:pt>
                <c:pt idx="122">
                  <c:v>15657.95</c:v>
                </c:pt>
                <c:pt idx="123">
                  <c:v>15657.95</c:v>
                </c:pt>
                <c:pt idx="124">
                  <c:v>15657.95</c:v>
                </c:pt>
                <c:pt idx="125">
                  <c:v>15657.95</c:v>
                </c:pt>
                <c:pt idx="126">
                  <c:v>15657.95</c:v>
                </c:pt>
                <c:pt idx="127">
                  <c:v>15657.95</c:v>
                </c:pt>
                <c:pt idx="128">
                  <c:v>15657.95</c:v>
                </c:pt>
                <c:pt idx="129">
                  <c:v>15657.95</c:v>
                </c:pt>
                <c:pt idx="130">
                  <c:v>15657.95</c:v>
                </c:pt>
                <c:pt idx="131">
                  <c:v>15657.95</c:v>
                </c:pt>
                <c:pt idx="132">
                  <c:v>15657.95</c:v>
                </c:pt>
                <c:pt idx="133">
                  <c:v>15657.95</c:v>
                </c:pt>
                <c:pt idx="134">
                  <c:v>15657.95</c:v>
                </c:pt>
                <c:pt idx="135">
                  <c:v>15657.95</c:v>
                </c:pt>
                <c:pt idx="136">
                  <c:v>15657.95</c:v>
                </c:pt>
                <c:pt idx="137">
                  <c:v>15657.95</c:v>
                </c:pt>
                <c:pt idx="138">
                  <c:v>15657.95</c:v>
                </c:pt>
                <c:pt idx="139">
                  <c:v>15657.95</c:v>
                </c:pt>
                <c:pt idx="140">
                  <c:v>15657.95</c:v>
                </c:pt>
                <c:pt idx="141">
                  <c:v>15657.95</c:v>
                </c:pt>
                <c:pt idx="142">
                  <c:v>15657.95</c:v>
                </c:pt>
                <c:pt idx="143">
                  <c:v>15657.95</c:v>
                </c:pt>
                <c:pt idx="144">
                  <c:v>15657.95</c:v>
                </c:pt>
                <c:pt idx="145">
                  <c:v>15657.95</c:v>
                </c:pt>
                <c:pt idx="146">
                  <c:v>15657.95</c:v>
                </c:pt>
                <c:pt idx="147">
                  <c:v>15657.95</c:v>
                </c:pt>
                <c:pt idx="148">
                  <c:v>15657.95</c:v>
                </c:pt>
                <c:pt idx="149">
                  <c:v>15657.95</c:v>
                </c:pt>
                <c:pt idx="150">
                  <c:v>15657.95</c:v>
                </c:pt>
                <c:pt idx="151">
                  <c:v>15657.95</c:v>
                </c:pt>
                <c:pt idx="152">
                  <c:v>15657.95</c:v>
                </c:pt>
                <c:pt idx="153">
                  <c:v>15657.95</c:v>
                </c:pt>
                <c:pt idx="154">
                  <c:v>15657.95</c:v>
                </c:pt>
                <c:pt idx="155">
                  <c:v>15657.95</c:v>
                </c:pt>
                <c:pt idx="156">
                  <c:v>15657.95</c:v>
                </c:pt>
                <c:pt idx="157">
                  <c:v>15657.95</c:v>
                </c:pt>
                <c:pt idx="158">
                  <c:v>15657.95</c:v>
                </c:pt>
                <c:pt idx="159">
                  <c:v>15657.95</c:v>
                </c:pt>
                <c:pt idx="160">
                  <c:v>15657.95</c:v>
                </c:pt>
                <c:pt idx="161">
                  <c:v>15657.95</c:v>
                </c:pt>
                <c:pt idx="162">
                  <c:v>15657.95</c:v>
                </c:pt>
                <c:pt idx="163">
                  <c:v>15657.95</c:v>
                </c:pt>
                <c:pt idx="164">
                  <c:v>15657.95</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63.502813428589491</c:v>
                </c:pt>
                <c:pt idx="1">
                  <c:v>79.378516785736863</c:v>
                </c:pt>
                <c:pt idx="2">
                  <c:v>31.751406714294745</c:v>
                </c:pt>
                <c:pt idx="3">
                  <c:v>47.627110071442118</c:v>
                </c:pt>
                <c:pt idx="4">
                  <c:v>79.378516785736863</c:v>
                </c:pt>
                <c:pt idx="5">
                  <c:v>47.627110071442118</c:v>
                </c:pt>
                <c:pt idx="6">
                  <c:v>63.502813428589491</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134.21724955239381</c:v>
                </c:pt>
                <c:pt idx="1">
                  <c:v>134.21724955239381</c:v>
                </c:pt>
                <c:pt idx="2">
                  <c:v>134.21724955239381</c:v>
                </c:pt>
                <c:pt idx="3">
                  <c:v>134.21724955239381</c:v>
                </c:pt>
                <c:pt idx="4">
                  <c:v>134.21724955239381</c:v>
                </c:pt>
                <c:pt idx="5">
                  <c:v>134.21724955239381</c:v>
                </c:pt>
                <c:pt idx="6">
                  <c:v>134.21724955239381</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60.327672757160009</c:v>
                </c:pt>
                <c:pt idx="1">
                  <c:v>60.327672757160009</c:v>
                </c:pt>
                <c:pt idx="2">
                  <c:v>60.327672757160009</c:v>
                </c:pt>
                <c:pt idx="3">
                  <c:v>60.327672757160009</c:v>
                </c:pt>
                <c:pt idx="4">
                  <c:v>60.327672757160009</c:v>
                </c:pt>
                <c:pt idx="5">
                  <c:v>60.327672757160009</c:v>
                </c:pt>
                <c:pt idx="6">
                  <c:v>60.327672757160009</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44396</c:v>
                </c:pt>
                <c:pt idx="1">
                  <c:v>44403</c:v>
                </c:pt>
                <c:pt idx="2">
                  <c:v>44410</c:v>
                </c:pt>
                <c:pt idx="3">
                  <c:v>44417</c:v>
                </c:pt>
                <c:pt idx="4">
                  <c:v>44424</c:v>
                </c:pt>
                <c:pt idx="5">
                  <c:v>44431</c:v>
                </c:pt>
                <c:pt idx="6">
                  <c:v>44438</c:v>
                </c:pt>
                <c:pt idx="7">
                  <c:v>44445</c:v>
                </c:pt>
                <c:pt idx="8">
                  <c:v>44452</c:v>
                </c:pt>
                <c:pt idx="9">
                  <c:v>44459</c:v>
                </c:pt>
                <c:pt idx="10">
                  <c:v>44466</c:v>
                </c:pt>
                <c:pt idx="11">
                  <c:v>44473</c:v>
                </c:pt>
                <c:pt idx="12">
                  <c:v>44480</c:v>
                </c:pt>
                <c:pt idx="13">
                  <c:v>44487</c:v>
                </c:pt>
                <c:pt idx="14">
                  <c:v>44494</c:v>
                </c:pt>
                <c:pt idx="15">
                  <c:v>44501</c:v>
                </c:pt>
                <c:pt idx="16">
                  <c:v>44508</c:v>
                </c:pt>
                <c:pt idx="17">
                  <c:v>44515</c:v>
                </c:pt>
                <c:pt idx="18">
                  <c:v>44522</c:v>
                </c:pt>
                <c:pt idx="19">
                  <c:v>44529</c:v>
                </c:pt>
                <c:pt idx="20">
                  <c:v>44536</c:v>
                </c:pt>
                <c:pt idx="21">
                  <c:v>44543</c:v>
                </c:pt>
                <c:pt idx="22">
                  <c:v>44550</c:v>
                </c:pt>
                <c:pt idx="23">
                  <c:v>44557</c:v>
                </c:pt>
                <c:pt idx="24">
                  <c:v>44564</c:v>
                </c:pt>
                <c:pt idx="25">
                  <c:v>44571</c:v>
                </c:pt>
                <c:pt idx="26">
                  <c:v>44578</c:v>
                </c:pt>
                <c:pt idx="27">
                  <c:v>44585</c:v>
                </c:pt>
                <c:pt idx="28">
                  <c:v>44592</c:v>
                </c:pt>
                <c:pt idx="29">
                  <c:v>44599</c:v>
                </c:pt>
                <c:pt idx="30">
                  <c:v>44606</c:v>
                </c:pt>
                <c:pt idx="31">
                  <c:v>44613</c:v>
                </c:pt>
                <c:pt idx="32">
                  <c:v>44620</c:v>
                </c:pt>
                <c:pt idx="33">
                  <c:v>44627</c:v>
                </c:pt>
                <c:pt idx="34">
                  <c:v>44634</c:v>
                </c:pt>
                <c:pt idx="35">
                  <c:v>44641</c:v>
                </c:pt>
                <c:pt idx="36">
                  <c:v>44648</c:v>
                </c:pt>
                <c:pt idx="37">
                  <c:v>44655</c:v>
                </c:pt>
                <c:pt idx="38">
                  <c:v>44662</c:v>
                </c:pt>
                <c:pt idx="39">
                  <c:v>44669</c:v>
                </c:pt>
                <c:pt idx="40">
                  <c:v>44676</c:v>
                </c:pt>
                <c:pt idx="41">
                  <c:v>44683</c:v>
                </c:pt>
                <c:pt idx="42">
                  <c:v>44690</c:v>
                </c:pt>
                <c:pt idx="43">
                  <c:v>44697</c:v>
                </c:pt>
                <c:pt idx="44">
                  <c:v>44704</c:v>
                </c:pt>
                <c:pt idx="45">
                  <c:v>44711</c:v>
                </c:pt>
                <c:pt idx="46">
                  <c:v>44718</c:v>
                </c:pt>
                <c:pt idx="47">
                  <c:v>44725</c:v>
                </c:pt>
                <c:pt idx="48">
                  <c:v>44732</c:v>
                </c:pt>
                <c:pt idx="49">
                  <c:v>44739</c:v>
                </c:pt>
                <c:pt idx="50">
                  <c:v>44746</c:v>
                </c:pt>
                <c:pt idx="51">
                  <c:v>44753</c:v>
                </c:pt>
              </c:numCache>
            </c:numRef>
          </c:cat>
          <c:val>
            <c:numRef>
              <c:f>[0]!Cap_Chart_Core_Range</c:f>
              <c:numCache>
                <c:formatCode>#,##0</c:formatCode>
                <c:ptCount val="52"/>
                <c:pt idx="0">
                  <c:v>5044.8076923076915</c:v>
                </c:pt>
                <c:pt idx="1">
                  <c:v>5044.8076923076915</c:v>
                </c:pt>
                <c:pt idx="2">
                  <c:v>5044.8076923076915</c:v>
                </c:pt>
                <c:pt idx="3">
                  <c:v>5044.8076923076915</c:v>
                </c:pt>
                <c:pt idx="4">
                  <c:v>5044.8076923076915</c:v>
                </c:pt>
                <c:pt idx="5">
                  <c:v>5044.8076923076915</c:v>
                </c:pt>
                <c:pt idx="6">
                  <c:v>5044.8076923076915</c:v>
                </c:pt>
                <c:pt idx="7">
                  <c:v>5044.8076923076915</c:v>
                </c:pt>
                <c:pt idx="8">
                  <c:v>5044.8076923076915</c:v>
                </c:pt>
                <c:pt idx="9">
                  <c:v>5044.8076923076915</c:v>
                </c:pt>
                <c:pt idx="10">
                  <c:v>5044.8076923076915</c:v>
                </c:pt>
                <c:pt idx="11">
                  <c:v>5044.8076923076915</c:v>
                </c:pt>
                <c:pt idx="12">
                  <c:v>5044.8076923076915</c:v>
                </c:pt>
                <c:pt idx="13">
                  <c:v>5044.8076923076915</c:v>
                </c:pt>
                <c:pt idx="14">
                  <c:v>5044.8076923076915</c:v>
                </c:pt>
                <c:pt idx="15">
                  <c:v>5044.8076923076915</c:v>
                </c:pt>
                <c:pt idx="16">
                  <c:v>5044.8076923076915</c:v>
                </c:pt>
                <c:pt idx="17">
                  <c:v>5044.8076923076915</c:v>
                </c:pt>
                <c:pt idx="18">
                  <c:v>5044.8076923076915</c:v>
                </c:pt>
                <c:pt idx="19">
                  <c:v>5044.8076923076915</c:v>
                </c:pt>
                <c:pt idx="20">
                  <c:v>5044.8076923076915</c:v>
                </c:pt>
                <c:pt idx="21">
                  <c:v>5044.8076923076915</c:v>
                </c:pt>
                <c:pt idx="22">
                  <c:v>5044.8076923076915</c:v>
                </c:pt>
                <c:pt idx="23">
                  <c:v>5044.8076923076915</c:v>
                </c:pt>
                <c:pt idx="24">
                  <c:v>5044.8076923076915</c:v>
                </c:pt>
                <c:pt idx="25">
                  <c:v>5044.8076923076915</c:v>
                </c:pt>
                <c:pt idx="26">
                  <c:v>5044.8076923076915</c:v>
                </c:pt>
                <c:pt idx="27">
                  <c:v>5044.8076923076915</c:v>
                </c:pt>
                <c:pt idx="28">
                  <c:v>5044.8076923076915</c:v>
                </c:pt>
                <c:pt idx="29">
                  <c:v>5044.8076923076915</c:v>
                </c:pt>
                <c:pt idx="30">
                  <c:v>5044.8076923076915</c:v>
                </c:pt>
                <c:pt idx="31">
                  <c:v>5044.8076923076915</c:v>
                </c:pt>
                <c:pt idx="32">
                  <c:v>5044.8076923076915</c:v>
                </c:pt>
                <c:pt idx="33">
                  <c:v>5044.8076923076915</c:v>
                </c:pt>
                <c:pt idx="34">
                  <c:v>5044.8076923076915</c:v>
                </c:pt>
                <c:pt idx="35">
                  <c:v>5044.8076923076915</c:v>
                </c:pt>
                <c:pt idx="36">
                  <c:v>5044.8076923076915</c:v>
                </c:pt>
                <c:pt idx="37">
                  <c:v>5044.8076923076915</c:v>
                </c:pt>
                <c:pt idx="38">
                  <c:v>5044.8076923076915</c:v>
                </c:pt>
                <c:pt idx="39">
                  <c:v>5044.8076923076915</c:v>
                </c:pt>
                <c:pt idx="40">
                  <c:v>5044.8076923076915</c:v>
                </c:pt>
                <c:pt idx="41">
                  <c:v>5044.8076923076915</c:v>
                </c:pt>
                <c:pt idx="42">
                  <c:v>5044.8076923076915</c:v>
                </c:pt>
                <c:pt idx="43">
                  <c:v>5044.8076923076915</c:v>
                </c:pt>
                <c:pt idx="44">
                  <c:v>5044.8076923076915</c:v>
                </c:pt>
                <c:pt idx="45">
                  <c:v>5044.8076923076915</c:v>
                </c:pt>
                <c:pt idx="46">
                  <c:v>5044.8076923076915</c:v>
                </c:pt>
                <c:pt idx="47">
                  <c:v>5044.8076923076915</c:v>
                </c:pt>
                <c:pt idx="48">
                  <c:v>5044.8076923076915</c:v>
                </c:pt>
                <c:pt idx="49">
                  <c:v>5044.8076923076915</c:v>
                </c:pt>
                <c:pt idx="50">
                  <c:v>5044.8076923076915</c:v>
                </c:pt>
                <c:pt idx="51">
                  <c:v>5044.8076923076915</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44396</c:v>
                </c:pt>
                <c:pt idx="1">
                  <c:v>44403</c:v>
                </c:pt>
                <c:pt idx="2">
                  <c:v>44410</c:v>
                </c:pt>
                <c:pt idx="3">
                  <c:v>44417</c:v>
                </c:pt>
                <c:pt idx="4">
                  <c:v>44424</c:v>
                </c:pt>
                <c:pt idx="5">
                  <c:v>44431</c:v>
                </c:pt>
                <c:pt idx="6">
                  <c:v>44438</c:v>
                </c:pt>
                <c:pt idx="7">
                  <c:v>44445</c:v>
                </c:pt>
                <c:pt idx="8">
                  <c:v>44452</c:v>
                </c:pt>
                <c:pt idx="9">
                  <c:v>44459</c:v>
                </c:pt>
                <c:pt idx="10">
                  <c:v>44466</c:v>
                </c:pt>
                <c:pt idx="11">
                  <c:v>44473</c:v>
                </c:pt>
                <c:pt idx="12">
                  <c:v>44480</c:v>
                </c:pt>
                <c:pt idx="13">
                  <c:v>44487</c:v>
                </c:pt>
                <c:pt idx="14">
                  <c:v>44494</c:v>
                </c:pt>
                <c:pt idx="15">
                  <c:v>44501</c:v>
                </c:pt>
                <c:pt idx="16">
                  <c:v>44508</c:v>
                </c:pt>
                <c:pt idx="17">
                  <c:v>44515</c:v>
                </c:pt>
                <c:pt idx="18">
                  <c:v>44522</c:v>
                </c:pt>
                <c:pt idx="19">
                  <c:v>44529</c:v>
                </c:pt>
                <c:pt idx="20">
                  <c:v>44536</c:v>
                </c:pt>
                <c:pt idx="21">
                  <c:v>44543</c:v>
                </c:pt>
                <c:pt idx="22">
                  <c:v>44550</c:v>
                </c:pt>
                <c:pt idx="23">
                  <c:v>44557</c:v>
                </c:pt>
                <c:pt idx="24">
                  <c:v>44564</c:v>
                </c:pt>
                <c:pt idx="25">
                  <c:v>44571</c:v>
                </c:pt>
                <c:pt idx="26">
                  <c:v>44578</c:v>
                </c:pt>
                <c:pt idx="27">
                  <c:v>44585</c:v>
                </c:pt>
                <c:pt idx="28">
                  <c:v>44592</c:v>
                </c:pt>
                <c:pt idx="29">
                  <c:v>44599</c:v>
                </c:pt>
                <c:pt idx="30">
                  <c:v>44606</c:v>
                </c:pt>
                <c:pt idx="31">
                  <c:v>44613</c:v>
                </c:pt>
                <c:pt idx="32">
                  <c:v>44620</c:v>
                </c:pt>
                <c:pt idx="33">
                  <c:v>44627</c:v>
                </c:pt>
                <c:pt idx="34">
                  <c:v>44634</c:v>
                </c:pt>
                <c:pt idx="35">
                  <c:v>44641</c:v>
                </c:pt>
                <c:pt idx="36">
                  <c:v>44648</c:v>
                </c:pt>
                <c:pt idx="37">
                  <c:v>44655</c:v>
                </c:pt>
                <c:pt idx="38">
                  <c:v>44662</c:v>
                </c:pt>
                <c:pt idx="39">
                  <c:v>44669</c:v>
                </c:pt>
                <c:pt idx="40">
                  <c:v>44676</c:v>
                </c:pt>
                <c:pt idx="41">
                  <c:v>44683</c:v>
                </c:pt>
                <c:pt idx="42">
                  <c:v>44690</c:v>
                </c:pt>
                <c:pt idx="43">
                  <c:v>44697</c:v>
                </c:pt>
                <c:pt idx="44">
                  <c:v>44704</c:v>
                </c:pt>
                <c:pt idx="45">
                  <c:v>44711</c:v>
                </c:pt>
                <c:pt idx="46">
                  <c:v>44718</c:v>
                </c:pt>
                <c:pt idx="47">
                  <c:v>44725</c:v>
                </c:pt>
                <c:pt idx="48">
                  <c:v>44732</c:v>
                </c:pt>
                <c:pt idx="49">
                  <c:v>44739</c:v>
                </c:pt>
                <c:pt idx="50">
                  <c:v>44746</c:v>
                </c:pt>
                <c:pt idx="51">
                  <c:v>44753</c:v>
                </c:pt>
              </c:numCache>
            </c:numRef>
          </c:cat>
          <c:val>
            <c:numRef>
              <c:f>[0]!Cap_Chart_Adhoc_Range</c:f>
              <c:numCache>
                <c:formatCode>#,##0</c:formatCode>
                <c:ptCount val="52"/>
                <c:pt idx="0">
                  <c:v>402.11538461538464</c:v>
                </c:pt>
                <c:pt idx="1">
                  <c:v>402.11538461538464</c:v>
                </c:pt>
                <c:pt idx="2">
                  <c:v>402.11538461538464</c:v>
                </c:pt>
                <c:pt idx="3">
                  <c:v>402.11538461538464</c:v>
                </c:pt>
                <c:pt idx="4">
                  <c:v>402.11538461538464</c:v>
                </c:pt>
                <c:pt idx="5">
                  <c:v>402.11538461538464</c:v>
                </c:pt>
                <c:pt idx="6">
                  <c:v>402.11538461538464</c:v>
                </c:pt>
                <c:pt idx="7">
                  <c:v>402.11538461538464</c:v>
                </c:pt>
                <c:pt idx="8">
                  <c:v>402.11538461538464</c:v>
                </c:pt>
                <c:pt idx="9">
                  <c:v>402.11538461538464</c:v>
                </c:pt>
                <c:pt idx="10">
                  <c:v>402.11538461538464</c:v>
                </c:pt>
                <c:pt idx="11">
                  <c:v>402.11538461538464</c:v>
                </c:pt>
                <c:pt idx="12">
                  <c:v>402.11538461538464</c:v>
                </c:pt>
                <c:pt idx="13">
                  <c:v>402.11538461538464</c:v>
                </c:pt>
                <c:pt idx="14">
                  <c:v>402.11538461538464</c:v>
                </c:pt>
                <c:pt idx="15">
                  <c:v>402.11538461538464</c:v>
                </c:pt>
                <c:pt idx="16">
                  <c:v>402.11538461538464</c:v>
                </c:pt>
                <c:pt idx="17">
                  <c:v>402.11538461538464</c:v>
                </c:pt>
                <c:pt idx="18">
                  <c:v>402.11538461538464</c:v>
                </c:pt>
                <c:pt idx="19">
                  <c:v>402.11538461538464</c:v>
                </c:pt>
                <c:pt idx="20">
                  <c:v>402.11538461538464</c:v>
                </c:pt>
                <c:pt idx="21">
                  <c:v>402.11538461538464</c:v>
                </c:pt>
                <c:pt idx="22">
                  <c:v>402.11538461538464</c:v>
                </c:pt>
                <c:pt idx="23">
                  <c:v>402.11538461538464</c:v>
                </c:pt>
                <c:pt idx="24">
                  <c:v>402.11538461538464</c:v>
                </c:pt>
                <c:pt idx="25">
                  <c:v>402.11538461538464</c:v>
                </c:pt>
                <c:pt idx="26">
                  <c:v>402.11538461538464</c:v>
                </c:pt>
                <c:pt idx="27">
                  <c:v>402.11538461538464</c:v>
                </c:pt>
                <c:pt idx="28">
                  <c:v>402.11538461538464</c:v>
                </c:pt>
                <c:pt idx="29">
                  <c:v>402.11538461538464</c:v>
                </c:pt>
                <c:pt idx="30">
                  <c:v>402.11538461538464</c:v>
                </c:pt>
                <c:pt idx="31">
                  <c:v>402.11538461538464</c:v>
                </c:pt>
                <c:pt idx="32">
                  <c:v>402.11538461538464</c:v>
                </c:pt>
                <c:pt idx="33">
                  <c:v>402.11538461538464</c:v>
                </c:pt>
                <c:pt idx="34">
                  <c:v>402.11538461538464</c:v>
                </c:pt>
                <c:pt idx="35">
                  <c:v>402.11538461538464</c:v>
                </c:pt>
                <c:pt idx="36">
                  <c:v>402.11538461538464</c:v>
                </c:pt>
                <c:pt idx="37">
                  <c:v>402.11538461538464</c:v>
                </c:pt>
                <c:pt idx="38">
                  <c:v>402.11538461538464</c:v>
                </c:pt>
                <c:pt idx="39">
                  <c:v>402.11538461538464</c:v>
                </c:pt>
                <c:pt idx="40">
                  <c:v>402.11538461538464</c:v>
                </c:pt>
                <c:pt idx="41">
                  <c:v>402.11538461538464</c:v>
                </c:pt>
                <c:pt idx="42">
                  <c:v>402.11538461538464</c:v>
                </c:pt>
                <c:pt idx="43">
                  <c:v>402.11538461538464</c:v>
                </c:pt>
                <c:pt idx="44">
                  <c:v>402.11538461538464</c:v>
                </c:pt>
                <c:pt idx="45">
                  <c:v>402.11538461538464</c:v>
                </c:pt>
                <c:pt idx="46">
                  <c:v>402.11538461538464</c:v>
                </c:pt>
                <c:pt idx="47">
                  <c:v>402.11538461538464</c:v>
                </c:pt>
                <c:pt idx="48">
                  <c:v>402.11538461538464</c:v>
                </c:pt>
                <c:pt idx="49">
                  <c:v>402.11538461538464</c:v>
                </c:pt>
                <c:pt idx="50">
                  <c:v>402.11538461538464</c:v>
                </c:pt>
                <c:pt idx="51">
                  <c:v>402.11538461538464</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14765</c:v>
                </c:pt>
                <c:pt idx="1">
                  <c:v>14765</c:v>
                </c:pt>
                <c:pt idx="2">
                  <c:v>14765</c:v>
                </c:pt>
                <c:pt idx="3">
                  <c:v>14765</c:v>
                </c:pt>
                <c:pt idx="4">
                  <c:v>14765</c:v>
                </c:pt>
                <c:pt idx="5">
                  <c:v>14765</c:v>
                </c:pt>
                <c:pt idx="6">
                  <c:v>14765</c:v>
                </c:pt>
                <c:pt idx="7">
                  <c:v>14765</c:v>
                </c:pt>
                <c:pt idx="8">
                  <c:v>14765</c:v>
                </c:pt>
                <c:pt idx="9">
                  <c:v>14765</c:v>
                </c:pt>
                <c:pt idx="10">
                  <c:v>14765</c:v>
                </c:pt>
                <c:pt idx="11">
                  <c:v>14765</c:v>
                </c:pt>
                <c:pt idx="12">
                  <c:v>14765</c:v>
                </c:pt>
                <c:pt idx="13">
                  <c:v>14765</c:v>
                </c:pt>
                <c:pt idx="14">
                  <c:v>14765</c:v>
                </c:pt>
                <c:pt idx="15">
                  <c:v>14765</c:v>
                </c:pt>
                <c:pt idx="16">
                  <c:v>14765</c:v>
                </c:pt>
                <c:pt idx="17">
                  <c:v>14765</c:v>
                </c:pt>
                <c:pt idx="18">
                  <c:v>14765</c:v>
                </c:pt>
                <c:pt idx="19">
                  <c:v>14765</c:v>
                </c:pt>
                <c:pt idx="20">
                  <c:v>14765</c:v>
                </c:pt>
                <c:pt idx="21">
                  <c:v>14765</c:v>
                </c:pt>
                <c:pt idx="22">
                  <c:v>14765</c:v>
                </c:pt>
                <c:pt idx="23">
                  <c:v>14765</c:v>
                </c:pt>
                <c:pt idx="24">
                  <c:v>14765</c:v>
                </c:pt>
                <c:pt idx="25">
                  <c:v>14765</c:v>
                </c:pt>
                <c:pt idx="26">
                  <c:v>14765</c:v>
                </c:pt>
                <c:pt idx="27">
                  <c:v>14765</c:v>
                </c:pt>
                <c:pt idx="28">
                  <c:v>14765</c:v>
                </c:pt>
                <c:pt idx="29">
                  <c:v>14765</c:v>
                </c:pt>
                <c:pt idx="30">
                  <c:v>14765</c:v>
                </c:pt>
                <c:pt idx="31">
                  <c:v>14765</c:v>
                </c:pt>
                <c:pt idx="32">
                  <c:v>14765</c:v>
                </c:pt>
                <c:pt idx="33">
                  <c:v>14765</c:v>
                </c:pt>
                <c:pt idx="34">
                  <c:v>14765</c:v>
                </c:pt>
                <c:pt idx="35">
                  <c:v>14765</c:v>
                </c:pt>
                <c:pt idx="36">
                  <c:v>14765</c:v>
                </c:pt>
                <c:pt idx="37">
                  <c:v>14765</c:v>
                </c:pt>
                <c:pt idx="38">
                  <c:v>14765</c:v>
                </c:pt>
                <c:pt idx="39">
                  <c:v>14765</c:v>
                </c:pt>
                <c:pt idx="40">
                  <c:v>14765</c:v>
                </c:pt>
                <c:pt idx="41">
                  <c:v>14765</c:v>
                </c:pt>
                <c:pt idx="42">
                  <c:v>14765</c:v>
                </c:pt>
                <c:pt idx="43">
                  <c:v>14765</c:v>
                </c:pt>
                <c:pt idx="44">
                  <c:v>14765</c:v>
                </c:pt>
                <c:pt idx="45">
                  <c:v>14765</c:v>
                </c:pt>
                <c:pt idx="46">
                  <c:v>14765</c:v>
                </c:pt>
                <c:pt idx="47">
                  <c:v>14765</c:v>
                </c:pt>
                <c:pt idx="48">
                  <c:v>14765</c:v>
                </c:pt>
                <c:pt idx="49">
                  <c:v>14765</c:v>
                </c:pt>
                <c:pt idx="50">
                  <c:v>14765</c:v>
                </c:pt>
                <c:pt idx="51">
                  <c:v>14765</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892.95000000000073</c:v>
                </c:pt>
                <c:pt idx="1">
                  <c:v>892.95000000000073</c:v>
                </c:pt>
                <c:pt idx="2">
                  <c:v>892.95000000000073</c:v>
                </c:pt>
                <c:pt idx="3">
                  <c:v>892.95000000000073</c:v>
                </c:pt>
                <c:pt idx="4">
                  <c:v>892.95000000000073</c:v>
                </c:pt>
                <c:pt idx="5">
                  <c:v>892.95000000000073</c:v>
                </c:pt>
                <c:pt idx="6">
                  <c:v>892.95000000000073</c:v>
                </c:pt>
                <c:pt idx="7">
                  <c:v>892.95000000000073</c:v>
                </c:pt>
                <c:pt idx="8">
                  <c:v>892.95000000000073</c:v>
                </c:pt>
                <c:pt idx="9">
                  <c:v>892.95000000000073</c:v>
                </c:pt>
                <c:pt idx="10">
                  <c:v>892.95000000000073</c:v>
                </c:pt>
                <c:pt idx="11">
                  <c:v>892.95000000000073</c:v>
                </c:pt>
                <c:pt idx="12">
                  <c:v>892.95000000000073</c:v>
                </c:pt>
                <c:pt idx="13">
                  <c:v>892.95000000000073</c:v>
                </c:pt>
                <c:pt idx="14">
                  <c:v>892.95000000000073</c:v>
                </c:pt>
                <c:pt idx="15">
                  <c:v>892.95000000000073</c:v>
                </c:pt>
                <c:pt idx="16">
                  <c:v>892.95000000000073</c:v>
                </c:pt>
                <c:pt idx="17">
                  <c:v>892.95000000000073</c:v>
                </c:pt>
                <c:pt idx="18">
                  <c:v>892.95000000000073</c:v>
                </c:pt>
                <c:pt idx="19">
                  <c:v>892.95000000000073</c:v>
                </c:pt>
                <c:pt idx="20">
                  <c:v>892.95000000000073</c:v>
                </c:pt>
                <c:pt idx="21">
                  <c:v>892.95000000000073</c:v>
                </c:pt>
                <c:pt idx="22">
                  <c:v>892.95000000000073</c:v>
                </c:pt>
                <c:pt idx="23">
                  <c:v>892.95000000000073</c:v>
                </c:pt>
                <c:pt idx="24">
                  <c:v>892.95000000000073</c:v>
                </c:pt>
                <c:pt idx="25">
                  <c:v>892.95000000000073</c:v>
                </c:pt>
                <c:pt idx="26">
                  <c:v>892.95000000000073</c:v>
                </c:pt>
                <c:pt idx="27">
                  <c:v>892.95000000000073</c:v>
                </c:pt>
                <c:pt idx="28">
                  <c:v>892.95000000000073</c:v>
                </c:pt>
                <c:pt idx="29">
                  <c:v>892.95000000000073</c:v>
                </c:pt>
                <c:pt idx="30">
                  <c:v>892.95000000000073</c:v>
                </c:pt>
                <c:pt idx="31">
                  <c:v>892.95000000000073</c:v>
                </c:pt>
                <c:pt idx="32">
                  <c:v>892.95000000000073</c:v>
                </c:pt>
                <c:pt idx="33">
                  <c:v>892.95000000000073</c:v>
                </c:pt>
                <c:pt idx="34">
                  <c:v>892.95000000000073</c:v>
                </c:pt>
                <c:pt idx="35">
                  <c:v>892.95000000000073</c:v>
                </c:pt>
                <c:pt idx="36">
                  <c:v>892.95000000000073</c:v>
                </c:pt>
                <c:pt idx="37">
                  <c:v>892.95000000000073</c:v>
                </c:pt>
                <c:pt idx="38">
                  <c:v>892.95000000000073</c:v>
                </c:pt>
                <c:pt idx="39">
                  <c:v>892.95000000000073</c:v>
                </c:pt>
                <c:pt idx="40">
                  <c:v>892.95000000000073</c:v>
                </c:pt>
                <c:pt idx="41">
                  <c:v>892.95000000000073</c:v>
                </c:pt>
                <c:pt idx="42">
                  <c:v>892.95000000000073</c:v>
                </c:pt>
                <c:pt idx="43">
                  <c:v>892.95000000000073</c:v>
                </c:pt>
                <c:pt idx="44">
                  <c:v>892.95000000000073</c:v>
                </c:pt>
                <c:pt idx="45">
                  <c:v>892.95000000000073</c:v>
                </c:pt>
                <c:pt idx="46">
                  <c:v>892.95000000000073</c:v>
                </c:pt>
                <c:pt idx="47">
                  <c:v>892.95000000000073</c:v>
                </c:pt>
                <c:pt idx="48">
                  <c:v>892.95000000000073</c:v>
                </c:pt>
                <c:pt idx="49">
                  <c:v>892.95000000000073</c:v>
                </c:pt>
                <c:pt idx="50">
                  <c:v>892.95000000000073</c:v>
                </c:pt>
                <c:pt idx="51">
                  <c:v>892.95000000000073</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3</c:v>
                </c:pt>
                <c:pt idx="1">
                  <c:v>2</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2</c:v>
                </c:pt>
                <c:pt idx="1">
                  <c:v>1</c:v>
                </c:pt>
                <c:pt idx="2">
                  <c:v>1</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1</c:v>
                </c:pt>
                <c:pt idx="1">
                  <c:v>1</c:v>
                </c:pt>
                <c:pt idx="2">
                  <c:v>1</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14765</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892.94999999998799</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4984.4800195505359</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402.1153846153843</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34172.587019230763</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3597.1144230769278</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49770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[0]!Summary_Blank</c:f>
              <c:numCache>
                <c:formatCode>#,##0</c:formatCode>
                <c:ptCount val="52"/>
                <c:pt idx="0">
                  <c:v>14765</c:v>
                </c:pt>
                <c:pt idx="1">
                  <c:v>14765</c:v>
                </c:pt>
                <c:pt idx="2">
                  <c:v>14765</c:v>
                </c:pt>
                <c:pt idx="3">
                  <c:v>14765</c:v>
                </c:pt>
                <c:pt idx="4">
                  <c:v>14765</c:v>
                </c:pt>
                <c:pt idx="5">
                  <c:v>14765</c:v>
                </c:pt>
                <c:pt idx="6">
                  <c:v>14765</c:v>
                </c:pt>
                <c:pt idx="7">
                  <c:v>14765</c:v>
                </c:pt>
                <c:pt idx="8">
                  <c:v>14765</c:v>
                </c:pt>
                <c:pt idx="9">
                  <c:v>14765</c:v>
                </c:pt>
                <c:pt idx="10">
                  <c:v>14765</c:v>
                </c:pt>
                <c:pt idx="11">
                  <c:v>14765</c:v>
                </c:pt>
                <c:pt idx="12">
                  <c:v>14765</c:v>
                </c:pt>
                <c:pt idx="13">
                  <c:v>14765</c:v>
                </c:pt>
                <c:pt idx="14">
                  <c:v>14765</c:v>
                </c:pt>
                <c:pt idx="15">
                  <c:v>14765</c:v>
                </c:pt>
                <c:pt idx="16">
                  <c:v>14765</c:v>
                </c:pt>
                <c:pt idx="17">
                  <c:v>14765</c:v>
                </c:pt>
                <c:pt idx="18">
                  <c:v>14765</c:v>
                </c:pt>
                <c:pt idx="19">
                  <c:v>14765</c:v>
                </c:pt>
                <c:pt idx="20">
                  <c:v>14765</c:v>
                </c:pt>
                <c:pt idx="21">
                  <c:v>14765</c:v>
                </c:pt>
                <c:pt idx="22">
                  <c:v>14765</c:v>
                </c:pt>
                <c:pt idx="23">
                  <c:v>14765</c:v>
                </c:pt>
                <c:pt idx="24">
                  <c:v>14765</c:v>
                </c:pt>
                <c:pt idx="25">
                  <c:v>14765</c:v>
                </c:pt>
                <c:pt idx="26">
                  <c:v>14765</c:v>
                </c:pt>
                <c:pt idx="27">
                  <c:v>14765</c:v>
                </c:pt>
                <c:pt idx="28">
                  <c:v>14765</c:v>
                </c:pt>
                <c:pt idx="29">
                  <c:v>14765</c:v>
                </c:pt>
                <c:pt idx="30">
                  <c:v>14765</c:v>
                </c:pt>
                <c:pt idx="31">
                  <c:v>14765</c:v>
                </c:pt>
                <c:pt idx="32">
                  <c:v>14765</c:v>
                </c:pt>
                <c:pt idx="33">
                  <c:v>14765</c:v>
                </c:pt>
                <c:pt idx="34">
                  <c:v>14765</c:v>
                </c:pt>
                <c:pt idx="35">
                  <c:v>14765</c:v>
                </c:pt>
                <c:pt idx="36">
                  <c:v>14765</c:v>
                </c:pt>
                <c:pt idx="37">
                  <c:v>14765</c:v>
                </c:pt>
                <c:pt idx="38">
                  <c:v>14765</c:v>
                </c:pt>
                <c:pt idx="39">
                  <c:v>14765</c:v>
                </c:pt>
                <c:pt idx="40">
                  <c:v>14765</c:v>
                </c:pt>
                <c:pt idx="41">
                  <c:v>14765</c:v>
                </c:pt>
                <c:pt idx="42">
                  <c:v>14765</c:v>
                </c:pt>
                <c:pt idx="43">
                  <c:v>14765</c:v>
                </c:pt>
                <c:pt idx="44">
                  <c:v>14765</c:v>
                </c:pt>
                <c:pt idx="45">
                  <c:v>14765</c:v>
                </c:pt>
                <c:pt idx="46">
                  <c:v>14765</c:v>
                </c:pt>
                <c:pt idx="47">
                  <c:v>14765</c:v>
                </c:pt>
                <c:pt idx="48">
                  <c:v>14765</c:v>
                </c:pt>
                <c:pt idx="49">
                  <c:v>14765</c:v>
                </c:pt>
                <c:pt idx="50">
                  <c:v>14765</c:v>
                </c:pt>
                <c:pt idx="51">
                  <c:v>14765</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[0]!Summary_Req</c:f>
              <c:numCache>
                <c:formatCode>#,##0</c:formatCode>
                <c:ptCount val="52"/>
                <c:pt idx="0">
                  <c:v>892.95000000000073</c:v>
                </c:pt>
                <c:pt idx="1">
                  <c:v>892.95000000000073</c:v>
                </c:pt>
                <c:pt idx="2">
                  <c:v>892.95000000000073</c:v>
                </c:pt>
                <c:pt idx="3">
                  <c:v>892.95000000000073</c:v>
                </c:pt>
                <c:pt idx="4">
                  <c:v>892.95000000000073</c:v>
                </c:pt>
                <c:pt idx="5">
                  <c:v>892.95000000000073</c:v>
                </c:pt>
                <c:pt idx="6">
                  <c:v>892.95000000000073</c:v>
                </c:pt>
                <c:pt idx="7">
                  <c:v>892.95000000000073</c:v>
                </c:pt>
                <c:pt idx="8">
                  <c:v>892.95000000000073</c:v>
                </c:pt>
                <c:pt idx="9">
                  <c:v>892.95000000000073</c:v>
                </c:pt>
                <c:pt idx="10">
                  <c:v>892.95000000000073</c:v>
                </c:pt>
                <c:pt idx="11">
                  <c:v>892.95000000000073</c:v>
                </c:pt>
                <c:pt idx="12">
                  <c:v>892.95000000000073</c:v>
                </c:pt>
                <c:pt idx="13">
                  <c:v>892.95000000000073</c:v>
                </c:pt>
                <c:pt idx="14">
                  <c:v>892.95000000000073</c:v>
                </c:pt>
                <c:pt idx="15">
                  <c:v>892.95000000000073</c:v>
                </c:pt>
                <c:pt idx="16">
                  <c:v>892.95000000000073</c:v>
                </c:pt>
                <c:pt idx="17">
                  <c:v>892.95000000000073</c:v>
                </c:pt>
                <c:pt idx="18">
                  <c:v>892.95000000000073</c:v>
                </c:pt>
                <c:pt idx="19">
                  <c:v>892.95000000000073</c:v>
                </c:pt>
                <c:pt idx="20">
                  <c:v>892.95000000000073</c:v>
                </c:pt>
                <c:pt idx="21">
                  <c:v>892.95000000000073</c:v>
                </c:pt>
                <c:pt idx="22">
                  <c:v>892.95000000000073</c:v>
                </c:pt>
                <c:pt idx="23">
                  <c:v>892.95000000000073</c:v>
                </c:pt>
                <c:pt idx="24">
                  <c:v>892.95000000000073</c:v>
                </c:pt>
                <c:pt idx="25">
                  <c:v>892.95000000000073</c:v>
                </c:pt>
                <c:pt idx="26">
                  <c:v>892.95000000000073</c:v>
                </c:pt>
                <c:pt idx="27">
                  <c:v>892.95000000000073</c:v>
                </c:pt>
                <c:pt idx="28">
                  <c:v>892.95000000000073</c:v>
                </c:pt>
                <c:pt idx="29">
                  <c:v>892.95000000000073</c:v>
                </c:pt>
                <c:pt idx="30">
                  <c:v>892.95000000000073</c:v>
                </c:pt>
                <c:pt idx="31">
                  <c:v>892.95000000000073</c:v>
                </c:pt>
                <c:pt idx="32">
                  <c:v>892.95000000000073</c:v>
                </c:pt>
                <c:pt idx="33">
                  <c:v>892.95000000000073</c:v>
                </c:pt>
                <c:pt idx="34">
                  <c:v>892.95000000000073</c:v>
                </c:pt>
                <c:pt idx="35">
                  <c:v>892.95000000000073</c:v>
                </c:pt>
                <c:pt idx="36">
                  <c:v>892.95000000000073</c:v>
                </c:pt>
                <c:pt idx="37">
                  <c:v>892.95000000000073</c:v>
                </c:pt>
                <c:pt idx="38">
                  <c:v>892.95000000000073</c:v>
                </c:pt>
                <c:pt idx="39">
                  <c:v>892.95000000000073</c:v>
                </c:pt>
                <c:pt idx="40">
                  <c:v>892.95000000000073</c:v>
                </c:pt>
                <c:pt idx="41">
                  <c:v>892.95000000000073</c:v>
                </c:pt>
                <c:pt idx="42">
                  <c:v>892.95000000000073</c:v>
                </c:pt>
                <c:pt idx="43">
                  <c:v>892.95000000000073</c:v>
                </c:pt>
                <c:pt idx="44">
                  <c:v>892.95000000000073</c:v>
                </c:pt>
                <c:pt idx="45">
                  <c:v>892.95000000000073</c:v>
                </c:pt>
                <c:pt idx="46">
                  <c:v>892.95000000000073</c:v>
                </c:pt>
                <c:pt idx="47">
                  <c:v>892.95000000000073</c:v>
                </c:pt>
                <c:pt idx="48">
                  <c:v>892.95000000000073</c:v>
                </c:pt>
                <c:pt idx="49">
                  <c:v>892.95000000000073</c:v>
                </c:pt>
                <c:pt idx="50">
                  <c:v>892.95000000000073</c:v>
                </c:pt>
                <c:pt idx="51">
                  <c:v>892.95000000000073</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4984.4800195505322</c:v>
                </c:pt>
                <c:pt idx="1">
                  <c:v>4984.4800195505322</c:v>
                </c:pt>
                <c:pt idx="2">
                  <c:v>4984.4800195505322</c:v>
                </c:pt>
                <c:pt idx="3">
                  <c:v>4984.4800195505322</c:v>
                </c:pt>
                <c:pt idx="4">
                  <c:v>4984.4800195505322</c:v>
                </c:pt>
                <c:pt idx="5">
                  <c:v>4984.4800195505322</c:v>
                </c:pt>
                <c:pt idx="6">
                  <c:v>4984.4800195505322</c:v>
                </c:pt>
                <c:pt idx="7">
                  <c:v>4984.4800195505322</c:v>
                </c:pt>
                <c:pt idx="8">
                  <c:v>4984.4800195505322</c:v>
                </c:pt>
                <c:pt idx="9">
                  <c:v>4984.4800195505322</c:v>
                </c:pt>
                <c:pt idx="10">
                  <c:v>4984.4800195505322</c:v>
                </c:pt>
                <c:pt idx="11">
                  <c:v>4984.4800195505322</c:v>
                </c:pt>
                <c:pt idx="12">
                  <c:v>4984.4800195505322</c:v>
                </c:pt>
                <c:pt idx="13">
                  <c:v>4984.4800195505322</c:v>
                </c:pt>
                <c:pt idx="14">
                  <c:v>4984.4800195505322</c:v>
                </c:pt>
                <c:pt idx="15">
                  <c:v>4984.4800195505322</c:v>
                </c:pt>
                <c:pt idx="16">
                  <c:v>4984.4800195505322</c:v>
                </c:pt>
                <c:pt idx="17">
                  <c:v>4984.4800195505322</c:v>
                </c:pt>
                <c:pt idx="18">
                  <c:v>4984.4800195505322</c:v>
                </c:pt>
                <c:pt idx="19">
                  <c:v>4984.4800195505322</c:v>
                </c:pt>
                <c:pt idx="20">
                  <c:v>4984.4800195505322</c:v>
                </c:pt>
                <c:pt idx="21">
                  <c:v>4984.4800195505322</c:v>
                </c:pt>
                <c:pt idx="22">
                  <c:v>4984.4800195505322</c:v>
                </c:pt>
                <c:pt idx="23">
                  <c:v>4984.4800195505322</c:v>
                </c:pt>
                <c:pt idx="24">
                  <c:v>4984.4800195505322</c:v>
                </c:pt>
                <c:pt idx="25">
                  <c:v>4984.4800195505322</c:v>
                </c:pt>
                <c:pt idx="26">
                  <c:v>4984.4800195505322</c:v>
                </c:pt>
                <c:pt idx="27">
                  <c:v>4984.4800195505322</c:v>
                </c:pt>
                <c:pt idx="28">
                  <c:v>4984.4800195505322</c:v>
                </c:pt>
                <c:pt idx="29">
                  <c:v>4984.4800195505322</c:v>
                </c:pt>
                <c:pt idx="30">
                  <c:v>4984.4800195505322</c:v>
                </c:pt>
                <c:pt idx="31">
                  <c:v>4984.4800195505322</c:v>
                </c:pt>
                <c:pt idx="32">
                  <c:v>4984.4800195505322</c:v>
                </c:pt>
                <c:pt idx="33">
                  <c:v>4984.4800195505322</c:v>
                </c:pt>
                <c:pt idx="34">
                  <c:v>4984.4800195505322</c:v>
                </c:pt>
                <c:pt idx="35">
                  <c:v>4984.4800195505322</c:v>
                </c:pt>
                <c:pt idx="36">
                  <c:v>4984.4800195505322</c:v>
                </c:pt>
                <c:pt idx="37">
                  <c:v>4984.4800195505322</c:v>
                </c:pt>
                <c:pt idx="38">
                  <c:v>4984.4800195505322</c:v>
                </c:pt>
                <c:pt idx="39">
                  <c:v>4984.4800195505322</c:v>
                </c:pt>
                <c:pt idx="40">
                  <c:v>4984.4800195505322</c:v>
                </c:pt>
                <c:pt idx="41">
                  <c:v>4984.4800195505322</c:v>
                </c:pt>
                <c:pt idx="42">
                  <c:v>4984.4800195505322</c:v>
                </c:pt>
                <c:pt idx="43">
                  <c:v>4984.4800195505322</c:v>
                </c:pt>
                <c:pt idx="44">
                  <c:v>4984.4800195505322</c:v>
                </c:pt>
                <c:pt idx="45">
                  <c:v>4984.4800195505322</c:v>
                </c:pt>
                <c:pt idx="46">
                  <c:v>4984.4800195505322</c:v>
                </c:pt>
                <c:pt idx="47">
                  <c:v>4984.4800195505322</c:v>
                </c:pt>
                <c:pt idx="48">
                  <c:v>4984.4800195505322</c:v>
                </c:pt>
                <c:pt idx="49">
                  <c:v>4984.4800195505322</c:v>
                </c:pt>
                <c:pt idx="50">
                  <c:v>4984.4800195505322</c:v>
                </c:pt>
                <c:pt idx="51">
                  <c:v>4984.4800195505322</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402.11538461538464</c:v>
                </c:pt>
                <c:pt idx="1">
                  <c:v>402.11538461538464</c:v>
                </c:pt>
                <c:pt idx="2">
                  <c:v>402.11538461538464</c:v>
                </c:pt>
                <c:pt idx="3">
                  <c:v>402.11538461538464</c:v>
                </c:pt>
                <c:pt idx="4">
                  <c:v>402.11538461538464</c:v>
                </c:pt>
                <c:pt idx="5">
                  <c:v>402.11538461538464</c:v>
                </c:pt>
                <c:pt idx="6">
                  <c:v>402.11538461538464</c:v>
                </c:pt>
                <c:pt idx="7">
                  <c:v>402.11538461538464</c:v>
                </c:pt>
                <c:pt idx="8">
                  <c:v>402.11538461538464</c:v>
                </c:pt>
                <c:pt idx="9">
                  <c:v>402.11538461538464</c:v>
                </c:pt>
                <c:pt idx="10">
                  <c:v>402.11538461538464</c:v>
                </c:pt>
                <c:pt idx="11">
                  <c:v>402.11538461538464</c:v>
                </c:pt>
                <c:pt idx="12">
                  <c:v>402.11538461538464</c:v>
                </c:pt>
                <c:pt idx="13">
                  <c:v>402.11538461538464</c:v>
                </c:pt>
                <c:pt idx="14">
                  <c:v>402.11538461538464</c:v>
                </c:pt>
                <c:pt idx="15">
                  <c:v>402.11538461538464</c:v>
                </c:pt>
                <c:pt idx="16">
                  <c:v>402.11538461538464</c:v>
                </c:pt>
                <c:pt idx="17">
                  <c:v>402.11538461538464</c:v>
                </c:pt>
                <c:pt idx="18">
                  <c:v>402.11538461538464</c:v>
                </c:pt>
                <c:pt idx="19">
                  <c:v>402.11538461538464</c:v>
                </c:pt>
                <c:pt idx="20">
                  <c:v>402.11538461538464</c:v>
                </c:pt>
                <c:pt idx="21">
                  <c:v>402.11538461538464</c:v>
                </c:pt>
                <c:pt idx="22">
                  <c:v>402.11538461538464</c:v>
                </c:pt>
                <c:pt idx="23">
                  <c:v>402.11538461538464</c:v>
                </c:pt>
                <c:pt idx="24">
                  <c:v>402.11538461538464</c:v>
                </c:pt>
                <c:pt idx="25">
                  <c:v>402.11538461538464</c:v>
                </c:pt>
                <c:pt idx="26">
                  <c:v>402.11538461538464</c:v>
                </c:pt>
                <c:pt idx="27">
                  <c:v>402.11538461538464</c:v>
                </c:pt>
                <c:pt idx="28">
                  <c:v>402.11538461538464</c:v>
                </c:pt>
                <c:pt idx="29">
                  <c:v>402.11538461538464</c:v>
                </c:pt>
                <c:pt idx="30">
                  <c:v>402.11538461538464</c:v>
                </c:pt>
                <c:pt idx="31">
                  <c:v>402.11538461538464</c:v>
                </c:pt>
                <c:pt idx="32">
                  <c:v>402.11538461538464</c:v>
                </c:pt>
                <c:pt idx="33">
                  <c:v>402.11538461538464</c:v>
                </c:pt>
                <c:pt idx="34">
                  <c:v>402.11538461538464</c:v>
                </c:pt>
                <c:pt idx="35">
                  <c:v>402.11538461538464</c:v>
                </c:pt>
                <c:pt idx="36">
                  <c:v>402.11538461538464</c:v>
                </c:pt>
                <c:pt idx="37">
                  <c:v>402.11538461538464</c:v>
                </c:pt>
                <c:pt idx="38">
                  <c:v>402.11538461538464</c:v>
                </c:pt>
                <c:pt idx="39">
                  <c:v>402.11538461538464</c:v>
                </c:pt>
                <c:pt idx="40">
                  <c:v>402.11538461538464</c:v>
                </c:pt>
                <c:pt idx="41">
                  <c:v>402.11538461538464</c:v>
                </c:pt>
                <c:pt idx="42">
                  <c:v>402.11538461538464</c:v>
                </c:pt>
                <c:pt idx="43">
                  <c:v>402.11538461538464</c:v>
                </c:pt>
                <c:pt idx="44">
                  <c:v>402.11538461538464</c:v>
                </c:pt>
                <c:pt idx="45">
                  <c:v>402.11538461538464</c:v>
                </c:pt>
                <c:pt idx="46">
                  <c:v>402.11538461538464</c:v>
                </c:pt>
                <c:pt idx="47">
                  <c:v>402.11538461538464</c:v>
                </c:pt>
                <c:pt idx="48">
                  <c:v>402.11538461538464</c:v>
                </c:pt>
                <c:pt idx="49">
                  <c:v>402.11538461538464</c:v>
                </c:pt>
                <c:pt idx="50">
                  <c:v>402.11538461538464</c:v>
                </c:pt>
                <c:pt idx="51">
                  <c:v>402.11538461538464</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34172.587019230763</c:v>
                </c:pt>
                <c:pt idx="1">
                  <c:v>34172.587019230763</c:v>
                </c:pt>
                <c:pt idx="2">
                  <c:v>34172.587019230763</c:v>
                </c:pt>
                <c:pt idx="3">
                  <c:v>34172.587019230763</c:v>
                </c:pt>
                <c:pt idx="4">
                  <c:v>34172.587019230763</c:v>
                </c:pt>
                <c:pt idx="5">
                  <c:v>34172.587019230763</c:v>
                </c:pt>
                <c:pt idx="6">
                  <c:v>34172.587019230763</c:v>
                </c:pt>
                <c:pt idx="7">
                  <c:v>34172.587019230763</c:v>
                </c:pt>
                <c:pt idx="8">
                  <c:v>34172.587019230763</c:v>
                </c:pt>
                <c:pt idx="9">
                  <c:v>34172.587019230763</c:v>
                </c:pt>
                <c:pt idx="10">
                  <c:v>34172.587019230763</c:v>
                </c:pt>
                <c:pt idx="11">
                  <c:v>34172.587019230763</c:v>
                </c:pt>
                <c:pt idx="12">
                  <c:v>34172.587019230763</c:v>
                </c:pt>
                <c:pt idx="13">
                  <c:v>34172.587019230763</c:v>
                </c:pt>
                <c:pt idx="14">
                  <c:v>34172.587019230763</c:v>
                </c:pt>
                <c:pt idx="15">
                  <c:v>34172.587019230763</c:v>
                </c:pt>
                <c:pt idx="16">
                  <c:v>34172.587019230763</c:v>
                </c:pt>
                <c:pt idx="17">
                  <c:v>34172.587019230763</c:v>
                </c:pt>
                <c:pt idx="18">
                  <c:v>34172.587019230763</c:v>
                </c:pt>
                <c:pt idx="19">
                  <c:v>34172.587019230763</c:v>
                </c:pt>
                <c:pt idx="20">
                  <c:v>34172.587019230763</c:v>
                </c:pt>
                <c:pt idx="21">
                  <c:v>34172.587019230763</c:v>
                </c:pt>
                <c:pt idx="22">
                  <c:v>34172.587019230763</c:v>
                </c:pt>
                <c:pt idx="23">
                  <c:v>34172.587019230763</c:v>
                </c:pt>
                <c:pt idx="24">
                  <c:v>34172.587019230763</c:v>
                </c:pt>
                <c:pt idx="25">
                  <c:v>34172.587019230763</c:v>
                </c:pt>
                <c:pt idx="26">
                  <c:v>34172.587019230763</c:v>
                </c:pt>
                <c:pt idx="27">
                  <c:v>34172.587019230763</c:v>
                </c:pt>
                <c:pt idx="28">
                  <c:v>34172.587019230763</c:v>
                </c:pt>
                <c:pt idx="29">
                  <c:v>34172.587019230763</c:v>
                </c:pt>
                <c:pt idx="30">
                  <c:v>34172.587019230763</c:v>
                </c:pt>
                <c:pt idx="31">
                  <c:v>34172.587019230763</c:v>
                </c:pt>
                <c:pt idx="32">
                  <c:v>34172.587019230763</c:v>
                </c:pt>
                <c:pt idx="33">
                  <c:v>34172.587019230763</c:v>
                </c:pt>
                <c:pt idx="34">
                  <c:v>34172.587019230763</c:v>
                </c:pt>
                <c:pt idx="35">
                  <c:v>34172.587019230763</c:v>
                </c:pt>
                <c:pt idx="36">
                  <c:v>34172.587019230763</c:v>
                </c:pt>
                <c:pt idx="37">
                  <c:v>34172.587019230763</c:v>
                </c:pt>
                <c:pt idx="38">
                  <c:v>34172.587019230763</c:v>
                </c:pt>
                <c:pt idx="39">
                  <c:v>34172.587019230763</c:v>
                </c:pt>
                <c:pt idx="40">
                  <c:v>34172.587019230763</c:v>
                </c:pt>
                <c:pt idx="41">
                  <c:v>34172.587019230763</c:v>
                </c:pt>
                <c:pt idx="42">
                  <c:v>34172.587019230763</c:v>
                </c:pt>
                <c:pt idx="43">
                  <c:v>34172.587019230763</c:v>
                </c:pt>
                <c:pt idx="44">
                  <c:v>34172.587019230763</c:v>
                </c:pt>
                <c:pt idx="45">
                  <c:v>34172.587019230763</c:v>
                </c:pt>
                <c:pt idx="46">
                  <c:v>34172.587019230763</c:v>
                </c:pt>
                <c:pt idx="47">
                  <c:v>34172.587019230763</c:v>
                </c:pt>
                <c:pt idx="48">
                  <c:v>34172.587019230763</c:v>
                </c:pt>
                <c:pt idx="49">
                  <c:v>34172.587019230763</c:v>
                </c:pt>
                <c:pt idx="50">
                  <c:v>34172.587019230763</c:v>
                </c:pt>
                <c:pt idx="51">
                  <c:v>34172.587019230763</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3597.1144230769278</c:v>
                </c:pt>
                <c:pt idx="1">
                  <c:v>3597.1144230769278</c:v>
                </c:pt>
                <c:pt idx="2">
                  <c:v>3597.1144230769278</c:v>
                </c:pt>
                <c:pt idx="3">
                  <c:v>3597.1144230769278</c:v>
                </c:pt>
                <c:pt idx="4">
                  <c:v>3597.1144230769278</c:v>
                </c:pt>
                <c:pt idx="5">
                  <c:v>3597.1144230769278</c:v>
                </c:pt>
                <c:pt idx="6">
                  <c:v>3597.1144230769278</c:v>
                </c:pt>
                <c:pt idx="7">
                  <c:v>3597.1144230769278</c:v>
                </c:pt>
                <c:pt idx="8">
                  <c:v>3597.1144230769278</c:v>
                </c:pt>
                <c:pt idx="9">
                  <c:v>3597.1144230769278</c:v>
                </c:pt>
                <c:pt idx="10">
                  <c:v>3597.1144230769278</c:v>
                </c:pt>
                <c:pt idx="11">
                  <c:v>3597.1144230769278</c:v>
                </c:pt>
                <c:pt idx="12">
                  <c:v>3597.1144230769278</c:v>
                </c:pt>
                <c:pt idx="13">
                  <c:v>3597.1144230769278</c:v>
                </c:pt>
                <c:pt idx="14">
                  <c:v>3597.1144230769278</c:v>
                </c:pt>
                <c:pt idx="15">
                  <c:v>3597.1144230769278</c:v>
                </c:pt>
                <c:pt idx="16">
                  <c:v>3597.1144230769278</c:v>
                </c:pt>
                <c:pt idx="17">
                  <c:v>3597.1144230769278</c:v>
                </c:pt>
                <c:pt idx="18">
                  <c:v>3597.1144230769278</c:v>
                </c:pt>
                <c:pt idx="19">
                  <c:v>3597.1144230769278</c:v>
                </c:pt>
                <c:pt idx="20">
                  <c:v>3597.1144230769278</c:v>
                </c:pt>
                <c:pt idx="21">
                  <c:v>3597.1144230769278</c:v>
                </c:pt>
                <c:pt idx="22">
                  <c:v>3597.1144230769278</c:v>
                </c:pt>
                <c:pt idx="23">
                  <c:v>3597.1144230769278</c:v>
                </c:pt>
                <c:pt idx="24">
                  <c:v>3597.1144230769278</c:v>
                </c:pt>
                <c:pt idx="25">
                  <c:v>3597.1144230769278</c:v>
                </c:pt>
                <c:pt idx="26">
                  <c:v>3597.1144230769278</c:v>
                </c:pt>
                <c:pt idx="27">
                  <c:v>3597.1144230769278</c:v>
                </c:pt>
                <c:pt idx="28">
                  <c:v>3597.1144230769278</c:v>
                </c:pt>
                <c:pt idx="29">
                  <c:v>3597.1144230769278</c:v>
                </c:pt>
                <c:pt idx="30">
                  <c:v>3597.1144230769278</c:v>
                </c:pt>
                <c:pt idx="31">
                  <c:v>3597.1144230769278</c:v>
                </c:pt>
                <c:pt idx="32">
                  <c:v>3597.1144230769278</c:v>
                </c:pt>
                <c:pt idx="33">
                  <c:v>3597.1144230769278</c:v>
                </c:pt>
                <c:pt idx="34">
                  <c:v>3597.1144230769278</c:v>
                </c:pt>
                <c:pt idx="35">
                  <c:v>3597.1144230769278</c:v>
                </c:pt>
                <c:pt idx="36">
                  <c:v>3597.1144230769278</c:v>
                </c:pt>
                <c:pt idx="37">
                  <c:v>3597.1144230769278</c:v>
                </c:pt>
                <c:pt idx="38">
                  <c:v>3597.1144230769278</c:v>
                </c:pt>
                <c:pt idx="39">
                  <c:v>3597.1144230769278</c:v>
                </c:pt>
                <c:pt idx="40">
                  <c:v>3597.1144230769278</c:v>
                </c:pt>
                <c:pt idx="41">
                  <c:v>3597.1144230769278</c:v>
                </c:pt>
                <c:pt idx="42">
                  <c:v>3597.1144230769278</c:v>
                </c:pt>
                <c:pt idx="43">
                  <c:v>3597.1144230769278</c:v>
                </c:pt>
                <c:pt idx="44">
                  <c:v>3597.1144230769278</c:v>
                </c:pt>
                <c:pt idx="45">
                  <c:v>3597.1144230769278</c:v>
                </c:pt>
                <c:pt idx="46">
                  <c:v>3597.1144230769278</c:v>
                </c:pt>
                <c:pt idx="47">
                  <c:v>3597.1144230769278</c:v>
                </c:pt>
                <c:pt idx="48">
                  <c:v>3597.1144230769278</c:v>
                </c:pt>
                <c:pt idx="49">
                  <c:v>3597.1144230769278</c:v>
                </c:pt>
                <c:pt idx="50">
                  <c:v>3597.1144230769278</c:v>
                </c:pt>
                <c:pt idx="51">
                  <c:v>3597.1144230769278</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(hide)'!$AD$4:$AD$55</c:f>
              <c:numCache>
                <c:formatCode>General</c:formatCode>
                <c:ptCount val="52"/>
                <c:pt idx="0">
                  <c:v>14765</c:v>
                </c:pt>
                <c:pt idx="1">
                  <c:v>14765</c:v>
                </c:pt>
                <c:pt idx="2">
                  <c:v>14765</c:v>
                </c:pt>
                <c:pt idx="3">
                  <c:v>14765</c:v>
                </c:pt>
                <c:pt idx="4">
                  <c:v>14765</c:v>
                </c:pt>
                <c:pt idx="5">
                  <c:v>14765</c:v>
                </c:pt>
                <c:pt idx="6">
                  <c:v>14765</c:v>
                </c:pt>
                <c:pt idx="7">
                  <c:v>14765</c:v>
                </c:pt>
                <c:pt idx="8">
                  <c:v>14765</c:v>
                </c:pt>
                <c:pt idx="9">
                  <c:v>14765</c:v>
                </c:pt>
                <c:pt idx="10">
                  <c:v>14765</c:v>
                </c:pt>
                <c:pt idx="11">
                  <c:v>14765</c:v>
                </c:pt>
                <c:pt idx="12">
                  <c:v>14765</c:v>
                </c:pt>
                <c:pt idx="13">
                  <c:v>14765</c:v>
                </c:pt>
                <c:pt idx="14">
                  <c:v>14765</c:v>
                </c:pt>
                <c:pt idx="15">
                  <c:v>14765</c:v>
                </c:pt>
                <c:pt idx="16">
                  <c:v>14765</c:v>
                </c:pt>
                <c:pt idx="17">
                  <c:v>14765</c:v>
                </c:pt>
                <c:pt idx="18">
                  <c:v>14765</c:v>
                </c:pt>
                <c:pt idx="19">
                  <c:v>14765</c:v>
                </c:pt>
                <c:pt idx="20">
                  <c:v>14765</c:v>
                </c:pt>
                <c:pt idx="21">
                  <c:v>14765</c:v>
                </c:pt>
                <c:pt idx="22">
                  <c:v>14765</c:v>
                </c:pt>
                <c:pt idx="23">
                  <c:v>14765</c:v>
                </c:pt>
                <c:pt idx="24">
                  <c:v>14765</c:v>
                </c:pt>
                <c:pt idx="25">
                  <c:v>14765</c:v>
                </c:pt>
                <c:pt idx="26">
                  <c:v>14765</c:v>
                </c:pt>
                <c:pt idx="27">
                  <c:v>14765</c:v>
                </c:pt>
                <c:pt idx="28">
                  <c:v>14765</c:v>
                </c:pt>
                <c:pt idx="29">
                  <c:v>14765</c:v>
                </c:pt>
                <c:pt idx="30">
                  <c:v>14765</c:v>
                </c:pt>
                <c:pt idx="31">
                  <c:v>14765</c:v>
                </c:pt>
                <c:pt idx="32">
                  <c:v>14765</c:v>
                </c:pt>
                <c:pt idx="33">
                  <c:v>14765</c:v>
                </c:pt>
                <c:pt idx="34">
                  <c:v>14765</c:v>
                </c:pt>
                <c:pt idx="35">
                  <c:v>14765</c:v>
                </c:pt>
                <c:pt idx="36">
                  <c:v>14765</c:v>
                </c:pt>
                <c:pt idx="37">
                  <c:v>14765</c:v>
                </c:pt>
                <c:pt idx="38">
                  <c:v>14765</c:v>
                </c:pt>
                <c:pt idx="39">
                  <c:v>14765</c:v>
                </c:pt>
                <c:pt idx="40">
                  <c:v>14765</c:v>
                </c:pt>
                <c:pt idx="41">
                  <c:v>14765</c:v>
                </c:pt>
                <c:pt idx="42">
                  <c:v>14765</c:v>
                </c:pt>
                <c:pt idx="43">
                  <c:v>14765</c:v>
                </c:pt>
                <c:pt idx="44">
                  <c:v>14765</c:v>
                </c:pt>
                <c:pt idx="45">
                  <c:v>14765</c:v>
                </c:pt>
                <c:pt idx="46">
                  <c:v>14765</c:v>
                </c:pt>
                <c:pt idx="47">
                  <c:v>14765</c:v>
                </c:pt>
                <c:pt idx="48">
                  <c:v>14765</c:v>
                </c:pt>
                <c:pt idx="49">
                  <c:v>14765</c:v>
                </c:pt>
                <c:pt idx="50">
                  <c:v>14765</c:v>
                </c:pt>
                <c:pt idx="51">
                  <c:v>14765</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(hide)'!$AE$4:$AE$55</c:f>
              <c:numCache>
                <c:formatCode>General</c:formatCode>
                <c:ptCount val="52"/>
                <c:pt idx="0">
                  <c:v>892.95000000000073</c:v>
                </c:pt>
                <c:pt idx="1">
                  <c:v>892.95000000000073</c:v>
                </c:pt>
                <c:pt idx="2">
                  <c:v>892.95000000000073</c:v>
                </c:pt>
                <c:pt idx="3">
                  <c:v>892.95000000000073</c:v>
                </c:pt>
                <c:pt idx="4">
                  <c:v>892.95000000000073</c:v>
                </c:pt>
                <c:pt idx="5">
                  <c:v>892.95000000000073</c:v>
                </c:pt>
                <c:pt idx="6">
                  <c:v>892.95000000000073</c:v>
                </c:pt>
                <c:pt idx="7">
                  <c:v>892.95000000000073</c:v>
                </c:pt>
                <c:pt idx="8">
                  <c:v>892.95000000000073</c:v>
                </c:pt>
                <c:pt idx="9">
                  <c:v>892.95000000000073</c:v>
                </c:pt>
                <c:pt idx="10">
                  <c:v>892.95000000000073</c:v>
                </c:pt>
                <c:pt idx="11">
                  <c:v>892.95000000000073</c:v>
                </c:pt>
                <c:pt idx="12">
                  <c:v>892.95000000000073</c:v>
                </c:pt>
                <c:pt idx="13">
                  <c:v>892.95000000000073</c:v>
                </c:pt>
                <c:pt idx="14">
                  <c:v>892.95000000000073</c:v>
                </c:pt>
                <c:pt idx="15">
                  <c:v>892.95000000000073</c:v>
                </c:pt>
                <c:pt idx="16">
                  <c:v>892.95000000000073</c:v>
                </c:pt>
                <c:pt idx="17">
                  <c:v>892.95000000000073</c:v>
                </c:pt>
                <c:pt idx="18">
                  <c:v>892.95000000000073</c:v>
                </c:pt>
                <c:pt idx="19">
                  <c:v>892.95000000000073</c:v>
                </c:pt>
                <c:pt idx="20">
                  <c:v>892.95000000000073</c:v>
                </c:pt>
                <c:pt idx="21">
                  <c:v>892.95000000000073</c:v>
                </c:pt>
                <c:pt idx="22">
                  <c:v>892.95000000000073</c:v>
                </c:pt>
                <c:pt idx="23">
                  <c:v>892.95000000000073</c:v>
                </c:pt>
                <c:pt idx="24">
                  <c:v>892.95000000000073</c:v>
                </c:pt>
                <c:pt idx="25">
                  <c:v>892.95000000000073</c:v>
                </c:pt>
                <c:pt idx="26">
                  <c:v>892.95000000000073</c:v>
                </c:pt>
                <c:pt idx="27">
                  <c:v>892.95000000000073</c:v>
                </c:pt>
                <c:pt idx="28">
                  <c:v>892.95000000000073</c:v>
                </c:pt>
                <c:pt idx="29">
                  <c:v>892.95000000000073</c:v>
                </c:pt>
                <c:pt idx="30">
                  <c:v>892.95000000000073</c:v>
                </c:pt>
                <c:pt idx="31">
                  <c:v>892.95000000000073</c:v>
                </c:pt>
                <c:pt idx="32">
                  <c:v>892.95000000000073</c:v>
                </c:pt>
                <c:pt idx="33">
                  <c:v>892.95000000000073</c:v>
                </c:pt>
                <c:pt idx="34">
                  <c:v>892.95000000000073</c:v>
                </c:pt>
                <c:pt idx="35">
                  <c:v>892.95000000000073</c:v>
                </c:pt>
                <c:pt idx="36">
                  <c:v>892.95000000000073</c:v>
                </c:pt>
                <c:pt idx="37">
                  <c:v>892.95000000000073</c:v>
                </c:pt>
                <c:pt idx="38">
                  <c:v>892.95000000000073</c:v>
                </c:pt>
                <c:pt idx="39">
                  <c:v>892.95000000000073</c:v>
                </c:pt>
                <c:pt idx="40">
                  <c:v>892.95000000000073</c:v>
                </c:pt>
                <c:pt idx="41">
                  <c:v>892.95000000000073</c:v>
                </c:pt>
                <c:pt idx="42">
                  <c:v>892.95000000000073</c:v>
                </c:pt>
                <c:pt idx="43">
                  <c:v>892.95000000000073</c:v>
                </c:pt>
                <c:pt idx="44">
                  <c:v>892.95000000000073</c:v>
                </c:pt>
                <c:pt idx="45">
                  <c:v>892.95000000000073</c:v>
                </c:pt>
                <c:pt idx="46">
                  <c:v>892.95000000000073</c:v>
                </c:pt>
                <c:pt idx="47">
                  <c:v>892.95000000000073</c:v>
                </c:pt>
                <c:pt idx="48">
                  <c:v>892.95000000000073</c:v>
                </c:pt>
                <c:pt idx="49">
                  <c:v>892.95000000000073</c:v>
                </c:pt>
                <c:pt idx="50">
                  <c:v>892.95000000000073</c:v>
                </c:pt>
                <c:pt idx="51">
                  <c:v>892.95000000000073</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44431</c:v>
                </c:pt>
                <c:pt idx="1">
                  <c:v>44438</c:v>
                </c:pt>
                <c:pt idx="2">
                  <c:v>44445</c:v>
                </c:pt>
                <c:pt idx="3">
                  <c:v>44452</c:v>
                </c:pt>
                <c:pt idx="4">
                  <c:v>44459</c:v>
                </c:pt>
                <c:pt idx="5">
                  <c:v>44466</c:v>
                </c:pt>
                <c:pt idx="6">
                  <c:v>44473</c:v>
                </c:pt>
                <c:pt idx="7">
                  <c:v>44480</c:v>
                </c:pt>
                <c:pt idx="8">
                  <c:v>44487</c:v>
                </c:pt>
                <c:pt idx="9">
                  <c:v>44494</c:v>
                </c:pt>
                <c:pt idx="10">
                  <c:v>44501</c:v>
                </c:pt>
                <c:pt idx="11">
                  <c:v>44508</c:v>
                </c:pt>
                <c:pt idx="12">
                  <c:v>44515</c:v>
                </c:pt>
                <c:pt idx="13">
                  <c:v>44522</c:v>
                </c:pt>
                <c:pt idx="14">
                  <c:v>44529</c:v>
                </c:pt>
                <c:pt idx="15">
                  <c:v>44536</c:v>
                </c:pt>
                <c:pt idx="16">
                  <c:v>44543</c:v>
                </c:pt>
                <c:pt idx="17">
                  <c:v>44550</c:v>
                </c:pt>
                <c:pt idx="18">
                  <c:v>44557</c:v>
                </c:pt>
                <c:pt idx="19">
                  <c:v>44564</c:v>
                </c:pt>
                <c:pt idx="20">
                  <c:v>44571</c:v>
                </c:pt>
                <c:pt idx="21">
                  <c:v>44578</c:v>
                </c:pt>
                <c:pt idx="22">
                  <c:v>44585</c:v>
                </c:pt>
                <c:pt idx="23">
                  <c:v>44592</c:v>
                </c:pt>
                <c:pt idx="24">
                  <c:v>44599</c:v>
                </c:pt>
                <c:pt idx="25">
                  <c:v>44606</c:v>
                </c:pt>
                <c:pt idx="26">
                  <c:v>44613</c:v>
                </c:pt>
                <c:pt idx="27">
                  <c:v>44620</c:v>
                </c:pt>
                <c:pt idx="28">
                  <c:v>44627</c:v>
                </c:pt>
                <c:pt idx="29">
                  <c:v>44634</c:v>
                </c:pt>
                <c:pt idx="30">
                  <c:v>44641</c:v>
                </c:pt>
                <c:pt idx="31">
                  <c:v>44648</c:v>
                </c:pt>
                <c:pt idx="32">
                  <c:v>44655</c:v>
                </c:pt>
                <c:pt idx="33">
                  <c:v>44662</c:v>
                </c:pt>
                <c:pt idx="34">
                  <c:v>44669</c:v>
                </c:pt>
                <c:pt idx="35">
                  <c:v>44676</c:v>
                </c:pt>
                <c:pt idx="36">
                  <c:v>44683</c:v>
                </c:pt>
                <c:pt idx="37">
                  <c:v>44690</c:v>
                </c:pt>
                <c:pt idx="38">
                  <c:v>44697</c:v>
                </c:pt>
                <c:pt idx="39">
                  <c:v>44704</c:v>
                </c:pt>
                <c:pt idx="40">
                  <c:v>44711</c:v>
                </c:pt>
                <c:pt idx="41">
                  <c:v>44718</c:v>
                </c:pt>
                <c:pt idx="42">
                  <c:v>44725</c:v>
                </c:pt>
                <c:pt idx="43">
                  <c:v>44732</c:v>
                </c:pt>
                <c:pt idx="44">
                  <c:v>44739</c:v>
                </c:pt>
                <c:pt idx="45">
                  <c:v>44746</c:v>
                </c:pt>
                <c:pt idx="46">
                  <c:v>44753</c:v>
                </c:pt>
                <c:pt idx="47">
                  <c:v>44760</c:v>
                </c:pt>
                <c:pt idx="48">
                  <c:v>44767</c:v>
                </c:pt>
                <c:pt idx="49">
                  <c:v>44774</c:v>
                </c:pt>
                <c:pt idx="50">
                  <c:v>44781</c:v>
                </c:pt>
                <c:pt idx="51">
                  <c:v>44788</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5386.595404165917</c:v>
                </c:pt>
                <c:pt idx="1">
                  <c:v>5386.595404165917</c:v>
                </c:pt>
                <c:pt idx="2">
                  <c:v>5386.595404165917</c:v>
                </c:pt>
                <c:pt idx="3">
                  <c:v>5386.595404165917</c:v>
                </c:pt>
                <c:pt idx="4">
                  <c:v>5386.595404165917</c:v>
                </c:pt>
                <c:pt idx="5">
                  <c:v>5386.595404165917</c:v>
                </c:pt>
                <c:pt idx="6">
                  <c:v>5386.595404165917</c:v>
                </c:pt>
                <c:pt idx="7">
                  <c:v>5386.595404165917</c:v>
                </c:pt>
                <c:pt idx="8">
                  <c:v>5386.595404165917</c:v>
                </c:pt>
                <c:pt idx="9">
                  <c:v>5386.595404165917</c:v>
                </c:pt>
                <c:pt idx="10">
                  <c:v>5386.595404165917</c:v>
                </c:pt>
                <c:pt idx="11">
                  <c:v>5386.595404165917</c:v>
                </c:pt>
                <c:pt idx="12">
                  <c:v>5386.595404165917</c:v>
                </c:pt>
                <c:pt idx="13">
                  <c:v>5386.595404165917</c:v>
                </c:pt>
                <c:pt idx="14">
                  <c:v>5386.595404165917</c:v>
                </c:pt>
                <c:pt idx="15">
                  <c:v>5386.595404165917</c:v>
                </c:pt>
                <c:pt idx="16">
                  <c:v>5386.595404165917</c:v>
                </c:pt>
                <c:pt idx="17">
                  <c:v>5386.595404165917</c:v>
                </c:pt>
                <c:pt idx="18">
                  <c:v>5386.595404165917</c:v>
                </c:pt>
                <c:pt idx="19">
                  <c:v>5386.595404165917</c:v>
                </c:pt>
                <c:pt idx="20">
                  <c:v>5386.595404165917</c:v>
                </c:pt>
                <c:pt idx="21">
                  <c:v>5386.595404165917</c:v>
                </c:pt>
                <c:pt idx="22">
                  <c:v>5386.595404165917</c:v>
                </c:pt>
                <c:pt idx="23">
                  <c:v>5386.595404165917</c:v>
                </c:pt>
                <c:pt idx="24">
                  <c:v>5386.595404165917</c:v>
                </c:pt>
                <c:pt idx="25">
                  <c:v>5386.595404165917</c:v>
                </c:pt>
                <c:pt idx="26">
                  <c:v>5386.595404165917</c:v>
                </c:pt>
                <c:pt idx="27">
                  <c:v>5386.595404165917</c:v>
                </c:pt>
                <c:pt idx="28">
                  <c:v>5386.595404165917</c:v>
                </c:pt>
                <c:pt idx="29">
                  <c:v>5386.595404165917</c:v>
                </c:pt>
                <c:pt idx="30">
                  <c:v>5386.595404165917</c:v>
                </c:pt>
                <c:pt idx="31">
                  <c:v>5386.595404165917</c:v>
                </c:pt>
                <c:pt idx="32">
                  <c:v>5386.595404165917</c:v>
                </c:pt>
                <c:pt idx="33">
                  <c:v>5386.595404165917</c:v>
                </c:pt>
                <c:pt idx="34">
                  <c:v>5386.595404165917</c:v>
                </c:pt>
                <c:pt idx="35">
                  <c:v>5386.595404165917</c:v>
                </c:pt>
                <c:pt idx="36">
                  <c:v>5386.595404165917</c:v>
                </c:pt>
                <c:pt idx="37">
                  <c:v>5386.595404165917</c:v>
                </c:pt>
                <c:pt idx="38">
                  <c:v>5386.595404165917</c:v>
                </c:pt>
                <c:pt idx="39">
                  <c:v>5386.595404165917</c:v>
                </c:pt>
                <c:pt idx="40">
                  <c:v>5386.595404165917</c:v>
                </c:pt>
                <c:pt idx="41">
                  <c:v>5386.595404165917</c:v>
                </c:pt>
                <c:pt idx="42">
                  <c:v>5386.595404165917</c:v>
                </c:pt>
                <c:pt idx="43">
                  <c:v>5386.595404165917</c:v>
                </c:pt>
                <c:pt idx="44">
                  <c:v>5386.595404165917</c:v>
                </c:pt>
                <c:pt idx="45">
                  <c:v>5386.595404165917</c:v>
                </c:pt>
                <c:pt idx="46">
                  <c:v>5386.595404165917</c:v>
                </c:pt>
                <c:pt idx="47">
                  <c:v>5386.595404165917</c:v>
                </c:pt>
                <c:pt idx="48">
                  <c:v>5386.595404165917</c:v>
                </c:pt>
                <c:pt idx="49">
                  <c:v>5386.595404165917</c:v>
                </c:pt>
                <c:pt idx="50">
                  <c:v>5386.595404165917</c:v>
                </c:pt>
                <c:pt idx="51">
                  <c:v>5386.595404165917</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45" val="0"/>
</file>

<file path=xl/ctrlProps/ctrlProp5.xml><?xml version="1.0" encoding="utf-8"?>
<formControlPr xmlns="http://schemas.microsoft.com/office/spreadsheetml/2009/9/main" objectType="Drop" dropStyle="combo" dx="22" fmlaLink="'SPC background (hide)'!$C$5" fmlaRange="Range_S1End" noThreeD="1" sel="43"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85.5" x14ac:dyDescent="0.2">
      <c r="A3" s="289">
        <v>3.5</v>
      </c>
      <c r="B3" s="290">
        <v>44418</v>
      </c>
      <c r="C3" s="289" t="s">
        <v>5</v>
      </c>
      <c r="D3" s="292" t="s">
        <v>1285</v>
      </c>
      <c r="E3" s="289"/>
    </row>
    <row r="4" spans="1:5" s="67" customFormat="1" ht="171.75" x14ac:dyDescent="0.25">
      <c r="A4" s="289" t="s">
        <v>1274</v>
      </c>
      <c r="B4" s="290">
        <v>44145</v>
      </c>
      <c r="C4" s="289" t="s">
        <v>276</v>
      </c>
      <c r="D4" s="292" t="s">
        <v>1284</v>
      </c>
      <c r="E4" s="285"/>
    </row>
    <row r="5" spans="1:5" s="67" customFormat="1" ht="42.75" x14ac:dyDescent="0.2">
      <c r="A5" s="292" t="s">
        <v>1273</v>
      </c>
      <c r="B5" s="377">
        <v>44061</v>
      </c>
      <c r="C5" s="292" t="s">
        <v>1267</v>
      </c>
      <c r="D5" s="292" t="s">
        <v>1272</v>
      </c>
      <c r="E5" s="292"/>
    </row>
    <row r="6" spans="1:5" s="67" customFormat="1" ht="57" x14ac:dyDescent="0.2">
      <c r="A6" s="289" t="s">
        <v>1271</v>
      </c>
      <c r="B6" s="290">
        <v>44057</v>
      </c>
      <c r="C6" s="292" t="s">
        <v>1267</v>
      </c>
      <c r="D6" s="292" t="s">
        <v>1268</v>
      </c>
      <c r="E6" s="289"/>
    </row>
    <row r="7" spans="1:5" s="67" customFormat="1" ht="57" x14ac:dyDescent="0.2">
      <c r="A7" s="289" t="s">
        <v>1238</v>
      </c>
      <c r="B7" s="290">
        <v>44027</v>
      </c>
      <c r="C7" s="289" t="s">
        <v>5</v>
      </c>
      <c r="D7" s="292" t="s">
        <v>1239</v>
      </c>
      <c r="E7" s="289"/>
    </row>
    <row r="8" spans="1:5" s="67" customFormat="1" ht="156.75" x14ac:dyDescent="0.2">
      <c r="A8" s="289" t="s">
        <v>1231</v>
      </c>
      <c r="B8" s="290">
        <v>44025</v>
      </c>
      <c r="C8" s="289" t="s">
        <v>5</v>
      </c>
      <c r="D8" s="292" t="s">
        <v>1237</v>
      </c>
      <c r="E8" s="292"/>
    </row>
    <row r="9" spans="1:5" s="67" customFormat="1" ht="71.25" x14ac:dyDescent="0.2">
      <c r="A9" s="289" t="s">
        <v>1230</v>
      </c>
      <c r="B9" s="290">
        <v>43997</v>
      </c>
      <c r="C9" s="289" t="s">
        <v>5</v>
      </c>
      <c r="D9" s="292" t="s">
        <v>1232</v>
      </c>
      <c r="E9" s="289"/>
    </row>
    <row r="10" spans="1:5" s="67" customFormat="1" ht="156.75" x14ac:dyDescent="0.2">
      <c r="A10" s="289">
        <v>3.4</v>
      </c>
      <c r="B10" s="290">
        <v>43993</v>
      </c>
      <c r="C10" s="289" t="s">
        <v>5</v>
      </c>
      <c r="D10" s="292" t="s">
        <v>1228</v>
      </c>
      <c r="E10" s="292"/>
    </row>
    <row r="11" spans="1:5" s="67" customFormat="1" ht="142.5" x14ac:dyDescent="0.2">
      <c r="A11" s="289">
        <v>3.3</v>
      </c>
      <c r="B11" s="290">
        <v>43980</v>
      </c>
      <c r="C11" s="289" t="s">
        <v>5</v>
      </c>
      <c r="D11" s="292" t="s">
        <v>1226</v>
      </c>
      <c r="E11" s="289"/>
    </row>
    <row r="12" spans="1:5" s="67" customFormat="1" ht="42.75" x14ac:dyDescent="0.2">
      <c r="A12" s="333">
        <v>3.2</v>
      </c>
      <c r="B12" s="290">
        <v>43965</v>
      </c>
      <c r="C12" s="289" t="s">
        <v>5</v>
      </c>
      <c r="D12" s="292" t="s">
        <v>1209</v>
      </c>
      <c r="E12" s="292"/>
    </row>
    <row r="13" spans="1:5" s="67" customFormat="1" ht="42.75" x14ac:dyDescent="0.2">
      <c r="A13" s="333">
        <v>3.1</v>
      </c>
      <c r="B13" s="290">
        <v>43964</v>
      </c>
      <c r="C13" s="289" t="s">
        <v>5</v>
      </c>
      <c r="D13" s="292" t="s">
        <v>1204</v>
      </c>
      <c r="E13" s="292"/>
    </row>
    <row r="14" spans="1:5" s="67" customFormat="1" ht="99.75" x14ac:dyDescent="0.2">
      <c r="A14" s="333">
        <v>3</v>
      </c>
      <c r="B14" s="290">
        <v>43963</v>
      </c>
      <c r="C14" s="289" t="s">
        <v>5</v>
      </c>
      <c r="D14" s="292" t="s">
        <v>1200</v>
      </c>
      <c r="E14" s="292" t="s">
        <v>1201</v>
      </c>
    </row>
    <row r="15" spans="1:5" s="67" customFormat="1" ht="72" x14ac:dyDescent="0.25">
      <c r="A15" s="289">
        <v>2.13</v>
      </c>
      <c r="B15" s="290">
        <v>43903</v>
      </c>
      <c r="C15" s="289" t="s">
        <v>5</v>
      </c>
      <c r="D15" s="292" t="s">
        <v>1172</v>
      </c>
      <c r="E15" s="285"/>
    </row>
    <row r="16" spans="1:5" s="67" customFormat="1" ht="29.25" x14ac:dyDescent="0.25">
      <c r="A16" s="289">
        <v>2.12</v>
      </c>
      <c r="B16" s="290">
        <v>43887</v>
      </c>
      <c r="C16" s="289" t="s">
        <v>276</v>
      </c>
      <c r="D16" s="292" t="s">
        <v>1173</v>
      </c>
      <c r="E16" s="285"/>
    </row>
    <row r="17" spans="1:5" s="67" customFormat="1" ht="57" x14ac:dyDescent="0.2">
      <c r="A17" s="289">
        <v>2.11</v>
      </c>
      <c r="B17" s="290">
        <v>43846</v>
      </c>
      <c r="C17" s="292" t="s">
        <v>1164</v>
      </c>
      <c r="D17" s="292" t="s">
        <v>1171</v>
      </c>
      <c r="E17" s="292" t="s">
        <v>1169</v>
      </c>
    </row>
    <row r="18" spans="1:5" s="67" customFormat="1" ht="43.5" x14ac:dyDescent="0.25">
      <c r="A18" s="327">
        <v>2.1</v>
      </c>
      <c r="B18" s="290">
        <v>43756</v>
      </c>
      <c r="C18" s="289" t="s">
        <v>276</v>
      </c>
      <c r="D18" s="292" t="s">
        <v>1168</v>
      </c>
      <c r="E18" s="285"/>
    </row>
    <row r="19" spans="1:5" s="67" customFormat="1" ht="57.75" x14ac:dyDescent="0.25">
      <c r="A19" s="289">
        <v>2.02</v>
      </c>
      <c r="B19" s="290">
        <v>43718</v>
      </c>
      <c r="C19" s="289" t="s">
        <v>5</v>
      </c>
      <c r="D19" s="292" t="s">
        <v>1167</v>
      </c>
      <c r="E19" s="285"/>
    </row>
    <row r="20" spans="1:5" s="67" customFormat="1" ht="57.75" x14ac:dyDescent="0.25">
      <c r="A20" s="289">
        <v>2.0099999999999998</v>
      </c>
      <c r="B20" s="290">
        <v>43693</v>
      </c>
      <c r="C20" s="289" t="s">
        <v>1106</v>
      </c>
      <c r="D20" s="292" t="s">
        <v>1166</v>
      </c>
      <c r="E20" s="285"/>
    </row>
    <row r="21" spans="1:5" s="67" customFormat="1" ht="100.5" x14ac:dyDescent="0.25">
      <c r="A21" s="323">
        <v>2</v>
      </c>
      <c r="B21" s="313">
        <v>43665</v>
      </c>
      <c r="C21" s="292" t="s">
        <v>1164</v>
      </c>
      <c r="D21" s="292" t="s">
        <v>1165</v>
      </c>
      <c r="E21" s="285"/>
    </row>
    <row r="22" spans="1:5" s="67" customFormat="1" ht="257.25" x14ac:dyDescent="0.25">
      <c r="A22" s="285">
        <v>1.05</v>
      </c>
      <c r="B22" s="313">
        <v>43570</v>
      </c>
      <c r="C22" s="292" t="s">
        <v>1163</v>
      </c>
      <c r="D22" s="292" t="s">
        <v>1158</v>
      </c>
      <c r="E22" s="315" t="s">
        <v>1157</v>
      </c>
    </row>
    <row r="23" spans="1:5" s="67" customFormat="1" ht="85.5" x14ac:dyDescent="0.2">
      <c r="A23" s="289">
        <v>1.04</v>
      </c>
      <c r="B23" s="290">
        <v>43516</v>
      </c>
      <c r="C23" s="289" t="s">
        <v>1106</v>
      </c>
      <c r="D23" s="292" t="s">
        <v>1109</v>
      </c>
      <c r="E23" s="292"/>
    </row>
    <row r="24" spans="1:5" s="67" customFormat="1" ht="128.25" x14ac:dyDescent="0.2">
      <c r="A24" s="289" t="s">
        <v>1105</v>
      </c>
      <c r="B24" s="290">
        <v>43486</v>
      </c>
      <c r="C24" s="289" t="s">
        <v>1106</v>
      </c>
      <c r="D24" s="292" t="s">
        <v>1107</v>
      </c>
      <c r="E24" s="292" t="s">
        <v>1108</v>
      </c>
    </row>
    <row r="25" spans="1:5" s="291" customFormat="1" ht="171" x14ac:dyDescent="0.2">
      <c r="A25" s="289" t="s">
        <v>1105</v>
      </c>
      <c r="B25" s="290">
        <v>43395</v>
      </c>
      <c r="C25" s="289" t="s">
        <v>5</v>
      </c>
      <c r="D25" s="292" t="s">
        <v>1104</v>
      </c>
      <c r="E25" s="292" t="s">
        <v>1103</v>
      </c>
    </row>
    <row r="26" spans="1:5" s="291" customFormat="1" ht="171" x14ac:dyDescent="0.2">
      <c r="A26" s="289">
        <v>1.03</v>
      </c>
      <c r="B26" s="290">
        <v>43319</v>
      </c>
      <c r="C26" s="289" t="s">
        <v>5</v>
      </c>
      <c r="D26" s="292" t="s">
        <v>1102</v>
      </c>
      <c r="E26" s="289"/>
    </row>
    <row r="27" spans="1:5" ht="409.5" x14ac:dyDescent="0.2">
      <c r="A27" s="286">
        <v>1.02</v>
      </c>
      <c r="B27" s="287">
        <v>43292</v>
      </c>
      <c r="C27" s="286" t="s">
        <v>5</v>
      </c>
      <c r="D27" s="288" t="s">
        <v>1101</v>
      </c>
      <c r="E27" s="288" t="s">
        <v>942</v>
      </c>
    </row>
    <row r="28" spans="1:5" ht="42.75" x14ac:dyDescent="0.2">
      <c r="A28" s="286" t="s">
        <v>930</v>
      </c>
      <c r="B28" s="287">
        <v>43291</v>
      </c>
      <c r="C28" s="286" t="s">
        <v>5</v>
      </c>
      <c r="D28" s="288" t="s">
        <v>931</v>
      </c>
      <c r="E28" s="286"/>
    </row>
    <row r="29" spans="1:5" ht="156.75" x14ac:dyDescent="0.2">
      <c r="A29" s="286" t="s">
        <v>879</v>
      </c>
      <c r="B29" s="287">
        <v>43255</v>
      </c>
      <c r="C29" s="286" t="s">
        <v>5</v>
      </c>
      <c r="D29" s="288" t="s">
        <v>880</v>
      </c>
      <c r="E29" s="286"/>
    </row>
    <row r="30" spans="1:5" ht="42.75" x14ac:dyDescent="0.2">
      <c r="A30" s="286" t="s">
        <v>872</v>
      </c>
      <c r="B30" s="287">
        <v>43247</v>
      </c>
      <c r="C30" s="286" t="s">
        <v>5</v>
      </c>
      <c r="D30" s="288" t="s">
        <v>873</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zZLTBWKAgYo3aj9D0ZiNjxyoAc4DNp0ykAUnVlYn5/ssLq5DH+VWe2LNuM9shDMa4BkhEsmlYnj2FXE/6dDdxg==" saltValue="1gAoPa9vtCD7opC7U2ps0g=="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945</v>
      </c>
      <c r="K7" s="2" t="s">
        <v>1100</v>
      </c>
    </row>
    <row r="9" spans="1:18" ht="15" x14ac:dyDescent="0.25">
      <c r="A9" s="67">
        <f>COUNTA(B10:B1048576)</f>
        <v>236</v>
      </c>
      <c r="B9" s="2" t="s">
        <v>526</v>
      </c>
      <c r="C9" s="2"/>
      <c r="D9" s="2" t="s">
        <v>527</v>
      </c>
      <c r="K9" s="2" t="s">
        <v>1098</v>
      </c>
      <c r="R9" s="2" t="s">
        <v>1099</v>
      </c>
    </row>
    <row r="10" spans="1:18" x14ac:dyDescent="0.2">
      <c r="A10" s="67">
        <f>COUNTA(D10:D1048576)</f>
        <v>79</v>
      </c>
      <c r="B10" s="67" t="s">
        <v>557</v>
      </c>
      <c r="D10" s="67" t="s">
        <v>827</v>
      </c>
      <c r="K10" t="s">
        <v>946</v>
      </c>
      <c r="R10" t="s">
        <v>827</v>
      </c>
    </row>
    <row r="11" spans="1:18" x14ac:dyDescent="0.2">
      <c r="B11" s="67" t="s">
        <v>558</v>
      </c>
      <c r="D11" s="67" t="s">
        <v>853</v>
      </c>
      <c r="K11" t="s">
        <v>947</v>
      </c>
      <c r="R11" t="s">
        <v>853</v>
      </c>
    </row>
    <row r="12" spans="1:18" x14ac:dyDescent="0.2">
      <c r="B12" s="67" t="s">
        <v>559</v>
      </c>
      <c r="D12" s="67" t="s">
        <v>811</v>
      </c>
      <c r="K12" t="s">
        <v>948</v>
      </c>
      <c r="R12" t="s">
        <v>811</v>
      </c>
    </row>
    <row r="13" spans="1:18" x14ac:dyDescent="0.2">
      <c r="B13" s="67" t="s">
        <v>560</v>
      </c>
      <c r="D13" s="67" t="s">
        <v>819</v>
      </c>
      <c r="K13" t="s">
        <v>949</v>
      </c>
      <c r="R13" t="s">
        <v>819</v>
      </c>
    </row>
    <row r="14" spans="1:18" x14ac:dyDescent="0.2">
      <c r="B14" s="67" t="s">
        <v>561</v>
      </c>
      <c r="D14" s="67" t="s">
        <v>861</v>
      </c>
      <c r="K14" t="s">
        <v>950</v>
      </c>
      <c r="R14" t="s">
        <v>861</v>
      </c>
    </row>
    <row r="15" spans="1:18" x14ac:dyDescent="0.2">
      <c r="B15" s="67" t="s">
        <v>562</v>
      </c>
      <c r="D15" s="67" t="s">
        <v>824</v>
      </c>
      <c r="K15" t="s">
        <v>951</v>
      </c>
      <c r="R15" t="s">
        <v>824</v>
      </c>
    </row>
    <row r="16" spans="1:18" x14ac:dyDescent="0.2">
      <c r="B16" s="67" t="s">
        <v>563</v>
      </c>
      <c r="D16" s="67" t="s">
        <v>809</v>
      </c>
      <c r="K16" t="s">
        <v>952</v>
      </c>
      <c r="R16" t="s">
        <v>809</v>
      </c>
    </row>
    <row r="17" spans="2:18" x14ac:dyDescent="0.2">
      <c r="B17" s="67" t="s">
        <v>564</v>
      </c>
      <c r="D17" s="67" t="s">
        <v>862</v>
      </c>
      <c r="K17" t="s">
        <v>953</v>
      </c>
      <c r="R17" t="s">
        <v>862</v>
      </c>
    </row>
    <row r="18" spans="2:18" x14ac:dyDescent="0.2">
      <c r="B18" s="67" t="s">
        <v>565</v>
      </c>
      <c r="D18" s="67" t="s">
        <v>854</v>
      </c>
      <c r="K18" t="s">
        <v>954</v>
      </c>
      <c r="R18" t="s">
        <v>854</v>
      </c>
    </row>
    <row r="19" spans="2:18" x14ac:dyDescent="0.2">
      <c r="B19" s="67" t="s">
        <v>566</v>
      </c>
      <c r="D19" s="67" t="s">
        <v>820</v>
      </c>
      <c r="K19" t="s">
        <v>955</v>
      </c>
      <c r="R19" t="s">
        <v>820</v>
      </c>
    </row>
    <row r="20" spans="2:18" x14ac:dyDescent="0.2">
      <c r="B20" s="67" t="s">
        <v>567</v>
      </c>
      <c r="D20" s="67" t="s">
        <v>816</v>
      </c>
      <c r="K20" t="s">
        <v>956</v>
      </c>
      <c r="R20" t="s">
        <v>816</v>
      </c>
    </row>
    <row r="21" spans="2:18" x14ac:dyDescent="0.2">
      <c r="B21" s="67" t="s">
        <v>568</v>
      </c>
      <c r="D21" s="67" t="s">
        <v>821</v>
      </c>
      <c r="K21" t="s">
        <v>957</v>
      </c>
      <c r="R21" t="s">
        <v>821</v>
      </c>
    </row>
    <row r="22" spans="2:18" x14ac:dyDescent="0.2">
      <c r="B22" s="67" t="s">
        <v>569</v>
      </c>
      <c r="D22" s="67" t="s">
        <v>837</v>
      </c>
      <c r="K22" t="s">
        <v>958</v>
      </c>
      <c r="R22" t="s">
        <v>837</v>
      </c>
    </row>
    <row r="23" spans="2:18" x14ac:dyDescent="0.2">
      <c r="B23" s="67" t="s">
        <v>570</v>
      </c>
      <c r="D23" s="67" t="s">
        <v>858</v>
      </c>
      <c r="K23" t="s">
        <v>959</v>
      </c>
      <c r="R23" t="s">
        <v>858</v>
      </c>
    </row>
    <row r="24" spans="2:18" x14ac:dyDescent="0.2">
      <c r="B24" s="67" t="s">
        <v>571</v>
      </c>
      <c r="D24" s="67" t="s">
        <v>818</v>
      </c>
      <c r="K24" t="s">
        <v>960</v>
      </c>
      <c r="R24" t="s">
        <v>818</v>
      </c>
    </row>
    <row r="25" spans="2:18" x14ac:dyDescent="0.2">
      <c r="B25" s="67" t="s">
        <v>572</v>
      </c>
      <c r="D25" s="67" t="s">
        <v>817</v>
      </c>
      <c r="K25" t="s">
        <v>961</v>
      </c>
      <c r="R25" t="s">
        <v>817</v>
      </c>
    </row>
    <row r="26" spans="2:18" x14ac:dyDescent="0.2">
      <c r="B26" s="67" t="s">
        <v>573</v>
      </c>
      <c r="D26" s="67" t="s">
        <v>871</v>
      </c>
      <c r="K26" t="s">
        <v>962</v>
      </c>
      <c r="R26" t="s">
        <v>871</v>
      </c>
    </row>
    <row r="27" spans="2:18" x14ac:dyDescent="0.2">
      <c r="B27" s="67" t="s">
        <v>574</v>
      </c>
      <c r="D27" s="67" t="s">
        <v>869</v>
      </c>
      <c r="K27" t="s">
        <v>963</v>
      </c>
      <c r="R27" t="s">
        <v>869</v>
      </c>
    </row>
    <row r="28" spans="2:18" x14ac:dyDescent="0.2">
      <c r="B28" s="67" t="s">
        <v>575</v>
      </c>
      <c r="D28" s="67" t="s">
        <v>848</v>
      </c>
      <c r="K28" t="s">
        <v>964</v>
      </c>
      <c r="R28" t="s">
        <v>848</v>
      </c>
    </row>
    <row r="29" spans="2:18" x14ac:dyDescent="0.2">
      <c r="B29" s="67" t="s">
        <v>576</v>
      </c>
      <c r="D29" s="67" t="s">
        <v>812</v>
      </c>
      <c r="K29" t="s">
        <v>965</v>
      </c>
      <c r="R29" t="s">
        <v>812</v>
      </c>
    </row>
    <row r="30" spans="2:18" x14ac:dyDescent="0.2">
      <c r="B30" s="67" t="s">
        <v>577</v>
      </c>
      <c r="D30" s="67" t="s">
        <v>842</v>
      </c>
      <c r="K30" t="s">
        <v>966</v>
      </c>
      <c r="R30" t="s">
        <v>842</v>
      </c>
    </row>
    <row r="31" spans="2:18" x14ac:dyDescent="0.2">
      <c r="B31" s="67" t="s">
        <v>578</v>
      </c>
      <c r="D31" s="67" t="s">
        <v>828</v>
      </c>
      <c r="K31" t="s">
        <v>967</v>
      </c>
      <c r="R31" t="s">
        <v>828</v>
      </c>
    </row>
    <row r="32" spans="2:18" x14ac:dyDescent="0.2">
      <c r="B32" s="67" t="s">
        <v>579</v>
      </c>
      <c r="D32" s="67" t="s">
        <v>815</v>
      </c>
      <c r="K32" t="s">
        <v>968</v>
      </c>
      <c r="R32" t="s">
        <v>815</v>
      </c>
    </row>
    <row r="33" spans="2:18" x14ac:dyDescent="0.2">
      <c r="B33" s="67" t="s">
        <v>580</v>
      </c>
      <c r="D33" s="67" t="s">
        <v>803</v>
      </c>
      <c r="K33" t="s">
        <v>969</v>
      </c>
      <c r="R33" t="s">
        <v>803</v>
      </c>
    </row>
    <row r="34" spans="2:18" x14ac:dyDescent="0.2">
      <c r="B34" s="67" t="s">
        <v>581</v>
      </c>
      <c r="D34" s="67" t="s">
        <v>796</v>
      </c>
      <c r="K34" t="s">
        <v>970</v>
      </c>
      <c r="R34" t="s">
        <v>796</v>
      </c>
    </row>
    <row r="35" spans="2:18" x14ac:dyDescent="0.2">
      <c r="B35" s="67" t="s">
        <v>582</v>
      </c>
      <c r="D35" s="67" t="s">
        <v>855</v>
      </c>
      <c r="K35" t="s">
        <v>971</v>
      </c>
      <c r="R35" t="s">
        <v>855</v>
      </c>
    </row>
    <row r="36" spans="2:18" x14ac:dyDescent="0.2">
      <c r="B36" s="67" t="s">
        <v>583</v>
      </c>
      <c r="D36" s="67" t="s">
        <v>814</v>
      </c>
      <c r="K36" t="s">
        <v>972</v>
      </c>
      <c r="R36" t="s">
        <v>814</v>
      </c>
    </row>
    <row r="37" spans="2:18" x14ac:dyDescent="0.2">
      <c r="B37" s="67" t="s">
        <v>584</v>
      </c>
      <c r="D37" s="67" t="s">
        <v>851</v>
      </c>
      <c r="K37" t="s">
        <v>973</v>
      </c>
      <c r="R37" t="s">
        <v>851</v>
      </c>
    </row>
    <row r="38" spans="2:18" x14ac:dyDescent="0.2">
      <c r="B38" s="67" t="s">
        <v>585</v>
      </c>
      <c r="D38" s="67" t="s">
        <v>850</v>
      </c>
      <c r="K38" t="s">
        <v>974</v>
      </c>
      <c r="R38" t="s">
        <v>850</v>
      </c>
    </row>
    <row r="39" spans="2:18" x14ac:dyDescent="0.2">
      <c r="B39" s="67" t="s">
        <v>586</v>
      </c>
      <c r="D39" s="67" t="s">
        <v>813</v>
      </c>
      <c r="K39" t="s">
        <v>975</v>
      </c>
      <c r="R39" t="s">
        <v>813</v>
      </c>
    </row>
    <row r="40" spans="2:18" x14ac:dyDescent="0.2">
      <c r="B40" s="67" t="s">
        <v>587</v>
      </c>
      <c r="D40" t="s">
        <v>860</v>
      </c>
      <c r="K40" t="s">
        <v>976</v>
      </c>
      <c r="R40" t="s">
        <v>860</v>
      </c>
    </row>
    <row r="41" spans="2:18" x14ac:dyDescent="0.2">
      <c r="B41" s="67" t="s">
        <v>588</v>
      </c>
      <c r="D41" t="s">
        <v>793</v>
      </c>
      <c r="K41" t="s">
        <v>977</v>
      </c>
      <c r="R41" t="s">
        <v>793</v>
      </c>
    </row>
    <row r="42" spans="2:18" x14ac:dyDescent="0.2">
      <c r="B42" s="67" t="s">
        <v>589</v>
      </c>
      <c r="D42" t="s">
        <v>832</v>
      </c>
      <c r="K42" t="s">
        <v>978</v>
      </c>
      <c r="R42" t="s">
        <v>832</v>
      </c>
    </row>
    <row r="43" spans="2:18" x14ac:dyDescent="0.2">
      <c r="B43" s="67" t="s">
        <v>590</v>
      </c>
      <c r="D43" t="s">
        <v>841</v>
      </c>
      <c r="K43" t="s">
        <v>979</v>
      </c>
      <c r="R43" t="s">
        <v>841</v>
      </c>
    </row>
    <row r="44" spans="2:18" x14ac:dyDescent="0.2">
      <c r="B44" s="67" t="s">
        <v>591</v>
      </c>
      <c r="D44" t="s">
        <v>847</v>
      </c>
      <c r="K44" t="s">
        <v>980</v>
      </c>
      <c r="R44" t="s">
        <v>847</v>
      </c>
    </row>
    <row r="45" spans="2:18" x14ac:dyDescent="0.2">
      <c r="B45" s="67" t="s">
        <v>592</v>
      </c>
      <c r="D45" t="s">
        <v>863</v>
      </c>
      <c r="K45" t="s">
        <v>981</v>
      </c>
      <c r="R45" t="s">
        <v>863</v>
      </c>
    </row>
    <row r="46" spans="2:18" x14ac:dyDescent="0.2">
      <c r="B46" s="67" t="s">
        <v>593</v>
      </c>
      <c r="D46" t="s">
        <v>864</v>
      </c>
      <c r="K46" t="s">
        <v>982</v>
      </c>
      <c r="R46" t="s">
        <v>864</v>
      </c>
    </row>
    <row r="47" spans="2:18" x14ac:dyDescent="0.2">
      <c r="B47" s="67" t="s">
        <v>594</v>
      </c>
      <c r="D47" t="s">
        <v>865</v>
      </c>
      <c r="K47" t="s">
        <v>983</v>
      </c>
      <c r="R47" t="s">
        <v>865</v>
      </c>
    </row>
    <row r="48" spans="2:18" x14ac:dyDescent="0.2">
      <c r="B48" s="67" t="s">
        <v>595</v>
      </c>
      <c r="D48" t="s">
        <v>830</v>
      </c>
      <c r="K48" t="s">
        <v>984</v>
      </c>
      <c r="R48" t="s">
        <v>830</v>
      </c>
    </row>
    <row r="49" spans="2:18" x14ac:dyDescent="0.2">
      <c r="B49" s="67" t="s">
        <v>596</v>
      </c>
      <c r="D49" t="s">
        <v>852</v>
      </c>
      <c r="K49" t="s">
        <v>985</v>
      </c>
      <c r="R49" t="s">
        <v>852</v>
      </c>
    </row>
    <row r="50" spans="2:18" x14ac:dyDescent="0.2">
      <c r="B50" s="67" t="s">
        <v>597</v>
      </c>
      <c r="D50" t="s">
        <v>867</v>
      </c>
      <c r="K50" t="s">
        <v>986</v>
      </c>
      <c r="R50" t="s">
        <v>867</v>
      </c>
    </row>
    <row r="51" spans="2:18" x14ac:dyDescent="0.2">
      <c r="B51" s="67" t="s">
        <v>598</v>
      </c>
      <c r="D51" t="s">
        <v>866</v>
      </c>
      <c r="K51" t="s">
        <v>987</v>
      </c>
      <c r="R51" t="s">
        <v>866</v>
      </c>
    </row>
    <row r="52" spans="2:18" x14ac:dyDescent="0.2">
      <c r="B52" s="67" t="s">
        <v>599</v>
      </c>
      <c r="D52" t="s">
        <v>834</v>
      </c>
      <c r="K52" t="s">
        <v>988</v>
      </c>
      <c r="R52" t="s">
        <v>834</v>
      </c>
    </row>
    <row r="53" spans="2:18" x14ac:dyDescent="0.2">
      <c r="B53" s="67" t="s">
        <v>600</v>
      </c>
      <c r="D53" t="s">
        <v>844</v>
      </c>
      <c r="K53" t="s">
        <v>989</v>
      </c>
      <c r="R53" t="s">
        <v>844</v>
      </c>
    </row>
    <row r="54" spans="2:18" x14ac:dyDescent="0.2">
      <c r="B54" s="67" t="s">
        <v>601</v>
      </c>
      <c r="D54" t="s">
        <v>868</v>
      </c>
      <c r="K54" t="s">
        <v>990</v>
      </c>
      <c r="R54" t="s">
        <v>868</v>
      </c>
    </row>
    <row r="55" spans="2:18" x14ac:dyDescent="0.2">
      <c r="B55" s="67" t="s">
        <v>602</v>
      </c>
      <c r="D55" t="s">
        <v>849</v>
      </c>
      <c r="K55" t="s">
        <v>991</v>
      </c>
      <c r="R55" t="s">
        <v>849</v>
      </c>
    </row>
    <row r="56" spans="2:18" x14ac:dyDescent="0.2">
      <c r="B56" s="67" t="s">
        <v>603</v>
      </c>
      <c r="D56" t="s">
        <v>833</v>
      </c>
      <c r="K56" t="s">
        <v>992</v>
      </c>
      <c r="R56" t="s">
        <v>833</v>
      </c>
    </row>
    <row r="57" spans="2:18" x14ac:dyDescent="0.2">
      <c r="B57" s="67" t="s">
        <v>604</v>
      </c>
      <c r="D57" t="s">
        <v>836</v>
      </c>
      <c r="K57" t="s">
        <v>993</v>
      </c>
      <c r="R57" t="s">
        <v>836</v>
      </c>
    </row>
    <row r="58" spans="2:18" x14ac:dyDescent="0.2">
      <c r="B58" s="67" t="s">
        <v>605</v>
      </c>
      <c r="D58" t="s">
        <v>807</v>
      </c>
      <c r="K58" t="s">
        <v>994</v>
      </c>
      <c r="R58" t="s">
        <v>807</v>
      </c>
    </row>
    <row r="59" spans="2:18" x14ac:dyDescent="0.2">
      <c r="B59" s="67" t="s">
        <v>606</v>
      </c>
      <c r="D59" t="s">
        <v>835</v>
      </c>
      <c r="K59" t="s">
        <v>995</v>
      </c>
      <c r="R59" t="s">
        <v>835</v>
      </c>
    </row>
    <row r="60" spans="2:18" x14ac:dyDescent="0.2">
      <c r="B60" s="67" t="s">
        <v>607</v>
      </c>
      <c r="D60" t="s">
        <v>846</v>
      </c>
      <c r="K60" t="s">
        <v>996</v>
      </c>
      <c r="R60" t="s">
        <v>846</v>
      </c>
    </row>
    <row r="61" spans="2:18" x14ac:dyDescent="0.2">
      <c r="B61" s="67" t="s">
        <v>608</v>
      </c>
      <c r="D61" t="s">
        <v>845</v>
      </c>
      <c r="K61" t="s">
        <v>997</v>
      </c>
      <c r="R61" t="s">
        <v>845</v>
      </c>
    </row>
    <row r="62" spans="2:18" x14ac:dyDescent="0.2">
      <c r="B62" s="67" t="s">
        <v>609</v>
      </c>
      <c r="D62" t="s">
        <v>870</v>
      </c>
      <c r="K62" t="s">
        <v>998</v>
      </c>
      <c r="R62" t="s">
        <v>870</v>
      </c>
    </row>
    <row r="63" spans="2:18" x14ac:dyDescent="0.2">
      <c r="B63" s="67" t="s">
        <v>610</v>
      </c>
      <c r="D63" t="s">
        <v>857</v>
      </c>
      <c r="K63" t="s">
        <v>999</v>
      </c>
      <c r="R63" t="s">
        <v>857</v>
      </c>
    </row>
    <row r="64" spans="2:18" x14ac:dyDescent="0.2">
      <c r="B64" s="67" t="s">
        <v>611</v>
      </c>
      <c r="D64" t="s">
        <v>797</v>
      </c>
      <c r="K64" t="s">
        <v>1000</v>
      </c>
      <c r="R64" t="s">
        <v>797</v>
      </c>
    </row>
    <row r="65" spans="2:18" x14ac:dyDescent="0.2">
      <c r="B65" s="67" t="s">
        <v>612</v>
      </c>
      <c r="D65" t="s">
        <v>802</v>
      </c>
      <c r="K65" t="s">
        <v>1001</v>
      </c>
      <c r="R65" t="s">
        <v>802</v>
      </c>
    </row>
    <row r="66" spans="2:18" x14ac:dyDescent="0.2">
      <c r="B66" s="67" t="s">
        <v>613</v>
      </c>
      <c r="D66" t="s">
        <v>798</v>
      </c>
      <c r="K66" t="s">
        <v>1002</v>
      </c>
      <c r="R66" t="s">
        <v>798</v>
      </c>
    </row>
    <row r="67" spans="2:18" x14ac:dyDescent="0.2">
      <c r="B67" s="67" t="s">
        <v>614</v>
      </c>
      <c r="D67" t="s">
        <v>801</v>
      </c>
      <c r="K67" t="s">
        <v>1003</v>
      </c>
      <c r="R67" t="s">
        <v>801</v>
      </c>
    </row>
    <row r="68" spans="2:18" x14ac:dyDescent="0.2">
      <c r="B68" s="67" t="s">
        <v>615</v>
      </c>
      <c r="D68" t="s">
        <v>825</v>
      </c>
      <c r="K68" t="s">
        <v>1004</v>
      </c>
      <c r="R68" t="s">
        <v>825</v>
      </c>
    </row>
    <row r="69" spans="2:18" x14ac:dyDescent="0.2">
      <c r="B69" s="67" t="s">
        <v>616</v>
      </c>
      <c r="D69" t="s">
        <v>800</v>
      </c>
      <c r="K69" t="s">
        <v>1005</v>
      </c>
      <c r="R69" t="s">
        <v>800</v>
      </c>
    </row>
    <row r="70" spans="2:18" x14ac:dyDescent="0.2">
      <c r="B70" s="67" t="s">
        <v>617</v>
      </c>
      <c r="D70" t="s">
        <v>840</v>
      </c>
      <c r="K70" t="s">
        <v>1006</v>
      </c>
      <c r="R70" t="s">
        <v>840</v>
      </c>
    </row>
    <row r="71" spans="2:18" x14ac:dyDescent="0.2">
      <c r="B71" s="67" t="s">
        <v>618</v>
      </c>
      <c r="D71" t="s">
        <v>810</v>
      </c>
      <c r="K71" t="s">
        <v>1007</v>
      </c>
      <c r="R71" t="s">
        <v>810</v>
      </c>
    </row>
    <row r="72" spans="2:18" x14ac:dyDescent="0.2">
      <c r="B72" s="67" t="s">
        <v>619</v>
      </c>
      <c r="D72" t="s">
        <v>839</v>
      </c>
      <c r="K72" t="s">
        <v>1008</v>
      </c>
      <c r="R72" t="s">
        <v>839</v>
      </c>
    </row>
    <row r="73" spans="2:18" x14ac:dyDescent="0.2">
      <c r="B73" s="67" t="s">
        <v>620</v>
      </c>
      <c r="D73" t="s">
        <v>823</v>
      </c>
      <c r="K73" t="s">
        <v>1009</v>
      </c>
      <c r="R73" t="s">
        <v>823</v>
      </c>
    </row>
    <row r="74" spans="2:18" x14ac:dyDescent="0.2">
      <c r="B74" s="67" t="s">
        <v>621</v>
      </c>
      <c r="D74" t="s">
        <v>804</v>
      </c>
      <c r="K74" t="s">
        <v>1010</v>
      </c>
      <c r="R74" t="s">
        <v>804</v>
      </c>
    </row>
    <row r="75" spans="2:18" x14ac:dyDescent="0.2">
      <c r="B75" s="67" t="s">
        <v>622</v>
      </c>
      <c r="D75" t="s">
        <v>808</v>
      </c>
      <c r="K75" t="s">
        <v>1011</v>
      </c>
      <c r="R75" t="s">
        <v>808</v>
      </c>
    </row>
    <row r="76" spans="2:18" x14ac:dyDescent="0.2">
      <c r="B76" s="67" t="s">
        <v>623</v>
      </c>
      <c r="D76" t="s">
        <v>805</v>
      </c>
      <c r="K76" t="s">
        <v>1012</v>
      </c>
      <c r="R76" t="s">
        <v>805</v>
      </c>
    </row>
    <row r="77" spans="2:18" x14ac:dyDescent="0.2">
      <c r="B77" s="67" t="s">
        <v>624</v>
      </c>
      <c r="D77" t="s">
        <v>856</v>
      </c>
      <c r="K77" t="s">
        <v>1013</v>
      </c>
      <c r="R77" t="s">
        <v>856</v>
      </c>
    </row>
    <row r="78" spans="2:18" x14ac:dyDescent="0.2">
      <c r="B78" s="67" t="s">
        <v>625</v>
      </c>
      <c r="D78" t="s">
        <v>859</v>
      </c>
      <c r="K78" t="s">
        <v>1014</v>
      </c>
      <c r="R78" t="s">
        <v>859</v>
      </c>
    </row>
    <row r="79" spans="2:18" x14ac:dyDescent="0.2">
      <c r="B79" s="67" t="s">
        <v>626</v>
      </c>
      <c r="D79" t="s">
        <v>822</v>
      </c>
      <c r="K79" t="s">
        <v>1015</v>
      </c>
      <c r="R79" t="s">
        <v>822</v>
      </c>
    </row>
    <row r="80" spans="2:18" x14ac:dyDescent="0.2">
      <c r="B80" s="67" t="s">
        <v>627</v>
      </c>
      <c r="D80" t="s">
        <v>829</v>
      </c>
      <c r="K80" t="s">
        <v>1016</v>
      </c>
      <c r="R80" t="s">
        <v>829</v>
      </c>
    </row>
    <row r="81" spans="2:18" x14ac:dyDescent="0.2">
      <c r="B81" s="67" t="s">
        <v>628</v>
      </c>
      <c r="D81" t="s">
        <v>799</v>
      </c>
      <c r="K81" t="s">
        <v>1017</v>
      </c>
      <c r="R81" t="s">
        <v>799</v>
      </c>
    </row>
    <row r="82" spans="2:18" x14ac:dyDescent="0.2">
      <c r="B82" s="67" t="s">
        <v>629</v>
      </c>
      <c r="D82" t="s">
        <v>838</v>
      </c>
      <c r="K82" t="s">
        <v>1018</v>
      </c>
      <c r="R82" t="s">
        <v>838</v>
      </c>
    </row>
    <row r="83" spans="2:18" x14ac:dyDescent="0.2">
      <c r="B83" s="67" t="s">
        <v>630</v>
      </c>
      <c r="D83" t="s">
        <v>843</v>
      </c>
      <c r="K83" t="s">
        <v>1019</v>
      </c>
      <c r="R83" t="s">
        <v>843</v>
      </c>
    </row>
    <row r="84" spans="2:18" x14ac:dyDescent="0.2">
      <c r="B84" s="67" t="s">
        <v>631</v>
      </c>
      <c r="D84" t="s">
        <v>826</v>
      </c>
      <c r="K84" t="s">
        <v>1020</v>
      </c>
      <c r="R84" t="s">
        <v>826</v>
      </c>
    </row>
    <row r="85" spans="2:18" x14ac:dyDescent="0.2">
      <c r="B85" s="67" t="s">
        <v>632</v>
      </c>
      <c r="D85" t="s">
        <v>806</v>
      </c>
      <c r="K85" t="s">
        <v>1021</v>
      </c>
      <c r="R85" t="s">
        <v>806</v>
      </c>
    </row>
    <row r="86" spans="2:18" x14ac:dyDescent="0.2">
      <c r="B86" s="67" t="s">
        <v>633</v>
      </c>
      <c r="D86" t="s">
        <v>795</v>
      </c>
      <c r="K86" t="s">
        <v>1022</v>
      </c>
      <c r="R86" t="s">
        <v>795</v>
      </c>
    </row>
    <row r="87" spans="2:18" x14ac:dyDescent="0.2">
      <c r="B87" s="67" t="s">
        <v>634</v>
      </c>
      <c r="D87" t="s">
        <v>831</v>
      </c>
      <c r="K87" t="s">
        <v>1023</v>
      </c>
      <c r="R87" t="s">
        <v>831</v>
      </c>
    </row>
    <row r="88" spans="2:18" x14ac:dyDescent="0.2">
      <c r="B88" s="67" t="s">
        <v>635</v>
      </c>
      <c r="D88" t="s">
        <v>794</v>
      </c>
      <c r="K88" t="s">
        <v>1024</v>
      </c>
      <c r="R88" t="s">
        <v>794</v>
      </c>
    </row>
    <row r="89" spans="2:18" x14ac:dyDescent="0.2">
      <c r="B89" s="67" t="s">
        <v>636</v>
      </c>
      <c r="K89" t="s">
        <v>1025</v>
      </c>
    </row>
    <row r="90" spans="2:18" x14ac:dyDescent="0.2">
      <c r="B90" s="67" t="s">
        <v>637</v>
      </c>
      <c r="K90" t="s">
        <v>1026</v>
      </c>
    </row>
    <row r="91" spans="2:18" x14ac:dyDescent="0.2">
      <c r="B91" s="67" t="s">
        <v>638</v>
      </c>
      <c r="K91" t="s">
        <v>1027</v>
      </c>
    </row>
    <row r="92" spans="2:18" x14ac:dyDescent="0.2">
      <c r="B92" s="67" t="s">
        <v>639</v>
      </c>
      <c r="K92" t="s">
        <v>1028</v>
      </c>
    </row>
    <row r="93" spans="2:18" x14ac:dyDescent="0.2">
      <c r="B93" s="67" t="s">
        <v>640</v>
      </c>
      <c r="K93" t="s">
        <v>1029</v>
      </c>
    </row>
    <row r="94" spans="2:18" x14ac:dyDescent="0.2">
      <c r="B94" s="67" t="s">
        <v>641</v>
      </c>
      <c r="K94" t="s">
        <v>1030</v>
      </c>
    </row>
    <row r="95" spans="2:18" x14ac:dyDescent="0.2">
      <c r="B95" s="67" t="s">
        <v>642</v>
      </c>
      <c r="K95" t="s">
        <v>1031</v>
      </c>
    </row>
    <row r="96" spans="2:18" x14ac:dyDescent="0.2">
      <c r="B96" s="67" t="s">
        <v>643</v>
      </c>
      <c r="K96" t="s">
        <v>1032</v>
      </c>
    </row>
    <row r="97" spans="2:11" x14ac:dyDescent="0.2">
      <c r="B97" s="67" t="s">
        <v>644</v>
      </c>
      <c r="K97" t="s">
        <v>1033</v>
      </c>
    </row>
    <row r="98" spans="2:11" x14ac:dyDescent="0.2">
      <c r="B98" s="67" t="s">
        <v>645</v>
      </c>
      <c r="K98" t="s">
        <v>1034</v>
      </c>
    </row>
    <row r="99" spans="2:11" x14ac:dyDescent="0.2">
      <c r="B99" s="67" t="s">
        <v>646</v>
      </c>
      <c r="K99" t="s">
        <v>1035</v>
      </c>
    </row>
    <row r="100" spans="2:11" x14ac:dyDescent="0.2">
      <c r="B100" s="67" t="s">
        <v>647</v>
      </c>
      <c r="K100" t="s">
        <v>1036</v>
      </c>
    </row>
    <row r="101" spans="2:11" x14ac:dyDescent="0.2">
      <c r="B101" s="67" t="s">
        <v>648</v>
      </c>
      <c r="K101" t="s">
        <v>1037</v>
      </c>
    </row>
    <row r="102" spans="2:11" x14ac:dyDescent="0.2">
      <c r="B102" s="67" t="s">
        <v>649</v>
      </c>
      <c r="K102" t="s">
        <v>1038</v>
      </c>
    </row>
    <row r="103" spans="2:11" x14ac:dyDescent="0.2">
      <c r="B103" s="67" t="s">
        <v>650</v>
      </c>
      <c r="K103" t="s">
        <v>1039</v>
      </c>
    </row>
    <row r="104" spans="2:11" x14ac:dyDescent="0.2">
      <c r="B104" s="67" t="s">
        <v>651</v>
      </c>
      <c r="K104" t="s">
        <v>1040</v>
      </c>
    </row>
    <row r="105" spans="2:11" x14ac:dyDescent="0.2">
      <c r="B105" s="67" t="s">
        <v>652</v>
      </c>
      <c r="K105" t="s">
        <v>1041</v>
      </c>
    </row>
    <row r="106" spans="2:11" x14ac:dyDescent="0.2">
      <c r="B106" s="67" t="s">
        <v>653</v>
      </c>
      <c r="K106" t="s">
        <v>1042</v>
      </c>
    </row>
    <row r="107" spans="2:11" x14ac:dyDescent="0.2">
      <c r="B107" s="67" t="s">
        <v>654</v>
      </c>
      <c r="K107" t="s">
        <v>1043</v>
      </c>
    </row>
    <row r="108" spans="2:11" x14ac:dyDescent="0.2">
      <c r="B108" s="67" t="s">
        <v>655</v>
      </c>
      <c r="K108" t="s">
        <v>1044</v>
      </c>
    </row>
    <row r="109" spans="2:11" x14ac:dyDescent="0.2">
      <c r="B109" s="67" t="s">
        <v>656</v>
      </c>
      <c r="K109" t="s">
        <v>1045</v>
      </c>
    </row>
    <row r="110" spans="2:11" x14ac:dyDescent="0.2">
      <c r="B110" s="67" t="s">
        <v>657</v>
      </c>
      <c r="K110" t="s">
        <v>1046</v>
      </c>
    </row>
    <row r="111" spans="2:11" x14ac:dyDescent="0.2">
      <c r="B111" s="67" t="s">
        <v>658</v>
      </c>
      <c r="K111" t="s">
        <v>1047</v>
      </c>
    </row>
    <row r="112" spans="2:11" x14ac:dyDescent="0.2">
      <c r="B112" s="67" t="s">
        <v>659</v>
      </c>
      <c r="K112" t="s">
        <v>1048</v>
      </c>
    </row>
    <row r="113" spans="2:11" x14ac:dyDescent="0.2">
      <c r="B113" s="67" t="s">
        <v>660</v>
      </c>
      <c r="K113" t="s">
        <v>1049</v>
      </c>
    </row>
    <row r="114" spans="2:11" x14ac:dyDescent="0.2">
      <c r="B114" s="67" t="s">
        <v>661</v>
      </c>
      <c r="K114" t="s">
        <v>1050</v>
      </c>
    </row>
    <row r="115" spans="2:11" x14ac:dyDescent="0.2">
      <c r="B115" s="67" t="s">
        <v>662</v>
      </c>
      <c r="K115" t="s">
        <v>1051</v>
      </c>
    </row>
    <row r="116" spans="2:11" x14ac:dyDescent="0.2">
      <c r="B116" s="67" t="s">
        <v>663</v>
      </c>
      <c r="K116" t="s">
        <v>1052</v>
      </c>
    </row>
    <row r="117" spans="2:11" x14ac:dyDescent="0.2">
      <c r="B117" s="67" t="s">
        <v>664</v>
      </c>
      <c r="K117" t="s">
        <v>1053</v>
      </c>
    </row>
    <row r="118" spans="2:11" x14ac:dyDescent="0.2">
      <c r="B118" s="67" t="s">
        <v>665</v>
      </c>
      <c r="K118" t="s">
        <v>1054</v>
      </c>
    </row>
    <row r="119" spans="2:11" x14ac:dyDescent="0.2">
      <c r="B119" s="67" t="s">
        <v>666</v>
      </c>
      <c r="K119" t="s">
        <v>1055</v>
      </c>
    </row>
    <row r="120" spans="2:11" x14ac:dyDescent="0.2">
      <c r="B120" s="67" t="s">
        <v>667</v>
      </c>
      <c r="K120" t="s">
        <v>1056</v>
      </c>
    </row>
    <row r="121" spans="2:11" x14ac:dyDescent="0.2">
      <c r="B121" s="67" t="s">
        <v>668</v>
      </c>
      <c r="K121" t="s">
        <v>1057</v>
      </c>
    </row>
    <row r="122" spans="2:11" x14ac:dyDescent="0.2">
      <c r="B122" s="67" t="s">
        <v>669</v>
      </c>
      <c r="K122" t="s">
        <v>1058</v>
      </c>
    </row>
    <row r="123" spans="2:11" x14ac:dyDescent="0.2">
      <c r="B123" s="67" t="s">
        <v>670</v>
      </c>
      <c r="K123" t="s">
        <v>1059</v>
      </c>
    </row>
    <row r="124" spans="2:11" x14ac:dyDescent="0.2">
      <c r="B124" s="67" t="s">
        <v>671</v>
      </c>
      <c r="K124" t="s">
        <v>1060</v>
      </c>
    </row>
    <row r="125" spans="2:11" x14ac:dyDescent="0.2">
      <c r="B125" s="67" t="s">
        <v>672</v>
      </c>
      <c r="K125" t="s">
        <v>1061</v>
      </c>
    </row>
    <row r="126" spans="2:11" x14ac:dyDescent="0.2">
      <c r="B126" s="67" t="s">
        <v>673</v>
      </c>
      <c r="K126" t="s">
        <v>1062</v>
      </c>
    </row>
    <row r="127" spans="2:11" x14ac:dyDescent="0.2">
      <c r="B127" s="67" t="s">
        <v>674</v>
      </c>
      <c r="K127" t="s">
        <v>1063</v>
      </c>
    </row>
    <row r="128" spans="2:11" x14ac:dyDescent="0.2">
      <c r="B128" s="67" t="s">
        <v>675</v>
      </c>
      <c r="K128" t="s">
        <v>1064</v>
      </c>
    </row>
    <row r="129" spans="2:11" x14ac:dyDescent="0.2">
      <c r="B129" s="67" t="s">
        <v>676</v>
      </c>
      <c r="K129" t="s">
        <v>1065</v>
      </c>
    </row>
    <row r="130" spans="2:11" x14ac:dyDescent="0.2">
      <c r="B130" s="67" t="s">
        <v>677</v>
      </c>
      <c r="K130" t="s">
        <v>1066</v>
      </c>
    </row>
    <row r="131" spans="2:11" x14ac:dyDescent="0.2">
      <c r="B131" s="67" t="s">
        <v>678</v>
      </c>
      <c r="K131" t="s">
        <v>1067</v>
      </c>
    </row>
    <row r="132" spans="2:11" x14ac:dyDescent="0.2">
      <c r="B132" s="67" t="s">
        <v>679</v>
      </c>
      <c r="K132" t="s">
        <v>1068</v>
      </c>
    </row>
    <row r="133" spans="2:11" x14ac:dyDescent="0.2">
      <c r="B133" s="67" t="s">
        <v>680</v>
      </c>
      <c r="K133" t="s">
        <v>1069</v>
      </c>
    </row>
    <row r="134" spans="2:11" x14ac:dyDescent="0.2">
      <c r="B134" s="67" t="s">
        <v>681</v>
      </c>
      <c r="K134" t="s">
        <v>1070</v>
      </c>
    </row>
    <row r="135" spans="2:11" x14ac:dyDescent="0.2">
      <c r="B135" s="67" t="s">
        <v>682</v>
      </c>
      <c r="K135" t="s">
        <v>1071</v>
      </c>
    </row>
    <row r="136" spans="2:11" x14ac:dyDescent="0.2">
      <c r="B136" s="67" t="s">
        <v>683</v>
      </c>
      <c r="K136" t="s">
        <v>1072</v>
      </c>
    </row>
    <row r="137" spans="2:11" x14ac:dyDescent="0.2">
      <c r="B137" s="67" t="s">
        <v>684</v>
      </c>
      <c r="K137" t="s">
        <v>1073</v>
      </c>
    </row>
    <row r="138" spans="2:11" x14ac:dyDescent="0.2">
      <c r="B138" s="67" t="s">
        <v>685</v>
      </c>
      <c r="K138" t="s">
        <v>1074</v>
      </c>
    </row>
    <row r="139" spans="2:11" x14ac:dyDescent="0.2">
      <c r="B139" s="67" t="s">
        <v>686</v>
      </c>
      <c r="K139" t="s">
        <v>1075</v>
      </c>
    </row>
    <row r="140" spans="2:11" x14ac:dyDescent="0.2">
      <c r="B140" s="67" t="s">
        <v>687</v>
      </c>
      <c r="K140" t="s">
        <v>1076</v>
      </c>
    </row>
    <row r="141" spans="2:11" x14ac:dyDescent="0.2">
      <c r="B141" s="67" t="s">
        <v>688</v>
      </c>
      <c r="K141" t="s">
        <v>1077</v>
      </c>
    </row>
    <row r="142" spans="2:11" x14ac:dyDescent="0.2">
      <c r="B142" s="67" t="s">
        <v>689</v>
      </c>
      <c r="K142" t="s">
        <v>1078</v>
      </c>
    </row>
    <row r="143" spans="2:11" x14ac:dyDescent="0.2">
      <c r="B143" s="67" t="s">
        <v>690</v>
      </c>
      <c r="K143" t="s">
        <v>1079</v>
      </c>
    </row>
    <row r="144" spans="2:11" x14ac:dyDescent="0.2">
      <c r="B144" s="67" t="s">
        <v>691</v>
      </c>
      <c r="K144" t="s">
        <v>1080</v>
      </c>
    </row>
    <row r="145" spans="2:11" x14ac:dyDescent="0.2">
      <c r="B145" s="67" t="s">
        <v>692</v>
      </c>
      <c r="K145" t="s">
        <v>1081</v>
      </c>
    </row>
    <row r="146" spans="2:11" x14ac:dyDescent="0.2">
      <c r="B146" s="67" t="s">
        <v>693</v>
      </c>
      <c r="K146" t="s">
        <v>1082</v>
      </c>
    </row>
    <row r="147" spans="2:11" x14ac:dyDescent="0.2">
      <c r="B147" s="67" t="s">
        <v>694</v>
      </c>
      <c r="K147" t="s">
        <v>1083</v>
      </c>
    </row>
    <row r="148" spans="2:11" x14ac:dyDescent="0.2">
      <c r="B148" s="67" t="s">
        <v>695</v>
      </c>
      <c r="K148" t="s">
        <v>1084</v>
      </c>
    </row>
    <row r="149" spans="2:11" x14ac:dyDescent="0.2">
      <c r="B149" s="67" t="s">
        <v>696</v>
      </c>
      <c r="K149" t="s">
        <v>1085</v>
      </c>
    </row>
    <row r="150" spans="2:11" x14ac:dyDescent="0.2">
      <c r="B150" s="67" t="s">
        <v>697</v>
      </c>
      <c r="K150" t="s">
        <v>1086</v>
      </c>
    </row>
    <row r="151" spans="2:11" x14ac:dyDescent="0.2">
      <c r="B151" s="67" t="s">
        <v>698</v>
      </c>
      <c r="K151" t="s">
        <v>1087</v>
      </c>
    </row>
    <row r="152" spans="2:11" x14ac:dyDescent="0.2">
      <c r="B152" s="67" t="s">
        <v>699</v>
      </c>
      <c r="K152" t="s">
        <v>1088</v>
      </c>
    </row>
    <row r="153" spans="2:11" x14ac:dyDescent="0.2">
      <c r="B153" s="67" t="s">
        <v>700</v>
      </c>
      <c r="K153" t="s">
        <v>1089</v>
      </c>
    </row>
    <row r="154" spans="2:11" x14ac:dyDescent="0.2">
      <c r="B154" s="67" t="s">
        <v>701</v>
      </c>
      <c r="K154" t="s">
        <v>1090</v>
      </c>
    </row>
    <row r="155" spans="2:11" x14ac:dyDescent="0.2">
      <c r="B155" s="67" t="s">
        <v>702</v>
      </c>
      <c r="K155" t="s">
        <v>1091</v>
      </c>
    </row>
    <row r="156" spans="2:11" x14ac:dyDescent="0.2">
      <c r="B156" s="67" t="s">
        <v>703</v>
      </c>
      <c r="K156" t="s">
        <v>1092</v>
      </c>
    </row>
    <row r="157" spans="2:11" x14ac:dyDescent="0.2">
      <c r="B157" s="67" t="s">
        <v>704</v>
      </c>
      <c r="K157" t="s">
        <v>1093</v>
      </c>
    </row>
    <row r="158" spans="2:11" x14ac:dyDescent="0.2">
      <c r="B158" s="67" t="s">
        <v>705</v>
      </c>
      <c r="K158" t="s">
        <v>1094</v>
      </c>
    </row>
    <row r="159" spans="2:11" x14ac:dyDescent="0.2">
      <c r="B159" s="67" t="s">
        <v>706</v>
      </c>
      <c r="K159" t="s">
        <v>1095</v>
      </c>
    </row>
    <row r="160" spans="2:11" x14ac:dyDescent="0.2">
      <c r="B160" s="67" t="s">
        <v>707</v>
      </c>
      <c r="K160" t="s">
        <v>1096</v>
      </c>
    </row>
    <row r="161" spans="2:11" x14ac:dyDescent="0.2">
      <c r="B161" s="67" t="s">
        <v>708</v>
      </c>
      <c r="K161" t="s">
        <v>1097</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1182</v>
      </c>
      <c r="S1" t="s">
        <v>17</v>
      </c>
      <c r="V1" t="s">
        <v>18</v>
      </c>
      <c r="Y1" t="s">
        <v>207</v>
      </c>
      <c r="AE1" t="s">
        <v>297</v>
      </c>
      <c r="AI1" t="s">
        <v>327</v>
      </c>
    </row>
    <row r="2" spans="1:35" x14ac:dyDescent="0.2">
      <c r="A2">
        <v>0</v>
      </c>
      <c r="E2" t="s">
        <v>19</v>
      </c>
      <c r="F2">
        <v>1</v>
      </c>
      <c r="H2">
        <v>65</v>
      </c>
      <c r="I2">
        <v>0.65</v>
      </c>
      <c r="K2" s="317">
        <v>43892</v>
      </c>
      <c r="L2" s="317"/>
      <c r="M2" s="317"/>
      <c r="S2" s="7">
        <f>IF(Demand!$C$6="","",Demand!$C$6)</f>
        <v>43192</v>
      </c>
      <c r="V2">
        <v>1</v>
      </c>
      <c r="Y2" t="s">
        <v>210</v>
      </c>
      <c r="Z2" t="s">
        <v>208</v>
      </c>
      <c r="AA2" t="s">
        <v>209</v>
      </c>
      <c r="AE2" t="s">
        <v>57</v>
      </c>
      <c r="AI2" t="str">
        <f ca="1">"Baseline: "&amp;TEXT(MAX('SPC background (hide)'!$I$5:$I$11),"#")&amp;" wks"</f>
        <v>Baseline: 52 wks</v>
      </c>
    </row>
    <row r="3" spans="1:35" x14ac:dyDescent="0.2">
      <c r="A3">
        <v>1</v>
      </c>
      <c r="C3" t="s">
        <v>20</v>
      </c>
      <c r="E3" t="s">
        <v>21</v>
      </c>
      <c r="F3">
        <v>2</v>
      </c>
      <c r="H3">
        <v>70</v>
      </c>
      <c r="I3">
        <v>0.7</v>
      </c>
      <c r="K3" s="317">
        <f>K2+7</f>
        <v>43899</v>
      </c>
      <c r="S3" s="7">
        <f>IF($S$2="","",S2+7)</f>
        <v>43199</v>
      </c>
      <c r="V3">
        <v>1.5</v>
      </c>
      <c r="Y3" t="s">
        <v>32</v>
      </c>
      <c r="Z3" t="str">
        <f>Setup!C27</f>
        <v>Slot A</v>
      </c>
      <c r="AA3" t="str">
        <f>IF(Z3="",Y3,Z3)</f>
        <v>Slot A</v>
      </c>
      <c r="AE3" t="str">
        <f>IF(Capacity!B17="","",ROW(A1)&amp;". "&amp;Capacity!B17)</f>
        <v>1. Slot A</v>
      </c>
      <c r="AF3" s="67"/>
      <c r="AI3">
        <v>20</v>
      </c>
    </row>
    <row r="4" spans="1:35" x14ac:dyDescent="0.2">
      <c r="A4">
        <v>2</v>
      </c>
      <c r="C4" t="s">
        <v>22</v>
      </c>
      <c r="E4" t="s">
        <v>23</v>
      </c>
      <c r="F4">
        <v>3</v>
      </c>
      <c r="H4">
        <v>75</v>
      </c>
      <c r="I4">
        <v>0.75</v>
      </c>
      <c r="K4" s="317">
        <f t="shared" ref="K4:K54" si="0">K3+7</f>
        <v>43906</v>
      </c>
      <c r="S4" s="7">
        <f t="shared" ref="S4:S53" si="1">IF($S$2="","",S3+7)</f>
        <v>43206</v>
      </c>
      <c r="V4">
        <v>2</v>
      </c>
      <c r="Y4" t="s">
        <v>34</v>
      </c>
      <c r="Z4" t="str">
        <f>Setup!C28</f>
        <v>Slot B</v>
      </c>
      <c r="AA4" t="str">
        <f t="shared" ref="AA4:AA12" si="2">IF(Z4="",Y4,Z4)</f>
        <v>Slot B</v>
      </c>
      <c r="AE4" s="67" t="str">
        <f>IF(Capacity!B18="","",ROW(A2)&amp;". "&amp;Capacity!B18)</f>
        <v>2. Slot B</v>
      </c>
      <c r="AF4" s="67"/>
      <c r="AI4">
        <v>21</v>
      </c>
    </row>
    <row r="5" spans="1:35" x14ac:dyDescent="0.2">
      <c r="A5">
        <v>3</v>
      </c>
      <c r="H5">
        <v>80</v>
      </c>
      <c r="I5">
        <v>0.8</v>
      </c>
      <c r="K5" s="317">
        <f t="shared" si="0"/>
        <v>43913</v>
      </c>
      <c r="S5" s="7">
        <f t="shared" si="1"/>
        <v>43213</v>
      </c>
      <c r="V5">
        <v>2.5</v>
      </c>
      <c r="Y5" t="s">
        <v>36</v>
      </c>
      <c r="Z5" t="str">
        <f>Setup!C29</f>
        <v>Cacrys</v>
      </c>
      <c r="AA5" t="str">
        <f t="shared" si="2"/>
        <v>Cacrys</v>
      </c>
      <c r="AE5" s="67" t="str">
        <f>IF(Capacity!B19="","",ROW(A3)&amp;". "&amp;Capacity!B19)</f>
        <v>3. 2 ww</v>
      </c>
      <c r="AF5" s="67"/>
      <c r="AI5" s="67">
        <v>22</v>
      </c>
    </row>
    <row r="6" spans="1:35" x14ac:dyDescent="0.2">
      <c r="A6">
        <v>4</v>
      </c>
      <c r="C6" t="s">
        <v>22</v>
      </c>
      <c r="E6" t="s">
        <v>19</v>
      </c>
      <c r="I6">
        <v>0.85</v>
      </c>
      <c r="K6" s="317">
        <f t="shared" si="0"/>
        <v>43920</v>
      </c>
      <c r="S6" s="7">
        <f t="shared" si="1"/>
        <v>43220</v>
      </c>
      <c r="V6">
        <v>3</v>
      </c>
      <c r="Y6" t="s">
        <v>38</v>
      </c>
      <c r="Z6" t="str">
        <f>Setup!C30</f>
        <v>CT Colon</v>
      </c>
      <c r="AA6" t="str">
        <f t="shared" si="2"/>
        <v>CT Colon</v>
      </c>
      <c r="AE6" s="67" t="str">
        <f>IF(Capacity!B20="","",ROW(A4)&amp;". "&amp;Capacity!B20)</f>
        <v>4. Biopsy</v>
      </c>
      <c r="AF6" s="67"/>
      <c r="AI6" s="67">
        <v>23</v>
      </c>
    </row>
    <row r="7" spans="1:35" x14ac:dyDescent="0.2">
      <c r="A7">
        <v>5</v>
      </c>
      <c r="C7" t="s">
        <v>20</v>
      </c>
      <c r="E7" t="s">
        <v>23</v>
      </c>
      <c r="K7" s="317">
        <f t="shared" si="0"/>
        <v>43927</v>
      </c>
      <c r="S7" s="7">
        <f t="shared" si="1"/>
        <v>43227</v>
      </c>
      <c r="V7">
        <v>3.5</v>
      </c>
      <c r="Y7" t="s">
        <v>40</v>
      </c>
      <c r="Z7" t="str">
        <f>Setup!C31</f>
        <v>CT Biopsy</v>
      </c>
      <c r="AA7" t="str">
        <f t="shared" si="2"/>
        <v>CT Biopsy</v>
      </c>
      <c r="AE7" s="67" t="str">
        <f>IF(Capacity!B21="","",ROW(A5)&amp;". "&amp;Capacity!B21)</f>
        <v>5. Slot A</v>
      </c>
      <c r="AF7" s="67"/>
      <c r="AI7" s="67">
        <v>24</v>
      </c>
    </row>
    <row r="8" spans="1:35" x14ac:dyDescent="0.2">
      <c r="A8">
        <v>6</v>
      </c>
      <c r="K8" s="317">
        <f t="shared" si="0"/>
        <v>43934</v>
      </c>
      <c r="S8" s="7">
        <f t="shared" si="1"/>
        <v>43234</v>
      </c>
      <c r="V8">
        <v>4</v>
      </c>
      <c r="Y8" t="s">
        <v>42</v>
      </c>
      <c r="Z8" t="str">
        <f>Setup!C32</f>
        <v>Modality 6</v>
      </c>
      <c r="AA8" t="str">
        <f t="shared" si="2"/>
        <v>Modality 6</v>
      </c>
      <c r="AE8" s="67" t="str">
        <f>IF(Capacity!B22="","",ROW(A6)&amp;". "&amp;Capacity!B22)</f>
        <v>6. 2 ww</v>
      </c>
      <c r="AF8" s="67"/>
      <c r="AI8" s="67">
        <v>25</v>
      </c>
    </row>
    <row r="9" spans="1:35" x14ac:dyDescent="0.2">
      <c r="A9">
        <v>7</v>
      </c>
      <c r="E9" t="s">
        <v>19</v>
      </c>
      <c r="H9" t="s">
        <v>137</v>
      </c>
      <c r="I9">
        <f>VLOOKUP(Setup!I19,'Control sheet (hide)'!H2:I5,2,0)</f>
        <v>0.65</v>
      </c>
      <c r="K9" s="317">
        <f t="shared" si="0"/>
        <v>43941</v>
      </c>
      <c r="S9" s="7">
        <f t="shared" si="1"/>
        <v>43241</v>
      </c>
      <c r="V9">
        <v>4.5</v>
      </c>
      <c r="Y9" t="s">
        <v>44</v>
      </c>
      <c r="Z9" t="str">
        <f>Setup!C33</f>
        <v>Modality 1</v>
      </c>
      <c r="AA9" t="str">
        <f t="shared" si="2"/>
        <v>Modality 1</v>
      </c>
      <c r="AE9" s="67" t="str">
        <f>IF(Capacity!B23="","",ROW(A7)&amp;". "&amp;Capacity!B23)</f>
        <v>7. CT Colon</v>
      </c>
      <c r="AF9" s="67"/>
      <c r="AI9" s="67">
        <v>26</v>
      </c>
    </row>
    <row r="10" spans="1:35" x14ac:dyDescent="0.2">
      <c r="A10">
        <v>8</v>
      </c>
      <c r="E10" t="s">
        <v>21</v>
      </c>
      <c r="H10" t="s">
        <v>138</v>
      </c>
      <c r="I10">
        <f>I6</f>
        <v>0.85</v>
      </c>
      <c r="K10" s="317">
        <f t="shared" si="0"/>
        <v>43948</v>
      </c>
      <c r="S10" s="7">
        <f t="shared" si="1"/>
        <v>43248</v>
      </c>
      <c r="V10">
        <v>5</v>
      </c>
      <c r="Y10" t="s">
        <v>46</v>
      </c>
      <c r="Z10" t="str">
        <f>Setup!C34</f>
        <v>Modality 8</v>
      </c>
      <c r="AA10" t="str">
        <f t="shared" si="2"/>
        <v>Modality 8</v>
      </c>
      <c r="AE10" s="67" t="str">
        <f>IF(Capacity!B24="","",ROW(A8)&amp;". "&amp;Capacity!B24)</f>
        <v>8. Slot A</v>
      </c>
      <c r="AF10" s="67"/>
      <c r="AI10" s="67">
        <v>27</v>
      </c>
    </row>
    <row r="11" spans="1:35" x14ac:dyDescent="0.2">
      <c r="A11">
        <v>9</v>
      </c>
      <c r="C11" t="s">
        <v>1176</v>
      </c>
      <c r="K11" s="317">
        <f t="shared" si="0"/>
        <v>43955</v>
      </c>
      <c r="S11" s="7">
        <f t="shared" si="1"/>
        <v>43255</v>
      </c>
      <c r="V11">
        <v>5.5</v>
      </c>
      <c r="Y11" t="s">
        <v>48</v>
      </c>
      <c r="Z11" t="str">
        <f>Setup!C35</f>
        <v>Modality 9</v>
      </c>
      <c r="AA11" t="str">
        <f t="shared" si="2"/>
        <v>Modality 9</v>
      </c>
      <c r="AE11" s="67" t="str">
        <f>IF(Capacity!B25="","",ROW(A9)&amp;". "&amp;Capacity!B25)</f>
        <v>9. 2 ww</v>
      </c>
      <c r="AF11" s="67"/>
      <c r="AI11" s="67">
        <v>28</v>
      </c>
    </row>
    <row r="12" spans="1:35" x14ac:dyDescent="0.2">
      <c r="A12">
        <v>10</v>
      </c>
      <c r="K12" s="317">
        <f t="shared" si="0"/>
        <v>43962</v>
      </c>
      <c r="S12" s="7">
        <f t="shared" si="1"/>
        <v>43262</v>
      </c>
      <c r="V12">
        <v>6</v>
      </c>
      <c r="Y12" t="s">
        <v>50</v>
      </c>
      <c r="Z12" t="str">
        <f>Setup!C36</f>
        <v>Modality 10</v>
      </c>
      <c r="AA12" t="str">
        <f t="shared" si="2"/>
        <v>Modality 10</v>
      </c>
      <c r="AE12" s="67" t="str">
        <f>IF(Capacity!B26="","",ROW(A10)&amp;". "&amp;Capacity!B26)</f>
        <v>10. CT Colon</v>
      </c>
      <c r="AF12" s="67"/>
      <c r="AI12" s="67">
        <v>29</v>
      </c>
    </row>
    <row r="13" spans="1:35" x14ac:dyDescent="0.2">
      <c r="A13">
        <v>11</v>
      </c>
      <c r="E13" t="s">
        <v>24</v>
      </c>
      <c r="H13" t="s">
        <v>874</v>
      </c>
      <c r="K13" s="317">
        <f t="shared" si="0"/>
        <v>43969</v>
      </c>
      <c r="S13" s="7">
        <f t="shared" si="1"/>
        <v>43269</v>
      </c>
      <c r="V13">
        <v>6.5</v>
      </c>
      <c r="AA13" t="s">
        <v>211</v>
      </c>
      <c r="AE13" s="67" t="str">
        <f>IF(Capacity!B27="","",ROW(A11)&amp;". "&amp;Capacity!B27)</f>
        <v>11. Slot A</v>
      </c>
      <c r="AF13" s="67"/>
      <c r="AI13" s="67">
        <v>30</v>
      </c>
    </row>
    <row r="14" spans="1:35" x14ac:dyDescent="0.2">
      <c r="A14">
        <v>12</v>
      </c>
      <c r="E14" t="s">
        <v>25</v>
      </c>
      <c r="H14" t="s">
        <v>875</v>
      </c>
      <c r="K14" s="317">
        <f t="shared" si="0"/>
        <v>43976</v>
      </c>
      <c r="S14" s="7">
        <f t="shared" si="1"/>
        <v>43276</v>
      </c>
      <c r="V14">
        <v>7</v>
      </c>
      <c r="AE14" s="67" t="str">
        <f>IF(Capacity!B28="","",ROW(A12)&amp;". "&amp;Capacity!B28)</f>
        <v>12. 2 ww</v>
      </c>
      <c r="AF14" s="67"/>
      <c r="AI14" s="67">
        <v>31</v>
      </c>
    </row>
    <row r="15" spans="1:35" x14ac:dyDescent="0.2">
      <c r="A15">
        <v>13</v>
      </c>
      <c r="K15" s="317">
        <f t="shared" si="0"/>
        <v>43983</v>
      </c>
      <c r="S15" s="7">
        <f t="shared" si="1"/>
        <v>43283</v>
      </c>
      <c r="V15">
        <v>7.5</v>
      </c>
      <c r="AE15" s="67" t="str">
        <f>IF(Capacity!B29="","",ROW(A13)&amp;". "&amp;Capacity!B29)</f>
        <v>13. Cardiac</v>
      </c>
      <c r="AF15" s="67"/>
      <c r="AI15" s="67">
        <v>32</v>
      </c>
    </row>
    <row r="16" spans="1:35" x14ac:dyDescent="0.2">
      <c r="A16">
        <v>14</v>
      </c>
      <c r="E16" t="s">
        <v>88</v>
      </c>
      <c r="K16" s="317">
        <f t="shared" si="0"/>
        <v>43990</v>
      </c>
      <c r="S16" s="7">
        <f t="shared" si="1"/>
        <v>43290</v>
      </c>
      <c r="V16">
        <v>8</v>
      </c>
      <c r="AE16" s="67" t="str">
        <f>IF(Capacity!B30="","",ROW(A14)&amp;". "&amp;Capacity!B30)</f>
        <v>14. Slot B</v>
      </c>
      <c r="AF16" s="67"/>
      <c r="AI16" s="67">
        <v>33</v>
      </c>
    </row>
    <row r="17" spans="1:35" x14ac:dyDescent="0.2">
      <c r="A17">
        <v>15</v>
      </c>
      <c r="E17" t="s">
        <v>87</v>
      </c>
      <c r="K17" s="317">
        <f t="shared" si="0"/>
        <v>43997</v>
      </c>
      <c r="S17" s="7">
        <f t="shared" si="1"/>
        <v>43297</v>
      </c>
      <c r="V17">
        <v>8.5</v>
      </c>
      <c r="AE17" s="67" t="str">
        <f>IF(Capacity!B31="","",ROW(A15)&amp;". "&amp;Capacity!B31)</f>
        <v>15. PP</v>
      </c>
      <c r="AF17" s="67"/>
      <c r="AI17" s="67">
        <v>34</v>
      </c>
    </row>
    <row r="18" spans="1:35" x14ac:dyDescent="0.2">
      <c r="A18">
        <v>16</v>
      </c>
      <c r="K18" s="317">
        <f t="shared" si="0"/>
        <v>44004</v>
      </c>
      <c r="S18" s="7">
        <f t="shared" si="1"/>
        <v>43304</v>
      </c>
      <c r="V18">
        <v>9</v>
      </c>
      <c r="AE18" s="67" t="str">
        <f>IF(Capacity!B32="","",ROW(A16)&amp;". "&amp;Capacity!B32)</f>
        <v>16. Slot A</v>
      </c>
      <c r="AF18" s="67"/>
      <c r="AI18" s="67">
        <v>35</v>
      </c>
    </row>
    <row r="19" spans="1:35" x14ac:dyDescent="0.2">
      <c r="A19">
        <v>17</v>
      </c>
      <c r="E19" t="s">
        <v>402</v>
      </c>
      <c r="K19" s="317">
        <f t="shared" si="0"/>
        <v>44011</v>
      </c>
      <c r="S19" s="7">
        <f t="shared" si="1"/>
        <v>43311</v>
      </c>
      <c r="V19">
        <v>9.5</v>
      </c>
      <c r="AE19" s="67" t="str">
        <f>IF(Capacity!B33="","",ROW(A17)&amp;". "&amp;Capacity!B33)</f>
        <v>17. 2 ww</v>
      </c>
      <c r="AF19" s="67"/>
      <c r="AI19" s="67">
        <v>36</v>
      </c>
    </row>
    <row r="20" spans="1:35" x14ac:dyDescent="0.2">
      <c r="A20">
        <v>18</v>
      </c>
      <c r="E20" t="s">
        <v>401</v>
      </c>
      <c r="K20" s="317">
        <f t="shared" si="0"/>
        <v>44018</v>
      </c>
      <c r="S20" s="7">
        <f t="shared" si="1"/>
        <v>43318</v>
      </c>
      <c r="V20">
        <v>10</v>
      </c>
      <c r="AE20" s="67" t="str">
        <f>IF(Capacity!B34="","",ROW(A18)&amp;". "&amp;Capacity!B34)</f>
        <v>18. Biopsy</v>
      </c>
      <c r="AF20" s="67"/>
      <c r="AI20" s="67">
        <v>37</v>
      </c>
    </row>
    <row r="21" spans="1:35" x14ac:dyDescent="0.2">
      <c r="A21">
        <v>19</v>
      </c>
      <c r="K21" s="317">
        <f t="shared" si="0"/>
        <v>44025</v>
      </c>
      <c r="S21" s="7">
        <f t="shared" si="1"/>
        <v>43325</v>
      </c>
      <c r="V21">
        <v>10.5</v>
      </c>
      <c r="AE21" s="67" t="str">
        <f>IF(Capacity!B35="","",ROW(A19)&amp;". "&amp;Capacity!B35)</f>
        <v>19. Slot B</v>
      </c>
      <c r="AF21" s="67"/>
      <c r="AI21" s="67">
        <v>38</v>
      </c>
    </row>
    <row r="22" spans="1:35" x14ac:dyDescent="0.2">
      <c r="A22">
        <v>20</v>
      </c>
      <c r="E22" t="s">
        <v>24</v>
      </c>
      <c r="K22" s="317">
        <f t="shared" si="0"/>
        <v>44032</v>
      </c>
      <c r="S22" s="7">
        <f t="shared" si="1"/>
        <v>43332</v>
      </c>
      <c r="V22">
        <v>11</v>
      </c>
      <c r="AE22" s="67" t="str">
        <f>IF(Capacity!B36="","",ROW(A20)&amp;". "&amp;Capacity!B36)</f>
        <v>20. Slot A</v>
      </c>
      <c r="AF22" s="67"/>
      <c r="AI22" s="67">
        <v>39</v>
      </c>
    </row>
    <row r="23" spans="1:35" x14ac:dyDescent="0.2">
      <c r="A23">
        <v>21</v>
      </c>
      <c r="E23" t="s">
        <v>421</v>
      </c>
      <c r="K23" s="317">
        <f t="shared" si="0"/>
        <v>44039</v>
      </c>
      <c r="S23" s="7">
        <f t="shared" si="1"/>
        <v>43339</v>
      </c>
      <c r="V23">
        <v>11.5</v>
      </c>
      <c r="AE23" s="67" t="str">
        <f>IF(Capacity!B37="","",ROW(A21)&amp;". "&amp;Capacity!B37)</f>
        <v>21. 2 ww</v>
      </c>
      <c r="AF23" s="67"/>
      <c r="AI23" s="67">
        <v>40</v>
      </c>
    </row>
    <row r="24" spans="1:35" x14ac:dyDescent="0.2">
      <c r="A24">
        <v>22</v>
      </c>
      <c r="H24" t="s">
        <v>249</v>
      </c>
      <c r="K24" s="317">
        <f t="shared" si="0"/>
        <v>44046</v>
      </c>
      <c r="S24" s="7">
        <f t="shared" si="1"/>
        <v>43346</v>
      </c>
      <c r="V24">
        <v>12</v>
      </c>
      <c r="AE24" s="67" t="str">
        <f>IF(Capacity!B38="","",ROW(A22)&amp;". "&amp;Capacity!B38)</f>
        <v>22. 2 ww</v>
      </c>
      <c r="AF24" s="67"/>
      <c r="AI24" s="67">
        <v>41</v>
      </c>
    </row>
    <row r="25" spans="1:35" x14ac:dyDescent="0.2">
      <c r="A25">
        <v>23</v>
      </c>
      <c r="E25" t="s">
        <v>480</v>
      </c>
      <c r="H25" t="s">
        <v>1227</v>
      </c>
      <c r="K25" s="317">
        <f t="shared" si="0"/>
        <v>44053</v>
      </c>
      <c r="S25" s="7">
        <f t="shared" si="1"/>
        <v>43353</v>
      </c>
      <c r="AE25" s="67" t="str">
        <f>IF(Capacity!B39="","",ROW(A23)&amp;". "&amp;Capacity!B39)</f>
        <v>23. 2 ww</v>
      </c>
      <c r="AF25" s="67"/>
      <c r="AI25" s="67">
        <v>42</v>
      </c>
    </row>
    <row r="26" spans="1:35" x14ac:dyDescent="0.2">
      <c r="A26">
        <v>24</v>
      </c>
      <c r="E26" t="s">
        <v>481</v>
      </c>
      <c r="K26" s="317">
        <f t="shared" si="0"/>
        <v>44060</v>
      </c>
      <c r="S26" s="7">
        <f t="shared" si="1"/>
        <v>43360</v>
      </c>
      <c r="AE26" s="67" t="str">
        <f>IF(Capacity!B40="","",ROW(A24)&amp;". "&amp;Capacity!B40)</f>
        <v>24. Slot A</v>
      </c>
      <c r="AF26" s="67"/>
      <c r="AI26" s="67">
        <v>43</v>
      </c>
    </row>
    <row r="27" spans="1:35" x14ac:dyDescent="0.2">
      <c r="A27">
        <v>25</v>
      </c>
      <c r="K27" s="317">
        <f t="shared" si="0"/>
        <v>44067</v>
      </c>
      <c r="S27" s="7">
        <f t="shared" si="1"/>
        <v>43367</v>
      </c>
      <c r="AE27" s="67" t="str">
        <f>IF(Capacity!B41="","",ROW(A25)&amp;". "&amp;Capacity!B41)</f>
        <v>25. Slot A</v>
      </c>
      <c r="AF27" s="67"/>
      <c r="AI27" s="67">
        <v>44</v>
      </c>
    </row>
    <row r="28" spans="1:35" x14ac:dyDescent="0.2">
      <c r="A28">
        <v>26</v>
      </c>
      <c r="K28" s="317">
        <f t="shared" si="0"/>
        <v>44074</v>
      </c>
      <c r="S28" s="7">
        <f t="shared" si="1"/>
        <v>43374</v>
      </c>
      <c r="AE28" s="67" t="str">
        <f>IF(Capacity!B42="","",ROW(A26)&amp;". "&amp;Capacity!B42)</f>
        <v>26. PP</v>
      </c>
      <c r="AF28" s="67"/>
      <c r="AI28" s="67">
        <v>45</v>
      </c>
    </row>
    <row r="29" spans="1:35" x14ac:dyDescent="0.2">
      <c r="A29">
        <v>27</v>
      </c>
      <c r="C29" t="s">
        <v>194</v>
      </c>
      <c r="E29" t="s">
        <v>482</v>
      </c>
      <c r="K29" s="317">
        <f t="shared" si="0"/>
        <v>44081</v>
      </c>
      <c r="S29" s="7">
        <f t="shared" si="1"/>
        <v>43381</v>
      </c>
      <c r="AE29" s="67" t="str">
        <f>IF(Capacity!B43="","",ROW(A27)&amp;". "&amp;Capacity!B43)</f>
        <v>27. Slot A</v>
      </c>
      <c r="AF29" s="67"/>
      <c r="AI29" s="67">
        <v>46</v>
      </c>
    </row>
    <row r="30" spans="1:35" x14ac:dyDescent="0.2">
      <c r="A30">
        <v>28</v>
      </c>
      <c r="C30" t="s">
        <v>192</v>
      </c>
      <c r="K30" s="317">
        <f t="shared" si="0"/>
        <v>44088</v>
      </c>
      <c r="S30" s="7">
        <f t="shared" si="1"/>
        <v>43388</v>
      </c>
      <c r="AE30" s="67" t="str">
        <f>IF(Capacity!B44="","",ROW(A28)&amp;". "&amp;Capacity!B44)</f>
        <v>28. PP</v>
      </c>
      <c r="AF30" s="67"/>
      <c r="AI30" s="67">
        <v>47</v>
      </c>
    </row>
    <row r="31" spans="1:35" x14ac:dyDescent="0.2">
      <c r="A31">
        <v>29</v>
      </c>
      <c r="C31" t="s">
        <v>193</v>
      </c>
      <c r="K31" s="317">
        <f t="shared" si="0"/>
        <v>44095</v>
      </c>
      <c r="S31" s="7">
        <f t="shared" si="1"/>
        <v>43395</v>
      </c>
      <c r="AE31" s="67" t="str">
        <f>IF(Capacity!B45="","",ROW(A29)&amp;". "&amp;Capacity!B45)</f>
        <v>29. 2 ww</v>
      </c>
      <c r="AF31" s="67"/>
      <c r="AI31" s="67">
        <v>48</v>
      </c>
    </row>
    <row r="32" spans="1:35" x14ac:dyDescent="0.2">
      <c r="A32">
        <v>30</v>
      </c>
      <c r="K32" s="317">
        <f t="shared" si="0"/>
        <v>44102</v>
      </c>
      <c r="S32" s="7">
        <f t="shared" si="1"/>
        <v>43402</v>
      </c>
      <c r="AE32" s="67" t="str">
        <f>IF(Capacity!B46="","",ROW(A30)&amp;". "&amp;Capacity!B46)</f>
        <v>30. Slot A</v>
      </c>
      <c r="AF32" s="67"/>
      <c r="AI32" s="67">
        <v>49</v>
      </c>
    </row>
    <row r="33" spans="1:35" x14ac:dyDescent="0.2">
      <c r="A33">
        <v>31</v>
      </c>
      <c r="K33" s="317">
        <f t="shared" si="0"/>
        <v>44109</v>
      </c>
      <c r="S33" s="7">
        <f t="shared" si="1"/>
        <v>43409</v>
      </c>
      <c r="AE33" s="67" t="str">
        <f>IF(Capacity!B47="","",ROW(A31)&amp;". "&amp;Capacity!B47)</f>
        <v>31. Slot A</v>
      </c>
      <c r="AF33" s="67"/>
      <c r="AI33" s="67">
        <v>50</v>
      </c>
    </row>
    <row r="34" spans="1:35" x14ac:dyDescent="0.2">
      <c r="A34">
        <v>32</v>
      </c>
      <c r="C34" t="s">
        <v>24</v>
      </c>
      <c r="K34" s="317">
        <f t="shared" si="0"/>
        <v>44116</v>
      </c>
      <c r="S34" s="7">
        <f t="shared" si="1"/>
        <v>43416</v>
      </c>
      <c r="AE34" s="67" t="str">
        <f>IF(Capacity!B48="","",ROW(A32)&amp;". "&amp;Capacity!B48)</f>
        <v>32. CT Colon</v>
      </c>
      <c r="AF34" s="67"/>
      <c r="AI34" s="67">
        <v>51</v>
      </c>
    </row>
    <row r="35" spans="1:35" x14ac:dyDescent="0.2">
      <c r="A35">
        <v>33</v>
      </c>
      <c r="C35" t="s">
        <v>102</v>
      </c>
      <c r="K35" s="317">
        <f t="shared" si="0"/>
        <v>44123</v>
      </c>
      <c r="S35" s="7">
        <f t="shared" si="1"/>
        <v>43423</v>
      </c>
      <c r="AE35" s="67" t="str">
        <f>IF(Capacity!B49="","",ROW(A33)&amp;". "&amp;Capacity!B49)</f>
        <v>33. 2 ww</v>
      </c>
      <c r="AF35" s="67"/>
      <c r="AI35" s="67">
        <v>52</v>
      </c>
    </row>
    <row r="36" spans="1:35" x14ac:dyDescent="0.2">
      <c r="A36">
        <v>34</v>
      </c>
      <c r="K36" s="317">
        <f t="shared" si="0"/>
        <v>44130</v>
      </c>
      <c r="S36" s="7">
        <f t="shared" si="1"/>
        <v>43430</v>
      </c>
      <c r="AE36" s="67" t="str">
        <f>IF(Capacity!B50="","",ROW(A34)&amp;". "&amp;Capacity!B50)</f>
        <v>34. Slot A</v>
      </c>
      <c r="AF36" s="67"/>
    </row>
    <row r="37" spans="1:35" x14ac:dyDescent="0.2">
      <c r="A37">
        <v>35</v>
      </c>
      <c r="K37" s="317">
        <f t="shared" si="0"/>
        <v>44137</v>
      </c>
      <c r="S37" s="7">
        <f t="shared" si="1"/>
        <v>43437</v>
      </c>
      <c r="AE37" s="67" t="str">
        <f>IF(Capacity!B51="","",ROW(A35)&amp;". "&amp;Capacity!B51)</f>
        <v>35. 2 ww</v>
      </c>
      <c r="AF37" s="67"/>
    </row>
    <row r="38" spans="1:35" x14ac:dyDescent="0.2">
      <c r="A38">
        <v>36</v>
      </c>
      <c r="K38" s="317">
        <f t="shared" si="0"/>
        <v>44144</v>
      </c>
      <c r="S38" s="7">
        <f t="shared" si="1"/>
        <v>43444</v>
      </c>
      <c r="AE38" s="67" t="str">
        <f>IF(Capacity!B52="","",ROW(A36)&amp;". "&amp;Capacity!B52)</f>
        <v>36. Slot B</v>
      </c>
      <c r="AF38" s="67"/>
    </row>
    <row r="39" spans="1:35" x14ac:dyDescent="0.2">
      <c r="A39">
        <v>37</v>
      </c>
      <c r="K39" s="317">
        <f t="shared" si="0"/>
        <v>44151</v>
      </c>
      <c r="S39" s="7">
        <f t="shared" si="1"/>
        <v>43451</v>
      </c>
      <c r="AE39" s="67" t="str">
        <f>IF(Capacity!B53="","",ROW(A37)&amp;". "&amp;Capacity!B53)</f>
        <v>37. PP</v>
      </c>
      <c r="AF39" s="67"/>
    </row>
    <row r="40" spans="1:35" x14ac:dyDescent="0.2">
      <c r="A40">
        <v>38</v>
      </c>
      <c r="K40" s="317">
        <f t="shared" si="0"/>
        <v>44158</v>
      </c>
      <c r="S40" s="7">
        <f t="shared" si="1"/>
        <v>43458</v>
      </c>
      <c r="AE40" s="67" t="str">
        <f>IF(Capacity!B54="","",ROW(A38)&amp;". "&amp;Capacity!B54)</f>
        <v>38. Slot A</v>
      </c>
      <c r="AF40" s="67"/>
    </row>
    <row r="41" spans="1:35" x14ac:dyDescent="0.2">
      <c r="A41">
        <v>39</v>
      </c>
      <c r="K41" s="317">
        <f t="shared" si="0"/>
        <v>44165</v>
      </c>
      <c r="S41" s="7">
        <f t="shared" si="1"/>
        <v>43465</v>
      </c>
      <c r="AE41" s="67" t="str">
        <f>IF(Capacity!B55="","",ROW(A39)&amp;". "&amp;Capacity!B55)</f>
        <v>39. 2 ww</v>
      </c>
      <c r="AF41" s="67"/>
    </row>
    <row r="42" spans="1:35" x14ac:dyDescent="0.2">
      <c r="A42">
        <v>40</v>
      </c>
      <c r="K42" s="317">
        <f t="shared" si="0"/>
        <v>44172</v>
      </c>
      <c r="S42" s="7">
        <f t="shared" si="1"/>
        <v>43472</v>
      </c>
      <c r="AE42" s="67" t="str">
        <f>IF(Capacity!B56="","",ROW(A40)&amp;". "&amp;Capacity!B56)</f>
        <v>40. Slot B</v>
      </c>
      <c r="AF42" s="67"/>
    </row>
    <row r="43" spans="1:35" x14ac:dyDescent="0.2">
      <c r="A43">
        <v>41</v>
      </c>
      <c r="K43" s="317">
        <f t="shared" si="0"/>
        <v>44179</v>
      </c>
      <c r="S43" s="7">
        <f t="shared" si="1"/>
        <v>43479</v>
      </c>
      <c r="AE43" s="67" t="str">
        <f>IF(Capacity!B57="","",ROW(A41)&amp;". "&amp;Capacity!B57)</f>
        <v>41. PP</v>
      </c>
      <c r="AF43" s="67"/>
    </row>
    <row r="44" spans="1:35" x14ac:dyDescent="0.2">
      <c r="A44">
        <v>42</v>
      </c>
      <c r="K44" s="317">
        <f t="shared" si="0"/>
        <v>44186</v>
      </c>
      <c r="S44" s="7">
        <f t="shared" si="1"/>
        <v>43486</v>
      </c>
      <c r="AE44" s="67" t="str">
        <f>IF(Capacity!B58="","",ROW(A42)&amp;". "&amp;Capacity!B58)</f>
        <v>42. Slot A</v>
      </c>
      <c r="AF44" s="67"/>
    </row>
    <row r="45" spans="1:35" x14ac:dyDescent="0.2">
      <c r="A45">
        <v>43</v>
      </c>
      <c r="K45" s="317">
        <f t="shared" si="0"/>
        <v>44193</v>
      </c>
      <c r="S45" s="7">
        <f t="shared" si="1"/>
        <v>43493</v>
      </c>
      <c r="AE45" s="67" t="str">
        <f>IF(Capacity!B59="","",ROW(A43)&amp;". "&amp;Capacity!B59)</f>
        <v>43. 2 ww</v>
      </c>
      <c r="AF45" s="67"/>
    </row>
    <row r="46" spans="1:35" x14ac:dyDescent="0.2">
      <c r="A46">
        <v>44</v>
      </c>
      <c r="K46" s="317">
        <f t="shared" si="0"/>
        <v>44200</v>
      </c>
      <c r="S46" s="7">
        <f t="shared" si="1"/>
        <v>43500</v>
      </c>
      <c r="AE46" s="67" t="str">
        <f>IF(Capacity!B60="","",ROW(A44)&amp;". "&amp;Capacity!B60)</f>
        <v>44. Slot B</v>
      </c>
      <c r="AF46" s="67"/>
    </row>
    <row r="47" spans="1:35" x14ac:dyDescent="0.2">
      <c r="A47">
        <v>45</v>
      </c>
      <c r="K47" s="317">
        <f t="shared" si="0"/>
        <v>44207</v>
      </c>
      <c r="S47" s="7">
        <f t="shared" si="1"/>
        <v>43507</v>
      </c>
      <c r="AE47" s="67" t="str">
        <f>IF(Capacity!B61="","",ROW(A45)&amp;". "&amp;Capacity!B61)</f>
        <v>45. Slot A</v>
      </c>
      <c r="AF47" s="67"/>
    </row>
    <row r="48" spans="1:35" x14ac:dyDescent="0.2">
      <c r="A48">
        <v>46</v>
      </c>
      <c r="K48" s="317">
        <f t="shared" si="0"/>
        <v>44214</v>
      </c>
      <c r="S48" s="7">
        <f t="shared" si="1"/>
        <v>43514</v>
      </c>
      <c r="AE48" s="67" t="str">
        <f>IF(Capacity!B62="","",ROW(A46)&amp;". "&amp;Capacity!B62)</f>
        <v>46. CT Colon</v>
      </c>
      <c r="AF48" s="67"/>
    </row>
    <row r="49" spans="1:32" x14ac:dyDescent="0.2">
      <c r="A49">
        <v>47</v>
      </c>
      <c r="K49" s="317">
        <f t="shared" si="0"/>
        <v>44221</v>
      </c>
      <c r="S49" s="7">
        <f t="shared" si="1"/>
        <v>43521</v>
      </c>
      <c r="AE49" s="67" t="str">
        <f>IF(Capacity!B63="","",ROW(A47)&amp;". "&amp;Capacity!B63)</f>
        <v>47. 2 ww</v>
      </c>
      <c r="AF49" s="67"/>
    </row>
    <row r="50" spans="1:32" x14ac:dyDescent="0.2">
      <c r="A50">
        <v>48</v>
      </c>
      <c r="K50" s="317">
        <f t="shared" si="0"/>
        <v>44228</v>
      </c>
      <c r="S50" s="7">
        <f t="shared" si="1"/>
        <v>43528</v>
      </c>
      <c r="AE50" s="67" t="str">
        <f>IF(Capacity!B64="","",ROW(A48)&amp;". "&amp;Capacity!B64)</f>
        <v>48. Slot B</v>
      </c>
      <c r="AF50" s="67"/>
    </row>
    <row r="51" spans="1:32" x14ac:dyDescent="0.2">
      <c r="A51">
        <v>49</v>
      </c>
      <c r="K51" s="317">
        <f t="shared" si="0"/>
        <v>44235</v>
      </c>
      <c r="S51" s="7">
        <f t="shared" si="1"/>
        <v>43535</v>
      </c>
      <c r="AE51" s="67" t="str">
        <f>IF(Capacity!B65="","",ROW(A49)&amp;". "&amp;Capacity!B65)</f>
        <v>49. Slot A</v>
      </c>
      <c r="AF51" s="67"/>
    </row>
    <row r="52" spans="1:32" x14ac:dyDescent="0.2">
      <c r="A52">
        <v>50</v>
      </c>
      <c r="K52" s="317">
        <f t="shared" si="0"/>
        <v>44242</v>
      </c>
      <c r="S52" s="7">
        <f t="shared" si="1"/>
        <v>43542</v>
      </c>
      <c r="AE52" s="67" t="str">
        <f>IF(Capacity!B66="","",ROW(A50)&amp;". "&amp;Capacity!B66)</f>
        <v>50. Slot B</v>
      </c>
      <c r="AF52" s="67"/>
    </row>
    <row r="53" spans="1:32" x14ac:dyDescent="0.2">
      <c r="A53">
        <v>51</v>
      </c>
      <c r="K53" s="317">
        <f t="shared" si="0"/>
        <v>44249</v>
      </c>
      <c r="S53" s="7">
        <f t="shared" si="1"/>
        <v>43549</v>
      </c>
      <c r="AE53" s="67" t="str">
        <f>IF(Capacity!B67="","",ROW(A51)&amp;". "&amp;Capacity!B67)</f>
        <v>51. 2 ww</v>
      </c>
      <c r="AF53" s="67"/>
    </row>
    <row r="54" spans="1:32" x14ac:dyDescent="0.2">
      <c r="A54">
        <v>52</v>
      </c>
      <c r="K54" s="317">
        <f t="shared" si="0"/>
        <v>44256</v>
      </c>
      <c r="AE54" s="67" t="str">
        <f>IF(Capacity!B68="","",ROW(A52)&amp;". "&amp;Capacity!B68)</f>
        <v>52. Slot A</v>
      </c>
      <c r="AF54" s="67"/>
    </row>
    <row r="55" spans="1:32" x14ac:dyDescent="0.2">
      <c r="A55">
        <v>53</v>
      </c>
      <c r="AE55" s="67" t="str">
        <f>IF(Capacity!B69="","",ROW(A53)&amp;". "&amp;Capacity!B69)</f>
        <v>53. Slot B</v>
      </c>
      <c r="AF55" s="67"/>
    </row>
    <row r="56" spans="1:32" x14ac:dyDescent="0.2">
      <c r="A56">
        <v>54</v>
      </c>
      <c r="AE56" s="67" t="str">
        <f>IF(Capacity!B70="","",ROW(A54)&amp;". "&amp;Capacity!B70)</f>
        <v>54. 2 ww</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Doncaster And Bassetlaw Teaching Hospitals NHS Foundation Trust, Radiology</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t="s">
        <v>1287</v>
      </c>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4" sqref="A4"/>
    </sheetView>
  </sheetViews>
  <sheetFormatPr defaultRowHeight="14.25" x14ac:dyDescent="0.2"/>
  <cols>
    <col min="57" max="57" width="0" hidden="1" customWidth="1"/>
  </cols>
  <sheetData>
    <row r="2" spans="1:9" ht="15" x14ac:dyDescent="0.25">
      <c r="A2" s="2" t="s">
        <v>878</v>
      </c>
    </row>
    <row r="3" spans="1:9" x14ac:dyDescent="0.2">
      <c r="A3" s="273" t="s">
        <v>1286</v>
      </c>
    </row>
    <row r="4" spans="1:9" x14ac:dyDescent="0.2">
      <c r="A4" s="8"/>
      <c r="B4" s="8"/>
      <c r="C4" s="8"/>
      <c r="D4" s="8"/>
      <c r="E4" s="8"/>
      <c r="F4" s="8"/>
      <c r="G4" s="8"/>
      <c r="H4" s="8"/>
      <c r="I4" s="8"/>
    </row>
    <row r="5" spans="1:9" ht="15" x14ac:dyDescent="0.25">
      <c r="A5" s="2" t="s">
        <v>27</v>
      </c>
      <c r="C5" s="395" t="s">
        <v>605</v>
      </c>
      <c r="D5" s="396"/>
      <c r="E5" s="396"/>
      <c r="F5" s="396"/>
      <c r="G5" s="397"/>
    </row>
    <row r="7" spans="1:9" ht="15" x14ac:dyDescent="0.25">
      <c r="A7" s="2" t="s">
        <v>28</v>
      </c>
      <c r="C7" s="395" t="s">
        <v>859</v>
      </c>
      <c r="D7" s="396"/>
      <c r="E7" s="396"/>
      <c r="F7" s="396"/>
      <c r="G7" s="397"/>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398" t="s">
        <v>923</v>
      </c>
      <c r="B11" s="398"/>
      <c r="C11" s="398"/>
      <c r="D11" s="398"/>
      <c r="E11" s="398"/>
      <c r="F11" s="398"/>
      <c r="G11" s="398"/>
      <c r="H11" s="399"/>
      <c r="I11" s="209">
        <v>5</v>
      </c>
    </row>
    <row r="12" spans="1:9" x14ac:dyDescent="0.2">
      <c r="I12" s="4"/>
    </row>
    <row r="13" spans="1:9" ht="15" x14ac:dyDescent="0.25">
      <c r="A13" s="398" t="s">
        <v>424</v>
      </c>
      <c r="B13" s="398"/>
      <c r="C13" s="398"/>
      <c r="D13" s="398"/>
      <c r="E13" s="398"/>
      <c r="F13" s="398"/>
      <c r="G13" s="398"/>
      <c r="H13" s="399"/>
      <c r="I13" s="209" t="s">
        <v>20</v>
      </c>
    </row>
    <row r="14" spans="1:9" x14ac:dyDescent="0.2">
      <c r="I14" s="4"/>
    </row>
    <row r="15" spans="1:9" ht="15" x14ac:dyDescent="0.25">
      <c r="A15" s="398" t="s">
        <v>425</v>
      </c>
      <c r="B15" s="398"/>
      <c r="C15" s="398"/>
      <c r="D15" s="398"/>
      <c r="E15" s="398"/>
      <c r="F15" s="398"/>
      <c r="G15" s="398"/>
      <c r="H15" s="399"/>
      <c r="I15" s="209" t="s">
        <v>22</v>
      </c>
    </row>
    <row r="16" spans="1:9" x14ac:dyDescent="0.2">
      <c r="I16" s="4"/>
    </row>
    <row r="17" spans="1:9" x14ac:dyDescent="0.2">
      <c r="A17" s="398" t="s">
        <v>29</v>
      </c>
      <c r="B17" s="398"/>
      <c r="C17" s="398"/>
      <c r="D17" s="398"/>
      <c r="E17" s="398"/>
      <c r="F17" s="398"/>
      <c r="G17" s="398"/>
      <c r="H17" s="399"/>
      <c r="I17" s="209" t="s">
        <v>21</v>
      </c>
    </row>
    <row r="18" spans="1:9" x14ac:dyDescent="0.2">
      <c r="I18" s="4"/>
    </row>
    <row r="19" spans="1:9" x14ac:dyDescent="0.2">
      <c r="A19" s="398" t="s">
        <v>30</v>
      </c>
      <c r="B19" s="398"/>
      <c r="C19" s="398"/>
      <c r="D19" s="398"/>
      <c r="E19" s="398"/>
      <c r="F19" s="398"/>
      <c r="G19" s="398"/>
      <c r="H19" s="399"/>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5" t="s">
        <v>924</v>
      </c>
      <c r="H26" s="406"/>
      <c r="I26" s="407"/>
    </row>
    <row r="27" spans="1:9" ht="19.5" customHeight="1" x14ac:dyDescent="0.2">
      <c r="A27" s="400" t="s">
        <v>31</v>
      </c>
      <c r="B27" s="401"/>
      <c r="C27" s="402" t="s">
        <v>1288</v>
      </c>
      <c r="D27" s="403"/>
      <c r="E27" s="403"/>
      <c r="F27" s="404"/>
      <c r="G27" s="392">
        <v>1305</v>
      </c>
      <c r="H27" s="393"/>
      <c r="I27" s="394"/>
    </row>
    <row r="28" spans="1:9" ht="19.5" customHeight="1" x14ac:dyDescent="0.2">
      <c r="A28" s="400" t="s">
        <v>33</v>
      </c>
      <c r="B28" s="401"/>
      <c r="C28" s="402" t="s">
        <v>1289</v>
      </c>
      <c r="D28" s="403"/>
      <c r="E28" s="403"/>
      <c r="F28" s="404"/>
      <c r="G28" s="392">
        <v>1445</v>
      </c>
      <c r="H28" s="393"/>
      <c r="I28" s="394"/>
    </row>
    <row r="29" spans="1:9" ht="19.5" customHeight="1" x14ac:dyDescent="0.2">
      <c r="A29" s="400" t="s">
        <v>35</v>
      </c>
      <c r="B29" s="401"/>
      <c r="C29" s="402" t="s">
        <v>1290</v>
      </c>
      <c r="D29" s="403"/>
      <c r="E29" s="403"/>
      <c r="F29" s="404"/>
      <c r="G29" s="392">
        <v>120</v>
      </c>
      <c r="H29" s="393"/>
      <c r="I29" s="394"/>
    </row>
    <row r="30" spans="1:9" ht="19.5" customHeight="1" x14ac:dyDescent="0.2">
      <c r="A30" s="400" t="s">
        <v>37</v>
      </c>
      <c r="B30" s="401"/>
      <c r="C30" s="402" t="s">
        <v>1291</v>
      </c>
      <c r="D30" s="403"/>
      <c r="E30" s="403"/>
      <c r="F30" s="404"/>
      <c r="G30" s="392">
        <v>164</v>
      </c>
      <c r="H30" s="393"/>
      <c r="I30" s="394"/>
    </row>
    <row r="31" spans="1:9" ht="19.5" customHeight="1" x14ac:dyDescent="0.2">
      <c r="A31" s="400" t="s">
        <v>39</v>
      </c>
      <c r="B31" s="401"/>
      <c r="C31" s="402" t="s">
        <v>1292</v>
      </c>
      <c r="D31" s="403"/>
      <c r="E31" s="403"/>
      <c r="F31" s="404"/>
      <c r="G31" s="392">
        <v>0</v>
      </c>
      <c r="H31" s="393"/>
      <c r="I31" s="394"/>
    </row>
    <row r="32" spans="1:9" ht="19.5" hidden="1" customHeight="1" x14ac:dyDescent="0.2">
      <c r="A32" s="400" t="s">
        <v>41</v>
      </c>
      <c r="B32" s="401"/>
      <c r="C32" s="402" t="s">
        <v>42</v>
      </c>
      <c r="D32" s="403"/>
      <c r="E32" s="403"/>
      <c r="F32" s="404"/>
      <c r="G32" s="392">
        <v>0</v>
      </c>
      <c r="H32" s="393"/>
      <c r="I32" s="394"/>
    </row>
    <row r="33" spans="1:9" ht="19.5" hidden="1" customHeight="1" x14ac:dyDescent="0.2">
      <c r="A33" s="400" t="s">
        <v>43</v>
      </c>
      <c r="B33" s="401"/>
      <c r="C33" s="402" t="s">
        <v>32</v>
      </c>
      <c r="D33" s="403"/>
      <c r="E33" s="403"/>
      <c r="F33" s="404"/>
      <c r="G33" s="392">
        <v>0</v>
      </c>
      <c r="H33" s="393"/>
      <c r="I33" s="394"/>
    </row>
    <row r="34" spans="1:9" ht="19.5" hidden="1" customHeight="1" x14ac:dyDescent="0.2">
      <c r="A34" s="400" t="s">
        <v>45</v>
      </c>
      <c r="B34" s="401"/>
      <c r="C34" s="402" t="s">
        <v>46</v>
      </c>
      <c r="D34" s="403"/>
      <c r="E34" s="403"/>
      <c r="F34" s="404"/>
      <c r="G34" s="392">
        <v>0</v>
      </c>
      <c r="H34" s="393"/>
      <c r="I34" s="394"/>
    </row>
    <row r="35" spans="1:9" ht="19.5" hidden="1" customHeight="1" x14ac:dyDescent="0.2">
      <c r="A35" s="400" t="s">
        <v>47</v>
      </c>
      <c r="B35" s="401"/>
      <c r="C35" s="402" t="s">
        <v>48</v>
      </c>
      <c r="D35" s="403"/>
      <c r="E35" s="403"/>
      <c r="F35" s="404"/>
      <c r="G35" s="392">
        <v>0</v>
      </c>
      <c r="H35" s="393"/>
      <c r="I35" s="394"/>
    </row>
    <row r="36" spans="1:9" ht="19.5" hidden="1" customHeight="1" x14ac:dyDescent="0.2">
      <c r="A36" s="400" t="s">
        <v>49</v>
      </c>
      <c r="B36" s="401"/>
      <c r="C36" s="402" t="s">
        <v>50</v>
      </c>
      <c r="D36" s="403"/>
      <c r="E36" s="403"/>
      <c r="F36" s="404"/>
      <c r="G36" s="392">
        <v>0</v>
      </c>
      <c r="H36" s="393"/>
      <c r="I36" s="394"/>
    </row>
  </sheetData>
  <sheetProtection algorithmName="SHA-512" hashValue="BZsJ8vCuRy1bafVri/TdAa41dkLtin3IsthTwLasFyZ4h3jz2YMomnishcdsSNoouCYZyRqRUPw8CAkJSXeu2g==" saltValue="vvrPYCLrMZlVCwvuQkriIA=="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4.25" x14ac:dyDescent="0.2"/>
  <cols>
    <col min="1" max="1" width="9" hidden="1" customWidth="1"/>
    <col min="2" max="2" width="15.5" customWidth="1"/>
    <col min="3" max="3" width="14.125" bestFit="1" customWidth="1"/>
    <col min="4" max="4" width="15.75" customWidth="1"/>
    <col min="5" max="7" width="10.625" customWidth="1"/>
    <col min="8" max="8" width="10.625" hidden="1" customWidth="1"/>
    <col min="9" max="12" width="10.625" customWidth="1"/>
    <col min="13" max="13" width="10.625" hidden="1" customWidth="1"/>
    <col min="14" max="17" width="10.625" customWidth="1"/>
    <col min="18" max="18" width="10.625" hidden="1" customWidth="1"/>
    <col min="19" max="22" width="10.625" customWidth="1"/>
    <col min="23" max="23" width="10.625" hidden="1" customWidth="1"/>
    <col min="24" max="27" width="10.625" customWidth="1"/>
    <col min="28" max="28" width="10.625" hidden="1" customWidth="1"/>
    <col min="29" max="29" width="10.625" customWidth="1"/>
    <col min="30"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165</v>
      </c>
      <c r="B6" t="s">
        <v>1202</v>
      </c>
      <c r="C6" s="330">
        <v>43192</v>
      </c>
      <c r="K6" s="72"/>
    </row>
    <row r="7" spans="1:57" ht="14.25" hidden="1" customHeight="1" x14ac:dyDescent="0.2">
      <c r="B7" t="s">
        <v>1174</v>
      </c>
      <c r="C7" s="162">
        <v>4</v>
      </c>
    </row>
    <row r="8" spans="1:57" x14ac:dyDescent="0.2">
      <c r="B8" t="s">
        <v>1175</v>
      </c>
      <c r="C8" s="332" t="s">
        <v>1280</v>
      </c>
    </row>
    <row r="9" spans="1:57" x14ac:dyDescent="0.2">
      <c r="B9" s="338" t="str">
        <f>IF(LEFT(C8,1)="M","Note: SPC Chart is disabled when using your own forecast.","")</f>
        <v/>
      </c>
    </row>
    <row r="10" spans="1:57" ht="13.9" customHeight="1" x14ac:dyDescent="0.2">
      <c r="B10" s="411" t="s">
        <v>128</v>
      </c>
      <c r="C10" s="411" t="s">
        <v>56</v>
      </c>
      <c r="D10" s="408" t="s">
        <v>1203</v>
      </c>
      <c r="E10" s="266" t="str">
        <f ca="1">OFFSET('Control sheet (hide)'!$AA$3,QUOTIENT(COLUMN(Demand!E9)-4,5),0,1,1)</f>
        <v>Slot A</v>
      </c>
      <c r="F10" s="266"/>
      <c r="G10" s="266"/>
      <c r="H10" s="266"/>
      <c r="I10" s="266"/>
      <c r="J10" s="266" t="str">
        <f ca="1">OFFSET('Control sheet (hide)'!$AA$3,QUOTIENT(COLUMN(Demand!J9)-4,5),0,1,1)</f>
        <v>Slot B</v>
      </c>
      <c r="K10" s="266"/>
      <c r="L10" s="266"/>
      <c r="M10" s="266"/>
      <c r="N10" s="266"/>
      <c r="O10" s="266" t="str">
        <f ca="1">OFFSET('Control sheet (hide)'!$AA$3,QUOTIENT(COLUMN(Demand!O9)-4,5),0,1,1)</f>
        <v>Cacrys</v>
      </c>
      <c r="P10" s="266"/>
      <c r="Q10" s="266"/>
      <c r="R10" s="266"/>
      <c r="S10" s="266"/>
      <c r="T10" s="266" t="str">
        <f ca="1">OFFSET('Control sheet (hide)'!$AA$3,QUOTIENT(COLUMN(Demand!T9)-4,5),0,1,1)</f>
        <v>CT Colon</v>
      </c>
      <c r="U10" s="266"/>
      <c r="V10" s="266"/>
      <c r="W10" s="266"/>
      <c r="X10" s="266"/>
      <c r="Y10" s="266" t="str">
        <f ca="1">OFFSET('Control sheet (hide)'!$AA$3,QUOTIENT(COLUMN(Demand!Y9)-4,5),0,1,1)</f>
        <v>CT Biopsy</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1</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08" t="str">
        <f>"Total"&amp;IF(Setup!$I$17&lt;&gt;"Patients","
(Patients)","")</f>
        <v>Total
(Patients)</v>
      </c>
      <c r="BD10" s="408" t="str">
        <f>"Total
("&amp;Setup!$I$17&amp;")"</f>
        <v>Total
(Minutes)</v>
      </c>
      <c r="BE10" s="408" t="s">
        <v>111</v>
      </c>
    </row>
    <row r="11" spans="1:57" ht="14.25" customHeight="1" x14ac:dyDescent="0.2">
      <c r="B11" s="411"/>
      <c r="C11" s="411"/>
      <c r="D11" s="408"/>
      <c r="E11" s="6" t="str">
        <f>IF(Setup!$I$17&lt;&gt;"Patients",Setup!$I$17&amp;":","")</f>
        <v>Minutes:</v>
      </c>
      <c r="F11" s="339">
        <v>15</v>
      </c>
      <c r="G11" s="6"/>
      <c r="H11" s="6"/>
      <c r="I11" s="6"/>
      <c r="J11" s="6" t="str">
        <f>IF(Setup!$I$17&lt;&gt;"Patients",Setup!$I$17&amp;":","")</f>
        <v>Minutes:</v>
      </c>
      <c r="K11" s="339">
        <v>15</v>
      </c>
      <c r="L11" s="6"/>
      <c r="M11" s="6"/>
      <c r="N11" s="6"/>
      <c r="O11" s="6" t="str">
        <f>IF(Setup!$I$17&lt;&gt;"Patients",Setup!$I$17&amp;":","")</f>
        <v>Minutes:</v>
      </c>
      <c r="P11" s="339">
        <v>30</v>
      </c>
      <c r="Q11" s="6"/>
      <c r="R11" s="6"/>
      <c r="S11" s="6"/>
      <c r="T11" s="6" t="str">
        <f>IF(Setup!$I$17&lt;&gt;"Patients",Setup!$I$17&amp;":","")</f>
        <v>Minutes:</v>
      </c>
      <c r="U11" s="339">
        <v>30</v>
      </c>
      <c r="V11" s="6"/>
      <c r="W11" s="6"/>
      <c r="X11" s="6"/>
      <c r="Y11" s="6" t="str">
        <f>IF(Setup!$I$17&lt;&gt;"Patients",Setup!$I$17&amp;":","")</f>
        <v>Minutes:</v>
      </c>
      <c r="Z11" s="339">
        <v>1</v>
      </c>
      <c r="AA11" s="6"/>
      <c r="AB11" s="6"/>
      <c r="AC11" s="6"/>
      <c r="AD11" s="6" t="str">
        <f>IF(Setup!$I$17&lt;&gt;"Patients",Setup!$I$17&amp;":","")</f>
        <v>Minutes:</v>
      </c>
      <c r="AE11" s="339">
        <v>1</v>
      </c>
      <c r="AF11" s="6"/>
      <c r="AG11" s="6"/>
      <c r="AH11" s="6"/>
      <c r="AI11" s="6" t="str">
        <f>IF(Setup!$I$17&lt;&gt;"Patients",Setup!$I$17&amp;":","")</f>
        <v>Minutes:</v>
      </c>
      <c r="AJ11" s="339">
        <v>1</v>
      </c>
      <c r="AK11" s="6"/>
      <c r="AL11" s="6"/>
      <c r="AM11" s="6"/>
      <c r="AN11" s="6" t="str">
        <f>IF(Setup!$I$17&lt;&gt;"Patients",Setup!$I$17&amp;":","")</f>
        <v>Minutes:</v>
      </c>
      <c r="AO11" s="339">
        <v>1</v>
      </c>
      <c r="AP11" s="6"/>
      <c r="AQ11" s="6"/>
      <c r="AR11" s="6"/>
      <c r="AS11" s="6" t="str">
        <f>IF(Setup!$I$17&lt;&gt;"Patients",Setup!$I$17&amp;":","")</f>
        <v>Minutes:</v>
      </c>
      <c r="AT11" s="339">
        <v>1</v>
      </c>
      <c r="AU11" s="6"/>
      <c r="AV11" s="6"/>
      <c r="AW11" s="6"/>
      <c r="AX11" s="6" t="str">
        <f>IF(Setup!$I$17&lt;&gt;"Patients",Setup!$I$17&amp;":","")</f>
        <v>Minutes:</v>
      </c>
      <c r="AY11" s="339">
        <v>1</v>
      </c>
      <c r="AZ11" s="6"/>
      <c r="BA11" s="6"/>
      <c r="BB11" s="6"/>
      <c r="BC11" s="408"/>
      <c r="BD11" s="408"/>
      <c r="BE11" s="408"/>
    </row>
    <row r="12" spans="1:57" ht="15" thickBot="1" x14ac:dyDescent="0.25">
      <c r="B12" s="411"/>
      <c r="C12" s="412"/>
      <c r="D12" s="410"/>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09"/>
      <c r="BD12" s="409"/>
      <c r="BE12" s="409"/>
    </row>
    <row r="13" spans="1:57" ht="15" x14ac:dyDescent="0.25">
      <c r="A13">
        <v>1</v>
      </c>
      <c r="B13" s="259">
        <f>IF(C6&lt;&gt;"",YEAR(D13),1)</f>
        <v>2018</v>
      </c>
      <c r="C13" s="260">
        <f>IF(C$6&lt;&gt;"",WEEKNUM($C$6, 21),1)</f>
        <v>14</v>
      </c>
      <c r="D13" s="488">
        <f>IF($C$6&lt;&gt;"",$C$6-WEEKDAY($C$6,3),"")</f>
        <v>43192</v>
      </c>
      <c r="E13" s="179"/>
      <c r="F13" s="180">
        <v>44</v>
      </c>
      <c r="G13" s="181">
        <v>1</v>
      </c>
      <c r="H13" s="182"/>
      <c r="I13" s="247">
        <f>IF(COUNTBLANK(E13:H13)=4,"",SUM(E13:G13)+IF(Setup!$I$15="No",0,H13))</f>
        <v>45</v>
      </c>
      <c r="J13" s="193"/>
      <c r="K13" s="194">
        <v>26</v>
      </c>
      <c r="L13" s="195"/>
      <c r="M13" s="196"/>
      <c r="N13" s="251">
        <f>IF(COUNTBLANK(J13:M13)=4,"",SUM(J13:L13)+IF(Setup!$I$15="No",0,M13))</f>
        <v>26</v>
      </c>
      <c r="O13" s="179"/>
      <c r="P13" s="180"/>
      <c r="Q13" s="181"/>
      <c r="R13" s="182"/>
      <c r="S13" s="247" t="str">
        <f>IF(COUNTBLANK(O13:R13)=4,"",SUM(O13:Q13)+IF(Setup!$I$15="No",0,R13))</f>
        <v/>
      </c>
      <c r="T13" s="193"/>
      <c r="U13" s="194">
        <v>1</v>
      </c>
      <c r="V13" s="195"/>
      <c r="W13" s="196"/>
      <c r="X13" s="251">
        <f>IF(COUNTBLANK(T13:W13)=4,"",SUM(T13:V13)+IF(Setup!$I$15="No",0,W13))</f>
        <v>1</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 Demand!S13, Demand!X13, Demand!AC13))</f>
        <v>72</v>
      </c>
      <c r="BD13" s="255">
        <f ca="1">IF(AND(A13&lt;=MaxRows,BE13&lt;&gt;"Yes"),'Demand background (hide)'!X4+IF(Setup!$I$15="Yes",'Demand background (hide)'!AJ4,0),"")</f>
        <v>1095</v>
      </c>
      <c r="BE13" s="205"/>
    </row>
    <row r="14" spans="1:57" ht="15"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15</v>
      </c>
      <c r="D14" s="489">
        <f t="shared" ref="D14:D77" ca="1" si="3">IF(OR(AND(ROW(A2)&lt;=MaxRows,$C$6&lt;&gt;""),AND(ROW(A14)&lt;=64,LEFT($C$8,1)&lt;&gt;"H")),D13+7,"")</f>
        <v>43199</v>
      </c>
      <c r="E14" s="183">
        <v>4</v>
      </c>
      <c r="F14" s="184">
        <v>332</v>
      </c>
      <c r="G14" s="185">
        <v>57</v>
      </c>
      <c r="H14" s="186"/>
      <c r="I14" s="248">
        <f>IF(COUNTBLANK(E14:H14)=4,"",SUM(E14:G14)+IF(Setup!$I$15="No",0,H14))</f>
        <v>393</v>
      </c>
      <c r="J14" s="197">
        <v>31</v>
      </c>
      <c r="K14" s="198">
        <v>192</v>
      </c>
      <c r="L14" s="199">
        <v>38</v>
      </c>
      <c r="M14" s="200"/>
      <c r="N14" s="252">
        <f>IF(COUNTBLANK(J14:M14)=4,"",SUM(J14:L14)+IF(Setup!$I$15="No",0,M14))</f>
        <v>261</v>
      </c>
      <c r="O14" s="183">
        <v>31</v>
      </c>
      <c r="P14" s="184"/>
      <c r="Q14" s="185">
        <v>3</v>
      </c>
      <c r="R14" s="186"/>
      <c r="S14" s="248">
        <f>IF(COUNTBLANK(O14:R14)=4,"",SUM(O14:Q14)+IF(Setup!$I$15="No",0,R14))</f>
        <v>34</v>
      </c>
      <c r="T14" s="197">
        <v>7</v>
      </c>
      <c r="U14" s="198">
        <v>8</v>
      </c>
      <c r="V14" s="199">
        <v>2</v>
      </c>
      <c r="W14" s="200"/>
      <c r="X14" s="252">
        <f>IF(COUNTBLANK(T14:W14)=4,"",SUM(T14:V14)+IF(Setup!$I$15="No",0,W14))</f>
        <v>17</v>
      </c>
      <c r="Y14" s="183"/>
      <c r="Z14" s="184"/>
      <c r="AA14" s="185">
        <v>1</v>
      </c>
      <c r="AB14" s="186"/>
      <c r="AC14" s="248">
        <f>IF(COUNTBLANK(Y14:AB14)=4,"",SUM(Y14:AA14)+IF(Setup!$I$15="No",0,AB14))</f>
        <v>1</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 Demand!S14, Demand!X14, Demand!AC14))</f>
        <v>706</v>
      </c>
      <c r="BD14" s="256">
        <f ca="1">IF(AND(A14&lt;=MaxRows,BE14&lt;&gt;"Yes"),'Demand background (hide)'!X5+IF(Setup!$I$15="Yes",'Demand background (hide)'!AJ5,0),"")</f>
        <v>11341</v>
      </c>
      <c r="BE14" s="206"/>
    </row>
    <row r="15" spans="1:57" ht="15" x14ac:dyDescent="0.25">
      <c r="A15">
        <f t="shared" ca="1" si="0"/>
        <v>3</v>
      </c>
      <c r="B15" s="259" t="str">
        <f t="shared" ca="1" si="1"/>
        <v xml:space="preserve"> </v>
      </c>
      <c r="C15" s="261">
        <f t="shared" ca="1" si="2"/>
        <v>16</v>
      </c>
      <c r="D15" s="489">
        <f t="shared" ca="1" si="3"/>
        <v>43206</v>
      </c>
      <c r="E15" s="183">
        <v>1</v>
      </c>
      <c r="F15" s="184">
        <v>346</v>
      </c>
      <c r="G15" s="185">
        <v>98</v>
      </c>
      <c r="H15" s="186"/>
      <c r="I15" s="248">
        <f>IF(COUNTBLANK(E15:H15)=4,"",SUM(E15:G15)+IF(Setup!$I$15="No",0,H15))</f>
        <v>445</v>
      </c>
      <c r="J15" s="197">
        <v>50</v>
      </c>
      <c r="K15" s="198">
        <v>257</v>
      </c>
      <c r="L15" s="199">
        <v>41</v>
      </c>
      <c r="M15" s="200"/>
      <c r="N15" s="252">
        <f>IF(COUNTBLANK(J15:M15)=4,"",SUM(J15:L15)+IF(Setup!$I$15="No",0,M15))</f>
        <v>348</v>
      </c>
      <c r="O15" s="183">
        <v>50</v>
      </c>
      <c r="P15" s="184"/>
      <c r="Q15" s="185">
        <v>5</v>
      </c>
      <c r="R15" s="186"/>
      <c r="S15" s="248">
        <f>IF(COUNTBLANK(O15:R15)=4,"",SUM(O15:Q15)+IF(Setup!$I$15="No",0,R15))</f>
        <v>55</v>
      </c>
      <c r="T15" s="197">
        <v>9</v>
      </c>
      <c r="U15" s="198">
        <v>9</v>
      </c>
      <c r="V15" s="199">
        <v>8</v>
      </c>
      <c r="W15" s="200"/>
      <c r="X15" s="252">
        <f>IF(COUNTBLANK(T15:W15)=4,"",SUM(T15:V15)+IF(Setup!$I$15="No",0,W15))</f>
        <v>26</v>
      </c>
      <c r="Y15" s="183"/>
      <c r="Z15" s="184">
        <v>1</v>
      </c>
      <c r="AA15" s="185"/>
      <c r="AB15" s="186"/>
      <c r="AC15" s="248">
        <f>IF(COUNTBLANK(Y15:AB15)=4,"",SUM(Y15:AA15)+IF(Setup!$I$15="No",0,AB15))</f>
        <v>1</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 Demand!S15, Demand!X15, Demand!AC15))</f>
        <v>875</v>
      </c>
      <c r="BD15" s="256">
        <f ca="1">IF(AND(A15&lt;=MaxRows,BE15&lt;&gt;"Yes"),'Demand background (hide)'!X6+IF(Setup!$I$15="Yes",'Demand background (hide)'!AJ6,0),"")</f>
        <v>14326</v>
      </c>
      <c r="BE15" s="206"/>
    </row>
    <row r="16" spans="1:57" ht="15" x14ac:dyDescent="0.25">
      <c r="A16">
        <f t="shared" ca="1" si="0"/>
        <v>4</v>
      </c>
      <c r="B16" s="259" t="str">
        <f t="shared" ca="1" si="1"/>
        <v xml:space="preserve"> </v>
      </c>
      <c r="C16" s="261">
        <f t="shared" ca="1" si="2"/>
        <v>17</v>
      </c>
      <c r="D16" s="489">
        <f t="shared" ca="1" si="3"/>
        <v>43213</v>
      </c>
      <c r="E16" s="183">
        <v>8</v>
      </c>
      <c r="F16" s="184">
        <v>347</v>
      </c>
      <c r="G16" s="185">
        <v>83</v>
      </c>
      <c r="H16" s="186"/>
      <c r="I16" s="248">
        <f>IF(COUNTBLANK(E16:H16)=4,"",SUM(E16:G16)+IF(Setup!$I$15="No",0,H16))</f>
        <v>438</v>
      </c>
      <c r="J16" s="197">
        <v>53</v>
      </c>
      <c r="K16" s="198">
        <v>257</v>
      </c>
      <c r="L16" s="199">
        <v>60</v>
      </c>
      <c r="M16" s="200"/>
      <c r="N16" s="252">
        <f>IF(COUNTBLANK(J16:M16)=4,"",SUM(J16:L16)+IF(Setup!$I$15="No",0,M16))</f>
        <v>370</v>
      </c>
      <c r="O16" s="183">
        <v>53</v>
      </c>
      <c r="P16" s="184"/>
      <c r="Q16" s="185">
        <v>4</v>
      </c>
      <c r="R16" s="186"/>
      <c r="S16" s="248">
        <f>IF(COUNTBLANK(O16:R16)=4,"",SUM(O16:Q16)+IF(Setup!$I$15="No",0,R16))</f>
        <v>57</v>
      </c>
      <c r="T16" s="197">
        <v>13</v>
      </c>
      <c r="U16" s="198">
        <v>5</v>
      </c>
      <c r="V16" s="199">
        <v>9</v>
      </c>
      <c r="W16" s="200"/>
      <c r="X16" s="252">
        <f>IF(COUNTBLANK(T16:W16)=4,"",SUM(T16:V16)+IF(Setup!$I$15="No",0,W16))</f>
        <v>27</v>
      </c>
      <c r="Y16" s="183">
        <v>2</v>
      </c>
      <c r="Z16" s="184">
        <v>1</v>
      </c>
      <c r="AA16" s="185"/>
      <c r="AB16" s="186"/>
      <c r="AC16" s="248">
        <f>IF(COUNTBLANK(Y16:AB16)=4,"",SUM(Y16:AA16)+IF(Setup!$I$15="No",0,AB16))</f>
        <v>3</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 Demand!S16, Demand!X16, Demand!AC16))</f>
        <v>895</v>
      </c>
      <c r="BD16" s="256">
        <f ca="1">IF(AND(A16&lt;=MaxRows,BE16&lt;&gt;"Yes"),'Demand background (hide)'!X7+IF(Setup!$I$15="Yes",'Demand background (hide)'!AJ7,0),"")</f>
        <v>14643</v>
      </c>
      <c r="BE16" s="206"/>
    </row>
    <row r="17" spans="1:57" ht="15" x14ac:dyDescent="0.25">
      <c r="A17">
        <f t="shared" ca="1" si="0"/>
        <v>5</v>
      </c>
      <c r="B17" s="259" t="str">
        <f t="shared" ca="1" si="1"/>
        <v xml:space="preserve"> </v>
      </c>
      <c r="C17" s="261">
        <f t="shared" ca="1" si="2"/>
        <v>18</v>
      </c>
      <c r="D17" s="489">
        <f t="shared" ca="1" si="3"/>
        <v>43220</v>
      </c>
      <c r="E17" s="183">
        <v>3</v>
      </c>
      <c r="F17" s="184">
        <v>323</v>
      </c>
      <c r="G17" s="185">
        <v>81</v>
      </c>
      <c r="H17" s="186"/>
      <c r="I17" s="248">
        <f>IF(COUNTBLANK(E17:H17)=4,"",SUM(E17:G17)+IF(Setup!$I$15="No",0,H17))</f>
        <v>407</v>
      </c>
      <c r="J17" s="197">
        <v>37</v>
      </c>
      <c r="K17" s="198">
        <v>268</v>
      </c>
      <c r="L17" s="199">
        <v>59</v>
      </c>
      <c r="M17" s="200"/>
      <c r="N17" s="252">
        <f>IF(COUNTBLANK(J17:M17)=4,"",SUM(J17:L17)+IF(Setup!$I$15="No",0,M17))</f>
        <v>364</v>
      </c>
      <c r="O17" s="183">
        <v>37</v>
      </c>
      <c r="P17" s="184">
        <v>2</v>
      </c>
      <c r="Q17" s="185">
        <v>4</v>
      </c>
      <c r="R17" s="186"/>
      <c r="S17" s="248">
        <f>IF(COUNTBLANK(O17:R17)=4,"",SUM(O17:Q17)+IF(Setup!$I$15="No",0,R17))</f>
        <v>43</v>
      </c>
      <c r="T17" s="197">
        <v>10</v>
      </c>
      <c r="U17" s="198">
        <v>4</v>
      </c>
      <c r="V17" s="199">
        <v>12</v>
      </c>
      <c r="W17" s="200"/>
      <c r="X17" s="252">
        <f>IF(COUNTBLANK(T17:W17)=4,"",SUM(T17:V17)+IF(Setup!$I$15="No",0,W17))</f>
        <v>26</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 Demand!S17, Demand!X17, Demand!AC17))</f>
        <v>840</v>
      </c>
      <c r="BD17" s="256">
        <f ca="1">IF(AND(A17&lt;=MaxRows,BE17&lt;&gt;"Yes"),'Demand background (hide)'!X8+IF(Setup!$I$15="Yes",'Demand background (hide)'!AJ8,0),"")</f>
        <v>13635</v>
      </c>
      <c r="BE17" s="206"/>
    </row>
    <row r="18" spans="1:57" ht="15" x14ac:dyDescent="0.25">
      <c r="A18">
        <f t="shared" ca="1" si="0"/>
        <v>6</v>
      </c>
      <c r="B18" s="259" t="str">
        <f t="shared" ca="1" si="1"/>
        <v xml:space="preserve"> </v>
      </c>
      <c r="C18" s="261">
        <f t="shared" ca="1" si="2"/>
        <v>19</v>
      </c>
      <c r="D18" s="489">
        <f t="shared" ca="1" si="3"/>
        <v>43227</v>
      </c>
      <c r="E18" s="183">
        <v>5</v>
      </c>
      <c r="F18" s="184">
        <v>339</v>
      </c>
      <c r="G18" s="185">
        <v>102</v>
      </c>
      <c r="H18" s="186"/>
      <c r="I18" s="248">
        <f>IF(COUNTBLANK(E18:H18)=4,"",SUM(E18:G18)+IF(Setup!$I$15="No",0,H18))</f>
        <v>446</v>
      </c>
      <c r="J18" s="197">
        <v>49</v>
      </c>
      <c r="K18" s="198">
        <v>281</v>
      </c>
      <c r="L18" s="199">
        <v>59</v>
      </c>
      <c r="M18" s="200"/>
      <c r="N18" s="252">
        <f>IF(COUNTBLANK(J18:M18)=4,"",SUM(J18:L18)+IF(Setup!$I$15="No",0,M18))</f>
        <v>389</v>
      </c>
      <c r="O18" s="183">
        <v>49</v>
      </c>
      <c r="P18" s="184"/>
      <c r="Q18" s="185">
        <v>1</v>
      </c>
      <c r="R18" s="186"/>
      <c r="S18" s="248">
        <f>IF(COUNTBLANK(O18:R18)=4,"",SUM(O18:Q18)+IF(Setup!$I$15="No",0,R18))</f>
        <v>50</v>
      </c>
      <c r="T18" s="197">
        <v>6</v>
      </c>
      <c r="U18" s="198">
        <v>8</v>
      </c>
      <c r="V18" s="199">
        <v>7</v>
      </c>
      <c r="W18" s="200"/>
      <c r="X18" s="252">
        <f>IF(COUNTBLANK(T18:W18)=4,"",SUM(T18:V18)+IF(Setup!$I$15="No",0,W18))</f>
        <v>21</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 Demand!S18, Demand!X18, Demand!AC18))</f>
        <v>906</v>
      </c>
      <c r="BD18" s="256">
        <f ca="1">IF(AND(A18&lt;=MaxRows,BE18&lt;&gt;"Yes"),'Demand background (hide)'!X9+IF(Setup!$I$15="Yes",'Demand background (hide)'!AJ9,0),"")</f>
        <v>14655</v>
      </c>
      <c r="BE18" s="206"/>
    </row>
    <row r="19" spans="1:57" ht="15" x14ac:dyDescent="0.25">
      <c r="A19">
        <f t="shared" ca="1" si="0"/>
        <v>7</v>
      </c>
      <c r="B19" s="259" t="str">
        <f t="shared" ca="1" si="1"/>
        <v xml:space="preserve"> </v>
      </c>
      <c r="C19" s="261">
        <f t="shared" ca="1" si="2"/>
        <v>20</v>
      </c>
      <c r="D19" s="489">
        <f t="shared" ca="1" si="3"/>
        <v>43234</v>
      </c>
      <c r="E19" s="183"/>
      <c r="F19" s="184">
        <v>325</v>
      </c>
      <c r="G19" s="185">
        <v>71</v>
      </c>
      <c r="H19" s="186"/>
      <c r="I19" s="248">
        <f>IF(COUNTBLANK(E19:H19)=4,"",SUM(E19:G19)+IF(Setup!$I$15="No",0,H19))</f>
        <v>396</v>
      </c>
      <c r="J19" s="197">
        <v>29</v>
      </c>
      <c r="K19" s="198">
        <v>271</v>
      </c>
      <c r="L19" s="199">
        <v>65</v>
      </c>
      <c r="M19" s="200"/>
      <c r="N19" s="252">
        <f>IF(COUNTBLANK(J19:M19)=4,"",SUM(J19:L19)+IF(Setup!$I$15="No",0,M19))</f>
        <v>365</v>
      </c>
      <c r="O19" s="183">
        <v>29</v>
      </c>
      <c r="P19" s="184">
        <v>1</v>
      </c>
      <c r="Q19" s="185">
        <v>2</v>
      </c>
      <c r="R19" s="186"/>
      <c r="S19" s="248">
        <f>IF(COUNTBLANK(O19:R19)=4,"",SUM(O19:Q19)+IF(Setup!$I$15="No",0,R19))</f>
        <v>32</v>
      </c>
      <c r="T19" s="197">
        <v>5</v>
      </c>
      <c r="U19" s="198">
        <v>10</v>
      </c>
      <c r="V19" s="199">
        <v>4</v>
      </c>
      <c r="W19" s="200"/>
      <c r="X19" s="252">
        <f>IF(COUNTBLANK(T19:W19)=4,"",SUM(T19:V19)+IF(Setup!$I$15="No",0,W19))</f>
        <v>19</v>
      </c>
      <c r="Y19" s="183"/>
      <c r="Z19" s="184"/>
      <c r="AA19" s="185">
        <v>1</v>
      </c>
      <c r="AB19" s="186"/>
      <c r="AC19" s="248">
        <f>IF(COUNTBLANK(Y19:AB19)=4,"",SUM(Y19:AA19)+IF(Setup!$I$15="No",0,AB19))</f>
        <v>1</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 Demand!S19, Demand!X19, Demand!AC19))</f>
        <v>813</v>
      </c>
      <c r="BD19" s="256">
        <f ca="1">IF(AND(A19&lt;=MaxRows,BE19&lt;&gt;"Yes"),'Demand background (hide)'!X10+IF(Setup!$I$15="Yes",'Demand background (hide)'!AJ10,0),"")</f>
        <v>12946</v>
      </c>
      <c r="BE19" s="206"/>
    </row>
    <row r="20" spans="1:57" ht="15" x14ac:dyDescent="0.25">
      <c r="A20">
        <f t="shared" ca="1" si="0"/>
        <v>8</v>
      </c>
      <c r="B20" s="259" t="str">
        <f t="shared" ca="1" si="1"/>
        <v xml:space="preserve"> </v>
      </c>
      <c r="C20" s="261">
        <f t="shared" ca="1" si="2"/>
        <v>21</v>
      </c>
      <c r="D20" s="489">
        <f t="shared" ca="1" si="3"/>
        <v>43241</v>
      </c>
      <c r="E20" s="183">
        <v>7</v>
      </c>
      <c r="F20" s="184">
        <v>336</v>
      </c>
      <c r="G20" s="185">
        <v>81</v>
      </c>
      <c r="H20" s="186"/>
      <c r="I20" s="248">
        <f>IF(COUNTBLANK(E20:H20)=4,"",SUM(E20:G20)+IF(Setup!$I$15="No",0,H20))</f>
        <v>424</v>
      </c>
      <c r="J20" s="197">
        <v>56</v>
      </c>
      <c r="K20" s="198">
        <v>243</v>
      </c>
      <c r="L20" s="199">
        <v>63</v>
      </c>
      <c r="M20" s="200"/>
      <c r="N20" s="252">
        <f>IF(COUNTBLANK(J20:M20)=4,"",SUM(J20:L20)+IF(Setup!$I$15="No",0,M20))</f>
        <v>362</v>
      </c>
      <c r="O20" s="183">
        <v>56</v>
      </c>
      <c r="P20" s="184"/>
      <c r="Q20" s="185">
        <v>9</v>
      </c>
      <c r="R20" s="186"/>
      <c r="S20" s="248">
        <f>IF(COUNTBLANK(O20:R20)=4,"",SUM(O20:Q20)+IF(Setup!$I$15="No",0,R20))</f>
        <v>65</v>
      </c>
      <c r="T20" s="197">
        <v>2</v>
      </c>
      <c r="U20" s="198">
        <v>7</v>
      </c>
      <c r="V20" s="199">
        <v>7</v>
      </c>
      <c r="W20" s="200"/>
      <c r="X20" s="252">
        <f>IF(COUNTBLANK(T20:W20)=4,"",SUM(T20:V20)+IF(Setup!$I$15="No",0,W20))</f>
        <v>16</v>
      </c>
      <c r="Y20" s="183"/>
      <c r="Z20" s="184">
        <v>1</v>
      </c>
      <c r="AA20" s="185"/>
      <c r="AB20" s="186"/>
      <c r="AC20" s="248">
        <f>IF(COUNTBLANK(Y20:AB20)=4,"",SUM(Y20:AA20)+IF(Setup!$I$15="No",0,AB20))</f>
        <v>1</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 Demand!S20, Demand!X20, Demand!AC20))</f>
        <v>868</v>
      </c>
      <c r="BD20" s="256">
        <f ca="1">IF(AND(A20&lt;=MaxRows,BE20&lt;&gt;"Yes"),'Demand background (hide)'!X11+IF(Setup!$I$15="Yes",'Demand background (hide)'!AJ11,0),"")</f>
        <v>14221</v>
      </c>
      <c r="BE20" s="206"/>
    </row>
    <row r="21" spans="1:57" ht="15" x14ac:dyDescent="0.25">
      <c r="A21">
        <f t="shared" ca="1" si="0"/>
        <v>9</v>
      </c>
      <c r="B21" s="259" t="str">
        <f t="shared" ca="1" si="1"/>
        <v xml:space="preserve"> </v>
      </c>
      <c r="C21" s="261">
        <f t="shared" ca="1" si="2"/>
        <v>22</v>
      </c>
      <c r="D21" s="489">
        <f t="shared" ca="1" si="3"/>
        <v>43248</v>
      </c>
      <c r="E21" s="183">
        <v>2</v>
      </c>
      <c r="F21" s="184">
        <v>309</v>
      </c>
      <c r="G21" s="185">
        <v>86</v>
      </c>
      <c r="H21" s="186"/>
      <c r="I21" s="248">
        <f>IF(COUNTBLANK(E21:H21)=4,"",SUM(E21:G21)+IF(Setup!$I$15="No",0,H21))</f>
        <v>397</v>
      </c>
      <c r="J21" s="197">
        <v>45</v>
      </c>
      <c r="K21" s="198">
        <v>227</v>
      </c>
      <c r="L21" s="199">
        <v>80</v>
      </c>
      <c r="M21" s="200"/>
      <c r="N21" s="252">
        <f>IF(COUNTBLANK(J21:M21)=4,"",SUM(J21:L21)+IF(Setup!$I$15="No",0,M21))</f>
        <v>352</v>
      </c>
      <c r="O21" s="183">
        <v>45</v>
      </c>
      <c r="P21" s="184"/>
      <c r="Q21" s="185">
        <v>4</v>
      </c>
      <c r="R21" s="186"/>
      <c r="S21" s="248">
        <f>IF(COUNTBLANK(O21:R21)=4,"",SUM(O21:Q21)+IF(Setup!$I$15="No",0,R21))</f>
        <v>49</v>
      </c>
      <c r="T21" s="197">
        <v>5</v>
      </c>
      <c r="U21" s="198">
        <v>10</v>
      </c>
      <c r="V21" s="199">
        <v>3</v>
      </c>
      <c r="W21" s="200"/>
      <c r="X21" s="252">
        <f>IF(COUNTBLANK(T21:W21)=4,"",SUM(T21:V21)+IF(Setup!$I$15="No",0,W21))</f>
        <v>18</v>
      </c>
      <c r="Y21" s="183"/>
      <c r="Z21" s="184">
        <v>1</v>
      </c>
      <c r="AA21" s="185"/>
      <c r="AB21" s="186"/>
      <c r="AC21" s="248">
        <f>IF(COUNTBLANK(Y21:AB21)=4,"",SUM(Y21:AA21)+IF(Setup!$I$15="No",0,AB21))</f>
        <v>1</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 Demand!S21, Demand!X21, Demand!AC21))</f>
        <v>817</v>
      </c>
      <c r="BD21" s="256">
        <f ca="1">IF(AND(A21&lt;=MaxRows,BE21&lt;&gt;"Yes"),'Demand background (hide)'!X12+IF(Setup!$I$15="Yes",'Demand background (hide)'!AJ12,0),"")</f>
        <v>13246</v>
      </c>
      <c r="BE21" s="206"/>
    </row>
    <row r="22" spans="1:57" ht="15" x14ac:dyDescent="0.25">
      <c r="A22">
        <f t="shared" ca="1" si="0"/>
        <v>10</v>
      </c>
      <c r="B22" s="259" t="str">
        <f t="shared" ca="1" si="1"/>
        <v xml:space="preserve"> </v>
      </c>
      <c r="C22" s="261">
        <f t="shared" ca="1" si="2"/>
        <v>23</v>
      </c>
      <c r="D22" s="489">
        <f t="shared" ca="1" si="3"/>
        <v>43255</v>
      </c>
      <c r="E22" s="183">
        <v>4</v>
      </c>
      <c r="F22" s="184">
        <v>306</v>
      </c>
      <c r="G22" s="185">
        <v>62</v>
      </c>
      <c r="H22" s="186"/>
      <c r="I22" s="248">
        <f>IF(COUNTBLANK(E22:H22)=4,"",SUM(E22:G22)+IF(Setup!$I$15="No",0,H22))</f>
        <v>372</v>
      </c>
      <c r="J22" s="197">
        <v>39</v>
      </c>
      <c r="K22" s="198">
        <v>252</v>
      </c>
      <c r="L22" s="199">
        <v>39</v>
      </c>
      <c r="M22" s="200"/>
      <c r="N22" s="252">
        <f>IF(COUNTBLANK(J22:M22)=4,"",SUM(J22:L22)+IF(Setup!$I$15="No",0,M22))</f>
        <v>330</v>
      </c>
      <c r="O22" s="183">
        <v>39</v>
      </c>
      <c r="P22" s="184">
        <v>1</v>
      </c>
      <c r="Q22" s="185"/>
      <c r="R22" s="186"/>
      <c r="S22" s="248">
        <f>IF(COUNTBLANK(O22:R22)=4,"",SUM(O22:Q22)+IF(Setup!$I$15="No",0,R22))</f>
        <v>40</v>
      </c>
      <c r="T22" s="197">
        <v>3</v>
      </c>
      <c r="U22" s="198">
        <v>10</v>
      </c>
      <c r="V22" s="199">
        <v>5</v>
      </c>
      <c r="W22" s="200"/>
      <c r="X22" s="252">
        <f>IF(COUNTBLANK(T22:W22)=4,"",SUM(T22:V22)+IF(Setup!$I$15="No",0,W22))</f>
        <v>18</v>
      </c>
      <c r="Y22" s="183">
        <v>1</v>
      </c>
      <c r="Z22" s="184"/>
      <c r="AA22" s="185"/>
      <c r="AB22" s="186"/>
      <c r="AC22" s="248">
        <f>IF(COUNTBLANK(Y22:AB22)=4,"",SUM(Y22:AA22)+IF(Setup!$I$15="No",0,AB22))</f>
        <v>1</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 Demand!S22, Demand!X22, Demand!AC22))</f>
        <v>761</v>
      </c>
      <c r="BD22" s="256">
        <f ca="1">IF(AND(A22&lt;=MaxRows,BE22&lt;&gt;"Yes"),'Demand background (hide)'!X13+IF(Setup!$I$15="Yes",'Demand background (hide)'!AJ13,0),"")</f>
        <v>12271</v>
      </c>
      <c r="BE22" s="206"/>
    </row>
    <row r="23" spans="1:57" ht="15" x14ac:dyDescent="0.25">
      <c r="A23">
        <f t="shared" ca="1" si="0"/>
        <v>11</v>
      </c>
      <c r="B23" s="259" t="str">
        <f t="shared" ca="1" si="1"/>
        <v xml:space="preserve"> </v>
      </c>
      <c r="C23" s="261">
        <f t="shared" ca="1" si="2"/>
        <v>24</v>
      </c>
      <c r="D23" s="489">
        <f t="shared" ca="1" si="3"/>
        <v>43262</v>
      </c>
      <c r="E23" s="183">
        <v>4</v>
      </c>
      <c r="F23" s="184">
        <v>298</v>
      </c>
      <c r="G23" s="185">
        <v>86</v>
      </c>
      <c r="H23" s="186"/>
      <c r="I23" s="248">
        <f>IF(COUNTBLANK(E23:H23)=4,"",SUM(E23:G23)+IF(Setup!$I$15="No",0,H23))</f>
        <v>388</v>
      </c>
      <c r="J23" s="197">
        <v>43</v>
      </c>
      <c r="K23" s="198">
        <v>265</v>
      </c>
      <c r="L23" s="199">
        <v>60</v>
      </c>
      <c r="M23" s="200"/>
      <c r="N23" s="252">
        <f>IF(COUNTBLANK(J23:M23)=4,"",SUM(J23:L23)+IF(Setup!$I$15="No",0,M23))</f>
        <v>368</v>
      </c>
      <c r="O23" s="183">
        <v>43</v>
      </c>
      <c r="P23" s="184">
        <v>1</v>
      </c>
      <c r="Q23" s="185">
        <v>3</v>
      </c>
      <c r="R23" s="186"/>
      <c r="S23" s="248">
        <f>IF(COUNTBLANK(O23:R23)=4,"",SUM(O23:Q23)+IF(Setup!$I$15="No",0,R23))</f>
        <v>47</v>
      </c>
      <c r="T23" s="197">
        <v>9</v>
      </c>
      <c r="U23" s="198">
        <v>2</v>
      </c>
      <c r="V23" s="199">
        <v>6</v>
      </c>
      <c r="W23" s="200"/>
      <c r="X23" s="252">
        <f>IF(COUNTBLANK(T23:W23)=4,"",SUM(T23:V23)+IF(Setup!$I$15="No",0,W23))</f>
        <v>17</v>
      </c>
      <c r="Y23" s="183">
        <v>1</v>
      </c>
      <c r="Z23" s="184">
        <v>1</v>
      </c>
      <c r="AA23" s="185"/>
      <c r="AB23" s="186"/>
      <c r="AC23" s="248">
        <f>IF(COUNTBLANK(Y23:AB23)=4,"",SUM(Y23:AA23)+IF(Setup!$I$15="No",0,AB23))</f>
        <v>2</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 Demand!S23, Demand!X23, Demand!AC23))</f>
        <v>822</v>
      </c>
      <c r="BD23" s="256">
        <f ca="1">IF(AND(A23&lt;=MaxRows,BE23&lt;&gt;"Yes"),'Demand background (hide)'!X14+IF(Setup!$I$15="Yes",'Demand background (hide)'!AJ14,0),"")</f>
        <v>13262</v>
      </c>
      <c r="BE23" s="206"/>
    </row>
    <row r="24" spans="1:57" ht="15" x14ac:dyDescent="0.25">
      <c r="A24">
        <f t="shared" ca="1" si="0"/>
        <v>12</v>
      </c>
      <c r="B24" s="259" t="str">
        <f t="shared" ca="1" si="1"/>
        <v xml:space="preserve"> </v>
      </c>
      <c r="C24" s="261">
        <f t="shared" ca="1" si="2"/>
        <v>25</v>
      </c>
      <c r="D24" s="489">
        <f t="shared" ca="1" si="3"/>
        <v>43269</v>
      </c>
      <c r="E24" s="183">
        <v>3</v>
      </c>
      <c r="F24" s="184">
        <v>307</v>
      </c>
      <c r="G24" s="185">
        <v>74</v>
      </c>
      <c r="H24" s="186"/>
      <c r="I24" s="248">
        <f>IF(COUNTBLANK(E24:H24)=4,"",SUM(E24:G24)+IF(Setup!$I$15="No",0,H24))</f>
        <v>384</v>
      </c>
      <c r="J24" s="197">
        <v>61</v>
      </c>
      <c r="K24" s="198">
        <v>232</v>
      </c>
      <c r="L24" s="199">
        <v>49</v>
      </c>
      <c r="M24" s="200"/>
      <c r="N24" s="252">
        <f>IF(COUNTBLANK(J24:M24)=4,"",SUM(J24:L24)+IF(Setup!$I$15="No",0,M24))</f>
        <v>342</v>
      </c>
      <c r="O24" s="183">
        <v>61</v>
      </c>
      <c r="P24" s="184">
        <v>2</v>
      </c>
      <c r="Q24" s="185">
        <v>9</v>
      </c>
      <c r="R24" s="186"/>
      <c r="S24" s="248">
        <f>IF(COUNTBLANK(O24:R24)=4,"",SUM(O24:Q24)+IF(Setup!$I$15="No",0,R24))</f>
        <v>72</v>
      </c>
      <c r="T24" s="197">
        <v>13</v>
      </c>
      <c r="U24" s="198">
        <v>8</v>
      </c>
      <c r="V24" s="199">
        <v>6</v>
      </c>
      <c r="W24" s="200"/>
      <c r="X24" s="252">
        <f>IF(COUNTBLANK(T24:W24)=4,"",SUM(T24:V24)+IF(Setup!$I$15="No",0,W24))</f>
        <v>27</v>
      </c>
      <c r="Y24" s="183"/>
      <c r="Z24" s="184">
        <v>1</v>
      </c>
      <c r="AA24" s="185"/>
      <c r="AB24" s="186"/>
      <c r="AC24" s="248">
        <f>IF(COUNTBLANK(Y24:AB24)=4,"",SUM(Y24:AA24)+IF(Setup!$I$15="No",0,AB24))</f>
        <v>1</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 Demand!S24, Demand!X24, Demand!AC24))</f>
        <v>826</v>
      </c>
      <c r="BD24" s="256">
        <f ca="1">IF(AND(A24&lt;=MaxRows,BE24&lt;&gt;"Yes"),'Demand background (hide)'!X15+IF(Setup!$I$15="Yes",'Demand background (hide)'!AJ15,0),"")</f>
        <v>13861</v>
      </c>
      <c r="BE24" s="206"/>
    </row>
    <row r="25" spans="1:57" ht="15" x14ac:dyDescent="0.25">
      <c r="A25">
        <f t="shared" ca="1" si="0"/>
        <v>13</v>
      </c>
      <c r="B25" s="259" t="str">
        <f t="shared" ca="1" si="1"/>
        <v xml:space="preserve"> </v>
      </c>
      <c r="C25" s="261">
        <f t="shared" ca="1" si="2"/>
        <v>26</v>
      </c>
      <c r="D25" s="489">
        <f t="shared" ca="1" si="3"/>
        <v>43276</v>
      </c>
      <c r="E25" s="183">
        <v>6</v>
      </c>
      <c r="F25" s="184">
        <v>336</v>
      </c>
      <c r="G25" s="185">
        <v>101</v>
      </c>
      <c r="H25" s="186"/>
      <c r="I25" s="248">
        <f>IF(COUNTBLANK(E25:H25)=4,"",SUM(E25:G25)+IF(Setup!$I$15="No",0,H25))</f>
        <v>443</v>
      </c>
      <c r="J25" s="197">
        <v>50</v>
      </c>
      <c r="K25" s="198">
        <v>254</v>
      </c>
      <c r="L25" s="199">
        <v>63</v>
      </c>
      <c r="M25" s="200"/>
      <c r="N25" s="252">
        <f>IF(COUNTBLANK(J25:M25)=4,"",SUM(J25:L25)+IF(Setup!$I$15="No",0,M25))</f>
        <v>367</v>
      </c>
      <c r="O25" s="183">
        <v>50</v>
      </c>
      <c r="P25" s="184">
        <v>1</v>
      </c>
      <c r="Q25" s="185">
        <v>2</v>
      </c>
      <c r="R25" s="186"/>
      <c r="S25" s="248">
        <f>IF(COUNTBLANK(O25:R25)=4,"",SUM(O25:Q25)+IF(Setup!$I$15="No",0,R25))</f>
        <v>53</v>
      </c>
      <c r="T25" s="197">
        <v>8</v>
      </c>
      <c r="U25" s="198">
        <v>6</v>
      </c>
      <c r="V25" s="199">
        <v>4</v>
      </c>
      <c r="W25" s="200"/>
      <c r="X25" s="252">
        <f>IF(COUNTBLANK(T25:W25)=4,"",SUM(T25:V25)+IF(Setup!$I$15="No",0,W25))</f>
        <v>18</v>
      </c>
      <c r="Y25" s="183"/>
      <c r="Z25" s="184">
        <v>4</v>
      </c>
      <c r="AA25" s="185"/>
      <c r="AB25" s="186"/>
      <c r="AC25" s="248">
        <f>IF(COUNTBLANK(Y25:AB25)=4,"",SUM(Y25:AA25)+IF(Setup!$I$15="No",0,AB25))</f>
        <v>4</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 Demand!S25, Demand!X25, Demand!AC25))</f>
        <v>885</v>
      </c>
      <c r="BD25" s="256">
        <f ca="1">IF(AND(A25&lt;=MaxRows,BE25&lt;&gt;"Yes"),'Demand background (hide)'!X16+IF(Setup!$I$15="Yes",'Demand background (hide)'!AJ16,0),"")</f>
        <v>14284</v>
      </c>
      <c r="BE25" s="206"/>
    </row>
    <row r="26" spans="1:57" ht="15" x14ac:dyDescent="0.25">
      <c r="A26">
        <f t="shared" ca="1" si="0"/>
        <v>14</v>
      </c>
      <c r="B26" s="259" t="str">
        <f t="shared" ca="1" si="1"/>
        <v xml:space="preserve"> </v>
      </c>
      <c r="C26" s="261">
        <f t="shared" ca="1" si="2"/>
        <v>27</v>
      </c>
      <c r="D26" s="489">
        <f t="shared" ca="1" si="3"/>
        <v>43283</v>
      </c>
      <c r="E26" s="183">
        <v>4</v>
      </c>
      <c r="F26" s="184">
        <v>330</v>
      </c>
      <c r="G26" s="185">
        <v>78</v>
      </c>
      <c r="H26" s="186"/>
      <c r="I26" s="248">
        <f>IF(COUNTBLANK(E26:H26)=4,"",SUM(E26:G26)+IF(Setup!$I$15="No",0,H26))</f>
        <v>412</v>
      </c>
      <c r="J26" s="197">
        <v>54</v>
      </c>
      <c r="K26" s="198">
        <v>223</v>
      </c>
      <c r="L26" s="199">
        <v>35</v>
      </c>
      <c r="M26" s="200"/>
      <c r="N26" s="252">
        <f>IF(COUNTBLANK(J26:M26)=4,"",SUM(J26:L26)+IF(Setup!$I$15="No",0,M26))</f>
        <v>312</v>
      </c>
      <c r="O26" s="183">
        <v>54</v>
      </c>
      <c r="P26" s="184">
        <v>2</v>
      </c>
      <c r="Q26" s="185"/>
      <c r="R26" s="186"/>
      <c r="S26" s="248">
        <f>IF(COUNTBLANK(O26:R26)=4,"",SUM(O26:Q26)+IF(Setup!$I$15="No",0,R26))</f>
        <v>56</v>
      </c>
      <c r="T26" s="197">
        <v>9</v>
      </c>
      <c r="U26" s="198">
        <v>9</v>
      </c>
      <c r="V26" s="199">
        <v>6</v>
      </c>
      <c r="W26" s="200"/>
      <c r="X26" s="252">
        <f>IF(COUNTBLANK(T26:W26)=4,"",SUM(T26:V26)+IF(Setup!$I$15="No",0,W26))</f>
        <v>24</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 Demand!S26, Demand!X26, Demand!AC26))</f>
        <v>804</v>
      </c>
      <c r="BD26" s="256">
        <f ca="1">IF(AND(A26&lt;=MaxRows,BE26&lt;&gt;"Yes"),'Demand background (hide)'!X17+IF(Setup!$I$15="Yes",'Demand background (hide)'!AJ17,0),"")</f>
        <v>13260</v>
      </c>
      <c r="BE26" s="206"/>
    </row>
    <row r="27" spans="1:57" ht="15" x14ac:dyDescent="0.25">
      <c r="A27">
        <f t="shared" ca="1" si="0"/>
        <v>15</v>
      </c>
      <c r="B27" s="259" t="str">
        <f t="shared" ca="1" si="1"/>
        <v xml:space="preserve"> </v>
      </c>
      <c r="C27" s="261">
        <f t="shared" ca="1" si="2"/>
        <v>28</v>
      </c>
      <c r="D27" s="489">
        <f t="shared" ca="1" si="3"/>
        <v>43290</v>
      </c>
      <c r="E27" s="183">
        <v>6</v>
      </c>
      <c r="F27" s="184">
        <v>344</v>
      </c>
      <c r="G27" s="185">
        <v>93</v>
      </c>
      <c r="H27" s="186"/>
      <c r="I27" s="248">
        <f>IF(COUNTBLANK(E27:H27)=4,"",SUM(E27:G27)+IF(Setup!$I$15="No",0,H27))</f>
        <v>443</v>
      </c>
      <c r="J27" s="197">
        <v>56</v>
      </c>
      <c r="K27" s="198">
        <v>250</v>
      </c>
      <c r="L27" s="199">
        <v>61</v>
      </c>
      <c r="M27" s="200"/>
      <c r="N27" s="252">
        <f>IF(COUNTBLANK(J27:M27)=4,"",SUM(J27:L27)+IF(Setup!$I$15="No",0,M27))</f>
        <v>367</v>
      </c>
      <c r="O27" s="183">
        <v>56</v>
      </c>
      <c r="P27" s="184"/>
      <c r="Q27" s="185">
        <v>1</v>
      </c>
      <c r="R27" s="186"/>
      <c r="S27" s="248">
        <f>IF(COUNTBLANK(O27:R27)=4,"",SUM(O27:Q27)+IF(Setup!$I$15="No",0,R27))</f>
        <v>57</v>
      </c>
      <c r="T27" s="197">
        <v>12</v>
      </c>
      <c r="U27" s="198">
        <v>6</v>
      </c>
      <c r="V27" s="199">
        <v>7</v>
      </c>
      <c r="W27" s="200"/>
      <c r="X27" s="252">
        <f>IF(COUNTBLANK(T27:W27)=4,"",SUM(T27:V27)+IF(Setup!$I$15="No",0,W27))</f>
        <v>25</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 Demand!S27, Demand!X27, Demand!AC27))</f>
        <v>892</v>
      </c>
      <c r="BD27" s="256">
        <f ca="1">IF(AND(A27&lt;=MaxRows,BE27&lt;&gt;"Yes"),'Demand background (hide)'!X18+IF(Setup!$I$15="Yes",'Demand background (hide)'!AJ18,0),"")</f>
        <v>14610</v>
      </c>
      <c r="BE27" s="206"/>
    </row>
    <row r="28" spans="1:57" ht="15" x14ac:dyDescent="0.25">
      <c r="A28">
        <f t="shared" ca="1" si="0"/>
        <v>16</v>
      </c>
      <c r="B28" s="259" t="str">
        <f t="shared" ca="1" si="1"/>
        <v xml:space="preserve"> </v>
      </c>
      <c r="C28" s="261">
        <f t="shared" ca="1" si="2"/>
        <v>29</v>
      </c>
      <c r="D28" s="489">
        <f t="shared" ca="1" si="3"/>
        <v>43297</v>
      </c>
      <c r="E28" s="183">
        <v>4</v>
      </c>
      <c r="F28" s="184">
        <v>349</v>
      </c>
      <c r="G28" s="185">
        <v>76</v>
      </c>
      <c r="H28" s="186"/>
      <c r="I28" s="248">
        <f>IF(COUNTBLANK(E28:H28)=4,"",SUM(E28:G28)+IF(Setup!$I$15="No",0,H28))</f>
        <v>429</v>
      </c>
      <c r="J28" s="197">
        <v>40</v>
      </c>
      <c r="K28" s="198">
        <v>263</v>
      </c>
      <c r="L28" s="199">
        <v>43</v>
      </c>
      <c r="M28" s="200"/>
      <c r="N28" s="252">
        <f>IF(COUNTBLANK(J28:M28)=4,"",SUM(J28:L28)+IF(Setup!$I$15="No",0,M28))</f>
        <v>346</v>
      </c>
      <c r="O28" s="183">
        <v>40</v>
      </c>
      <c r="P28" s="184"/>
      <c r="Q28" s="185">
        <v>1</v>
      </c>
      <c r="R28" s="186"/>
      <c r="S28" s="248">
        <f>IF(COUNTBLANK(O28:R28)=4,"",SUM(O28:Q28)+IF(Setup!$I$15="No",0,R28))</f>
        <v>41</v>
      </c>
      <c r="T28" s="197">
        <v>7</v>
      </c>
      <c r="U28" s="198">
        <v>4</v>
      </c>
      <c r="V28" s="199">
        <v>3</v>
      </c>
      <c r="W28" s="200"/>
      <c r="X28" s="252">
        <f>IF(COUNTBLANK(T28:W28)=4,"",SUM(T28:V28)+IF(Setup!$I$15="No",0,W28))</f>
        <v>14</v>
      </c>
      <c r="Y28" s="183">
        <v>1</v>
      </c>
      <c r="Z28" s="184"/>
      <c r="AA28" s="185"/>
      <c r="AB28" s="186"/>
      <c r="AC28" s="248">
        <f>IF(COUNTBLANK(Y28:AB28)=4,"",SUM(Y28:AA28)+IF(Setup!$I$15="No",0,AB28))</f>
        <v>1</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 Demand!S28, Demand!X28, Demand!AC28))</f>
        <v>831</v>
      </c>
      <c r="BD28" s="256">
        <f ca="1">IF(AND(A28&lt;=MaxRows,BE28&lt;&gt;"Yes"),'Demand background (hide)'!X19+IF(Setup!$I$15="Yes",'Demand background (hide)'!AJ19,0),"")</f>
        <v>13276</v>
      </c>
      <c r="BE28" s="206"/>
    </row>
    <row r="29" spans="1:57" ht="15" x14ac:dyDescent="0.25">
      <c r="A29">
        <f t="shared" ca="1" si="0"/>
        <v>17</v>
      </c>
      <c r="B29" s="259" t="str">
        <f t="shared" ca="1" si="1"/>
        <v xml:space="preserve"> </v>
      </c>
      <c r="C29" s="261">
        <f t="shared" ca="1" si="2"/>
        <v>30</v>
      </c>
      <c r="D29" s="489">
        <f t="shared" ca="1" si="3"/>
        <v>43304</v>
      </c>
      <c r="E29" s="183">
        <v>6</v>
      </c>
      <c r="F29" s="184">
        <v>339</v>
      </c>
      <c r="G29" s="185">
        <v>69</v>
      </c>
      <c r="H29" s="186"/>
      <c r="I29" s="248">
        <f>IF(COUNTBLANK(E29:H29)=4,"",SUM(E29:G29)+IF(Setup!$I$15="No",0,H29))</f>
        <v>414</v>
      </c>
      <c r="J29" s="197">
        <v>59</v>
      </c>
      <c r="K29" s="198">
        <v>247</v>
      </c>
      <c r="L29" s="199">
        <v>59</v>
      </c>
      <c r="M29" s="200"/>
      <c r="N29" s="252">
        <f>IF(COUNTBLANK(J29:M29)=4,"",SUM(J29:L29)+IF(Setup!$I$15="No",0,M29))</f>
        <v>365</v>
      </c>
      <c r="O29" s="183">
        <v>59</v>
      </c>
      <c r="P29" s="184">
        <v>1</v>
      </c>
      <c r="Q29" s="185">
        <v>5</v>
      </c>
      <c r="R29" s="186"/>
      <c r="S29" s="248">
        <f>IF(COUNTBLANK(O29:R29)=4,"",SUM(O29:Q29)+IF(Setup!$I$15="No",0,R29))</f>
        <v>65</v>
      </c>
      <c r="T29" s="197">
        <v>14</v>
      </c>
      <c r="U29" s="198">
        <v>12</v>
      </c>
      <c r="V29" s="199">
        <v>9</v>
      </c>
      <c r="W29" s="200"/>
      <c r="X29" s="252">
        <f>IF(COUNTBLANK(T29:W29)=4,"",SUM(T29:V29)+IF(Setup!$I$15="No",0,W29))</f>
        <v>35</v>
      </c>
      <c r="Y29" s="183">
        <v>2</v>
      </c>
      <c r="Z29" s="184"/>
      <c r="AA29" s="185"/>
      <c r="AB29" s="186"/>
      <c r="AC29" s="248">
        <f>IF(COUNTBLANK(Y29:AB29)=4,"",SUM(Y29:AA29)+IF(Setup!$I$15="No",0,AB29))</f>
        <v>2</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 Demand!S29, Demand!X29, Demand!AC29))</f>
        <v>881</v>
      </c>
      <c r="BD29" s="256">
        <f ca="1">IF(AND(A29&lt;=MaxRows,BE29&lt;&gt;"Yes"),'Demand background (hide)'!X20+IF(Setup!$I$15="Yes",'Demand background (hide)'!AJ20,0),"")</f>
        <v>14687</v>
      </c>
      <c r="BE29" s="206"/>
    </row>
    <row r="30" spans="1:57" ht="15" x14ac:dyDescent="0.25">
      <c r="A30">
        <f t="shared" ca="1" si="0"/>
        <v>18</v>
      </c>
      <c r="B30" s="259" t="str">
        <f t="shared" ca="1" si="1"/>
        <v xml:space="preserve"> </v>
      </c>
      <c r="C30" s="261">
        <f t="shared" ca="1" si="2"/>
        <v>31</v>
      </c>
      <c r="D30" s="489">
        <f t="shared" ca="1" si="3"/>
        <v>43311</v>
      </c>
      <c r="E30" s="183">
        <v>8</v>
      </c>
      <c r="F30" s="184">
        <v>338</v>
      </c>
      <c r="G30" s="185">
        <v>79</v>
      </c>
      <c r="H30" s="186"/>
      <c r="I30" s="248">
        <f>IF(COUNTBLANK(E30:H30)=4,"",SUM(E30:G30)+IF(Setup!$I$15="No",0,H30))</f>
        <v>425</v>
      </c>
      <c r="J30" s="197">
        <v>54</v>
      </c>
      <c r="K30" s="198">
        <v>285</v>
      </c>
      <c r="L30" s="199">
        <v>60</v>
      </c>
      <c r="M30" s="200"/>
      <c r="N30" s="252">
        <f>IF(COUNTBLANK(J30:M30)=4,"",SUM(J30:L30)+IF(Setup!$I$15="No",0,M30))</f>
        <v>399</v>
      </c>
      <c r="O30" s="183">
        <v>54</v>
      </c>
      <c r="P30" s="184"/>
      <c r="Q30" s="185">
        <v>7</v>
      </c>
      <c r="R30" s="186"/>
      <c r="S30" s="248">
        <f>IF(COUNTBLANK(O30:R30)=4,"",SUM(O30:Q30)+IF(Setup!$I$15="No",0,R30))</f>
        <v>61</v>
      </c>
      <c r="T30" s="197">
        <v>10</v>
      </c>
      <c r="U30" s="198">
        <v>2</v>
      </c>
      <c r="V30" s="199">
        <v>8</v>
      </c>
      <c r="W30" s="200"/>
      <c r="X30" s="252">
        <f>IF(COUNTBLANK(T30:W30)=4,"",SUM(T30:V30)+IF(Setup!$I$15="No",0,W30))</f>
        <v>20</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 Demand!S30, Demand!X30, Demand!AC30))</f>
        <v>905</v>
      </c>
      <c r="BD30" s="256">
        <f ca="1">IF(AND(A30&lt;=MaxRows,BE30&lt;&gt;"Yes"),'Demand background (hide)'!X21+IF(Setup!$I$15="Yes",'Demand background (hide)'!AJ21,0),"")</f>
        <v>14790</v>
      </c>
      <c r="BE30" s="206"/>
    </row>
    <row r="31" spans="1:57" ht="15" x14ac:dyDescent="0.25">
      <c r="A31">
        <f t="shared" ca="1" si="0"/>
        <v>19</v>
      </c>
      <c r="B31" s="259" t="str">
        <f t="shared" ca="1" si="1"/>
        <v xml:space="preserve"> </v>
      </c>
      <c r="C31" s="261">
        <f t="shared" ca="1" si="2"/>
        <v>32</v>
      </c>
      <c r="D31" s="489">
        <f t="shared" ca="1" si="3"/>
        <v>43318</v>
      </c>
      <c r="E31" s="183">
        <v>9</v>
      </c>
      <c r="F31" s="184">
        <v>306</v>
      </c>
      <c r="G31" s="185">
        <v>74</v>
      </c>
      <c r="H31" s="186"/>
      <c r="I31" s="248">
        <f>IF(COUNTBLANK(E31:H31)=4,"",SUM(E31:G31)+IF(Setup!$I$15="No",0,H31))</f>
        <v>389</v>
      </c>
      <c r="J31" s="197">
        <v>49</v>
      </c>
      <c r="K31" s="198">
        <v>206</v>
      </c>
      <c r="L31" s="199">
        <v>44</v>
      </c>
      <c r="M31" s="200"/>
      <c r="N31" s="252">
        <f>IF(COUNTBLANK(J31:M31)=4,"",SUM(J31:L31)+IF(Setup!$I$15="No",0,M31))</f>
        <v>299</v>
      </c>
      <c r="O31" s="183">
        <v>49</v>
      </c>
      <c r="P31" s="184"/>
      <c r="Q31" s="185">
        <v>3</v>
      </c>
      <c r="R31" s="186"/>
      <c r="S31" s="248">
        <f>IF(COUNTBLANK(O31:R31)=4,"",SUM(O31:Q31)+IF(Setup!$I$15="No",0,R31))</f>
        <v>52</v>
      </c>
      <c r="T31" s="197">
        <v>5</v>
      </c>
      <c r="U31" s="198">
        <v>11</v>
      </c>
      <c r="V31" s="199">
        <v>4</v>
      </c>
      <c r="W31" s="200"/>
      <c r="X31" s="252">
        <f>IF(COUNTBLANK(T31:W31)=4,"",SUM(T31:V31)+IF(Setup!$I$15="No",0,W31))</f>
        <v>20</v>
      </c>
      <c r="Y31" s="183"/>
      <c r="Z31" s="184">
        <v>1</v>
      </c>
      <c r="AA31" s="185"/>
      <c r="AB31" s="186"/>
      <c r="AC31" s="248">
        <f>IF(COUNTBLANK(Y31:AB31)=4,"",SUM(Y31:AA31)+IF(Setup!$I$15="No",0,AB31))</f>
        <v>1</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 Demand!S31, Demand!X31, Demand!AC31))</f>
        <v>761</v>
      </c>
      <c r="BD31" s="256">
        <f ca="1">IF(AND(A31&lt;=MaxRows,BE31&lt;&gt;"Yes"),'Demand background (hide)'!X22+IF(Setup!$I$15="Yes",'Demand background (hide)'!AJ22,0),"")</f>
        <v>12481</v>
      </c>
      <c r="BE31" s="206"/>
    </row>
    <row r="32" spans="1:57" ht="15" x14ac:dyDescent="0.25">
      <c r="A32">
        <f t="shared" ca="1" si="0"/>
        <v>20</v>
      </c>
      <c r="B32" s="259" t="str">
        <f t="shared" ca="1" si="1"/>
        <v xml:space="preserve"> </v>
      </c>
      <c r="C32" s="261">
        <f t="shared" ca="1" si="2"/>
        <v>33</v>
      </c>
      <c r="D32" s="489">
        <f t="shared" ca="1" si="3"/>
        <v>43325</v>
      </c>
      <c r="E32" s="183">
        <v>8</v>
      </c>
      <c r="F32" s="184">
        <v>338</v>
      </c>
      <c r="G32" s="185">
        <v>93</v>
      </c>
      <c r="H32" s="186"/>
      <c r="I32" s="248">
        <f>IF(COUNTBLANK(E32:H32)=4,"",SUM(E32:G32)+IF(Setup!$I$15="No",0,H32))</f>
        <v>439</v>
      </c>
      <c r="J32" s="197">
        <v>45</v>
      </c>
      <c r="K32" s="198">
        <v>232</v>
      </c>
      <c r="L32" s="199">
        <v>43</v>
      </c>
      <c r="M32" s="200"/>
      <c r="N32" s="252">
        <f>IF(COUNTBLANK(J32:M32)=4,"",SUM(J32:L32)+IF(Setup!$I$15="No",0,M32))</f>
        <v>320</v>
      </c>
      <c r="O32" s="183">
        <v>45</v>
      </c>
      <c r="P32" s="184"/>
      <c r="Q32" s="185">
        <v>2</v>
      </c>
      <c r="R32" s="186"/>
      <c r="S32" s="248">
        <f>IF(COUNTBLANK(O32:R32)=4,"",SUM(O32:Q32)+IF(Setup!$I$15="No",0,R32))</f>
        <v>47</v>
      </c>
      <c r="T32" s="197">
        <v>10</v>
      </c>
      <c r="U32" s="198">
        <v>8</v>
      </c>
      <c r="V32" s="199">
        <v>6</v>
      </c>
      <c r="W32" s="200"/>
      <c r="X32" s="252">
        <f>IF(COUNTBLANK(T32:W32)=4,"",SUM(T32:V32)+IF(Setup!$I$15="No",0,W32))</f>
        <v>24</v>
      </c>
      <c r="Y32" s="183">
        <v>1</v>
      </c>
      <c r="Z32" s="184"/>
      <c r="AA32" s="185"/>
      <c r="AB32" s="186"/>
      <c r="AC32" s="248">
        <f>IF(COUNTBLANK(Y32:AB32)=4,"",SUM(Y32:AA32)+IF(Setup!$I$15="No",0,AB32))</f>
        <v>1</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 Demand!S32, Demand!X32, Demand!AC32))</f>
        <v>831</v>
      </c>
      <c r="BD32" s="256">
        <f ca="1">IF(AND(A32&lt;=MaxRows,BE32&lt;&gt;"Yes"),'Demand background (hide)'!X23+IF(Setup!$I$15="Yes",'Demand background (hide)'!AJ23,0),"")</f>
        <v>13516</v>
      </c>
      <c r="BE32" s="206"/>
    </row>
    <row r="33" spans="1:57" ht="15" x14ac:dyDescent="0.25">
      <c r="A33">
        <f t="shared" ca="1" si="0"/>
        <v>21</v>
      </c>
      <c r="B33" s="259" t="str">
        <f t="shared" ca="1" si="1"/>
        <v xml:space="preserve"> </v>
      </c>
      <c r="C33" s="261">
        <f t="shared" ca="1" si="2"/>
        <v>34</v>
      </c>
      <c r="D33" s="489">
        <f t="shared" ca="1" si="3"/>
        <v>43332</v>
      </c>
      <c r="E33" s="183">
        <v>10</v>
      </c>
      <c r="F33" s="184">
        <v>348</v>
      </c>
      <c r="G33" s="185">
        <v>83</v>
      </c>
      <c r="H33" s="186"/>
      <c r="I33" s="248">
        <f>IF(COUNTBLANK(E33:H33)=4,"",SUM(E33:G33)+IF(Setup!$I$15="No",0,H33))</f>
        <v>441</v>
      </c>
      <c r="J33" s="197">
        <v>62</v>
      </c>
      <c r="K33" s="198">
        <v>253</v>
      </c>
      <c r="L33" s="199">
        <v>48</v>
      </c>
      <c r="M33" s="200"/>
      <c r="N33" s="252">
        <f>IF(COUNTBLANK(J33:M33)=4,"",SUM(J33:L33)+IF(Setup!$I$15="No",0,M33))</f>
        <v>363</v>
      </c>
      <c r="O33" s="183">
        <v>62</v>
      </c>
      <c r="P33" s="184"/>
      <c r="Q33" s="185">
        <v>3</v>
      </c>
      <c r="R33" s="186"/>
      <c r="S33" s="248">
        <f>IF(COUNTBLANK(O33:R33)=4,"",SUM(O33:Q33)+IF(Setup!$I$15="No",0,R33))</f>
        <v>65</v>
      </c>
      <c r="T33" s="197">
        <v>7</v>
      </c>
      <c r="U33" s="198">
        <v>13</v>
      </c>
      <c r="V33" s="199">
        <v>7</v>
      </c>
      <c r="W33" s="200"/>
      <c r="X33" s="252">
        <f>IF(COUNTBLANK(T33:W33)=4,"",SUM(T33:V33)+IF(Setup!$I$15="No",0,W33))</f>
        <v>27</v>
      </c>
      <c r="Y33" s="183"/>
      <c r="Z33" s="184">
        <v>1</v>
      </c>
      <c r="AA33" s="185"/>
      <c r="AB33" s="186"/>
      <c r="AC33" s="248">
        <f>IF(COUNTBLANK(Y33:AB33)=4,"",SUM(Y33:AA33)+IF(Setup!$I$15="No",0,AB33))</f>
        <v>1</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 Demand!S33, Demand!X33, Demand!AC33))</f>
        <v>897</v>
      </c>
      <c r="BD33" s="256">
        <f ca="1">IF(AND(A33&lt;=MaxRows,BE33&lt;&gt;"Yes"),'Demand background (hide)'!X24+IF(Setup!$I$15="Yes",'Demand background (hide)'!AJ24,0),"")</f>
        <v>14821</v>
      </c>
      <c r="BE33" s="206"/>
    </row>
    <row r="34" spans="1:57" ht="15" x14ac:dyDescent="0.25">
      <c r="A34">
        <f t="shared" ca="1" si="0"/>
        <v>22</v>
      </c>
      <c r="B34" s="259" t="str">
        <f t="shared" ca="1" si="1"/>
        <v xml:space="preserve"> </v>
      </c>
      <c r="C34" s="261">
        <f t="shared" ca="1" si="2"/>
        <v>35</v>
      </c>
      <c r="D34" s="489">
        <f t="shared" ca="1" si="3"/>
        <v>43339</v>
      </c>
      <c r="E34" s="183">
        <v>5</v>
      </c>
      <c r="F34" s="184">
        <v>356</v>
      </c>
      <c r="G34" s="185">
        <v>71</v>
      </c>
      <c r="H34" s="186"/>
      <c r="I34" s="248">
        <f>IF(COUNTBLANK(E34:H34)=4,"",SUM(E34:G34)+IF(Setup!$I$15="No",0,H34))</f>
        <v>432</v>
      </c>
      <c r="J34" s="197">
        <v>60</v>
      </c>
      <c r="K34" s="198">
        <v>254</v>
      </c>
      <c r="L34" s="199">
        <v>44</v>
      </c>
      <c r="M34" s="200"/>
      <c r="N34" s="252">
        <f>IF(COUNTBLANK(J34:M34)=4,"",SUM(J34:L34)+IF(Setup!$I$15="No",0,M34))</f>
        <v>358</v>
      </c>
      <c r="O34" s="183">
        <v>60</v>
      </c>
      <c r="P34" s="184"/>
      <c r="Q34" s="185">
        <v>1</v>
      </c>
      <c r="R34" s="186"/>
      <c r="S34" s="248">
        <f>IF(COUNTBLANK(O34:R34)=4,"",SUM(O34:Q34)+IF(Setup!$I$15="No",0,R34))</f>
        <v>61</v>
      </c>
      <c r="T34" s="197">
        <v>14</v>
      </c>
      <c r="U34" s="198">
        <v>3</v>
      </c>
      <c r="V34" s="199">
        <v>12</v>
      </c>
      <c r="W34" s="200"/>
      <c r="X34" s="252">
        <f>IF(COUNTBLANK(T34:W34)=4,"",SUM(T34:V34)+IF(Setup!$I$15="No",0,W34))</f>
        <v>29</v>
      </c>
      <c r="Y34" s="183">
        <v>1</v>
      </c>
      <c r="Z34" s="184"/>
      <c r="AA34" s="185"/>
      <c r="AB34" s="186"/>
      <c r="AC34" s="248">
        <f>IF(COUNTBLANK(Y34:AB34)=4,"",SUM(Y34:AA34)+IF(Setup!$I$15="No",0,AB34))</f>
        <v>1</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 Demand!S34, Demand!X34, Demand!AC34))</f>
        <v>881</v>
      </c>
      <c r="BD34" s="256">
        <f ca="1">IF(AND(A34&lt;=MaxRows,BE34&lt;&gt;"Yes"),'Demand background (hide)'!X25+IF(Setup!$I$15="Yes",'Demand background (hide)'!AJ25,0),"")</f>
        <v>14551</v>
      </c>
      <c r="BE34" s="206"/>
    </row>
    <row r="35" spans="1:57" ht="15" x14ac:dyDescent="0.25">
      <c r="A35">
        <f t="shared" ca="1" si="0"/>
        <v>23</v>
      </c>
      <c r="B35" s="259" t="str">
        <f t="shared" ca="1" si="1"/>
        <v xml:space="preserve"> </v>
      </c>
      <c r="C35" s="261">
        <f t="shared" ca="1" si="2"/>
        <v>36</v>
      </c>
      <c r="D35" s="489">
        <f t="shared" ca="1" si="3"/>
        <v>43346</v>
      </c>
      <c r="E35" s="183">
        <v>1</v>
      </c>
      <c r="F35" s="184">
        <v>354</v>
      </c>
      <c r="G35" s="185">
        <v>68</v>
      </c>
      <c r="H35" s="186"/>
      <c r="I35" s="248">
        <f>IF(COUNTBLANK(E35:H35)=4,"",SUM(E35:G35)+IF(Setup!$I$15="No",0,H35))</f>
        <v>423</v>
      </c>
      <c r="J35" s="197">
        <v>39</v>
      </c>
      <c r="K35" s="198">
        <v>243</v>
      </c>
      <c r="L35" s="199">
        <v>56</v>
      </c>
      <c r="M35" s="200"/>
      <c r="N35" s="252">
        <f>IF(COUNTBLANK(J35:M35)=4,"",SUM(J35:L35)+IF(Setup!$I$15="No",0,M35))</f>
        <v>338</v>
      </c>
      <c r="O35" s="183">
        <v>39</v>
      </c>
      <c r="P35" s="184">
        <v>1</v>
      </c>
      <c r="Q35" s="185">
        <v>7</v>
      </c>
      <c r="R35" s="186"/>
      <c r="S35" s="248">
        <f>IF(COUNTBLANK(O35:R35)=4,"",SUM(O35:Q35)+IF(Setup!$I$15="No",0,R35))</f>
        <v>47</v>
      </c>
      <c r="T35" s="197">
        <v>10</v>
      </c>
      <c r="U35" s="198">
        <v>3</v>
      </c>
      <c r="V35" s="199">
        <v>8</v>
      </c>
      <c r="W35" s="200"/>
      <c r="X35" s="252">
        <f>IF(COUNTBLANK(T35:W35)=4,"",SUM(T35:V35)+IF(Setup!$I$15="No",0,W35))</f>
        <v>21</v>
      </c>
      <c r="Y35" s="183">
        <v>1</v>
      </c>
      <c r="Z35" s="184"/>
      <c r="AA35" s="185"/>
      <c r="AB35" s="186"/>
      <c r="AC35" s="248">
        <f>IF(COUNTBLANK(Y35:AB35)=4,"",SUM(Y35:AA35)+IF(Setup!$I$15="No",0,AB35))</f>
        <v>1</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 Demand!S35, Demand!X35, Demand!AC35))</f>
        <v>830</v>
      </c>
      <c r="BD35" s="256">
        <f ca="1">IF(AND(A35&lt;=MaxRows,BE35&lt;&gt;"Yes"),'Demand background (hide)'!X26+IF(Setup!$I$15="Yes",'Demand background (hide)'!AJ26,0),"")</f>
        <v>13456</v>
      </c>
      <c r="BE35" s="206"/>
    </row>
    <row r="36" spans="1:57" ht="15" x14ac:dyDescent="0.25">
      <c r="A36">
        <f t="shared" ca="1" si="0"/>
        <v>24</v>
      </c>
      <c r="B36" s="259" t="str">
        <f t="shared" ca="1" si="1"/>
        <v xml:space="preserve"> </v>
      </c>
      <c r="C36" s="261">
        <f t="shared" ca="1" si="2"/>
        <v>37</v>
      </c>
      <c r="D36" s="489">
        <f t="shared" ca="1" si="3"/>
        <v>43353</v>
      </c>
      <c r="E36" s="183">
        <v>5</v>
      </c>
      <c r="F36" s="184">
        <v>343</v>
      </c>
      <c r="G36" s="185">
        <v>82</v>
      </c>
      <c r="H36" s="186"/>
      <c r="I36" s="248">
        <f>IF(COUNTBLANK(E36:H36)=4,"",SUM(E36:G36)+IF(Setup!$I$15="No",0,H36))</f>
        <v>430</v>
      </c>
      <c r="J36" s="197">
        <v>55</v>
      </c>
      <c r="K36" s="198">
        <v>243</v>
      </c>
      <c r="L36" s="199">
        <v>58</v>
      </c>
      <c r="M36" s="200"/>
      <c r="N36" s="252">
        <f>IF(COUNTBLANK(J36:M36)=4,"",SUM(J36:L36)+IF(Setup!$I$15="No",0,M36))</f>
        <v>356</v>
      </c>
      <c r="O36" s="183">
        <v>55</v>
      </c>
      <c r="P36" s="184"/>
      <c r="Q36" s="185"/>
      <c r="R36" s="186"/>
      <c r="S36" s="248">
        <f>IF(COUNTBLANK(O36:R36)=4,"",SUM(O36:Q36)+IF(Setup!$I$15="No",0,R36))</f>
        <v>55</v>
      </c>
      <c r="T36" s="197">
        <v>6</v>
      </c>
      <c r="U36" s="198">
        <v>7</v>
      </c>
      <c r="V36" s="199">
        <v>6</v>
      </c>
      <c r="W36" s="200"/>
      <c r="X36" s="252">
        <f>IF(COUNTBLANK(T36:W36)=4,"",SUM(T36:V36)+IF(Setup!$I$15="No",0,W36))</f>
        <v>19</v>
      </c>
      <c r="Y36" s="183">
        <v>1</v>
      </c>
      <c r="Z36" s="184"/>
      <c r="AA36" s="185"/>
      <c r="AB36" s="186"/>
      <c r="AC36" s="248">
        <f>IF(COUNTBLANK(Y36:AB36)=4,"",SUM(Y36:AA36)+IF(Setup!$I$15="No",0,AB36))</f>
        <v>1</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 Demand!S36, Demand!X36, Demand!AC36))</f>
        <v>861</v>
      </c>
      <c r="BD36" s="256">
        <f ca="1">IF(AND(A36&lt;=MaxRows,BE36&lt;&gt;"Yes"),'Demand background (hide)'!X27+IF(Setup!$I$15="Yes",'Demand background (hide)'!AJ27,0),"")</f>
        <v>14011</v>
      </c>
      <c r="BE36" s="206"/>
    </row>
    <row r="37" spans="1:57" ht="15" x14ac:dyDescent="0.25">
      <c r="A37">
        <f t="shared" ca="1" si="0"/>
        <v>25</v>
      </c>
      <c r="B37" s="259" t="str">
        <f t="shared" ca="1" si="1"/>
        <v xml:space="preserve"> </v>
      </c>
      <c r="C37" s="261">
        <f t="shared" ca="1" si="2"/>
        <v>38</v>
      </c>
      <c r="D37" s="489">
        <f t="shared" ca="1" si="3"/>
        <v>43360</v>
      </c>
      <c r="E37" s="183">
        <v>3</v>
      </c>
      <c r="F37" s="184">
        <v>334</v>
      </c>
      <c r="G37" s="185">
        <v>68</v>
      </c>
      <c r="H37" s="186"/>
      <c r="I37" s="248">
        <f>IF(COUNTBLANK(E37:H37)=4,"",SUM(E37:G37)+IF(Setup!$I$15="No",0,H37))</f>
        <v>405</v>
      </c>
      <c r="J37" s="197">
        <v>45</v>
      </c>
      <c r="K37" s="198">
        <v>253</v>
      </c>
      <c r="L37" s="199">
        <v>52</v>
      </c>
      <c r="M37" s="200"/>
      <c r="N37" s="252">
        <f>IF(COUNTBLANK(J37:M37)=4,"",SUM(J37:L37)+IF(Setup!$I$15="No",0,M37))</f>
        <v>350</v>
      </c>
      <c r="O37" s="183">
        <v>45</v>
      </c>
      <c r="P37" s="184"/>
      <c r="Q37" s="185">
        <v>2</v>
      </c>
      <c r="R37" s="186"/>
      <c r="S37" s="248">
        <f>IF(COUNTBLANK(O37:R37)=4,"",SUM(O37:Q37)+IF(Setup!$I$15="No",0,R37))</f>
        <v>47</v>
      </c>
      <c r="T37" s="197">
        <v>12</v>
      </c>
      <c r="U37" s="198">
        <v>11</v>
      </c>
      <c r="V37" s="199">
        <v>4</v>
      </c>
      <c r="W37" s="200"/>
      <c r="X37" s="252">
        <f>IF(COUNTBLANK(T37:W37)=4,"",SUM(T37:V37)+IF(Setup!$I$15="No",0,W37))</f>
        <v>27</v>
      </c>
      <c r="Y37" s="183"/>
      <c r="Z37" s="184">
        <v>1</v>
      </c>
      <c r="AA37" s="185"/>
      <c r="AB37" s="186"/>
      <c r="AC37" s="248">
        <f>IF(COUNTBLANK(Y37:AB37)=4,"",SUM(Y37:AA37)+IF(Setup!$I$15="No",0,AB37))</f>
        <v>1</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 Demand!S37, Demand!X37, Demand!AC37))</f>
        <v>830</v>
      </c>
      <c r="BD37" s="256">
        <f ca="1">IF(AND(A37&lt;=MaxRows,BE37&lt;&gt;"Yes"),'Demand background (hide)'!X28+IF(Setup!$I$15="Yes",'Demand background (hide)'!AJ28,0),"")</f>
        <v>13546</v>
      </c>
      <c r="BE37" s="206"/>
    </row>
    <row r="38" spans="1:57" ht="15" x14ac:dyDescent="0.25">
      <c r="A38">
        <f t="shared" ca="1" si="0"/>
        <v>26</v>
      </c>
      <c r="B38" s="259" t="str">
        <f t="shared" ca="1" si="1"/>
        <v xml:space="preserve"> </v>
      </c>
      <c r="C38" s="261">
        <f t="shared" ca="1" si="2"/>
        <v>39</v>
      </c>
      <c r="D38" s="489">
        <f t="shared" ca="1" si="3"/>
        <v>43367</v>
      </c>
      <c r="E38" s="183">
        <v>10</v>
      </c>
      <c r="F38" s="184">
        <v>336</v>
      </c>
      <c r="G38" s="185">
        <v>88</v>
      </c>
      <c r="H38" s="186"/>
      <c r="I38" s="248">
        <f>IF(COUNTBLANK(E38:H38)=4,"",SUM(E38:G38)+IF(Setup!$I$15="No",0,H38))</f>
        <v>434</v>
      </c>
      <c r="J38" s="197">
        <v>47</v>
      </c>
      <c r="K38" s="198">
        <v>242</v>
      </c>
      <c r="L38" s="199">
        <v>58</v>
      </c>
      <c r="M38" s="200"/>
      <c r="N38" s="252">
        <f>IF(COUNTBLANK(J38:M38)=4,"",SUM(J38:L38)+IF(Setup!$I$15="No",0,M38))</f>
        <v>347</v>
      </c>
      <c r="O38" s="183">
        <v>47</v>
      </c>
      <c r="P38" s="184">
        <v>1</v>
      </c>
      <c r="Q38" s="185">
        <v>7</v>
      </c>
      <c r="R38" s="186"/>
      <c r="S38" s="248">
        <f>IF(COUNTBLANK(O38:R38)=4,"",SUM(O38:Q38)+IF(Setup!$I$15="No",0,R38))</f>
        <v>55</v>
      </c>
      <c r="T38" s="197">
        <v>8</v>
      </c>
      <c r="U38" s="198">
        <v>4</v>
      </c>
      <c r="V38" s="199">
        <v>4</v>
      </c>
      <c r="W38" s="200"/>
      <c r="X38" s="252">
        <f>IF(COUNTBLANK(T38:W38)=4,"",SUM(T38:V38)+IF(Setup!$I$15="No",0,W38))</f>
        <v>16</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 Demand!S38, Demand!X38, Demand!AC38))</f>
        <v>852</v>
      </c>
      <c r="BD38" s="256">
        <f ca="1">IF(AND(A38&lt;=MaxRows,BE38&lt;&gt;"Yes"),'Demand background (hide)'!X29+IF(Setup!$I$15="Yes",'Demand background (hide)'!AJ29,0),"")</f>
        <v>13845</v>
      </c>
      <c r="BE38" s="206"/>
    </row>
    <row r="39" spans="1:57" ht="15" x14ac:dyDescent="0.25">
      <c r="A39">
        <f t="shared" ca="1" si="0"/>
        <v>27</v>
      </c>
      <c r="B39" s="259" t="str">
        <f t="shared" ca="1" si="1"/>
        <v xml:space="preserve"> </v>
      </c>
      <c r="C39" s="261">
        <f t="shared" ca="1" si="2"/>
        <v>40</v>
      </c>
      <c r="D39" s="489">
        <f t="shared" ca="1" si="3"/>
        <v>43374</v>
      </c>
      <c r="E39" s="183">
        <v>7</v>
      </c>
      <c r="F39" s="184">
        <v>347</v>
      </c>
      <c r="G39" s="185">
        <v>77</v>
      </c>
      <c r="H39" s="186"/>
      <c r="I39" s="248">
        <f>IF(COUNTBLANK(E39:H39)=4,"",SUM(E39:G39)+IF(Setup!$I$15="No",0,H39))</f>
        <v>431</v>
      </c>
      <c r="J39" s="197">
        <v>65</v>
      </c>
      <c r="K39" s="198">
        <v>245</v>
      </c>
      <c r="L39" s="199">
        <v>55</v>
      </c>
      <c r="M39" s="200"/>
      <c r="N39" s="252">
        <f>IF(COUNTBLANK(J39:M39)=4,"",SUM(J39:L39)+IF(Setup!$I$15="No",0,M39))</f>
        <v>365</v>
      </c>
      <c r="O39" s="183">
        <v>65</v>
      </c>
      <c r="P39" s="184"/>
      <c r="Q39" s="185">
        <v>3</v>
      </c>
      <c r="R39" s="186"/>
      <c r="S39" s="248">
        <f>IF(COUNTBLANK(O39:R39)=4,"",SUM(O39:Q39)+IF(Setup!$I$15="No",0,R39))</f>
        <v>68</v>
      </c>
      <c r="T39" s="197">
        <v>11</v>
      </c>
      <c r="U39" s="198">
        <v>6</v>
      </c>
      <c r="V39" s="199">
        <v>6</v>
      </c>
      <c r="W39" s="200"/>
      <c r="X39" s="252">
        <f>IF(COUNTBLANK(T39:W39)=4,"",SUM(T39:V39)+IF(Setup!$I$15="No",0,W39))</f>
        <v>23</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 Demand!S39, Demand!X39, Demand!AC39))</f>
        <v>887</v>
      </c>
      <c r="BD39" s="256">
        <f ca="1">IF(AND(A39&lt;=MaxRows,BE39&lt;&gt;"Yes"),'Demand background (hide)'!X30+IF(Setup!$I$15="Yes",'Demand background (hide)'!AJ30,0),"")</f>
        <v>14670</v>
      </c>
      <c r="BE39" s="206"/>
    </row>
    <row r="40" spans="1:57" ht="15" x14ac:dyDescent="0.25">
      <c r="A40">
        <f t="shared" ca="1" si="0"/>
        <v>28</v>
      </c>
      <c r="B40" s="259" t="str">
        <f t="shared" ca="1" si="1"/>
        <v xml:space="preserve"> </v>
      </c>
      <c r="C40" s="261">
        <f t="shared" ca="1" si="2"/>
        <v>41</v>
      </c>
      <c r="D40" s="489">
        <f t="shared" ca="1" si="3"/>
        <v>43381</v>
      </c>
      <c r="E40" s="183">
        <v>7</v>
      </c>
      <c r="F40" s="184">
        <v>357</v>
      </c>
      <c r="G40" s="185">
        <v>72</v>
      </c>
      <c r="H40" s="186"/>
      <c r="I40" s="248">
        <f>IF(COUNTBLANK(E40:H40)=4,"",SUM(E40:G40)+IF(Setup!$I$15="No",0,H40))</f>
        <v>436</v>
      </c>
      <c r="J40" s="197">
        <v>55</v>
      </c>
      <c r="K40" s="198">
        <v>253</v>
      </c>
      <c r="L40" s="199">
        <v>51</v>
      </c>
      <c r="M40" s="200"/>
      <c r="N40" s="252">
        <f>IF(COUNTBLANK(J40:M40)=4,"",SUM(J40:L40)+IF(Setup!$I$15="No",0,M40))</f>
        <v>359</v>
      </c>
      <c r="O40" s="183">
        <v>55</v>
      </c>
      <c r="P40" s="184">
        <v>1</v>
      </c>
      <c r="Q40" s="185">
        <v>3</v>
      </c>
      <c r="R40" s="186"/>
      <c r="S40" s="248">
        <f>IF(COUNTBLANK(O40:R40)=4,"",SUM(O40:Q40)+IF(Setup!$I$15="No",0,R40))</f>
        <v>59</v>
      </c>
      <c r="T40" s="197">
        <v>14</v>
      </c>
      <c r="U40" s="198">
        <v>7</v>
      </c>
      <c r="V40" s="199">
        <v>10</v>
      </c>
      <c r="W40" s="200"/>
      <c r="X40" s="252">
        <f>IF(COUNTBLANK(T40:W40)=4,"",SUM(T40:V40)+IF(Setup!$I$15="No",0,W40))</f>
        <v>31</v>
      </c>
      <c r="Y40" s="183">
        <v>2</v>
      </c>
      <c r="Z40" s="184">
        <v>1</v>
      </c>
      <c r="AA40" s="185"/>
      <c r="AB40" s="186"/>
      <c r="AC40" s="248">
        <f>IF(COUNTBLANK(Y40:AB40)=4,"",SUM(Y40:AA40)+IF(Setup!$I$15="No",0,AB40))</f>
        <v>3</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 Demand!S40, Demand!X40, Demand!AC40))</f>
        <v>888</v>
      </c>
      <c r="BD40" s="256">
        <f ca="1">IF(AND(A40&lt;=MaxRows,BE40&lt;&gt;"Yes"),'Demand background (hide)'!X31+IF(Setup!$I$15="Yes",'Demand background (hide)'!AJ31,0),"")</f>
        <v>14628</v>
      </c>
      <c r="BE40" s="206"/>
    </row>
    <row r="41" spans="1:57" ht="15" x14ac:dyDescent="0.25">
      <c r="A41">
        <f t="shared" ca="1" si="0"/>
        <v>29</v>
      </c>
      <c r="B41" s="259" t="str">
        <f t="shared" ca="1" si="1"/>
        <v xml:space="preserve"> </v>
      </c>
      <c r="C41" s="261">
        <f t="shared" ca="1" si="2"/>
        <v>42</v>
      </c>
      <c r="D41" s="489">
        <f t="shared" ca="1" si="3"/>
        <v>43388</v>
      </c>
      <c r="E41" s="183">
        <v>5</v>
      </c>
      <c r="F41" s="184">
        <v>374</v>
      </c>
      <c r="G41" s="185">
        <v>86</v>
      </c>
      <c r="H41" s="186"/>
      <c r="I41" s="248">
        <f>IF(COUNTBLANK(E41:H41)=4,"",SUM(E41:G41)+IF(Setup!$I$15="No",0,H41))</f>
        <v>465</v>
      </c>
      <c r="J41" s="197">
        <v>68</v>
      </c>
      <c r="K41" s="198">
        <v>264</v>
      </c>
      <c r="L41" s="199">
        <v>52</v>
      </c>
      <c r="M41" s="200"/>
      <c r="N41" s="252">
        <f>IF(COUNTBLANK(J41:M41)=4,"",SUM(J41:L41)+IF(Setup!$I$15="No",0,M41))</f>
        <v>384</v>
      </c>
      <c r="O41" s="183">
        <v>68</v>
      </c>
      <c r="P41" s="184"/>
      <c r="Q41" s="185">
        <v>1</v>
      </c>
      <c r="R41" s="186"/>
      <c r="S41" s="248">
        <f>IF(COUNTBLANK(O41:R41)=4,"",SUM(O41:Q41)+IF(Setup!$I$15="No",0,R41))</f>
        <v>69</v>
      </c>
      <c r="T41" s="197">
        <v>14</v>
      </c>
      <c r="U41" s="198">
        <v>7</v>
      </c>
      <c r="V41" s="199">
        <v>5</v>
      </c>
      <c r="W41" s="200"/>
      <c r="X41" s="252">
        <f>IF(COUNTBLANK(T41:W41)=4,"",SUM(T41:V41)+IF(Setup!$I$15="No",0,W41))</f>
        <v>26</v>
      </c>
      <c r="Y41" s="183">
        <v>1</v>
      </c>
      <c r="Z41" s="184"/>
      <c r="AA41" s="185"/>
      <c r="AB41" s="186"/>
      <c r="AC41" s="248">
        <f>IF(COUNTBLANK(Y41:AB41)=4,"",SUM(Y41:AA41)+IF(Setup!$I$15="No",0,AB41))</f>
        <v>1</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 Demand!S41, Demand!X41, Demand!AC41))</f>
        <v>945</v>
      </c>
      <c r="BD41" s="256">
        <f ca="1">IF(AND(A41&lt;=MaxRows,BE41&lt;&gt;"Yes"),'Demand background (hide)'!X32+IF(Setup!$I$15="Yes",'Demand background (hide)'!AJ32,0),"")</f>
        <v>15586</v>
      </c>
      <c r="BE41" s="206"/>
    </row>
    <row r="42" spans="1:57" ht="15" x14ac:dyDescent="0.25">
      <c r="A42">
        <f t="shared" ca="1" si="0"/>
        <v>30</v>
      </c>
      <c r="B42" s="259" t="str">
        <f t="shared" ca="1" si="1"/>
        <v xml:space="preserve"> </v>
      </c>
      <c r="C42" s="261">
        <f t="shared" ca="1" si="2"/>
        <v>43</v>
      </c>
      <c r="D42" s="489">
        <f t="shared" ca="1" si="3"/>
        <v>43395</v>
      </c>
      <c r="E42" s="183">
        <v>4</v>
      </c>
      <c r="F42" s="184">
        <v>355</v>
      </c>
      <c r="G42" s="185">
        <v>101</v>
      </c>
      <c r="H42" s="186"/>
      <c r="I42" s="248">
        <f>IF(COUNTBLANK(E42:H42)=4,"",SUM(E42:G42)+IF(Setup!$I$15="No",0,H42))</f>
        <v>460</v>
      </c>
      <c r="J42" s="197">
        <v>52</v>
      </c>
      <c r="K42" s="198">
        <v>246</v>
      </c>
      <c r="L42" s="199">
        <v>55</v>
      </c>
      <c r="M42" s="200"/>
      <c r="N42" s="252">
        <f>IF(COUNTBLANK(J42:M42)=4,"",SUM(J42:L42)+IF(Setup!$I$15="No",0,M42))</f>
        <v>353</v>
      </c>
      <c r="O42" s="183">
        <v>52</v>
      </c>
      <c r="P42" s="184"/>
      <c r="Q42" s="185">
        <v>2</v>
      </c>
      <c r="R42" s="186"/>
      <c r="S42" s="248">
        <f>IF(COUNTBLANK(O42:R42)=4,"",SUM(O42:Q42)+IF(Setup!$I$15="No",0,R42))</f>
        <v>54</v>
      </c>
      <c r="T42" s="197">
        <v>6</v>
      </c>
      <c r="U42" s="198">
        <v>7</v>
      </c>
      <c r="V42" s="199">
        <v>8</v>
      </c>
      <c r="W42" s="200"/>
      <c r="X42" s="252">
        <f>IF(COUNTBLANK(T42:W42)=4,"",SUM(T42:V42)+IF(Setup!$I$15="No",0,W42))</f>
        <v>21</v>
      </c>
      <c r="Y42" s="183">
        <v>1</v>
      </c>
      <c r="Z42" s="184"/>
      <c r="AA42" s="185"/>
      <c r="AB42" s="186"/>
      <c r="AC42" s="248">
        <f>IF(COUNTBLANK(Y42:AB42)=4,"",SUM(Y42:AA42)+IF(Setup!$I$15="No",0,AB42))</f>
        <v>1</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 Demand!S42, Demand!X42, Demand!AC42))</f>
        <v>889</v>
      </c>
      <c r="BD42" s="256">
        <f ca="1">IF(AND(A42&lt;=MaxRows,BE42&lt;&gt;"Yes"),'Demand background (hide)'!X33+IF(Setup!$I$15="Yes",'Demand background (hide)'!AJ33,0),"")</f>
        <v>14446</v>
      </c>
      <c r="BE42" s="206"/>
    </row>
    <row r="43" spans="1:57" ht="15" x14ac:dyDescent="0.25">
      <c r="A43">
        <f t="shared" ca="1" si="0"/>
        <v>31</v>
      </c>
      <c r="B43" s="259" t="str">
        <f t="shared" ca="1" si="1"/>
        <v xml:space="preserve"> </v>
      </c>
      <c r="C43" s="261">
        <f t="shared" ca="1" si="2"/>
        <v>44</v>
      </c>
      <c r="D43" s="489">
        <f t="shared" ca="1" si="3"/>
        <v>43402</v>
      </c>
      <c r="E43" s="183">
        <v>4</v>
      </c>
      <c r="F43" s="184">
        <v>353</v>
      </c>
      <c r="G43" s="185">
        <v>66</v>
      </c>
      <c r="H43" s="186"/>
      <c r="I43" s="248">
        <f>IF(COUNTBLANK(E43:H43)=4,"",SUM(E43:G43)+IF(Setup!$I$15="No",0,H43))</f>
        <v>423</v>
      </c>
      <c r="J43" s="197">
        <v>57</v>
      </c>
      <c r="K43" s="198">
        <v>223</v>
      </c>
      <c r="L43" s="199">
        <v>57</v>
      </c>
      <c r="M43" s="200"/>
      <c r="N43" s="252">
        <f>IF(COUNTBLANK(J43:M43)=4,"",SUM(J43:L43)+IF(Setup!$I$15="No",0,M43))</f>
        <v>337</v>
      </c>
      <c r="O43" s="183">
        <v>57</v>
      </c>
      <c r="P43" s="184"/>
      <c r="Q43" s="185">
        <v>3</v>
      </c>
      <c r="R43" s="186"/>
      <c r="S43" s="248">
        <f>IF(COUNTBLANK(O43:R43)=4,"",SUM(O43:Q43)+IF(Setup!$I$15="No",0,R43))</f>
        <v>60</v>
      </c>
      <c r="T43" s="197">
        <v>7</v>
      </c>
      <c r="U43" s="198">
        <v>8</v>
      </c>
      <c r="V43" s="199">
        <v>12</v>
      </c>
      <c r="W43" s="200"/>
      <c r="X43" s="252">
        <f>IF(COUNTBLANK(T43:W43)=4,"",SUM(T43:V43)+IF(Setup!$I$15="No",0,W43))</f>
        <v>27</v>
      </c>
      <c r="Y43" s="183">
        <v>1</v>
      </c>
      <c r="Z43" s="184">
        <v>2</v>
      </c>
      <c r="AA43" s="185"/>
      <c r="AB43" s="186"/>
      <c r="AC43" s="248">
        <f>IF(COUNTBLANK(Y43:AB43)=4,"",SUM(Y43:AA43)+IF(Setup!$I$15="No",0,AB43))</f>
        <v>3</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 Demand!S43, Demand!X43, Demand!AC43))</f>
        <v>850</v>
      </c>
      <c r="BD43" s="256">
        <f ca="1">IF(AND(A43&lt;=MaxRows,BE43&lt;&gt;"Yes"),'Demand background (hide)'!X34+IF(Setup!$I$15="Yes",'Demand background (hide)'!AJ34,0),"")</f>
        <v>14013</v>
      </c>
      <c r="BE43" s="206"/>
    </row>
    <row r="44" spans="1:57" ht="15" x14ac:dyDescent="0.25">
      <c r="A44">
        <f t="shared" ca="1" si="0"/>
        <v>32</v>
      </c>
      <c r="B44" s="259" t="str">
        <f t="shared" ca="1" si="1"/>
        <v xml:space="preserve"> </v>
      </c>
      <c r="C44" s="261">
        <f t="shared" ca="1" si="2"/>
        <v>45</v>
      </c>
      <c r="D44" s="489">
        <f t="shared" ca="1" si="3"/>
        <v>43409</v>
      </c>
      <c r="E44" s="183">
        <v>4</v>
      </c>
      <c r="F44" s="184">
        <v>324</v>
      </c>
      <c r="G44" s="185">
        <v>83</v>
      </c>
      <c r="H44" s="186"/>
      <c r="I44" s="248">
        <f>IF(COUNTBLANK(E44:H44)=4,"",SUM(E44:G44)+IF(Setup!$I$15="No",0,H44))</f>
        <v>411</v>
      </c>
      <c r="J44" s="197">
        <v>53</v>
      </c>
      <c r="K44" s="198">
        <v>232</v>
      </c>
      <c r="L44" s="199">
        <v>38</v>
      </c>
      <c r="M44" s="200"/>
      <c r="N44" s="252">
        <f>IF(COUNTBLANK(J44:M44)=4,"",SUM(J44:L44)+IF(Setup!$I$15="No",0,M44))</f>
        <v>323</v>
      </c>
      <c r="O44" s="183">
        <v>53</v>
      </c>
      <c r="P44" s="184"/>
      <c r="Q44" s="185">
        <v>4</v>
      </c>
      <c r="R44" s="186"/>
      <c r="S44" s="248">
        <f>IF(COUNTBLANK(O44:R44)=4,"",SUM(O44:Q44)+IF(Setup!$I$15="No",0,R44))</f>
        <v>57</v>
      </c>
      <c r="T44" s="197">
        <v>1</v>
      </c>
      <c r="U44" s="198">
        <v>7</v>
      </c>
      <c r="V44" s="199">
        <v>5</v>
      </c>
      <c r="W44" s="200"/>
      <c r="X44" s="252">
        <f>IF(COUNTBLANK(T44:W44)=4,"",SUM(T44:V44)+IF(Setup!$I$15="No",0,W44))</f>
        <v>13</v>
      </c>
      <c r="Y44" s="183"/>
      <c r="Z44" s="184">
        <v>1</v>
      </c>
      <c r="AA44" s="185"/>
      <c r="AB44" s="186"/>
      <c r="AC44" s="248">
        <f>IF(COUNTBLANK(Y44:AB44)=4,"",SUM(Y44:AA44)+IF(Setup!$I$15="No",0,AB44))</f>
        <v>1</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 Demand!S44, Demand!X44, Demand!AC44))</f>
        <v>805</v>
      </c>
      <c r="BD44" s="256">
        <f ca="1">IF(AND(A44&lt;=MaxRows,BE44&lt;&gt;"Yes"),'Demand background (hide)'!X35+IF(Setup!$I$15="Yes",'Demand background (hide)'!AJ35,0),"")</f>
        <v>13111</v>
      </c>
      <c r="BE44" s="206"/>
    </row>
    <row r="45" spans="1:57" ht="15" x14ac:dyDescent="0.25">
      <c r="A45">
        <f t="shared" ca="1" si="0"/>
        <v>33</v>
      </c>
      <c r="B45" s="259" t="str">
        <f t="shared" ca="1" si="1"/>
        <v xml:space="preserve"> </v>
      </c>
      <c r="C45" s="261">
        <f t="shared" ca="1" si="2"/>
        <v>46</v>
      </c>
      <c r="D45" s="489">
        <f t="shared" ca="1" si="3"/>
        <v>43416</v>
      </c>
      <c r="E45" s="183">
        <v>6</v>
      </c>
      <c r="F45" s="184">
        <v>358</v>
      </c>
      <c r="G45" s="185">
        <v>98</v>
      </c>
      <c r="H45" s="186"/>
      <c r="I45" s="248">
        <f>IF(COUNTBLANK(E45:H45)=4,"",SUM(E45:G45)+IF(Setup!$I$15="No",0,H45))</f>
        <v>462</v>
      </c>
      <c r="J45" s="197">
        <v>49</v>
      </c>
      <c r="K45" s="198">
        <v>253</v>
      </c>
      <c r="L45" s="199">
        <v>52</v>
      </c>
      <c r="M45" s="200"/>
      <c r="N45" s="252">
        <f>IF(COUNTBLANK(J45:M45)=4,"",SUM(J45:L45)+IF(Setup!$I$15="No",0,M45))</f>
        <v>354</v>
      </c>
      <c r="O45" s="183">
        <v>49</v>
      </c>
      <c r="P45" s="184"/>
      <c r="Q45" s="185">
        <v>2</v>
      </c>
      <c r="R45" s="186"/>
      <c r="S45" s="248">
        <f>IF(COUNTBLANK(O45:R45)=4,"",SUM(O45:Q45)+IF(Setup!$I$15="No",0,R45))</f>
        <v>51</v>
      </c>
      <c r="T45" s="197">
        <v>10</v>
      </c>
      <c r="U45" s="198">
        <v>5</v>
      </c>
      <c r="V45" s="199">
        <v>5</v>
      </c>
      <c r="W45" s="200"/>
      <c r="X45" s="252">
        <f>IF(COUNTBLANK(T45:W45)=4,"",SUM(T45:V45)+IF(Setup!$I$15="No",0,W45))</f>
        <v>20</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 Demand!S45, Demand!X45, Demand!AC45))</f>
        <v>887</v>
      </c>
      <c r="BD45" s="256">
        <f ca="1">IF(AND(A45&lt;=MaxRows,BE45&lt;&gt;"Yes"),'Demand background (hide)'!X36+IF(Setup!$I$15="Yes",'Demand background (hide)'!AJ36,0),"")</f>
        <v>14370</v>
      </c>
      <c r="BE45" s="206"/>
    </row>
    <row r="46" spans="1:57" ht="15" x14ac:dyDescent="0.25">
      <c r="A46">
        <f t="shared" ca="1" si="0"/>
        <v>34</v>
      </c>
      <c r="B46" s="259" t="str">
        <f t="shared" ca="1" si="1"/>
        <v xml:space="preserve"> </v>
      </c>
      <c r="C46" s="261">
        <f t="shared" ca="1" si="2"/>
        <v>47</v>
      </c>
      <c r="D46" s="489">
        <f t="shared" ca="1" si="3"/>
        <v>43423</v>
      </c>
      <c r="E46" s="183">
        <v>11</v>
      </c>
      <c r="F46" s="184">
        <v>369</v>
      </c>
      <c r="G46" s="185">
        <v>91</v>
      </c>
      <c r="H46" s="186"/>
      <c r="I46" s="248">
        <f>IF(COUNTBLANK(E46:H46)=4,"",SUM(E46:G46)+IF(Setup!$I$15="No",0,H46))</f>
        <v>471</v>
      </c>
      <c r="J46" s="197">
        <v>49</v>
      </c>
      <c r="K46" s="198">
        <v>256</v>
      </c>
      <c r="L46" s="199">
        <v>64</v>
      </c>
      <c r="M46" s="200"/>
      <c r="N46" s="252">
        <f>IF(COUNTBLANK(J46:M46)=4,"",SUM(J46:L46)+IF(Setup!$I$15="No",0,M46))</f>
        <v>369</v>
      </c>
      <c r="O46" s="183">
        <v>49</v>
      </c>
      <c r="P46" s="184">
        <v>1</v>
      </c>
      <c r="Q46" s="185">
        <v>4</v>
      </c>
      <c r="R46" s="186"/>
      <c r="S46" s="248">
        <f>IF(COUNTBLANK(O46:R46)=4,"",SUM(O46:Q46)+IF(Setup!$I$15="No",0,R46))</f>
        <v>54</v>
      </c>
      <c r="T46" s="197">
        <v>7</v>
      </c>
      <c r="U46" s="198"/>
      <c r="V46" s="199">
        <v>13</v>
      </c>
      <c r="W46" s="200"/>
      <c r="X46" s="252">
        <f>IF(COUNTBLANK(T46:W46)=4,"",SUM(T46:V46)+IF(Setup!$I$15="No",0,W46))</f>
        <v>20</v>
      </c>
      <c r="Y46" s="183">
        <v>2</v>
      </c>
      <c r="Z46" s="184"/>
      <c r="AA46" s="185"/>
      <c r="AB46" s="186"/>
      <c r="AC46" s="248">
        <f>IF(COUNTBLANK(Y46:AB46)=4,"",SUM(Y46:AA46)+IF(Setup!$I$15="No",0,AB46))</f>
        <v>2</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 Demand!S46, Demand!X46, Demand!AC46))</f>
        <v>916</v>
      </c>
      <c r="BD46" s="256">
        <f ca="1">IF(AND(A46&lt;=MaxRows,BE46&lt;&gt;"Yes"),'Demand background (hide)'!X37+IF(Setup!$I$15="Yes",'Demand background (hide)'!AJ37,0),"")</f>
        <v>14822</v>
      </c>
      <c r="BE46" s="206"/>
    </row>
    <row r="47" spans="1:57" ht="15" x14ac:dyDescent="0.25">
      <c r="A47">
        <f t="shared" ca="1" si="0"/>
        <v>35</v>
      </c>
      <c r="B47" s="259" t="str">
        <f t="shared" ca="1" si="1"/>
        <v xml:space="preserve"> </v>
      </c>
      <c r="C47" s="261">
        <f t="shared" ca="1" si="2"/>
        <v>48</v>
      </c>
      <c r="D47" s="489">
        <f t="shared" ca="1" si="3"/>
        <v>43430</v>
      </c>
      <c r="E47" s="183">
        <v>5</v>
      </c>
      <c r="F47" s="184">
        <v>314</v>
      </c>
      <c r="G47" s="185">
        <v>88</v>
      </c>
      <c r="H47" s="186"/>
      <c r="I47" s="248">
        <f>IF(COUNTBLANK(E47:H47)=4,"",SUM(E47:G47)+IF(Setup!$I$15="No",0,H47))</f>
        <v>407</v>
      </c>
      <c r="J47" s="197">
        <v>71</v>
      </c>
      <c r="K47" s="198">
        <v>234</v>
      </c>
      <c r="L47" s="199">
        <v>51</v>
      </c>
      <c r="M47" s="200"/>
      <c r="N47" s="252">
        <f>IF(COUNTBLANK(J47:M47)=4,"",SUM(J47:L47)+IF(Setup!$I$15="No",0,M47))</f>
        <v>356</v>
      </c>
      <c r="O47" s="183">
        <v>71</v>
      </c>
      <c r="P47" s="184"/>
      <c r="Q47" s="185">
        <v>5</v>
      </c>
      <c r="R47" s="186"/>
      <c r="S47" s="248">
        <f>IF(COUNTBLANK(O47:R47)=4,"",SUM(O47:Q47)+IF(Setup!$I$15="No",0,R47))</f>
        <v>76</v>
      </c>
      <c r="T47" s="197">
        <v>10</v>
      </c>
      <c r="U47" s="198">
        <v>3</v>
      </c>
      <c r="V47" s="199">
        <v>8</v>
      </c>
      <c r="W47" s="200"/>
      <c r="X47" s="252">
        <f>IF(COUNTBLANK(T47:W47)=4,"",SUM(T47:V47)+IF(Setup!$I$15="No",0,W47))</f>
        <v>21</v>
      </c>
      <c r="Y47" s="183">
        <v>1</v>
      </c>
      <c r="Z47" s="184">
        <v>1</v>
      </c>
      <c r="AA47" s="185"/>
      <c r="AB47" s="186"/>
      <c r="AC47" s="248">
        <f>IF(COUNTBLANK(Y47:AB47)=4,"",SUM(Y47:AA47)+IF(Setup!$I$15="No",0,AB47))</f>
        <v>2</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 Demand!S47, Demand!X47, Demand!AC47))</f>
        <v>862</v>
      </c>
      <c r="BD47" s="256">
        <f ca="1">IF(AND(A47&lt;=MaxRows,BE47&lt;&gt;"Yes"),'Demand background (hide)'!X38+IF(Setup!$I$15="Yes",'Demand background (hide)'!AJ38,0),"")</f>
        <v>14357</v>
      </c>
      <c r="BE47" s="206"/>
    </row>
    <row r="48" spans="1:57" ht="15" x14ac:dyDescent="0.25">
      <c r="A48">
        <f t="shared" ca="1" si="0"/>
        <v>36</v>
      </c>
      <c r="B48" s="259" t="str">
        <f t="shared" ca="1" si="1"/>
        <v xml:space="preserve"> </v>
      </c>
      <c r="C48" s="261">
        <f t="shared" ca="1" si="2"/>
        <v>49</v>
      </c>
      <c r="D48" s="489">
        <f t="shared" ca="1" si="3"/>
        <v>43437</v>
      </c>
      <c r="E48" s="183">
        <v>6</v>
      </c>
      <c r="F48" s="184">
        <v>353</v>
      </c>
      <c r="G48" s="185">
        <v>101</v>
      </c>
      <c r="H48" s="186"/>
      <c r="I48" s="248">
        <f>IF(COUNTBLANK(E48:H48)=4,"",SUM(E48:G48)+IF(Setup!$I$15="No",0,H48))</f>
        <v>460</v>
      </c>
      <c r="J48" s="197">
        <v>50</v>
      </c>
      <c r="K48" s="198">
        <v>239</v>
      </c>
      <c r="L48" s="199">
        <v>63</v>
      </c>
      <c r="M48" s="200"/>
      <c r="N48" s="252">
        <f>IF(COUNTBLANK(J48:M48)=4,"",SUM(J48:L48)+IF(Setup!$I$15="No",0,M48))</f>
        <v>352</v>
      </c>
      <c r="O48" s="183">
        <v>50</v>
      </c>
      <c r="P48" s="184"/>
      <c r="Q48" s="185">
        <v>7</v>
      </c>
      <c r="R48" s="186"/>
      <c r="S48" s="248">
        <f>IF(COUNTBLANK(O48:R48)=4,"",SUM(O48:Q48)+IF(Setup!$I$15="No",0,R48))</f>
        <v>57</v>
      </c>
      <c r="T48" s="197">
        <v>11</v>
      </c>
      <c r="U48" s="198">
        <v>7</v>
      </c>
      <c r="V48" s="199">
        <v>8</v>
      </c>
      <c r="W48" s="200"/>
      <c r="X48" s="252">
        <f>IF(COUNTBLANK(T48:W48)=4,"",SUM(T48:V48)+IF(Setup!$I$15="No",0,W48))</f>
        <v>26</v>
      </c>
      <c r="Y48" s="183"/>
      <c r="Z48" s="184">
        <v>1</v>
      </c>
      <c r="AA48" s="185"/>
      <c r="AB48" s="186"/>
      <c r="AC48" s="248">
        <f>IF(COUNTBLANK(Y48:AB48)=4,"",SUM(Y48:AA48)+IF(Setup!$I$15="No",0,AB48))</f>
        <v>1</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 Demand!S48, Demand!X48, Demand!AC48))</f>
        <v>896</v>
      </c>
      <c r="BD48" s="256">
        <f ca="1">IF(AND(A48&lt;=MaxRows,BE48&lt;&gt;"Yes"),'Demand background (hide)'!X39+IF(Setup!$I$15="Yes",'Demand background (hide)'!AJ39,0),"")</f>
        <v>14671</v>
      </c>
      <c r="BE48" s="206"/>
    </row>
    <row r="49" spans="1:57" ht="15" x14ac:dyDescent="0.25">
      <c r="A49">
        <f t="shared" ca="1" si="0"/>
        <v>37</v>
      </c>
      <c r="B49" s="259" t="str">
        <f t="shared" ca="1" si="1"/>
        <v xml:space="preserve"> </v>
      </c>
      <c r="C49" s="261">
        <f t="shared" ca="1" si="2"/>
        <v>50</v>
      </c>
      <c r="D49" s="489">
        <f t="shared" ca="1" si="3"/>
        <v>43444</v>
      </c>
      <c r="E49" s="183">
        <v>7</v>
      </c>
      <c r="F49" s="184">
        <v>312</v>
      </c>
      <c r="G49" s="185">
        <v>87</v>
      </c>
      <c r="H49" s="186"/>
      <c r="I49" s="248">
        <f>IF(COUNTBLANK(E49:H49)=4,"",SUM(E49:G49)+IF(Setup!$I$15="No",0,H49))</f>
        <v>406</v>
      </c>
      <c r="J49" s="197">
        <v>61</v>
      </c>
      <c r="K49" s="198">
        <v>224</v>
      </c>
      <c r="L49" s="199">
        <v>58</v>
      </c>
      <c r="M49" s="200"/>
      <c r="N49" s="252">
        <f>IF(COUNTBLANK(J49:M49)=4,"",SUM(J49:L49)+IF(Setup!$I$15="No",0,M49))</f>
        <v>343</v>
      </c>
      <c r="O49" s="183">
        <v>61</v>
      </c>
      <c r="P49" s="184"/>
      <c r="Q49" s="185">
        <v>1</v>
      </c>
      <c r="R49" s="186"/>
      <c r="S49" s="248">
        <f>IF(COUNTBLANK(O49:R49)=4,"",SUM(O49:Q49)+IF(Setup!$I$15="No",0,R49))</f>
        <v>62</v>
      </c>
      <c r="T49" s="197">
        <v>12</v>
      </c>
      <c r="U49" s="198">
        <v>7</v>
      </c>
      <c r="V49" s="199">
        <v>8</v>
      </c>
      <c r="W49" s="200"/>
      <c r="X49" s="252">
        <f>IF(COUNTBLANK(T49:W49)=4,"",SUM(T49:V49)+IF(Setup!$I$15="No",0,W49))</f>
        <v>27</v>
      </c>
      <c r="Y49" s="183"/>
      <c r="Z49" s="184">
        <v>2</v>
      </c>
      <c r="AA49" s="185"/>
      <c r="AB49" s="186"/>
      <c r="AC49" s="248">
        <f>IF(COUNTBLANK(Y49:AB49)=4,"",SUM(Y49:AA49)+IF(Setup!$I$15="No",0,AB49))</f>
        <v>2</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 Demand!S49, Demand!X49, Demand!AC49))</f>
        <v>840</v>
      </c>
      <c r="BD49" s="256">
        <f ca="1">IF(AND(A49&lt;=MaxRows,BE49&lt;&gt;"Yes"),'Demand background (hide)'!X40+IF(Setup!$I$15="Yes",'Demand background (hide)'!AJ40,0),"")</f>
        <v>13907</v>
      </c>
      <c r="BE49" s="206"/>
    </row>
    <row r="50" spans="1:57" ht="15" x14ac:dyDescent="0.25">
      <c r="A50">
        <f t="shared" ca="1" si="0"/>
        <v>38</v>
      </c>
      <c r="B50" s="259" t="str">
        <f t="shared" ca="1" si="1"/>
        <v xml:space="preserve"> </v>
      </c>
      <c r="C50" s="261">
        <f t="shared" ca="1" si="2"/>
        <v>51</v>
      </c>
      <c r="D50" s="489">
        <f t="shared" ca="1" si="3"/>
        <v>43451</v>
      </c>
      <c r="E50" s="183">
        <v>16</v>
      </c>
      <c r="F50" s="184">
        <v>366</v>
      </c>
      <c r="G50" s="185">
        <v>89</v>
      </c>
      <c r="H50" s="186"/>
      <c r="I50" s="248">
        <f>IF(COUNTBLANK(E50:H50)=4,"",SUM(E50:G50)+IF(Setup!$I$15="No",0,H50))</f>
        <v>471</v>
      </c>
      <c r="J50" s="197">
        <v>59</v>
      </c>
      <c r="K50" s="198">
        <v>243</v>
      </c>
      <c r="L50" s="199">
        <v>52</v>
      </c>
      <c r="M50" s="200"/>
      <c r="N50" s="252">
        <f>IF(COUNTBLANK(J50:M50)=4,"",SUM(J50:L50)+IF(Setup!$I$15="No",0,M50))</f>
        <v>354</v>
      </c>
      <c r="O50" s="183">
        <v>59</v>
      </c>
      <c r="P50" s="184"/>
      <c r="Q50" s="185">
        <v>10</v>
      </c>
      <c r="R50" s="186"/>
      <c r="S50" s="248">
        <f>IF(COUNTBLANK(O50:R50)=4,"",SUM(O50:Q50)+IF(Setup!$I$15="No",0,R50))</f>
        <v>69</v>
      </c>
      <c r="T50" s="197">
        <v>19</v>
      </c>
      <c r="U50" s="198">
        <v>1</v>
      </c>
      <c r="V50" s="199">
        <v>8</v>
      </c>
      <c r="W50" s="200"/>
      <c r="X50" s="252">
        <f>IF(COUNTBLANK(T50:W50)=4,"",SUM(T50:V50)+IF(Setup!$I$15="No",0,W50))</f>
        <v>28</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 Demand!S50, Demand!X50, Demand!AC50))</f>
        <v>922</v>
      </c>
      <c r="BD50" s="256">
        <f ca="1">IF(AND(A50&lt;=MaxRows,BE50&lt;&gt;"Yes"),'Demand background (hide)'!X41+IF(Setup!$I$15="Yes",'Demand background (hide)'!AJ41,0),"")</f>
        <v>15285</v>
      </c>
      <c r="BE50" s="206"/>
    </row>
    <row r="51" spans="1:57" ht="15" x14ac:dyDescent="0.25">
      <c r="A51">
        <f t="shared" ca="1" si="0"/>
        <v>39</v>
      </c>
      <c r="B51" s="259" t="str">
        <f t="shared" ca="1" si="1"/>
        <v xml:space="preserve"> </v>
      </c>
      <c r="C51" s="261">
        <f t="shared" ca="1" si="2"/>
        <v>52</v>
      </c>
      <c r="D51" s="489">
        <f t="shared" ca="1" si="3"/>
        <v>43458</v>
      </c>
      <c r="E51" s="183">
        <v>6</v>
      </c>
      <c r="F51" s="184">
        <v>324</v>
      </c>
      <c r="G51" s="185">
        <v>95</v>
      </c>
      <c r="H51" s="186"/>
      <c r="I51" s="248">
        <f>IF(COUNTBLANK(E51:H51)=4,"",SUM(E51:G51)+IF(Setup!$I$15="No",0,H51))</f>
        <v>425</v>
      </c>
      <c r="J51" s="197">
        <v>49</v>
      </c>
      <c r="K51" s="198">
        <v>243</v>
      </c>
      <c r="L51" s="199">
        <v>61</v>
      </c>
      <c r="M51" s="200"/>
      <c r="N51" s="252">
        <f>IF(COUNTBLANK(J51:M51)=4,"",SUM(J51:L51)+IF(Setup!$I$15="No",0,M51))</f>
        <v>353</v>
      </c>
      <c r="O51" s="183">
        <v>49</v>
      </c>
      <c r="P51" s="184"/>
      <c r="Q51" s="185">
        <v>3</v>
      </c>
      <c r="R51" s="186"/>
      <c r="S51" s="248">
        <f>IF(COUNTBLANK(O51:R51)=4,"",SUM(O51:Q51)+IF(Setup!$I$15="No",0,R51))</f>
        <v>52</v>
      </c>
      <c r="T51" s="197">
        <v>18</v>
      </c>
      <c r="U51" s="198">
        <v>1</v>
      </c>
      <c r="V51" s="199">
        <v>8</v>
      </c>
      <c r="W51" s="200"/>
      <c r="X51" s="252">
        <f>IF(COUNTBLANK(T51:W51)=4,"",SUM(T51:V51)+IF(Setup!$I$15="No",0,W51))</f>
        <v>27</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 Demand!S51, Demand!X51, Demand!AC51))</f>
        <v>857</v>
      </c>
      <c r="BD51" s="256">
        <f ca="1">IF(AND(A51&lt;=MaxRows,BE51&lt;&gt;"Yes"),'Demand background (hide)'!X42+IF(Setup!$I$15="Yes",'Demand background (hide)'!AJ42,0),"")</f>
        <v>14040</v>
      </c>
      <c r="BE51" s="206"/>
    </row>
    <row r="52" spans="1:57" ht="15" x14ac:dyDescent="0.25">
      <c r="A52">
        <f t="shared" ca="1" si="0"/>
        <v>40</v>
      </c>
      <c r="B52" s="259" t="str">
        <f t="shared" ca="1" si="1"/>
        <v xml:space="preserve"> </v>
      </c>
      <c r="C52" s="261">
        <f t="shared" ca="1" si="2"/>
        <v>1</v>
      </c>
      <c r="D52" s="489">
        <f t="shared" ca="1" si="3"/>
        <v>43465</v>
      </c>
      <c r="E52" s="183">
        <v>10</v>
      </c>
      <c r="F52" s="184">
        <v>327</v>
      </c>
      <c r="G52" s="185">
        <v>36</v>
      </c>
      <c r="H52" s="186"/>
      <c r="I52" s="248">
        <f>IF(COUNTBLANK(E52:H52)=4,"",SUM(E52:G52)+IF(Setup!$I$15="No",0,H52))</f>
        <v>373</v>
      </c>
      <c r="J52" s="197">
        <v>34</v>
      </c>
      <c r="K52" s="198">
        <v>206</v>
      </c>
      <c r="L52" s="199">
        <v>14</v>
      </c>
      <c r="M52" s="200"/>
      <c r="N52" s="252">
        <f>IF(COUNTBLANK(J52:M52)=4,"",SUM(J52:L52)+IF(Setup!$I$15="No",0,M52))</f>
        <v>254</v>
      </c>
      <c r="O52" s="183">
        <v>34</v>
      </c>
      <c r="P52" s="184"/>
      <c r="Q52" s="185">
        <v>3</v>
      </c>
      <c r="R52" s="186"/>
      <c r="S52" s="248">
        <f>IF(COUNTBLANK(O52:R52)=4,"",SUM(O52:Q52)+IF(Setup!$I$15="No",0,R52))</f>
        <v>37</v>
      </c>
      <c r="T52" s="197">
        <v>6</v>
      </c>
      <c r="U52" s="198">
        <v>4</v>
      </c>
      <c r="V52" s="199">
        <v>1</v>
      </c>
      <c r="W52" s="200"/>
      <c r="X52" s="252">
        <f>IF(COUNTBLANK(T52:W52)=4,"",SUM(T52:V52)+IF(Setup!$I$15="No",0,W52))</f>
        <v>11</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 Demand!S52, Demand!X52, Demand!AC52))</f>
        <v>675</v>
      </c>
      <c r="BD52" s="256">
        <f ca="1">IF(AND(A52&lt;=MaxRows,BE52&lt;&gt;"Yes"),'Demand background (hide)'!X43+IF(Setup!$I$15="Yes",'Demand background (hide)'!AJ43,0),"")</f>
        <v>10845</v>
      </c>
      <c r="BE52" s="206"/>
    </row>
    <row r="53" spans="1:57" ht="15" x14ac:dyDescent="0.25">
      <c r="A53">
        <f t="shared" ca="1" si="0"/>
        <v>41</v>
      </c>
      <c r="B53" s="259">
        <f t="shared" ca="1" si="1"/>
        <v>2019</v>
      </c>
      <c r="C53" s="261">
        <f t="shared" ca="1" si="2"/>
        <v>2</v>
      </c>
      <c r="D53" s="489">
        <f t="shared" ca="1" si="3"/>
        <v>43472</v>
      </c>
      <c r="E53" s="183">
        <v>5</v>
      </c>
      <c r="F53" s="184">
        <v>356</v>
      </c>
      <c r="G53" s="185">
        <v>49</v>
      </c>
      <c r="H53" s="186"/>
      <c r="I53" s="248">
        <f>IF(COUNTBLANK(E53:H53)=4,"",SUM(E53:G53)+IF(Setup!$I$15="No",0,H53))</f>
        <v>410</v>
      </c>
      <c r="J53" s="197">
        <v>28</v>
      </c>
      <c r="K53" s="198">
        <v>195</v>
      </c>
      <c r="L53" s="199">
        <v>29</v>
      </c>
      <c r="M53" s="200"/>
      <c r="N53" s="252">
        <f>IF(COUNTBLANK(J53:M53)=4,"",SUM(J53:L53)+IF(Setup!$I$15="No",0,M53))</f>
        <v>252</v>
      </c>
      <c r="O53" s="183">
        <v>28</v>
      </c>
      <c r="P53" s="184"/>
      <c r="Q53" s="185">
        <v>1</v>
      </c>
      <c r="R53" s="186"/>
      <c r="S53" s="248">
        <f>IF(COUNTBLANK(O53:R53)=4,"",SUM(O53:Q53)+IF(Setup!$I$15="No",0,R53))</f>
        <v>29</v>
      </c>
      <c r="T53" s="197">
        <v>7</v>
      </c>
      <c r="U53" s="198">
        <v>5</v>
      </c>
      <c r="V53" s="199">
        <v>4</v>
      </c>
      <c r="W53" s="200"/>
      <c r="X53" s="252">
        <f>IF(COUNTBLANK(T53:W53)=4,"",SUM(T53:V53)+IF(Setup!$I$15="No",0,W53))</f>
        <v>16</v>
      </c>
      <c r="Y53" s="183"/>
      <c r="Z53" s="184">
        <v>1</v>
      </c>
      <c r="AA53" s="185">
        <v>1</v>
      </c>
      <c r="AB53" s="186"/>
      <c r="AC53" s="248">
        <f>IF(COUNTBLANK(Y53:AB53)=4,"",SUM(Y53:AA53)+IF(Setup!$I$15="No",0,AB53))</f>
        <v>2</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 Demand!S53, Demand!X53, Demand!AC53))</f>
        <v>709</v>
      </c>
      <c r="BD53" s="256">
        <f ca="1">IF(AND(A53&lt;=MaxRows,BE53&lt;&gt;"Yes"),'Demand background (hide)'!X44+IF(Setup!$I$15="Yes",'Demand background (hide)'!AJ44,0),"")</f>
        <v>11282</v>
      </c>
      <c r="BE53" s="206"/>
    </row>
    <row r="54" spans="1:57" ht="15" x14ac:dyDescent="0.25">
      <c r="A54">
        <f t="shared" ca="1" si="0"/>
        <v>42</v>
      </c>
      <c r="B54" s="259" t="str">
        <f t="shared" ca="1" si="1"/>
        <v xml:space="preserve"> </v>
      </c>
      <c r="C54" s="261">
        <f t="shared" ca="1" si="2"/>
        <v>3</v>
      </c>
      <c r="D54" s="489">
        <f t="shared" ca="1" si="3"/>
        <v>43479</v>
      </c>
      <c r="E54" s="183">
        <v>8</v>
      </c>
      <c r="F54" s="184">
        <v>340</v>
      </c>
      <c r="G54" s="185">
        <v>103</v>
      </c>
      <c r="H54" s="186"/>
      <c r="I54" s="248">
        <f>IF(COUNTBLANK(E54:H54)=4,"",SUM(E54:G54)+IF(Setup!$I$15="No",0,H54))</f>
        <v>451</v>
      </c>
      <c r="J54" s="197">
        <v>47</v>
      </c>
      <c r="K54" s="198">
        <v>283</v>
      </c>
      <c r="L54" s="199">
        <v>61</v>
      </c>
      <c r="M54" s="200"/>
      <c r="N54" s="252">
        <f>IF(COUNTBLANK(J54:M54)=4,"",SUM(J54:L54)+IF(Setup!$I$15="No",0,M54))</f>
        <v>391</v>
      </c>
      <c r="O54" s="183">
        <v>47</v>
      </c>
      <c r="P54" s="184">
        <v>3</v>
      </c>
      <c r="Q54" s="185">
        <v>4</v>
      </c>
      <c r="R54" s="186"/>
      <c r="S54" s="248">
        <f>IF(COUNTBLANK(O54:R54)=4,"",SUM(O54:Q54)+IF(Setup!$I$15="No",0,R54))</f>
        <v>54</v>
      </c>
      <c r="T54" s="197">
        <v>7</v>
      </c>
      <c r="U54" s="198">
        <v>5</v>
      </c>
      <c r="V54" s="199">
        <v>5</v>
      </c>
      <c r="W54" s="200"/>
      <c r="X54" s="252">
        <f>IF(COUNTBLANK(T54:W54)=4,"",SUM(T54:V54)+IF(Setup!$I$15="No",0,W54))</f>
        <v>17</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 Demand!S54, Demand!X54, Demand!AC54))</f>
        <v>913</v>
      </c>
      <c r="BD54" s="256">
        <f ca="1">IF(AND(A54&lt;=MaxRows,BE54&lt;&gt;"Yes"),'Demand background (hide)'!X45+IF(Setup!$I$15="Yes",'Demand background (hide)'!AJ45,0),"")</f>
        <v>14760</v>
      </c>
      <c r="BE54" s="206"/>
    </row>
    <row r="55" spans="1:57" ht="15" x14ac:dyDescent="0.25">
      <c r="A55">
        <f t="shared" ca="1" si="0"/>
        <v>43</v>
      </c>
      <c r="B55" s="259" t="str">
        <f t="shared" ca="1" si="1"/>
        <v xml:space="preserve"> </v>
      </c>
      <c r="C55" s="261">
        <f t="shared" ca="1" si="2"/>
        <v>4</v>
      </c>
      <c r="D55" s="489">
        <f t="shared" ca="1" si="3"/>
        <v>43486</v>
      </c>
      <c r="E55" s="183">
        <v>5</v>
      </c>
      <c r="F55" s="184">
        <v>364</v>
      </c>
      <c r="G55" s="185">
        <v>83</v>
      </c>
      <c r="H55" s="186"/>
      <c r="I55" s="248">
        <f>IF(COUNTBLANK(E55:H55)=4,"",SUM(E55:G55)+IF(Setup!$I$15="No",0,H55))</f>
        <v>452</v>
      </c>
      <c r="J55" s="197">
        <v>66</v>
      </c>
      <c r="K55" s="198">
        <v>259</v>
      </c>
      <c r="L55" s="199">
        <v>77</v>
      </c>
      <c r="M55" s="200"/>
      <c r="N55" s="252">
        <f>IF(COUNTBLANK(J55:M55)=4,"",SUM(J55:L55)+IF(Setup!$I$15="No",0,M55))</f>
        <v>402</v>
      </c>
      <c r="O55" s="183">
        <v>66</v>
      </c>
      <c r="P55" s="184">
        <v>1</v>
      </c>
      <c r="Q55" s="185">
        <v>11</v>
      </c>
      <c r="R55" s="186"/>
      <c r="S55" s="248">
        <f>IF(COUNTBLANK(O55:R55)=4,"",SUM(O55:Q55)+IF(Setup!$I$15="No",0,R55))</f>
        <v>78</v>
      </c>
      <c r="T55" s="197">
        <v>12</v>
      </c>
      <c r="U55" s="198">
        <v>8</v>
      </c>
      <c r="V55" s="199">
        <v>8</v>
      </c>
      <c r="W55" s="200"/>
      <c r="X55" s="252">
        <f>IF(COUNTBLANK(T55:W55)=4,"",SUM(T55:V55)+IF(Setup!$I$15="No",0,W55))</f>
        <v>28</v>
      </c>
      <c r="Y55" s="183">
        <v>1</v>
      </c>
      <c r="Z55" s="184">
        <v>1</v>
      </c>
      <c r="AA55" s="185"/>
      <c r="AB55" s="186"/>
      <c r="AC55" s="248">
        <f>IF(COUNTBLANK(Y55:AB55)=4,"",SUM(Y55:AA55)+IF(Setup!$I$15="No",0,AB55))</f>
        <v>2</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 Demand!S55, Demand!X55, Demand!AC55))</f>
        <v>962</v>
      </c>
      <c r="BD55" s="256">
        <f ca="1">IF(AND(A55&lt;=MaxRows,BE55&lt;&gt;"Yes"),'Demand background (hide)'!X46+IF(Setup!$I$15="Yes",'Demand background (hide)'!AJ46,0),"")</f>
        <v>15992</v>
      </c>
      <c r="BE55" s="206"/>
    </row>
    <row r="56" spans="1:57" ht="15" x14ac:dyDescent="0.25">
      <c r="A56">
        <f t="shared" ca="1" si="0"/>
        <v>44</v>
      </c>
      <c r="B56" s="259" t="str">
        <f t="shared" ca="1" si="1"/>
        <v xml:space="preserve"> </v>
      </c>
      <c r="C56" s="261">
        <f t="shared" ca="1" si="2"/>
        <v>5</v>
      </c>
      <c r="D56" s="489">
        <f t="shared" ca="1" si="3"/>
        <v>43493</v>
      </c>
      <c r="E56" s="183">
        <v>3</v>
      </c>
      <c r="F56" s="184">
        <v>393</v>
      </c>
      <c r="G56" s="185">
        <v>104</v>
      </c>
      <c r="H56" s="186"/>
      <c r="I56" s="248">
        <f>IF(COUNTBLANK(E56:H56)=4,"",SUM(E56:G56)+IF(Setup!$I$15="No",0,H56))</f>
        <v>500</v>
      </c>
      <c r="J56" s="197">
        <v>65</v>
      </c>
      <c r="K56" s="198">
        <v>248</v>
      </c>
      <c r="L56" s="199">
        <v>63</v>
      </c>
      <c r="M56" s="200"/>
      <c r="N56" s="252">
        <f>IF(COUNTBLANK(J56:M56)=4,"",SUM(J56:L56)+IF(Setup!$I$15="No",0,M56))</f>
        <v>376</v>
      </c>
      <c r="O56" s="183">
        <v>65</v>
      </c>
      <c r="P56" s="184"/>
      <c r="Q56" s="185">
        <v>5</v>
      </c>
      <c r="R56" s="186"/>
      <c r="S56" s="248">
        <f>IF(COUNTBLANK(O56:R56)=4,"",SUM(O56:Q56)+IF(Setup!$I$15="No",0,R56))</f>
        <v>70</v>
      </c>
      <c r="T56" s="197">
        <v>16</v>
      </c>
      <c r="U56" s="198">
        <v>7</v>
      </c>
      <c r="V56" s="199">
        <v>9</v>
      </c>
      <c r="W56" s="200"/>
      <c r="X56" s="252">
        <f>IF(COUNTBLANK(T56:W56)=4,"",SUM(T56:V56)+IF(Setup!$I$15="No",0,W56))</f>
        <v>32</v>
      </c>
      <c r="Y56" s="183"/>
      <c r="Z56" s="184">
        <v>2</v>
      </c>
      <c r="AA56" s="185"/>
      <c r="AB56" s="186"/>
      <c r="AC56" s="248">
        <f>IF(COUNTBLANK(Y56:AB56)=4,"",SUM(Y56:AA56)+IF(Setup!$I$15="No",0,AB56))</f>
        <v>2</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 Demand!S56, Demand!X56, Demand!AC56))</f>
        <v>980</v>
      </c>
      <c r="BD56" s="256">
        <f ca="1">IF(AND(A56&lt;=MaxRows,BE56&lt;&gt;"Yes"),'Demand background (hide)'!X47+IF(Setup!$I$15="Yes",'Demand background (hide)'!AJ47,0),"")</f>
        <v>16202</v>
      </c>
      <c r="BE56" s="206"/>
    </row>
    <row r="57" spans="1:57" ht="15" x14ac:dyDescent="0.25">
      <c r="A57">
        <f t="shared" ca="1" si="0"/>
        <v>45</v>
      </c>
      <c r="B57" s="259" t="str">
        <f t="shared" ca="1" si="1"/>
        <v xml:space="preserve"> </v>
      </c>
      <c r="C57" s="261">
        <f t="shared" ca="1" si="2"/>
        <v>6</v>
      </c>
      <c r="D57" s="489">
        <f t="shared" ca="1" si="3"/>
        <v>43500</v>
      </c>
      <c r="E57" s="183">
        <v>2</v>
      </c>
      <c r="F57" s="184">
        <v>364</v>
      </c>
      <c r="G57" s="185">
        <v>85</v>
      </c>
      <c r="H57" s="186"/>
      <c r="I57" s="248">
        <f>IF(COUNTBLANK(E57:H57)=4,"",SUM(E57:G57)+IF(Setup!$I$15="No",0,H57))</f>
        <v>451</v>
      </c>
      <c r="J57" s="197">
        <v>79</v>
      </c>
      <c r="K57" s="198">
        <v>296</v>
      </c>
      <c r="L57" s="199">
        <v>62</v>
      </c>
      <c r="M57" s="200"/>
      <c r="N57" s="252">
        <f>IF(COUNTBLANK(J57:M57)=4,"",SUM(J57:L57)+IF(Setup!$I$15="No",0,M57))</f>
        <v>437</v>
      </c>
      <c r="O57" s="183">
        <v>79</v>
      </c>
      <c r="P57" s="184"/>
      <c r="Q57" s="185">
        <v>2</v>
      </c>
      <c r="R57" s="186"/>
      <c r="S57" s="248">
        <f>IF(COUNTBLANK(O57:R57)=4,"",SUM(O57:Q57)+IF(Setup!$I$15="No",0,R57))</f>
        <v>81</v>
      </c>
      <c r="T57" s="197">
        <v>11</v>
      </c>
      <c r="U57" s="198">
        <v>7</v>
      </c>
      <c r="V57" s="199">
        <v>6</v>
      </c>
      <c r="W57" s="200"/>
      <c r="X57" s="252">
        <f>IF(COUNTBLANK(T57:W57)=4,"",SUM(T57:V57)+IF(Setup!$I$15="No",0,W57))</f>
        <v>24</v>
      </c>
      <c r="Y57" s="183">
        <v>1</v>
      </c>
      <c r="Z57" s="184"/>
      <c r="AA57" s="185">
        <v>1</v>
      </c>
      <c r="AB57" s="186"/>
      <c r="AC57" s="248">
        <f>IF(COUNTBLANK(Y57:AB57)=4,"",SUM(Y57:AA57)+IF(Setup!$I$15="No",0,AB57))</f>
        <v>2</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 Demand!S57, Demand!X57, Demand!AC57))</f>
        <v>995</v>
      </c>
      <c r="BD57" s="256">
        <f ca="1">IF(AND(A57&lt;=MaxRows,BE57&lt;&gt;"Yes"),'Demand background (hide)'!X48+IF(Setup!$I$15="Yes",'Demand background (hide)'!AJ48,0),"")</f>
        <v>16472</v>
      </c>
      <c r="BE57" s="206"/>
    </row>
    <row r="58" spans="1:57" ht="15" x14ac:dyDescent="0.25">
      <c r="A58">
        <f t="shared" ca="1" si="0"/>
        <v>46</v>
      </c>
      <c r="B58" s="259" t="str">
        <f t="shared" ca="1" si="1"/>
        <v xml:space="preserve"> </v>
      </c>
      <c r="C58" s="261">
        <f t="shared" ca="1" si="2"/>
        <v>7</v>
      </c>
      <c r="D58" s="489">
        <f t="shared" ca="1" si="3"/>
        <v>43507</v>
      </c>
      <c r="E58" s="183">
        <v>2</v>
      </c>
      <c r="F58" s="184">
        <v>327</v>
      </c>
      <c r="G58" s="185">
        <v>91</v>
      </c>
      <c r="H58" s="186"/>
      <c r="I58" s="248">
        <f>IF(COUNTBLANK(E58:H58)=4,"",SUM(E58:G58)+IF(Setup!$I$15="No",0,H58))</f>
        <v>420</v>
      </c>
      <c r="J58" s="197">
        <v>76</v>
      </c>
      <c r="K58" s="198">
        <v>249</v>
      </c>
      <c r="L58" s="199">
        <v>53</v>
      </c>
      <c r="M58" s="200"/>
      <c r="N58" s="252">
        <f>IF(COUNTBLANK(J58:M58)=4,"",SUM(J58:L58)+IF(Setup!$I$15="No",0,M58))</f>
        <v>378</v>
      </c>
      <c r="O58" s="183">
        <v>76</v>
      </c>
      <c r="P58" s="184"/>
      <c r="Q58" s="185">
        <v>7</v>
      </c>
      <c r="R58" s="186"/>
      <c r="S58" s="248">
        <f>IF(COUNTBLANK(O58:R58)=4,"",SUM(O58:Q58)+IF(Setup!$I$15="No",0,R58))</f>
        <v>83</v>
      </c>
      <c r="T58" s="197">
        <v>11</v>
      </c>
      <c r="U58" s="198">
        <v>6</v>
      </c>
      <c r="V58" s="199">
        <v>4</v>
      </c>
      <c r="W58" s="200"/>
      <c r="X58" s="252">
        <f>IF(COUNTBLANK(T58:W58)=4,"",SUM(T58:V58)+IF(Setup!$I$15="No",0,W58))</f>
        <v>21</v>
      </c>
      <c r="Y58" s="183">
        <v>1</v>
      </c>
      <c r="Z58" s="184">
        <v>1</v>
      </c>
      <c r="AA58" s="185"/>
      <c r="AB58" s="186"/>
      <c r="AC58" s="248">
        <f>IF(COUNTBLANK(Y58:AB58)=4,"",SUM(Y58:AA58)+IF(Setup!$I$15="No",0,AB58))</f>
        <v>2</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 Demand!S58, Demand!X58, Demand!AC58))</f>
        <v>904</v>
      </c>
      <c r="BD58" s="256">
        <f ca="1">IF(AND(A58&lt;=MaxRows,BE58&lt;&gt;"Yes"),'Demand background (hide)'!X49+IF(Setup!$I$15="Yes",'Demand background (hide)'!AJ49,0),"")</f>
        <v>15092</v>
      </c>
      <c r="BE58" s="206"/>
    </row>
    <row r="59" spans="1:57" ht="15" x14ac:dyDescent="0.25">
      <c r="A59">
        <f t="shared" ca="1" si="0"/>
        <v>47</v>
      </c>
      <c r="B59" s="259" t="str">
        <f t="shared" ca="1" si="1"/>
        <v xml:space="preserve"> </v>
      </c>
      <c r="C59" s="261">
        <f t="shared" ca="1" si="2"/>
        <v>8</v>
      </c>
      <c r="D59" s="489">
        <f t="shared" ca="1" si="3"/>
        <v>43514</v>
      </c>
      <c r="E59" s="183">
        <v>3</v>
      </c>
      <c r="F59" s="184">
        <v>357</v>
      </c>
      <c r="G59" s="185">
        <v>101</v>
      </c>
      <c r="H59" s="186"/>
      <c r="I59" s="248">
        <f>IF(COUNTBLANK(E59:H59)=4,"",SUM(E59:G59)+IF(Setup!$I$15="No",0,H59))</f>
        <v>461</v>
      </c>
      <c r="J59" s="197">
        <v>78</v>
      </c>
      <c r="K59" s="198">
        <v>229</v>
      </c>
      <c r="L59" s="199">
        <v>69</v>
      </c>
      <c r="M59" s="200"/>
      <c r="N59" s="252">
        <f>IF(COUNTBLANK(J59:M59)=4,"",SUM(J59:L59)+IF(Setup!$I$15="No",0,M59))</f>
        <v>376</v>
      </c>
      <c r="O59" s="183">
        <v>78</v>
      </c>
      <c r="P59" s="184"/>
      <c r="Q59" s="185">
        <v>1</v>
      </c>
      <c r="R59" s="186"/>
      <c r="S59" s="248">
        <f>IF(COUNTBLANK(O59:R59)=4,"",SUM(O59:Q59)+IF(Setup!$I$15="No",0,R59))</f>
        <v>79</v>
      </c>
      <c r="T59" s="197">
        <v>10</v>
      </c>
      <c r="U59" s="198">
        <v>6</v>
      </c>
      <c r="V59" s="199">
        <v>5</v>
      </c>
      <c r="W59" s="200"/>
      <c r="X59" s="252">
        <f>IF(COUNTBLANK(T59:W59)=4,"",SUM(T59:V59)+IF(Setup!$I$15="No",0,W59))</f>
        <v>21</v>
      </c>
      <c r="Y59" s="183"/>
      <c r="Z59" s="184">
        <v>2</v>
      </c>
      <c r="AA59" s="185">
        <v>1</v>
      </c>
      <c r="AB59" s="186"/>
      <c r="AC59" s="248">
        <f>IF(COUNTBLANK(Y59:AB59)=4,"",SUM(Y59:AA59)+IF(Setup!$I$15="No",0,AB59))</f>
        <v>3</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 Demand!S59, Demand!X59, Demand!AC59))</f>
        <v>940</v>
      </c>
      <c r="BD59" s="256">
        <f ca="1">IF(AND(A59&lt;=MaxRows,BE59&lt;&gt;"Yes"),'Demand background (hide)'!X50+IF(Setup!$I$15="Yes",'Demand background (hide)'!AJ50,0),"")</f>
        <v>15558</v>
      </c>
      <c r="BE59" s="206"/>
    </row>
    <row r="60" spans="1:57" ht="15" x14ac:dyDescent="0.25">
      <c r="A60">
        <f t="shared" ca="1" si="0"/>
        <v>48</v>
      </c>
      <c r="B60" s="259" t="str">
        <f t="shared" ca="1" si="1"/>
        <v xml:space="preserve"> </v>
      </c>
      <c r="C60" s="261">
        <f t="shared" ca="1" si="2"/>
        <v>9</v>
      </c>
      <c r="D60" s="489">
        <f t="shared" ca="1" si="3"/>
        <v>43521</v>
      </c>
      <c r="E60" s="183">
        <v>4</v>
      </c>
      <c r="F60" s="184">
        <v>375</v>
      </c>
      <c r="G60" s="185">
        <v>76</v>
      </c>
      <c r="H60" s="186"/>
      <c r="I60" s="248">
        <f>IF(COUNTBLANK(E60:H60)=4,"",SUM(E60:G60)+IF(Setup!$I$15="No",0,H60))</f>
        <v>455</v>
      </c>
      <c r="J60" s="197">
        <v>58</v>
      </c>
      <c r="K60" s="198">
        <v>253</v>
      </c>
      <c r="L60" s="199">
        <v>64</v>
      </c>
      <c r="M60" s="200"/>
      <c r="N60" s="252">
        <f>IF(COUNTBLANK(J60:M60)=4,"",SUM(J60:L60)+IF(Setup!$I$15="No",0,M60))</f>
        <v>375</v>
      </c>
      <c r="O60" s="183">
        <v>58</v>
      </c>
      <c r="P60" s="184"/>
      <c r="Q60" s="185">
        <v>17</v>
      </c>
      <c r="R60" s="186"/>
      <c r="S60" s="248">
        <f>IF(COUNTBLANK(O60:R60)=4,"",SUM(O60:Q60)+IF(Setup!$I$15="No",0,R60))</f>
        <v>75</v>
      </c>
      <c r="T60" s="197">
        <v>6</v>
      </c>
      <c r="U60" s="198">
        <v>4</v>
      </c>
      <c r="V60" s="199">
        <v>12</v>
      </c>
      <c r="W60" s="200"/>
      <c r="X60" s="252">
        <f>IF(COUNTBLANK(T60:W60)=4,"",SUM(T60:V60)+IF(Setup!$I$15="No",0,W60))</f>
        <v>22</v>
      </c>
      <c r="Y60" s="183">
        <v>1</v>
      </c>
      <c r="Z60" s="184">
        <v>1</v>
      </c>
      <c r="AA60" s="185"/>
      <c r="AB60" s="186"/>
      <c r="AC60" s="248">
        <f>IF(COUNTBLANK(Y60:AB60)=4,"",SUM(Y60:AA60)+IF(Setup!$I$15="No",0,AB60))</f>
        <v>2</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 Demand!S60, Demand!X60, Demand!AC60))</f>
        <v>929</v>
      </c>
      <c r="BD60" s="256">
        <f ca="1">IF(AND(A60&lt;=MaxRows,BE60&lt;&gt;"Yes"),'Demand background (hide)'!X51+IF(Setup!$I$15="Yes",'Demand background (hide)'!AJ51,0),"")</f>
        <v>15362</v>
      </c>
      <c r="BE60" s="206"/>
    </row>
    <row r="61" spans="1:57" ht="15" x14ac:dyDescent="0.25">
      <c r="A61">
        <f t="shared" ca="1" si="0"/>
        <v>49</v>
      </c>
      <c r="B61" s="259" t="str">
        <f t="shared" ca="1" si="1"/>
        <v xml:space="preserve"> </v>
      </c>
      <c r="C61" s="261">
        <f t="shared" ca="1" si="2"/>
        <v>10</v>
      </c>
      <c r="D61" s="489">
        <f t="shared" ca="1" si="3"/>
        <v>43528</v>
      </c>
      <c r="E61" s="183">
        <v>7</v>
      </c>
      <c r="F61" s="184">
        <v>370</v>
      </c>
      <c r="G61" s="185">
        <v>80</v>
      </c>
      <c r="H61" s="186"/>
      <c r="I61" s="248">
        <f>IF(COUNTBLANK(E61:H61)=4,"",SUM(E61:G61)+IF(Setup!$I$15="No",0,H61))</f>
        <v>457</v>
      </c>
      <c r="J61" s="197">
        <v>55</v>
      </c>
      <c r="K61" s="198">
        <v>243</v>
      </c>
      <c r="L61" s="199">
        <v>68</v>
      </c>
      <c r="M61" s="200"/>
      <c r="N61" s="252">
        <f>IF(COUNTBLANK(J61:M61)=4,"",SUM(J61:L61)+IF(Setup!$I$15="No",0,M61))</f>
        <v>366</v>
      </c>
      <c r="O61" s="183">
        <v>55</v>
      </c>
      <c r="P61" s="184"/>
      <c r="Q61" s="185">
        <v>2</v>
      </c>
      <c r="R61" s="186"/>
      <c r="S61" s="248">
        <f>IF(COUNTBLANK(O61:R61)=4,"",SUM(O61:Q61)+IF(Setup!$I$15="No",0,R61))</f>
        <v>57</v>
      </c>
      <c r="T61" s="197">
        <v>6</v>
      </c>
      <c r="U61" s="198">
        <v>6</v>
      </c>
      <c r="V61" s="199">
        <v>7</v>
      </c>
      <c r="W61" s="200"/>
      <c r="X61" s="252">
        <f>IF(COUNTBLANK(T61:W61)=4,"",SUM(T61:V61)+IF(Setup!$I$15="No",0,W61))</f>
        <v>19</v>
      </c>
      <c r="Y61" s="183">
        <v>1</v>
      </c>
      <c r="Z61" s="184">
        <v>2</v>
      </c>
      <c r="AA61" s="185"/>
      <c r="AB61" s="186"/>
      <c r="AC61" s="248">
        <f>IF(COUNTBLANK(Y61:AB61)=4,"",SUM(Y61:AA61)+IF(Setup!$I$15="No",0,AB61))</f>
        <v>3</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 Demand!S61, Demand!X61, Demand!AC61))</f>
        <v>902</v>
      </c>
      <c r="BD61" s="256">
        <f ca="1">IF(AND(A61&lt;=MaxRows,BE61&lt;&gt;"Yes"),'Demand background (hide)'!X52+IF(Setup!$I$15="Yes",'Demand background (hide)'!AJ52,0),"")</f>
        <v>14628</v>
      </c>
      <c r="BE61" s="206"/>
    </row>
    <row r="62" spans="1:57" ht="15" x14ac:dyDescent="0.25">
      <c r="A62">
        <f t="shared" ca="1" si="0"/>
        <v>50</v>
      </c>
      <c r="B62" s="259" t="str">
        <f t="shared" ca="1" si="1"/>
        <v xml:space="preserve"> </v>
      </c>
      <c r="C62" s="261">
        <f t="shared" ca="1" si="2"/>
        <v>11</v>
      </c>
      <c r="D62" s="489">
        <f t="shared" ca="1" si="3"/>
        <v>43535</v>
      </c>
      <c r="E62" s="183">
        <v>4</v>
      </c>
      <c r="F62" s="184">
        <v>396</v>
      </c>
      <c r="G62" s="185">
        <v>112</v>
      </c>
      <c r="H62" s="186"/>
      <c r="I62" s="248">
        <f>IF(COUNTBLANK(E62:H62)=4,"",SUM(E62:G62)+IF(Setup!$I$15="No",0,H62))</f>
        <v>512</v>
      </c>
      <c r="J62" s="197">
        <v>77</v>
      </c>
      <c r="K62" s="198">
        <v>252</v>
      </c>
      <c r="L62" s="199">
        <v>59</v>
      </c>
      <c r="M62" s="200"/>
      <c r="N62" s="252">
        <f>IF(COUNTBLANK(J62:M62)=4,"",SUM(J62:L62)+IF(Setup!$I$15="No",0,M62))</f>
        <v>388</v>
      </c>
      <c r="O62" s="183">
        <v>77</v>
      </c>
      <c r="P62" s="184">
        <v>2</v>
      </c>
      <c r="Q62" s="185">
        <v>10</v>
      </c>
      <c r="R62" s="186"/>
      <c r="S62" s="248">
        <f>IF(COUNTBLANK(O62:R62)=4,"",SUM(O62:Q62)+IF(Setup!$I$15="No",0,R62))</f>
        <v>89</v>
      </c>
      <c r="T62" s="197">
        <v>11</v>
      </c>
      <c r="U62" s="198">
        <v>6</v>
      </c>
      <c r="V62" s="199">
        <v>5</v>
      </c>
      <c r="W62" s="200"/>
      <c r="X62" s="252">
        <f>IF(COUNTBLANK(T62:W62)=4,"",SUM(T62:V62)+IF(Setup!$I$15="No",0,W62))</f>
        <v>22</v>
      </c>
      <c r="Y62" s="183">
        <v>1</v>
      </c>
      <c r="Z62" s="184">
        <v>2</v>
      </c>
      <c r="AA62" s="185"/>
      <c r="AB62" s="186"/>
      <c r="AC62" s="248">
        <f>IF(COUNTBLANK(Y62:AB62)=4,"",SUM(Y62:AA62)+IF(Setup!$I$15="No",0,AB62))</f>
        <v>3</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 Demand!S62, Demand!X62, Demand!AC62))</f>
        <v>1014</v>
      </c>
      <c r="BD62" s="256">
        <f ca="1">IF(AND(A62&lt;=MaxRows,BE62&lt;&gt;"Yes"),'Demand background (hide)'!X53+IF(Setup!$I$15="Yes",'Demand background (hide)'!AJ53,0),"")</f>
        <v>16833</v>
      </c>
      <c r="BE62" s="206"/>
    </row>
    <row r="63" spans="1:57" ht="15" x14ac:dyDescent="0.25">
      <c r="A63">
        <f t="shared" ca="1" si="0"/>
        <v>51</v>
      </c>
      <c r="B63" s="259" t="str">
        <f t="shared" ca="1" si="1"/>
        <v xml:space="preserve"> </v>
      </c>
      <c r="C63" s="261">
        <f t="shared" ca="1" si="2"/>
        <v>12</v>
      </c>
      <c r="D63" s="489">
        <f t="shared" ca="1" si="3"/>
        <v>43542</v>
      </c>
      <c r="E63" s="183">
        <v>9</v>
      </c>
      <c r="F63" s="184">
        <v>351</v>
      </c>
      <c r="G63" s="185">
        <v>91</v>
      </c>
      <c r="H63" s="186"/>
      <c r="I63" s="248">
        <f>IF(COUNTBLANK(E63:H63)=4,"",SUM(E63:G63)+IF(Setup!$I$15="No",0,H63))</f>
        <v>451</v>
      </c>
      <c r="J63" s="197">
        <v>71</v>
      </c>
      <c r="K63" s="198">
        <v>275</v>
      </c>
      <c r="L63" s="199">
        <v>58</v>
      </c>
      <c r="M63" s="200"/>
      <c r="N63" s="252">
        <f>IF(COUNTBLANK(J63:M63)=4,"",SUM(J63:L63)+IF(Setup!$I$15="No",0,M63))</f>
        <v>404</v>
      </c>
      <c r="O63" s="183">
        <v>71</v>
      </c>
      <c r="P63" s="184"/>
      <c r="Q63" s="185">
        <v>6</v>
      </c>
      <c r="R63" s="186"/>
      <c r="S63" s="248">
        <f>IF(COUNTBLANK(O63:R63)=4,"",SUM(O63:Q63)+IF(Setup!$I$15="No",0,R63))</f>
        <v>77</v>
      </c>
      <c r="T63" s="197">
        <v>18</v>
      </c>
      <c r="U63" s="198">
        <v>4</v>
      </c>
      <c r="V63" s="199">
        <v>8</v>
      </c>
      <c r="W63" s="200"/>
      <c r="X63" s="252">
        <f>IF(COUNTBLANK(T63:W63)=4,"",SUM(T63:V63)+IF(Setup!$I$15="No",0,W63))</f>
        <v>30</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 Demand!S63, Demand!X63, Demand!AC63))</f>
        <v>962</v>
      </c>
      <c r="BD63" s="256">
        <f ca="1">IF(AND(A63&lt;=MaxRows,BE63&lt;&gt;"Yes"),'Demand background (hide)'!X54+IF(Setup!$I$15="Yes",'Demand background (hide)'!AJ54,0),"")</f>
        <v>16035</v>
      </c>
      <c r="BE63" s="206"/>
    </row>
    <row r="64" spans="1:57" ht="15.75" thickBot="1" x14ac:dyDescent="0.3">
      <c r="A64">
        <f t="shared" ca="1" si="0"/>
        <v>52</v>
      </c>
      <c r="B64" s="259" t="str">
        <f t="shared" ca="1" si="1"/>
        <v xml:space="preserve"> </v>
      </c>
      <c r="C64" s="262">
        <f t="shared" ca="1" si="2"/>
        <v>13</v>
      </c>
      <c r="D64" s="490">
        <f t="shared" ca="1" si="3"/>
        <v>43549</v>
      </c>
      <c r="E64" s="187">
        <v>8</v>
      </c>
      <c r="F64" s="188">
        <v>356</v>
      </c>
      <c r="G64" s="189">
        <v>85</v>
      </c>
      <c r="H64" s="190"/>
      <c r="I64" s="249">
        <f>IF(COUNTBLANK(E64:H64)=4,"",SUM(E64:G64)+IF(Setup!$I$15="No",0,H64))</f>
        <v>449</v>
      </c>
      <c r="J64" s="201">
        <v>63</v>
      </c>
      <c r="K64" s="202">
        <v>243</v>
      </c>
      <c r="L64" s="203">
        <v>58</v>
      </c>
      <c r="M64" s="204"/>
      <c r="N64" s="253">
        <f>IF(COUNTBLANK(J64:M64)=4,"",SUM(J64:L64)+IF(Setup!$I$15="No",0,M64))</f>
        <v>364</v>
      </c>
      <c r="O64" s="187">
        <v>63</v>
      </c>
      <c r="P64" s="188"/>
      <c r="Q64" s="189">
        <v>3</v>
      </c>
      <c r="R64" s="190"/>
      <c r="S64" s="249">
        <f>IF(COUNTBLANK(O64:R64)=4,"",SUM(O64:Q64)+IF(Setup!$I$15="No",0,R64))</f>
        <v>66</v>
      </c>
      <c r="T64" s="201">
        <v>15</v>
      </c>
      <c r="U64" s="202">
        <v>1</v>
      </c>
      <c r="V64" s="203">
        <v>7</v>
      </c>
      <c r="W64" s="204"/>
      <c r="X64" s="253">
        <f>IF(COUNTBLANK(T64:W64)=4,"",SUM(T64:V64)+IF(Setup!$I$15="No",0,W64))</f>
        <v>23</v>
      </c>
      <c r="Y64" s="187">
        <v>1</v>
      </c>
      <c r="Z64" s="188">
        <v>1</v>
      </c>
      <c r="AA64" s="189"/>
      <c r="AB64" s="190"/>
      <c r="AC64" s="249">
        <f>IF(COUNTBLANK(Y64:AB64)=4,"",SUM(Y64:AA64)+IF(Setup!$I$15="No",0,AB64))</f>
        <v>2</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 Demand!S64, Demand!X64, Demand!AC64))</f>
        <v>904</v>
      </c>
      <c r="BD64" s="257">
        <f ca="1">IF(AND(A64&lt;=MaxRows,BE64&lt;&gt;"Yes"),'Demand background (hide)'!X55+IF(Setup!$I$15="Yes",'Demand background (hide)'!AJ55,0),"")</f>
        <v>14867</v>
      </c>
      <c r="BE64" s="207"/>
    </row>
    <row r="65" spans="1:57" ht="15" x14ac:dyDescent="0.25">
      <c r="A65">
        <f t="shared" ca="1" si="0"/>
        <v>53</v>
      </c>
      <c r="B65" s="263" t="str">
        <f t="shared" ca="1" si="1"/>
        <v xml:space="preserve"> </v>
      </c>
      <c r="C65" s="264">
        <f t="shared" ca="1" si="2"/>
        <v>14</v>
      </c>
      <c r="D65" s="491">
        <f t="shared" ca="1" si="3"/>
        <v>43556</v>
      </c>
      <c r="E65" s="191">
        <v>8</v>
      </c>
      <c r="F65" s="191">
        <v>372</v>
      </c>
      <c r="G65" s="192">
        <v>87</v>
      </c>
      <c r="H65" s="191"/>
      <c r="I65" s="250">
        <f>IF(COUNTBLANK(E65:H65)=4,"",SUM(E65:G65)+IF(Setup!$I$15="No",0,H65))</f>
        <v>467</v>
      </c>
      <c r="J65" s="191">
        <v>67</v>
      </c>
      <c r="K65" s="191">
        <v>258</v>
      </c>
      <c r="L65" s="191">
        <v>48</v>
      </c>
      <c r="M65" s="191"/>
      <c r="N65" s="254">
        <f>IF(COUNTBLANK(J65:M65)=4,"",SUM(J65:L65)+IF(Setup!$I$15="No",0,M65))</f>
        <v>373</v>
      </c>
      <c r="O65" s="191">
        <v>14</v>
      </c>
      <c r="P65" s="191">
        <v>1</v>
      </c>
      <c r="Q65" s="191">
        <v>14</v>
      </c>
      <c r="R65" s="191"/>
      <c r="S65" s="254">
        <f>IF(COUNTBLANK(O65:R65)=4,"",SUM(O65:Q65)+IF(Setup!$I$15="No",0,R65))</f>
        <v>29</v>
      </c>
      <c r="T65" s="191">
        <v>13</v>
      </c>
      <c r="U65" s="191">
        <v>5</v>
      </c>
      <c r="V65" s="191">
        <v>7</v>
      </c>
      <c r="W65" s="191"/>
      <c r="X65" s="254">
        <f>IF(COUNTBLANK(T65:W65)=4,"",SUM(T65:V65)+IF(Setup!$I$15="No",0,W65))</f>
        <v>25</v>
      </c>
      <c r="Y65" s="191">
        <v>1</v>
      </c>
      <c r="Z65" s="191"/>
      <c r="AA65" s="191"/>
      <c r="AB65" s="191"/>
      <c r="AC65" s="254">
        <f>IF(COUNTBLANK(Y65:AB65)=4,"",SUM(Y65:AA65)+IF(Setup!$I$15="No",0,AB65))</f>
        <v>1</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 Demand!S65, Demand!X65, Demand!AC65))</f>
        <v>895</v>
      </c>
      <c r="BD65" s="258">
        <f ca="1">IF(AND(A65&lt;=MaxRows,BE65&lt;&gt;"Yes"),'Demand background (hide)'!X56+IF(Setup!$I$15="Yes",'Demand background (hide)'!AJ56,0),"")</f>
        <v>14221</v>
      </c>
      <c r="BE65" s="208"/>
    </row>
    <row r="66" spans="1:57" ht="15" x14ac:dyDescent="0.25">
      <c r="A66">
        <f t="shared" ca="1" si="0"/>
        <v>54</v>
      </c>
      <c r="B66" s="263" t="str">
        <f t="shared" ca="1" si="1"/>
        <v xml:space="preserve"> </v>
      </c>
      <c r="C66" s="264">
        <f t="shared" ca="1" si="2"/>
        <v>15</v>
      </c>
      <c r="D66" s="491">
        <f t="shared" ca="1" si="3"/>
        <v>43563</v>
      </c>
      <c r="E66" s="191">
        <v>7</v>
      </c>
      <c r="F66" s="191">
        <v>366</v>
      </c>
      <c r="G66" s="192">
        <v>70</v>
      </c>
      <c r="H66" s="191"/>
      <c r="I66" s="250">
        <f>IF(COUNTBLANK(E66:H66)=4,"",SUM(E66:G66)+IF(Setup!$I$15="No",0,H66))</f>
        <v>443</v>
      </c>
      <c r="J66" s="191">
        <v>85</v>
      </c>
      <c r="K66" s="191">
        <v>254</v>
      </c>
      <c r="L66" s="191">
        <v>40</v>
      </c>
      <c r="M66" s="191"/>
      <c r="N66" s="254">
        <f>IF(COUNTBLANK(J66:M66)=4,"",SUM(J66:L66)+IF(Setup!$I$15="No",0,M66))</f>
        <v>379</v>
      </c>
      <c r="O66" s="191">
        <v>4</v>
      </c>
      <c r="P66" s="191">
        <v>2</v>
      </c>
      <c r="Q66" s="191">
        <v>4</v>
      </c>
      <c r="R66" s="191"/>
      <c r="S66" s="254">
        <f>IF(COUNTBLANK(O66:R66)=4,"",SUM(O66:Q66)+IF(Setup!$I$15="No",0,R66))</f>
        <v>10</v>
      </c>
      <c r="T66" s="191">
        <v>21</v>
      </c>
      <c r="U66" s="191">
        <v>2</v>
      </c>
      <c r="V66" s="191">
        <v>6</v>
      </c>
      <c r="W66" s="191"/>
      <c r="X66" s="254">
        <f>IF(COUNTBLANK(T66:W66)=4,"",SUM(T66:V66)+IF(Setup!$I$15="No",0,W66))</f>
        <v>29</v>
      </c>
      <c r="Y66" s="191"/>
      <c r="Z66" s="191">
        <v>1</v>
      </c>
      <c r="AA66" s="191"/>
      <c r="AB66" s="191"/>
      <c r="AC66" s="254">
        <f>IF(COUNTBLANK(Y66:AB66)=4,"",SUM(Y66:AA66)+IF(Setup!$I$15="No",0,AB66))</f>
        <v>1</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 Demand!S66, Demand!X66, Demand!AC66))</f>
        <v>862</v>
      </c>
      <c r="BD66" s="258">
        <f ca="1">IF(AND(A66&lt;=MaxRows,BE66&lt;&gt;"Yes"),'Demand background (hide)'!X57+IF(Setup!$I$15="Yes",'Demand background (hide)'!AJ57,0),"")</f>
        <v>13501</v>
      </c>
      <c r="BE66" s="208"/>
    </row>
    <row r="67" spans="1:57" ht="15" x14ac:dyDescent="0.25">
      <c r="A67">
        <f t="shared" ca="1" si="0"/>
        <v>55</v>
      </c>
      <c r="B67" s="263" t="str">
        <f t="shared" ca="1" si="1"/>
        <v xml:space="preserve"> </v>
      </c>
      <c r="C67" s="264">
        <f t="shared" ca="1" si="2"/>
        <v>16</v>
      </c>
      <c r="D67" s="491">
        <f t="shared" ca="1" si="3"/>
        <v>43570</v>
      </c>
      <c r="E67" s="191">
        <v>5</v>
      </c>
      <c r="F67" s="191">
        <v>320</v>
      </c>
      <c r="G67" s="192">
        <v>73</v>
      </c>
      <c r="H67" s="191"/>
      <c r="I67" s="250">
        <f>IF(COUNTBLANK(E67:H67)=4,"",SUM(E67:G67)+IF(Setup!$I$15="No",0,H67))</f>
        <v>398</v>
      </c>
      <c r="J67" s="191">
        <v>53</v>
      </c>
      <c r="K67" s="191">
        <v>223</v>
      </c>
      <c r="L67" s="191">
        <v>42</v>
      </c>
      <c r="M67" s="191"/>
      <c r="N67" s="254">
        <f>IF(COUNTBLANK(J67:M67)=4,"",SUM(J67:L67)+IF(Setup!$I$15="No",0,M67))</f>
        <v>318</v>
      </c>
      <c r="O67" s="191">
        <v>5</v>
      </c>
      <c r="P67" s="191">
        <v>1</v>
      </c>
      <c r="Q67" s="191">
        <v>5</v>
      </c>
      <c r="R67" s="191"/>
      <c r="S67" s="254">
        <f>IF(COUNTBLANK(O67:R67)=4,"",SUM(O67:Q67)+IF(Setup!$I$15="No",0,R67))</f>
        <v>11</v>
      </c>
      <c r="T67" s="191">
        <v>12</v>
      </c>
      <c r="U67" s="191">
        <v>5</v>
      </c>
      <c r="V67" s="191">
        <v>4</v>
      </c>
      <c r="W67" s="191"/>
      <c r="X67" s="254">
        <f>IF(COUNTBLANK(T67:W67)=4,"",SUM(T67:V67)+IF(Setup!$I$15="No",0,W67))</f>
        <v>21</v>
      </c>
      <c r="Y67" s="191">
        <v>1</v>
      </c>
      <c r="Z67" s="191"/>
      <c r="AA67" s="191">
        <v>1</v>
      </c>
      <c r="AB67" s="191"/>
      <c r="AC67" s="254">
        <f>IF(COUNTBLANK(Y67:AB67)=4,"",SUM(Y67:AA67)+IF(Setup!$I$15="No",0,AB67))</f>
        <v>2</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 Demand!S67, Demand!X67, Demand!AC67))</f>
        <v>750</v>
      </c>
      <c r="BD67" s="258">
        <f ca="1">IF(AND(A67&lt;=MaxRows,BE67&lt;&gt;"Yes"),'Demand background (hide)'!X58+IF(Setup!$I$15="Yes",'Demand background (hide)'!AJ58,0),"")</f>
        <v>11702</v>
      </c>
      <c r="BE67" s="208"/>
    </row>
    <row r="68" spans="1:57" ht="15" x14ac:dyDescent="0.25">
      <c r="A68">
        <f t="shared" ca="1" si="0"/>
        <v>56</v>
      </c>
      <c r="B68" s="263" t="str">
        <f t="shared" ca="1" si="1"/>
        <v xml:space="preserve"> </v>
      </c>
      <c r="C68" s="264">
        <f t="shared" ca="1" si="2"/>
        <v>17</v>
      </c>
      <c r="D68" s="491">
        <f t="shared" ca="1" si="3"/>
        <v>43577</v>
      </c>
      <c r="E68" s="191">
        <v>7</v>
      </c>
      <c r="F68" s="191">
        <v>386</v>
      </c>
      <c r="G68" s="192">
        <v>105</v>
      </c>
      <c r="H68" s="191"/>
      <c r="I68" s="250">
        <f>IF(COUNTBLANK(E68:H68)=4,"",SUM(E68:G68)+IF(Setup!$I$15="No",0,H68))</f>
        <v>498</v>
      </c>
      <c r="J68" s="191">
        <v>72</v>
      </c>
      <c r="K68" s="191">
        <v>265</v>
      </c>
      <c r="L68" s="191">
        <v>47</v>
      </c>
      <c r="M68" s="191"/>
      <c r="N68" s="254">
        <f>IF(COUNTBLANK(J68:M68)=4,"",SUM(J68:L68)+IF(Setup!$I$15="No",0,M68))</f>
        <v>384</v>
      </c>
      <c r="O68" s="191">
        <v>4</v>
      </c>
      <c r="P68" s="191"/>
      <c r="Q68" s="191">
        <v>4</v>
      </c>
      <c r="R68" s="191"/>
      <c r="S68" s="254">
        <f>IF(COUNTBLANK(O68:R68)=4,"",SUM(O68:Q68)+IF(Setup!$I$15="No",0,R68))</f>
        <v>8</v>
      </c>
      <c r="T68" s="191">
        <v>10</v>
      </c>
      <c r="U68" s="191">
        <v>2</v>
      </c>
      <c r="V68" s="191">
        <v>5</v>
      </c>
      <c r="W68" s="191"/>
      <c r="X68" s="254">
        <f>IF(COUNTBLANK(T68:W68)=4,"",SUM(T68:V68)+IF(Setup!$I$15="No",0,W68))</f>
        <v>17</v>
      </c>
      <c r="Y68" s="191">
        <v>1</v>
      </c>
      <c r="Z68" s="191"/>
      <c r="AA68" s="191"/>
      <c r="AB68" s="191"/>
      <c r="AC68" s="254">
        <f>IF(COUNTBLANK(Y68:AB68)=4,"",SUM(Y68:AA68)+IF(Setup!$I$15="No",0,AB68))</f>
        <v>1</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 Demand!S68, Demand!X68, Demand!AC68))</f>
        <v>908</v>
      </c>
      <c r="BD68" s="258">
        <f ca="1">IF(AND(A68&lt;=MaxRows,BE68&lt;&gt;"Yes"),'Demand background (hide)'!X59+IF(Setup!$I$15="Yes",'Demand background (hide)'!AJ59,0),"")</f>
        <v>13981</v>
      </c>
      <c r="BE68" s="208"/>
    </row>
    <row r="69" spans="1:57" ht="15" x14ac:dyDescent="0.25">
      <c r="A69">
        <f t="shared" ca="1" si="0"/>
        <v>57</v>
      </c>
      <c r="B69" s="263" t="str">
        <f t="shared" ca="1" si="1"/>
        <v xml:space="preserve"> </v>
      </c>
      <c r="C69" s="264">
        <f t="shared" ca="1" si="2"/>
        <v>18</v>
      </c>
      <c r="D69" s="491">
        <f t="shared" ca="1" si="3"/>
        <v>43584</v>
      </c>
      <c r="E69" s="191">
        <v>3</v>
      </c>
      <c r="F69" s="191">
        <v>376</v>
      </c>
      <c r="G69" s="192">
        <v>88</v>
      </c>
      <c r="H69" s="191"/>
      <c r="I69" s="250">
        <f>IF(COUNTBLANK(E69:H69)=4,"",SUM(E69:G69)+IF(Setup!$I$15="No",0,H69))</f>
        <v>467</v>
      </c>
      <c r="J69" s="191">
        <v>59</v>
      </c>
      <c r="K69" s="191">
        <v>250</v>
      </c>
      <c r="L69" s="191">
        <v>62</v>
      </c>
      <c r="M69" s="191"/>
      <c r="N69" s="254">
        <f>IF(COUNTBLANK(J69:M69)=4,"",SUM(J69:L69)+IF(Setup!$I$15="No",0,M69))</f>
        <v>371</v>
      </c>
      <c r="O69" s="191">
        <v>6</v>
      </c>
      <c r="P69" s="191">
        <v>1</v>
      </c>
      <c r="Q69" s="191">
        <v>6</v>
      </c>
      <c r="R69" s="191"/>
      <c r="S69" s="254">
        <f>IF(COUNTBLANK(O69:R69)=4,"",SUM(O69:Q69)+IF(Setup!$I$15="No",0,R69))</f>
        <v>13</v>
      </c>
      <c r="T69" s="191">
        <v>16</v>
      </c>
      <c r="U69" s="191">
        <v>2</v>
      </c>
      <c r="V69" s="191">
        <v>10</v>
      </c>
      <c r="W69" s="191"/>
      <c r="X69" s="254">
        <f>IF(COUNTBLANK(T69:W69)=4,"",SUM(T69:V69)+IF(Setup!$I$15="No",0,W69))</f>
        <v>28</v>
      </c>
      <c r="Y69" s="191">
        <v>1</v>
      </c>
      <c r="Z69" s="191"/>
      <c r="AA69" s="191">
        <v>1</v>
      </c>
      <c r="AB69" s="191"/>
      <c r="AC69" s="254">
        <f>IF(COUNTBLANK(Y69:AB69)=4,"",SUM(Y69:AA69)+IF(Setup!$I$15="No",0,AB69))</f>
        <v>2</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 Demand!S69, Demand!X69, Demand!AC69))</f>
        <v>881</v>
      </c>
      <c r="BD69" s="258">
        <f ca="1">IF(AND(A69&lt;=MaxRows,BE69&lt;&gt;"Yes"),'Demand background (hide)'!X60+IF(Setup!$I$15="Yes",'Demand background (hide)'!AJ60,0),"")</f>
        <v>13802</v>
      </c>
      <c r="BE69" s="208"/>
    </row>
    <row r="70" spans="1:57" ht="15" x14ac:dyDescent="0.25">
      <c r="A70">
        <f t="shared" ca="1" si="0"/>
        <v>58</v>
      </c>
      <c r="B70" s="263" t="str">
        <f t="shared" ca="1" si="1"/>
        <v xml:space="preserve"> </v>
      </c>
      <c r="C70" s="264">
        <f t="shared" ca="1" si="2"/>
        <v>19</v>
      </c>
      <c r="D70" s="491">
        <f t="shared" ca="1" si="3"/>
        <v>43591</v>
      </c>
      <c r="E70" s="191">
        <v>2</v>
      </c>
      <c r="F70" s="191">
        <v>356</v>
      </c>
      <c r="G70" s="192">
        <v>78</v>
      </c>
      <c r="H70" s="191"/>
      <c r="I70" s="250">
        <f>IF(COUNTBLANK(E70:H70)=4,"",SUM(E70:G70)+IF(Setup!$I$15="No",0,H70))</f>
        <v>436</v>
      </c>
      <c r="J70" s="191">
        <v>65</v>
      </c>
      <c r="K70" s="191">
        <v>255</v>
      </c>
      <c r="L70" s="191">
        <v>41</v>
      </c>
      <c r="M70" s="191"/>
      <c r="N70" s="254">
        <f>IF(COUNTBLANK(J70:M70)=4,"",SUM(J70:L70)+IF(Setup!$I$15="No",0,M70))</f>
        <v>361</v>
      </c>
      <c r="O70" s="191">
        <v>16</v>
      </c>
      <c r="P70" s="191"/>
      <c r="Q70" s="191">
        <v>16</v>
      </c>
      <c r="R70" s="191"/>
      <c r="S70" s="254">
        <f>IF(COUNTBLANK(O70:R70)=4,"",SUM(O70:Q70)+IF(Setup!$I$15="No",0,R70))</f>
        <v>32</v>
      </c>
      <c r="T70" s="191">
        <v>9</v>
      </c>
      <c r="U70" s="191">
        <v>2</v>
      </c>
      <c r="V70" s="191">
        <v>5</v>
      </c>
      <c r="W70" s="191"/>
      <c r="X70" s="254">
        <f>IF(COUNTBLANK(T70:W70)=4,"",SUM(T70:V70)+IF(Setup!$I$15="No",0,W70))</f>
        <v>16</v>
      </c>
      <c r="Y70" s="191">
        <v>1</v>
      </c>
      <c r="Z70" s="191"/>
      <c r="AA70" s="191"/>
      <c r="AB70" s="191"/>
      <c r="AC70" s="254">
        <f>IF(COUNTBLANK(Y70:AB70)=4,"",SUM(Y70:AA70)+IF(Setup!$I$15="No",0,AB70))</f>
        <v>1</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 Demand!S70, Demand!X70, Demand!AC70))</f>
        <v>846</v>
      </c>
      <c r="BD70" s="258">
        <f ca="1">IF(AND(A70&lt;=MaxRows,BE70&lt;&gt;"Yes"),'Demand background (hide)'!X61+IF(Setup!$I$15="Yes",'Demand background (hide)'!AJ61,0),"")</f>
        <v>13396</v>
      </c>
      <c r="BE70" s="208"/>
    </row>
    <row r="71" spans="1:57" ht="15" x14ac:dyDescent="0.25">
      <c r="A71">
        <f t="shared" ca="1" si="0"/>
        <v>59</v>
      </c>
      <c r="B71" s="263" t="str">
        <f t="shared" ca="1" si="1"/>
        <v xml:space="preserve"> </v>
      </c>
      <c r="C71" s="264">
        <f t="shared" ca="1" si="2"/>
        <v>20</v>
      </c>
      <c r="D71" s="491">
        <f t="shared" ca="1" si="3"/>
        <v>43598</v>
      </c>
      <c r="E71" s="191">
        <v>5</v>
      </c>
      <c r="F71" s="191">
        <v>389</v>
      </c>
      <c r="G71" s="192">
        <v>105</v>
      </c>
      <c r="H71" s="191"/>
      <c r="I71" s="250">
        <f>IF(COUNTBLANK(E71:H71)=4,"",SUM(E71:G71)+IF(Setup!$I$15="No",0,H71))</f>
        <v>499</v>
      </c>
      <c r="J71" s="191">
        <v>72</v>
      </c>
      <c r="K71" s="191">
        <v>232</v>
      </c>
      <c r="L71" s="191">
        <v>46</v>
      </c>
      <c r="M71" s="191"/>
      <c r="N71" s="254">
        <f>IF(COUNTBLANK(J71:M71)=4,"",SUM(J71:L71)+IF(Setup!$I$15="No",0,M71))</f>
        <v>350</v>
      </c>
      <c r="O71" s="191">
        <v>6</v>
      </c>
      <c r="P71" s="191"/>
      <c r="Q71" s="191">
        <v>6</v>
      </c>
      <c r="R71" s="191"/>
      <c r="S71" s="254">
        <f>IF(COUNTBLANK(O71:R71)=4,"",SUM(O71:Q71)+IF(Setup!$I$15="No",0,R71))</f>
        <v>12</v>
      </c>
      <c r="T71" s="191">
        <v>17</v>
      </c>
      <c r="U71" s="191">
        <v>4</v>
      </c>
      <c r="V71" s="191">
        <v>12</v>
      </c>
      <c r="W71" s="191"/>
      <c r="X71" s="254">
        <f>IF(COUNTBLANK(T71:W71)=4,"",SUM(T71:V71)+IF(Setup!$I$15="No",0,W71))</f>
        <v>33</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 Demand!S71, Demand!X71, Demand!AC71))</f>
        <v>894</v>
      </c>
      <c r="BD71" s="258">
        <f ca="1">IF(AND(A71&lt;=MaxRows,BE71&lt;&gt;"Yes"),'Demand background (hide)'!X62+IF(Setup!$I$15="Yes",'Demand background (hide)'!AJ62,0),"")</f>
        <v>14085</v>
      </c>
      <c r="BE71" s="208"/>
    </row>
    <row r="72" spans="1:57" ht="15" x14ac:dyDescent="0.25">
      <c r="A72">
        <f t="shared" ca="1" si="0"/>
        <v>60</v>
      </c>
      <c r="B72" s="263" t="str">
        <f t="shared" ca="1" si="1"/>
        <v xml:space="preserve"> </v>
      </c>
      <c r="C72" s="264">
        <f t="shared" ca="1" si="2"/>
        <v>21</v>
      </c>
      <c r="D72" s="491">
        <f t="shared" ca="1" si="3"/>
        <v>43605</v>
      </c>
      <c r="E72" s="191">
        <v>8</v>
      </c>
      <c r="F72" s="191">
        <v>386</v>
      </c>
      <c r="G72" s="192">
        <v>97</v>
      </c>
      <c r="H72" s="191"/>
      <c r="I72" s="250">
        <f>IF(COUNTBLANK(E72:H72)=4,"",SUM(E72:G72)+IF(Setup!$I$15="No",0,H72))</f>
        <v>491</v>
      </c>
      <c r="J72" s="191">
        <v>60</v>
      </c>
      <c r="K72" s="191">
        <v>269</v>
      </c>
      <c r="L72" s="191">
        <v>44</v>
      </c>
      <c r="M72" s="191"/>
      <c r="N72" s="254">
        <f>IF(COUNTBLANK(J72:M72)=4,"",SUM(J72:L72)+IF(Setup!$I$15="No",0,M72))</f>
        <v>373</v>
      </c>
      <c r="O72" s="191">
        <v>12</v>
      </c>
      <c r="P72" s="191"/>
      <c r="Q72" s="191">
        <v>12</v>
      </c>
      <c r="R72" s="191"/>
      <c r="S72" s="254">
        <f>IF(COUNTBLANK(O72:R72)=4,"",SUM(O72:Q72)+IF(Setup!$I$15="No",0,R72))</f>
        <v>24</v>
      </c>
      <c r="T72" s="191">
        <v>11</v>
      </c>
      <c r="U72" s="191">
        <v>4</v>
      </c>
      <c r="V72" s="191">
        <v>4</v>
      </c>
      <c r="W72" s="191"/>
      <c r="X72" s="254">
        <f>IF(COUNTBLANK(T72:W72)=4,"",SUM(T72:V72)+IF(Setup!$I$15="No",0,W72))</f>
        <v>19</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 Demand!S72, Demand!X72, Demand!AC72))</f>
        <v>907</v>
      </c>
      <c r="BD72" s="258">
        <f ca="1">IF(AND(A72&lt;=MaxRows,BE72&lt;&gt;"Yes"),'Demand background (hide)'!X63+IF(Setup!$I$15="Yes",'Demand background (hide)'!AJ63,0),"")</f>
        <v>14250</v>
      </c>
      <c r="BE72" s="208"/>
    </row>
    <row r="73" spans="1:57" ht="15" x14ac:dyDescent="0.25">
      <c r="A73">
        <f t="shared" ca="1" si="0"/>
        <v>61</v>
      </c>
      <c r="B73" s="263" t="str">
        <f t="shared" ca="1" si="1"/>
        <v xml:space="preserve"> </v>
      </c>
      <c r="C73" s="264">
        <f t="shared" ca="1" si="2"/>
        <v>22</v>
      </c>
      <c r="D73" s="491">
        <f t="shared" ca="1" si="3"/>
        <v>43612</v>
      </c>
      <c r="E73" s="191">
        <v>4</v>
      </c>
      <c r="F73" s="191">
        <v>334</v>
      </c>
      <c r="G73" s="192">
        <v>70</v>
      </c>
      <c r="H73" s="191"/>
      <c r="I73" s="250">
        <f>IF(COUNTBLANK(E73:H73)=4,"",SUM(E73:G73)+IF(Setup!$I$15="No",0,H73))</f>
        <v>408</v>
      </c>
      <c r="J73" s="191">
        <v>57</v>
      </c>
      <c r="K73" s="191">
        <v>214</v>
      </c>
      <c r="L73" s="191">
        <v>54</v>
      </c>
      <c r="M73" s="191"/>
      <c r="N73" s="254">
        <f>IF(COUNTBLANK(J73:M73)=4,"",SUM(J73:L73)+IF(Setup!$I$15="No",0,M73))</f>
        <v>325</v>
      </c>
      <c r="O73" s="191">
        <v>7</v>
      </c>
      <c r="P73" s="191">
        <v>4</v>
      </c>
      <c r="Q73" s="191">
        <v>7</v>
      </c>
      <c r="R73" s="191"/>
      <c r="S73" s="254">
        <f>IF(COUNTBLANK(O73:R73)=4,"",SUM(O73:Q73)+IF(Setup!$I$15="No",0,R73))</f>
        <v>18</v>
      </c>
      <c r="T73" s="191">
        <v>17</v>
      </c>
      <c r="U73" s="191">
        <v>3</v>
      </c>
      <c r="V73" s="191">
        <v>5</v>
      </c>
      <c r="W73" s="191"/>
      <c r="X73" s="254">
        <f>IF(COUNTBLANK(T73:W73)=4,"",SUM(T73:V73)+IF(Setup!$I$15="No",0,W73))</f>
        <v>25</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 Demand!S73, Demand!X73, Demand!AC73))</f>
        <v>776</v>
      </c>
      <c r="BD73" s="258">
        <f ca="1">IF(AND(A73&lt;=MaxRows,BE73&lt;&gt;"Yes"),'Demand background (hide)'!X64+IF(Setup!$I$15="Yes",'Demand background (hide)'!AJ64,0),"")</f>
        <v>12285</v>
      </c>
      <c r="BE73" s="208"/>
    </row>
    <row r="74" spans="1:57" ht="15" x14ac:dyDescent="0.25">
      <c r="A74">
        <f t="shared" ca="1" si="0"/>
        <v>62</v>
      </c>
      <c r="B74" s="263" t="str">
        <f t="shared" ca="1" si="1"/>
        <v xml:space="preserve"> </v>
      </c>
      <c r="C74" s="264">
        <f t="shared" ca="1" si="2"/>
        <v>23</v>
      </c>
      <c r="D74" s="491">
        <f t="shared" ca="1" si="3"/>
        <v>43619</v>
      </c>
      <c r="E74" s="191">
        <v>7</v>
      </c>
      <c r="F74" s="191">
        <v>362</v>
      </c>
      <c r="G74" s="192">
        <v>81</v>
      </c>
      <c r="H74" s="191"/>
      <c r="I74" s="250">
        <f>IF(COUNTBLANK(E74:H74)=4,"",SUM(E74:G74)+IF(Setup!$I$15="No",0,H74))</f>
        <v>450</v>
      </c>
      <c r="J74" s="191">
        <v>55</v>
      </c>
      <c r="K74" s="191">
        <v>248</v>
      </c>
      <c r="L74" s="191">
        <v>62</v>
      </c>
      <c r="M74" s="191"/>
      <c r="N74" s="254">
        <f>IF(COUNTBLANK(J74:M74)=4,"",SUM(J74:L74)+IF(Setup!$I$15="No",0,M74))</f>
        <v>365</v>
      </c>
      <c r="O74" s="191">
        <v>13</v>
      </c>
      <c r="P74" s="191">
        <v>1</v>
      </c>
      <c r="Q74" s="191">
        <v>13</v>
      </c>
      <c r="R74" s="191"/>
      <c r="S74" s="254">
        <f>IF(COUNTBLANK(O74:R74)=4,"",SUM(O74:Q74)+IF(Setup!$I$15="No",0,R74))</f>
        <v>27</v>
      </c>
      <c r="T74" s="191">
        <v>17</v>
      </c>
      <c r="U74" s="191">
        <v>4</v>
      </c>
      <c r="V74" s="191">
        <v>6</v>
      </c>
      <c r="W74" s="191"/>
      <c r="X74" s="254">
        <f>IF(COUNTBLANK(T74:W74)=4,"",SUM(T74:V74)+IF(Setup!$I$15="No",0,W74))</f>
        <v>27</v>
      </c>
      <c r="Y74" s="191">
        <v>1</v>
      </c>
      <c r="Z74" s="191"/>
      <c r="AA74" s="191"/>
      <c r="AB74" s="191"/>
      <c r="AC74" s="254">
        <f>IF(COUNTBLANK(Y74:AB74)=4,"",SUM(Y74:AA74)+IF(Setup!$I$15="No",0,AB74))</f>
        <v>1</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 Demand!S74, Demand!X74, Demand!AC74))</f>
        <v>870</v>
      </c>
      <c r="BD74" s="258">
        <f ca="1">IF(AND(A74&lt;=MaxRows,BE74&lt;&gt;"Yes"),'Demand background (hide)'!X65+IF(Setup!$I$15="Yes",'Demand background (hide)'!AJ65,0),"")</f>
        <v>13846</v>
      </c>
      <c r="BE74" s="208"/>
    </row>
    <row r="75" spans="1:57" ht="15" x14ac:dyDescent="0.25">
      <c r="A75">
        <f t="shared" ca="1" si="0"/>
        <v>63</v>
      </c>
      <c r="B75" s="263" t="str">
        <f t="shared" ca="1" si="1"/>
        <v xml:space="preserve"> </v>
      </c>
      <c r="C75" s="264">
        <f t="shared" ca="1" si="2"/>
        <v>24</v>
      </c>
      <c r="D75" s="491">
        <f t="shared" ca="1" si="3"/>
        <v>43626</v>
      </c>
      <c r="E75" s="191">
        <v>7</v>
      </c>
      <c r="F75" s="191">
        <v>367</v>
      </c>
      <c r="G75" s="192">
        <v>95</v>
      </c>
      <c r="H75" s="191"/>
      <c r="I75" s="250">
        <f>IF(COUNTBLANK(E75:H75)=4,"",SUM(E75:G75)+IF(Setup!$I$15="No",0,H75))</f>
        <v>469</v>
      </c>
      <c r="J75" s="191">
        <v>61</v>
      </c>
      <c r="K75" s="191">
        <v>247</v>
      </c>
      <c r="L75" s="191">
        <v>47</v>
      </c>
      <c r="M75" s="191"/>
      <c r="N75" s="254">
        <f>IF(COUNTBLANK(J75:M75)=4,"",SUM(J75:L75)+IF(Setup!$I$15="No",0,M75))</f>
        <v>355</v>
      </c>
      <c r="O75" s="191">
        <v>6</v>
      </c>
      <c r="P75" s="191"/>
      <c r="Q75" s="191">
        <v>6</v>
      </c>
      <c r="R75" s="191"/>
      <c r="S75" s="254">
        <f>IF(COUNTBLANK(O75:R75)=4,"",SUM(O75:Q75)+IF(Setup!$I$15="No",0,R75))</f>
        <v>12</v>
      </c>
      <c r="T75" s="191">
        <v>19</v>
      </c>
      <c r="U75" s="191">
        <v>4</v>
      </c>
      <c r="V75" s="191">
        <v>4</v>
      </c>
      <c r="W75" s="191"/>
      <c r="X75" s="254">
        <f>IF(COUNTBLANK(T75:W75)=4,"",SUM(T75:V75)+IF(Setup!$I$15="No",0,W75))</f>
        <v>27</v>
      </c>
      <c r="Y75" s="191">
        <v>1</v>
      </c>
      <c r="Z75" s="191">
        <v>1</v>
      </c>
      <c r="AA75" s="191"/>
      <c r="AB75" s="191"/>
      <c r="AC75" s="254">
        <f>IF(COUNTBLANK(Y75:AB75)=4,"",SUM(Y75:AA75)+IF(Setup!$I$15="No",0,AB75))</f>
        <v>2</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 Demand!S75, Demand!X75, Demand!AC75))</f>
        <v>865</v>
      </c>
      <c r="BD75" s="258">
        <f ca="1">IF(AND(A75&lt;=MaxRows,BE75&lt;&gt;"Yes"),'Demand background (hide)'!X66+IF(Setup!$I$15="Yes",'Demand background (hide)'!AJ66,0),"")</f>
        <v>13532</v>
      </c>
      <c r="BE75" s="208"/>
    </row>
    <row r="76" spans="1:57" ht="15" x14ac:dyDescent="0.25">
      <c r="A76">
        <f t="shared" ca="1" si="0"/>
        <v>64</v>
      </c>
      <c r="B76" s="263" t="str">
        <f t="shared" ca="1" si="1"/>
        <v xml:space="preserve"> </v>
      </c>
      <c r="C76" s="264">
        <f t="shared" ca="1" si="2"/>
        <v>25</v>
      </c>
      <c r="D76" s="491">
        <f t="shared" ca="1" si="3"/>
        <v>43633</v>
      </c>
      <c r="E76" s="191">
        <v>14</v>
      </c>
      <c r="F76" s="191">
        <v>380</v>
      </c>
      <c r="G76" s="192">
        <v>97</v>
      </c>
      <c r="H76" s="191"/>
      <c r="I76" s="250">
        <f>IF(COUNTBLANK(E76:H76)=4,"",SUM(E76:G76)+IF(Setup!$I$15="No",0,H76))</f>
        <v>491</v>
      </c>
      <c r="J76" s="191">
        <v>61</v>
      </c>
      <c r="K76" s="191">
        <v>240</v>
      </c>
      <c r="L76" s="191">
        <v>58</v>
      </c>
      <c r="M76" s="191"/>
      <c r="N76" s="254">
        <f>IF(COUNTBLANK(J76:M76)=4,"",SUM(J76:L76)+IF(Setup!$I$15="No",0,M76))</f>
        <v>359</v>
      </c>
      <c r="O76" s="191">
        <v>11</v>
      </c>
      <c r="P76" s="191">
        <v>2</v>
      </c>
      <c r="Q76" s="191">
        <v>11</v>
      </c>
      <c r="R76" s="191"/>
      <c r="S76" s="254">
        <f>IF(COUNTBLANK(O76:R76)=4,"",SUM(O76:Q76)+IF(Setup!$I$15="No",0,R76))</f>
        <v>24</v>
      </c>
      <c r="T76" s="191">
        <v>25</v>
      </c>
      <c r="U76" s="191">
        <v>6</v>
      </c>
      <c r="V76" s="191">
        <v>6</v>
      </c>
      <c r="W76" s="191"/>
      <c r="X76" s="254">
        <f>IF(COUNTBLANK(T76:W76)=4,"",SUM(T76:V76)+IF(Setup!$I$15="No",0,W76))</f>
        <v>37</v>
      </c>
      <c r="Y76" s="191">
        <v>3</v>
      </c>
      <c r="Z76" s="191">
        <v>1</v>
      </c>
      <c r="AA76" s="191"/>
      <c r="AB76" s="191"/>
      <c r="AC76" s="254">
        <f>IF(COUNTBLANK(Y76:AB76)=4,"",SUM(Y76:AA76)+IF(Setup!$I$15="No",0,AB76))</f>
        <v>4</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 Demand!S76, Demand!X76, Demand!AC76))</f>
        <v>915</v>
      </c>
      <c r="BD76" s="258">
        <f ca="1">IF(AND(A76&lt;=MaxRows,BE76&lt;&gt;"Yes"),'Demand background (hide)'!X67+IF(Setup!$I$15="Yes",'Demand background (hide)'!AJ67,0),"")</f>
        <v>14584</v>
      </c>
      <c r="BE76" s="208"/>
    </row>
    <row r="77" spans="1:57" ht="15" x14ac:dyDescent="0.25">
      <c r="A77">
        <f t="shared" ref="A77:A140" ca="1" si="4">IF(BC77&lt;&gt;"",ROW(A65),"")</f>
        <v>65</v>
      </c>
      <c r="B77" s="263" t="str">
        <f t="shared" ca="1" si="1"/>
        <v xml:space="preserve"> </v>
      </c>
      <c r="C77" s="264">
        <f t="shared" ca="1" si="2"/>
        <v>26</v>
      </c>
      <c r="D77" s="491">
        <f t="shared" ca="1" si="3"/>
        <v>43640</v>
      </c>
      <c r="E77" s="191">
        <v>6</v>
      </c>
      <c r="F77" s="191">
        <v>384</v>
      </c>
      <c r="G77" s="192">
        <v>88</v>
      </c>
      <c r="H77" s="191"/>
      <c r="I77" s="250">
        <f>IF(COUNTBLANK(E77:H77)=4,"",SUM(E77:G77)+IF(Setup!$I$15="No",0,H77))</f>
        <v>478</v>
      </c>
      <c r="J77" s="191">
        <v>60</v>
      </c>
      <c r="K77" s="191">
        <v>263</v>
      </c>
      <c r="L77" s="191">
        <v>74</v>
      </c>
      <c r="M77" s="191"/>
      <c r="N77" s="254">
        <f>IF(COUNTBLANK(J77:M77)=4,"",SUM(J77:L77)+IF(Setup!$I$15="No",0,M77))</f>
        <v>397</v>
      </c>
      <c r="O77" s="191">
        <v>11</v>
      </c>
      <c r="P77" s="191">
        <v>1</v>
      </c>
      <c r="Q77" s="191">
        <v>11</v>
      </c>
      <c r="R77" s="191"/>
      <c r="S77" s="254">
        <f>IF(COUNTBLANK(O77:R77)=4,"",SUM(O77:Q77)+IF(Setup!$I$15="No",0,R77))</f>
        <v>23</v>
      </c>
      <c r="T77" s="191">
        <v>8</v>
      </c>
      <c r="U77" s="191">
        <v>5</v>
      </c>
      <c r="V77" s="191">
        <v>4</v>
      </c>
      <c r="W77" s="191"/>
      <c r="X77" s="254">
        <f>IF(COUNTBLANK(T77:W77)=4,"",SUM(T77:V77)+IF(Setup!$I$15="No",0,W77))</f>
        <v>17</v>
      </c>
      <c r="Y77" s="191">
        <v>1</v>
      </c>
      <c r="Z77" s="191">
        <v>2</v>
      </c>
      <c r="AA77" s="191"/>
      <c r="AB77" s="191"/>
      <c r="AC77" s="254">
        <f>IF(COUNTBLANK(Y77:AB77)=4,"",SUM(Y77:AA77)+IF(Setup!$I$15="No",0,AB77))</f>
        <v>3</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 Demand!S77, Demand!X77, Demand!AC77))</f>
        <v>918</v>
      </c>
      <c r="BD77" s="258">
        <f ca="1">IF(AND(A77&lt;=MaxRows,BE77&lt;&gt;"Yes"),'Demand background (hide)'!X68+IF(Setup!$I$15="Yes",'Demand background (hide)'!AJ68,0),"")</f>
        <v>14328</v>
      </c>
      <c r="BE77" s="208"/>
    </row>
    <row r="78" spans="1:57" ht="15"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27</v>
      </c>
      <c r="D78" s="491">
        <f t="shared" ref="D78:D141" ca="1" si="7">IF(OR(AND(ROW(A66)&lt;=MaxRows,$C$6&lt;&gt;""),AND(ROW(A78)&lt;=64,LEFT($C$8,1)&lt;&gt;"H")),D77+7,"")</f>
        <v>43647</v>
      </c>
      <c r="E78" s="191">
        <v>7</v>
      </c>
      <c r="F78" s="191">
        <v>383</v>
      </c>
      <c r="G78" s="192">
        <v>86</v>
      </c>
      <c r="H78" s="191"/>
      <c r="I78" s="250">
        <f>IF(COUNTBLANK(E78:H78)=4,"",SUM(E78:G78)+IF(Setup!$I$15="No",0,H78))</f>
        <v>476</v>
      </c>
      <c r="J78" s="191">
        <v>66</v>
      </c>
      <c r="K78" s="191">
        <v>240</v>
      </c>
      <c r="L78" s="191">
        <v>47</v>
      </c>
      <c r="M78" s="191"/>
      <c r="N78" s="254">
        <f>IF(COUNTBLANK(J78:M78)=4,"",SUM(J78:L78)+IF(Setup!$I$15="No",0,M78))</f>
        <v>353</v>
      </c>
      <c r="O78" s="191">
        <v>12</v>
      </c>
      <c r="P78" s="191">
        <v>4</v>
      </c>
      <c r="Q78" s="191">
        <v>12</v>
      </c>
      <c r="R78" s="191"/>
      <c r="S78" s="254">
        <f>IF(COUNTBLANK(O78:R78)=4,"",SUM(O78:Q78)+IF(Setup!$I$15="No",0,R78))</f>
        <v>28</v>
      </c>
      <c r="T78" s="191">
        <v>8</v>
      </c>
      <c r="U78" s="191">
        <v>3</v>
      </c>
      <c r="V78" s="191">
        <v>9</v>
      </c>
      <c r="W78" s="191"/>
      <c r="X78" s="254">
        <f>IF(COUNTBLANK(T78:W78)=4,"",SUM(T78:V78)+IF(Setup!$I$15="No",0,W78))</f>
        <v>20</v>
      </c>
      <c r="Y78" s="191">
        <v>1</v>
      </c>
      <c r="Z78" s="191">
        <v>1</v>
      </c>
      <c r="AA78" s="191"/>
      <c r="AB78" s="191"/>
      <c r="AC78" s="254">
        <f>IF(COUNTBLANK(Y78:AB78)=4,"",SUM(Y78:AA78)+IF(Setup!$I$15="No",0,AB78))</f>
        <v>2</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 Demand!S78, Demand!X78, Demand!AC78))</f>
        <v>879</v>
      </c>
      <c r="BD78" s="258">
        <f ca="1">IF(AND(A78&lt;=MaxRows,BE78&lt;&gt;"Yes"),'Demand background (hide)'!X69+IF(Setup!$I$15="Yes",'Demand background (hide)'!AJ69,0),"")</f>
        <v>13877</v>
      </c>
      <c r="BE78" s="208"/>
    </row>
    <row r="79" spans="1:57" ht="15" x14ac:dyDescent="0.25">
      <c r="A79">
        <f t="shared" ca="1" si="4"/>
        <v>67</v>
      </c>
      <c r="B79" s="263" t="str">
        <f t="shared" ca="1" si="5"/>
        <v xml:space="preserve"> </v>
      </c>
      <c r="C79" s="264">
        <f t="shared" ca="1" si="6"/>
        <v>28</v>
      </c>
      <c r="D79" s="491">
        <f t="shared" ca="1" si="7"/>
        <v>43654</v>
      </c>
      <c r="E79" s="191">
        <v>13</v>
      </c>
      <c r="F79" s="191">
        <v>366</v>
      </c>
      <c r="G79" s="192">
        <v>69</v>
      </c>
      <c r="H79" s="191"/>
      <c r="I79" s="250">
        <f>IF(COUNTBLANK(E79:H79)=4,"",SUM(E79:G79)+IF(Setup!$I$15="No",0,H79))</f>
        <v>448</v>
      </c>
      <c r="J79" s="191">
        <v>55</v>
      </c>
      <c r="K79" s="191">
        <v>267</v>
      </c>
      <c r="L79" s="191">
        <v>51</v>
      </c>
      <c r="M79" s="191"/>
      <c r="N79" s="254">
        <f>IF(COUNTBLANK(J79:M79)=4,"",SUM(J79:L79)+IF(Setup!$I$15="No",0,M79))</f>
        <v>373</v>
      </c>
      <c r="O79" s="191">
        <v>10</v>
      </c>
      <c r="P79" s="191">
        <v>2</v>
      </c>
      <c r="Q79" s="191">
        <v>10</v>
      </c>
      <c r="R79" s="191"/>
      <c r="S79" s="254">
        <f>IF(COUNTBLANK(O79:R79)=4,"",SUM(O79:Q79)+IF(Setup!$I$15="No",0,R79))</f>
        <v>22</v>
      </c>
      <c r="T79" s="191">
        <v>10</v>
      </c>
      <c r="U79" s="191">
        <v>5</v>
      </c>
      <c r="V79" s="191">
        <v>6</v>
      </c>
      <c r="W79" s="191"/>
      <c r="X79" s="254">
        <f>IF(COUNTBLANK(T79:W79)=4,"",SUM(T79:V79)+IF(Setup!$I$15="No",0,W79))</f>
        <v>21</v>
      </c>
      <c r="Y79" s="191">
        <v>2</v>
      </c>
      <c r="Z79" s="191"/>
      <c r="AA79" s="191"/>
      <c r="AB79" s="191"/>
      <c r="AC79" s="254">
        <f>IF(COUNTBLANK(Y79:AB79)=4,"",SUM(Y79:AA79)+IF(Setup!$I$15="No",0,AB79))</f>
        <v>2</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 Demand!S79, Demand!X79, Demand!AC79))</f>
        <v>866</v>
      </c>
      <c r="BD79" s="258">
        <f ca="1">IF(AND(A79&lt;=MaxRows,BE79&lt;&gt;"Yes"),'Demand background (hide)'!X70+IF(Setup!$I$15="Yes",'Demand background (hide)'!AJ70,0),"")</f>
        <v>13607</v>
      </c>
      <c r="BE79" s="208"/>
    </row>
    <row r="80" spans="1:57" ht="15" x14ac:dyDescent="0.25">
      <c r="A80">
        <f t="shared" ca="1" si="4"/>
        <v>68</v>
      </c>
      <c r="B80" s="263" t="str">
        <f t="shared" ca="1" si="5"/>
        <v xml:space="preserve"> </v>
      </c>
      <c r="C80" s="264">
        <f t="shared" ca="1" si="6"/>
        <v>29</v>
      </c>
      <c r="D80" s="491">
        <f t="shared" ca="1" si="7"/>
        <v>43661</v>
      </c>
      <c r="E80" s="191">
        <v>8</v>
      </c>
      <c r="F80" s="191">
        <v>359</v>
      </c>
      <c r="G80" s="192">
        <v>78</v>
      </c>
      <c r="H80" s="191"/>
      <c r="I80" s="250">
        <f>IF(COUNTBLANK(E80:H80)=4,"",SUM(E80:G80)+IF(Setup!$I$15="No",0,H80))</f>
        <v>445</v>
      </c>
      <c r="J80" s="191">
        <v>61</v>
      </c>
      <c r="K80" s="191">
        <v>282</v>
      </c>
      <c r="L80" s="191">
        <v>63</v>
      </c>
      <c r="M80" s="191"/>
      <c r="N80" s="254">
        <f>IF(COUNTBLANK(J80:M80)=4,"",SUM(J80:L80)+IF(Setup!$I$15="No",0,M80))</f>
        <v>406</v>
      </c>
      <c r="O80" s="191">
        <v>15</v>
      </c>
      <c r="P80" s="191">
        <v>2</v>
      </c>
      <c r="Q80" s="191">
        <v>15</v>
      </c>
      <c r="R80" s="191"/>
      <c r="S80" s="254">
        <f>IF(COUNTBLANK(O80:R80)=4,"",SUM(O80:Q80)+IF(Setup!$I$15="No",0,R80))</f>
        <v>32</v>
      </c>
      <c r="T80" s="191">
        <v>9</v>
      </c>
      <c r="U80" s="191">
        <v>2</v>
      </c>
      <c r="V80" s="191">
        <v>6</v>
      </c>
      <c r="W80" s="191"/>
      <c r="X80" s="254">
        <f>IF(COUNTBLANK(T80:W80)=4,"",SUM(T80:V80)+IF(Setup!$I$15="No",0,W80))</f>
        <v>17</v>
      </c>
      <c r="Y80" s="191">
        <v>1</v>
      </c>
      <c r="Z80" s="191"/>
      <c r="AA80" s="191"/>
      <c r="AB80" s="191"/>
      <c r="AC80" s="254">
        <f>IF(COUNTBLANK(Y80:AB80)=4,"",SUM(Y80:AA80)+IF(Setup!$I$15="No",0,AB80))</f>
        <v>1</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 Demand!S80, Demand!X80, Demand!AC80))</f>
        <v>901</v>
      </c>
      <c r="BD80" s="258">
        <f ca="1">IF(AND(A80&lt;=MaxRows,BE80&lt;&gt;"Yes"),'Demand background (hide)'!X71+IF(Setup!$I$15="Yes",'Demand background (hide)'!AJ71,0),"")</f>
        <v>14236</v>
      </c>
      <c r="BE80" s="208"/>
    </row>
    <row r="81" spans="1:57" ht="15" x14ac:dyDescent="0.25">
      <c r="A81">
        <f t="shared" ca="1" si="4"/>
        <v>69</v>
      </c>
      <c r="B81" s="263" t="str">
        <f t="shared" ca="1" si="5"/>
        <v xml:space="preserve"> </v>
      </c>
      <c r="C81" s="264">
        <f t="shared" ca="1" si="6"/>
        <v>30</v>
      </c>
      <c r="D81" s="491">
        <f t="shared" ca="1" si="7"/>
        <v>43668</v>
      </c>
      <c r="E81" s="191">
        <v>1</v>
      </c>
      <c r="F81" s="191">
        <v>358</v>
      </c>
      <c r="G81" s="192">
        <v>96</v>
      </c>
      <c r="H81" s="191"/>
      <c r="I81" s="250">
        <f>IF(COUNTBLANK(E81:H81)=4,"",SUM(E81:G81)+IF(Setup!$I$15="No",0,H81))</f>
        <v>455</v>
      </c>
      <c r="J81" s="191">
        <v>57</v>
      </c>
      <c r="K81" s="191">
        <v>255</v>
      </c>
      <c r="L81" s="191">
        <v>58</v>
      </c>
      <c r="M81" s="191"/>
      <c r="N81" s="254">
        <f>IF(COUNTBLANK(J81:M81)=4,"",SUM(J81:L81)+IF(Setup!$I$15="No",0,M81))</f>
        <v>370</v>
      </c>
      <c r="O81" s="191">
        <v>12</v>
      </c>
      <c r="P81" s="191"/>
      <c r="Q81" s="191">
        <v>12</v>
      </c>
      <c r="R81" s="191"/>
      <c r="S81" s="254">
        <f>IF(COUNTBLANK(O81:R81)=4,"",SUM(O81:Q81)+IF(Setup!$I$15="No",0,R81))</f>
        <v>24</v>
      </c>
      <c r="T81" s="191">
        <v>13</v>
      </c>
      <c r="U81" s="191">
        <v>2</v>
      </c>
      <c r="V81" s="191">
        <v>8</v>
      </c>
      <c r="W81" s="191"/>
      <c r="X81" s="254">
        <f>IF(COUNTBLANK(T81:W81)=4,"",SUM(T81:V81)+IF(Setup!$I$15="No",0,W81))</f>
        <v>23</v>
      </c>
      <c r="Y81" s="191">
        <v>4</v>
      </c>
      <c r="Z81" s="191"/>
      <c r="AA81" s="191"/>
      <c r="AB81" s="191"/>
      <c r="AC81" s="254">
        <f>IF(COUNTBLANK(Y81:AB81)=4,"",SUM(Y81:AA81)+IF(Setup!$I$15="No",0,AB81))</f>
        <v>4</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 Demand!S81, Demand!X81, Demand!AC81))</f>
        <v>876</v>
      </c>
      <c r="BD81" s="258">
        <f ca="1">IF(AND(A81&lt;=MaxRows,BE81&lt;&gt;"Yes"),'Demand background (hide)'!X72+IF(Setup!$I$15="Yes",'Demand background (hide)'!AJ72,0),"")</f>
        <v>13789</v>
      </c>
      <c r="BE81" s="208"/>
    </row>
    <row r="82" spans="1:57" ht="15" x14ac:dyDescent="0.25">
      <c r="A82">
        <f t="shared" ca="1" si="4"/>
        <v>70</v>
      </c>
      <c r="B82" s="263" t="str">
        <f t="shared" ca="1" si="5"/>
        <v xml:space="preserve"> </v>
      </c>
      <c r="C82" s="264">
        <f t="shared" ca="1" si="6"/>
        <v>31</v>
      </c>
      <c r="D82" s="491">
        <f t="shared" ca="1" si="7"/>
        <v>43675</v>
      </c>
      <c r="E82" s="191">
        <v>8</v>
      </c>
      <c r="F82" s="191">
        <v>365</v>
      </c>
      <c r="G82" s="192">
        <v>95</v>
      </c>
      <c r="H82" s="191"/>
      <c r="I82" s="250">
        <f>IF(COUNTBLANK(E82:H82)=4,"",SUM(E82:G82)+IF(Setup!$I$15="No",0,H82))</f>
        <v>468</v>
      </c>
      <c r="J82" s="191">
        <v>56</v>
      </c>
      <c r="K82" s="191">
        <v>266</v>
      </c>
      <c r="L82" s="191">
        <v>62</v>
      </c>
      <c r="M82" s="191"/>
      <c r="N82" s="254">
        <f>IF(COUNTBLANK(J82:M82)=4,"",SUM(J82:L82)+IF(Setup!$I$15="No",0,M82))</f>
        <v>384</v>
      </c>
      <c r="O82" s="191">
        <v>5</v>
      </c>
      <c r="P82" s="191"/>
      <c r="Q82" s="191">
        <v>5</v>
      </c>
      <c r="R82" s="191"/>
      <c r="S82" s="254">
        <f>IF(COUNTBLANK(O82:R82)=4,"",SUM(O82:Q82)+IF(Setup!$I$15="No",0,R82))</f>
        <v>10</v>
      </c>
      <c r="T82" s="191">
        <v>21</v>
      </c>
      <c r="U82" s="191">
        <v>3</v>
      </c>
      <c r="V82" s="191">
        <v>3</v>
      </c>
      <c r="W82" s="191"/>
      <c r="X82" s="254">
        <f>IF(COUNTBLANK(T82:W82)=4,"",SUM(T82:V82)+IF(Setup!$I$15="No",0,W82))</f>
        <v>27</v>
      </c>
      <c r="Y82" s="191">
        <v>1</v>
      </c>
      <c r="Z82" s="191"/>
      <c r="AA82" s="191"/>
      <c r="AB82" s="191"/>
      <c r="AC82" s="254">
        <f>IF(COUNTBLANK(Y82:AB82)=4,"",SUM(Y82:AA82)+IF(Setup!$I$15="No",0,AB82))</f>
        <v>1</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 Demand!S82, Demand!X82, Demand!AC82))</f>
        <v>890</v>
      </c>
      <c r="BD82" s="258">
        <f ca="1">IF(AND(A82&lt;=MaxRows,BE82&lt;&gt;"Yes"),'Demand background (hide)'!X73+IF(Setup!$I$15="Yes",'Demand background (hide)'!AJ73,0),"")</f>
        <v>13891</v>
      </c>
      <c r="BE82" s="208"/>
    </row>
    <row r="83" spans="1:57" ht="15" x14ac:dyDescent="0.25">
      <c r="A83">
        <f t="shared" ca="1" si="4"/>
        <v>71</v>
      </c>
      <c r="B83" s="263" t="str">
        <f t="shared" ca="1" si="5"/>
        <v xml:space="preserve"> </v>
      </c>
      <c r="C83" s="264">
        <f t="shared" ca="1" si="6"/>
        <v>32</v>
      </c>
      <c r="D83" s="491">
        <f t="shared" ca="1" si="7"/>
        <v>43682</v>
      </c>
      <c r="E83" s="191">
        <v>8</v>
      </c>
      <c r="F83" s="191">
        <v>376</v>
      </c>
      <c r="G83" s="192">
        <v>63</v>
      </c>
      <c r="H83" s="191"/>
      <c r="I83" s="250">
        <f>IF(COUNTBLANK(E83:H83)=4,"",SUM(E83:G83)+IF(Setup!$I$15="No",0,H83))</f>
        <v>447</v>
      </c>
      <c r="J83" s="191">
        <v>52</v>
      </c>
      <c r="K83" s="191">
        <v>280</v>
      </c>
      <c r="L83" s="191">
        <v>55</v>
      </c>
      <c r="M83" s="191"/>
      <c r="N83" s="254">
        <f>IF(COUNTBLANK(J83:M83)=4,"",SUM(J83:L83)+IF(Setup!$I$15="No",0,M83))</f>
        <v>387</v>
      </c>
      <c r="O83" s="191">
        <v>10</v>
      </c>
      <c r="P83" s="191"/>
      <c r="Q83" s="191">
        <v>10</v>
      </c>
      <c r="R83" s="191"/>
      <c r="S83" s="254">
        <f>IF(COUNTBLANK(O83:R83)=4,"",SUM(O83:Q83)+IF(Setup!$I$15="No",0,R83))</f>
        <v>20</v>
      </c>
      <c r="T83" s="191">
        <v>6</v>
      </c>
      <c r="U83" s="191">
        <v>6</v>
      </c>
      <c r="V83" s="191">
        <v>5</v>
      </c>
      <c r="W83" s="191"/>
      <c r="X83" s="254">
        <f>IF(COUNTBLANK(T83:W83)=4,"",SUM(T83:V83)+IF(Setup!$I$15="No",0,W83))</f>
        <v>17</v>
      </c>
      <c r="Y83" s="191"/>
      <c r="Z83" s="191">
        <v>1</v>
      </c>
      <c r="AA83" s="191"/>
      <c r="AB83" s="191"/>
      <c r="AC83" s="254">
        <f>IF(COUNTBLANK(Y83:AB83)=4,"",SUM(Y83:AA83)+IF(Setup!$I$15="No",0,AB83))</f>
        <v>1</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 Demand!S83, Demand!X83, Demand!AC83))</f>
        <v>872</v>
      </c>
      <c r="BD83" s="258">
        <f ca="1">IF(AND(A83&lt;=MaxRows,BE83&lt;&gt;"Yes"),'Demand background (hide)'!X74+IF(Setup!$I$15="Yes",'Demand background (hide)'!AJ74,0),"")</f>
        <v>13621</v>
      </c>
      <c r="BE83" s="208"/>
    </row>
    <row r="84" spans="1:57" ht="15" x14ac:dyDescent="0.25">
      <c r="A84">
        <f t="shared" ca="1" si="4"/>
        <v>72</v>
      </c>
      <c r="B84" s="263" t="str">
        <f t="shared" ca="1" si="5"/>
        <v xml:space="preserve"> </v>
      </c>
      <c r="C84" s="264">
        <f t="shared" ca="1" si="6"/>
        <v>33</v>
      </c>
      <c r="D84" s="491">
        <f t="shared" ca="1" si="7"/>
        <v>43689</v>
      </c>
      <c r="E84" s="191">
        <v>4</v>
      </c>
      <c r="F84" s="191">
        <v>366</v>
      </c>
      <c r="G84" s="192">
        <v>107</v>
      </c>
      <c r="H84" s="191"/>
      <c r="I84" s="250">
        <f>IF(COUNTBLANK(E84:H84)=4,"",SUM(E84:G84)+IF(Setup!$I$15="No",0,H84))</f>
        <v>477</v>
      </c>
      <c r="J84" s="191">
        <v>63</v>
      </c>
      <c r="K84" s="191">
        <v>242</v>
      </c>
      <c r="L84" s="191">
        <v>53</v>
      </c>
      <c r="M84" s="191"/>
      <c r="N84" s="254">
        <f>IF(COUNTBLANK(J84:M84)=4,"",SUM(J84:L84)+IF(Setup!$I$15="No",0,M84))</f>
        <v>358</v>
      </c>
      <c r="O84" s="191">
        <v>15</v>
      </c>
      <c r="P84" s="191"/>
      <c r="Q84" s="191">
        <v>15</v>
      </c>
      <c r="R84" s="191"/>
      <c r="S84" s="254">
        <f>IF(COUNTBLANK(O84:R84)=4,"",SUM(O84:Q84)+IF(Setup!$I$15="No",0,R84))</f>
        <v>30</v>
      </c>
      <c r="T84" s="191">
        <v>16</v>
      </c>
      <c r="U84" s="191">
        <v>3</v>
      </c>
      <c r="V84" s="191">
        <v>5</v>
      </c>
      <c r="W84" s="191"/>
      <c r="X84" s="254">
        <f>IF(COUNTBLANK(T84:W84)=4,"",SUM(T84:V84)+IF(Setup!$I$15="No",0,W84))</f>
        <v>24</v>
      </c>
      <c r="Y84" s="191">
        <v>1</v>
      </c>
      <c r="Z84" s="191"/>
      <c r="AA84" s="191"/>
      <c r="AB84" s="191"/>
      <c r="AC84" s="254">
        <f>IF(COUNTBLANK(Y84:AB84)=4,"",SUM(Y84:AA84)+IF(Setup!$I$15="No",0,AB84))</f>
        <v>1</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 Demand!S84, Demand!X84, Demand!AC84))</f>
        <v>890</v>
      </c>
      <c r="BD84" s="258">
        <f ca="1">IF(AND(A84&lt;=MaxRows,BE84&lt;&gt;"Yes"),'Demand background (hide)'!X75+IF(Setup!$I$15="Yes",'Demand background (hide)'!AJ75,0),"")</f>
        <v>14146</v>
      </c>
      <c r="BE84" s="208"/>
    </row>
    <row r="85" spans="1:57" ht="15" x14ac:dyDescent="0.25">
      <c r="A85">
        <f t="shared" ca="1" si="4"/>
        <v>73</v>
      </c>
      <c r="B85" s="263" t="str">
        <f t="shared" ca="1" si="5"/>
        <v xml:space="preserve"> </v>
      </c>
      <c r="C85" s="264">
        <f t="shared" ca="1" si="6"/>
        <v>34</v>
      </c>
      <c r="D85" s="491">
        <f t="shared" ca="1" si="7"/>
        <v>43696</v>
      </c>
      <c r="E85" s="191">
        <v>7</v>
      </c>
      <c r="F85" s="191">
        <v>422</v>
      </c>
      <c r="G85" s="192">
        <v>73</v>
      </c>
      <c r="H85" s="191"/>
      <c r="I85" s="250">
        <f>IF(COUNTBLANK(E85:H85)=4,"",SUM(E85:G85)+IF(Setup!$I$15="No",0,H85))</f>
        <v>502</v>
      </c>
      <c r="J85" s="191">
        <v>46</v>
      </c>
      <c r="K85" s="191">
        <v>260</v>
      </c>
      <c r="L85" s="191">
        <v>53</v>
      </c>
      <c r="M85" s="191"/>
      <c r="N85" s="254">
        <f>IF(COUNTBLANK(J85:M85)=4,"",SUM(J85:L85)+IF(Setup!$I$15="No",0,M85))</f>
        <v>359</v>
      </c>
      <c r="O85" s="191">
        <v>14</v>
      </c>
      <c r="P85" s="191"/>
      <c r="Q85" s="191">
        <v>14</v>
      </c>
      <c r="R85" s="191"/>
      <c r="S85" s="254">
        <f>IF(COUNTBLANK(O85:R85)=4,"",SUM(O85:Q85)+IF(Setup!$I$15="No",0,R85))</f>
        <v>28</v>
      </c>
      <c r="T85" s="191">
        <v>14</v>
      </c>
      <c r="U85" s="191">
        <v>2</v>
      </c>
      <c r="V85" s="191">
        <v>2</v>
      </c>
      <c r="W85" s="191"/>
      <c r="X85" s="254">
        <f>IF(COUNTBLANK(T85:W85)=4,"",SUM(T85:V85)+IF(Setup!$I$15="No",0,W85))</f>
        <v>18</v>
      </c>
      <c r="Y85" s="191">
        <v>1</v>
      </c>
      <c r="Z85" s="191">
        <v>1</v>
      </c>
      <c r="AA85" s="191"/>
      <c r="AB85" s="191"/>
      <c r="AC85" s="254">
        <f>IF(COUNTBLANK(Y85:AB85)=4,"",SUM(Y85:AA85)+IF(Setup!$I$15="No",0,AB85))</f>
        <v>2</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 Demand!S85, Demand!X85, Demand!AC85))</f>
        <v>909</v>
      </c>
      <c r="BD85" s="258">
        <f ca="1">IF(AND(A85&lt;=MaxRows,BE85&lt;&gt;"Yes"),'Demand background (hide)'!X76+IF(Setup!$I$15="Yes",'Demand background (hide)'!AJ76,0),"")</f>
        <v>14297</v>
      </c>
      <c r="BE85" s="208"/>
    </row>
    <row r="86" spans="1:57" ht="15" x14ac:dyDescent="0.25">
      <c r="A86">
        <f t="shared" ca="1" si="4"/>
        <v>74</v>
      </c>
      <c r="B86" s="263" t="str">
        <f t="shared" ca="1" si="5"/>
        <v xml:space="preserve"> </v>
      </c>
      <c r="C86" s="264">
        <f t="shared" ca="1" si="6"/>
        <v>35</v>
      </c>
      <c r="D86" s="491">
        <f t="shared" ca="1" si="7"/>
        <v>43703</v>
      </c>
      <c r="E86" s="191">
        <v>5</v>
      </c>
      <c r="F86" s="191">
        <v>349</v>
      </c>
      <c r="G86" s="192">
        <v>63</v>
      </c>
      <c r="H86" s="191"/>
      <c r="I86" s="250">
        <f>IF(COUNTBLANK(E86:H86)=4,"",SUM(E86:G86)+IF(Setup!$I$15="No",0,H86))</f>
        <v>417</v>
      </c>
      <c r="J86" s="191">
        <v>67</v>
      </c>
      <c r="K86" s="191">
        <v>232</v>
      </c>
      <c r="L86" s="191">
        <v>48</v>
      </c>
      <c r="M86" s="191"/>
      <c r="N86" s="254">
        <f>IF(COUNTBLANK(J86:M86)=4,"",SUM(J86:L86)+IF(Setup!$I$15="No",0,M86))</f>
        <v>347</v>
      </c>
      <c r="O86" s="191">
        <v>13</v>
      </c>
      <c r="P86" s="191"/>
      <c r="Q86" s="191">
        <v>13</v>
      </c>
      <c r="R86" s="191"/>
      <c r="S86" s="254">
        <f>IF(COUNTBLANK(O86:R86)=4,"",SUM(O86:Q86)+IF(Setup!$I$15="No",0,R86))</f>
        <v>26</v>
      </c>
      <c r="T86" s="191">
        <v>17</v>
      </c>
      <c r="U86" s="191">
        <v>3</v>
      </c>
      <c r="V86" s="191">
        <v>1</v>
      </c>
      <c r="W86" s="191"/>
      <c r="X86" s="254">
        <f>IF(COUNTBLANK(T86:W86)=4,"",SUM(T86:V86)+IF(Setup!$I$15="No",0,W86))</f>
        <v>21</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 Demand!S86, Demand!X86, Demand!AC86))</f>
        <v>811</v>
      </c>
      <c r="BD86" s="258">
        <f ca="1">IF(AND(A86&lt;=MaxRows,BE86&lt;&gt;"Yes"),'Demand background (hide)'!X77+IF(Setup!$I$15="Yes",'Demand background (hide)'!AJ77,0),"")</f>
        <v>12870</v>
      </c>
      <c r="BE86" s="208"/>
    </row>
    <row r="87" spans="1:57" ht="15" x14ac:dyDescent="0.25">
      <c r="A87">
        <f t="shared" ca="1" si="4"/>
        <v>75</v>
      </c>
      <c r="B87" s="263" t="str">
        <f t="shared" ca="1" si="5"/>
        <v xml:space="preserve"> </v>
      </c>
      <c r="C87" s="264">
        <f t="shared" ca="1" si="6"/>
        <v>36</v>
      </c>
      <c r="D87" s="491">
        <f t="shared" ca="1" si="7"/>
        <v>43710</v>
      </c>
      <c r="E87" s="191">
        <v>4</v>
      </c>
      <c r="F87" s="191">
        <v>419</v>
      </c>
      <c r="G87" s="192">
        <v>81</v>
      </c>
      <c r="H87" s="191"/>
      <c r="I87" s="250">
        <f>IF(COUNTBLANK(E87:H87)=4,"",SUM(E87:G87)+IF(Setup!$I$15="No",0,H87))</f>
        <v>504</v>
      </c>
      <c r="J87" s="191">
        <v>83</v>
      </c>
      <c r="K87" s="191">
        <v>239</v>
      </c>
      <c r="L87" s="191">
        <v>38</v>
      </c>
      <c r="M87" s="191"/>
      <c r="N87" s="254">
        <f>IF(COUNTBLANK(J87:M87)=4,"",SUM(J87:L87)+IF(Setup!$I$15="No",0,M87))</f>
        <v>360</v>
      </c>
      <c r="O87" s="191">
        <v>6</v>
      </c>
      <c r="P87" s="191"/>
      <c r="Q87" s="191">
        <v>6</v>
      </c>
      <c r="R87" s="191"/>
      <c r="S87" s="254">
        <f>IF(COUNTBLANK(O87:R87)=4,"",SUM(O87:Q87)+IF(Setup!$I$15="No",0,R87))</f>
        <v>12</v>
      </c>
      <c r="T87" s="191">
        <v>17</v>
      </c>
      <c r="U87" s="191">
        <v>7</v>
      </c>
      <c r="V87" s="191">
        <v>6</v>
      </c>
      <c r="W87" s="191"/>
      <c r="X87" s="254">
        <f>IF(COUNTBLANK(T87:W87)=4,"",SUM(T87:V87)+IF(Setup!$I$15="No",0,W87))</f>
        <v>30</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 Demand!S87, Demand!X87, Demand!AC87))</f>
        <v>906</v>
      </c>
      <c r="BD87" s="258">
        <f ca="1">IF(AND(A87&lt;=MaxRows,BE87&lt;&gt;"Yes"),'Demand background (hide)'!X78+IF(Setup!$I$15="Yes",'Demand background (hide)'!AJ78,0),"")</f>
        <v>14220</v>
      </c>
      <c r="BE87" s="208"/>
    </row>
    <row r="88" spans="1:57" ht="15" x14ac:dyDescent="0.25">
      <c r="A88">
        <f t="shared" ca="1" si="4"/>
        <v>76</v>
      </c>
      <c r="B88" s="263" t="str">
        <f t="shared" ca="1" si="5"/>
        <v xml:space="preserve"> </v>
      </c>
      <c r="C88" s="264">
        <f t="shared" ca="1" si="6"/>
        <v>37</v>
      </c>
      <c r="D88" s="491">
        <f t="shared" ca="1" si="7"/>
        <v>43717</v>
      </c>
      <c r="E88" s="191">
        <v>14</v>
      </c>
      <c r="F88" s="191">
        <v>401</v>
      </c>
      <c r="G88" s="192">
        <v>75</v>
      </c>
      <c r="H88" s="191"/>
      <c r="I88" s="250">
        <f>IF(COUNTBLANK(E88:H88)=4,"",SUM(E88:G88)+IF(Setup!$I$15="No",0,H88))</f>
        <v>490</v>
      </c>
      <c r="J88" s="191">
        <v>62</v>
      </c>
      <c r="K88" s="191">
        <v>289</v>
      </c>
      <c r="L88" s="191">
        <v>60</v>
      </c>
      <c r="M88" s="191"/>
      <c r="N88" s="254">
        <f>IF(COUNTBLANK(J88:M88)=4,"",SUM(J88:L88)+IF(Setup!$I$15="No",0,M88))</f>
        <v>411</v>
      </c>
      <c r="O88" s="191">
        <v>8</v>
      </c>
      <c r="P88" s="191"/>
      <c r="Q88" s="191">
        <v>8</v>
      </c>
      <c r="R88" s="191"/>
      <c r="S88" s="254">
        <f>IF(COUNTBLANK(O88:R88)=4,"",SUM(O88:Q88)+IF(Setup!$I$15="No",0,R88))</f>
        <v>16</v>
      </c>
      <c r="T88" s="191">
        <v>17</v>
      </c>
      <c r="U88" s="191">
        <v>2</v>
      </c>
      <c r="V88" s="191">
        <v>6</v>
      </c>
      <c r="W88" s="191"/>
      <c r="X88" s="254">
        <f>IF(COUNTBLANK(T88:W88)=4,"",SUM(T88:V88)+IF(Setup!$I$15="No",0,W88))</f>
        <v>25</v>
      </c>
      <c r="Y88" s="191">
        <v>2</v>
      </c>
      <c r="Z88" s="191"/>
      <c r="AA88" s="191"/>
      <c r="AB88" s="191"/>
      <c r="AC88" s="254">
        <f>IF(COUNTBLANK(Y88:AB88)=4,"",SUM(Y88:AA88)+IF(Setup!$I$15="No",0,AB88))</f>
        <v>2</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 Demand!S88, Demand!X88, Demand!AC88))</f>
        <v>944</v>
      </c>
      <c r="BD88" s="258">
        <f ca="1">IF(AND(A88&lt;=MaxRows,BE88&lt;&gt;"Yes"),'Demand background (hide)'!X79+IF(Setup!$I$15="Yes",'Demand background (hide)'!AJ79,0),"")</f>
        <v>14747</v>
      </c>
      <c r="BE88" s="208"/>
    </row>
    <row r="89" spans="1:57" ht="15" x14ac:dyDescent="0.25">
      <c r="A89">
        <f t="shared" ca="1" si="4"/>
        <v>77</v>
      </c>
      <c r="B89" s="263" t="str">
        <f t="shared" ca="1" si="5"/>
        <v xml:space="preserve"> </v>
      </c>
      <c r="C89" s="264">
        <f t="shared" ca="1" si="6"/>
        <v>38</v>
      </c>
      <c r="D89" s="491">
        <f t="shared" ca="1" si="7"/>
        <v>43724</v>
      </c>
      <c r="E89" s="191">
        <v>5</v>
      </c>
      <c r="F89" s="191">
        <v>402</v>
      </c>
      <c r="G89" s="192">
        <v>92</v>
      </c>
      <c r="H89" s="191"/>
      <c r="I89" s="250">
        <f>IF(COUNTBLANK(E89:H89)=4,"",SUM(E89:G89)+IF(Setup!$I$15="No",0,H89))</f>
        <v>499</v>
      </c>
      <c r="J89" s="191">
        <v>50</v>
      </c>
      <c r="K89" s="191">
        <v>260</v>
      </c>
      <c r="L89" s="191">
        <v>58</v>
      </c>
      <c r="M89" s="191"/>
      <c r="N89" s="254">
        <f>IF(COUNTBLANK(J89:M89)=4,"",SUM(J89:L89)+IF(Setup!$I$15="No",0,M89))</f>
        <v>368</v>
      </c>
      <c r="O89" s="191">
        <v>7</v>
      </c>
      <c r="P89" s="191"/>
      <c r="Q89" s="191">
        <v>7</v>
      </c>
      <c r="R89" s="191"/>
      <c r="S89" s="254">
        <f>IF(COUNTBLANK(O89:R89)=4,"",SUM(O89:Q89)+IF(Setup!$I$15="No",0,R89))</f>
        <v>14</v>
      </c>
      <c r="T89" s="191">
        <v>19</v>
      </c>
      <c r="U89" s="191">
        <v>3</v>
      </c>
      <c r="V89" s="191">
        <v>1</v>
      </c>
      <c r="W89" s="191"/>
      <c r="X89" s="254">
        <f>IF(COUNTBLANK(T89:W89)=4,"",SUM(T89:V89)+IF(Setup!$I$15="No",0,W89))</f>
        <v>23</v>
      </c>
      <c r="Y89" s="191">
        <v>1</v>
      </c>
      <c r="Z89" s="191"/>
      <c r="AA89" s="191"/>
      <c r="AB89" s="191"/>
      <c r="AC89" s="254">
        <f>IF(COUNTBLANK(Y89:AB89)=4,"",SUM(Y89:AA89)+IF(Setup!$I$15="No",0,AB89))</f>
        <v>1</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 Demand!S89, Demand!X89, Demand!AC89))</f>
        <v>905</v>
      </c>
      <c r="BD89" s="258">
        <f ca="1">IF(AND(A89&lt;=MaxRows,BE89&lt;&gt;"Yes"),'Demand background (hide)'!X80+IF(Setup!$I$15="Yes",'Demand background (hide)'!AJ80,0),"")</f>
        <v>14116</v>
      </c>
      <c r="BE89" s="208"/>
    </row>
    <row r="90" spans="1:57" ht="15" x14ac:dyDescent="0.25">
      <c r="A90">
        <f t="shared" ca="1" si="4"/>
        <v>78</v>
      </c>
      <c r="B90" s="263" t="str">
        <f t="shared" ca="1" si="5"/>
        <v xml:space="preserve"> </v>
      </c>
      <c r="C90" s="264">
        <f t="shared" ca="1" si="6"/>
        <v>39</v>
      </c>
      <c r="D90" s="491">
        <f t="shared" ca="1" si="7"/>
        <v>43731</v>
      </c>
      <c r="E90" s="191">
        <v>6</v>
      </c>
      <c r="F90" s="191">
        <v>416</v>
      </c>
      <c r="G90" s="192">
        <v>84</v>
      </c>
      <c r="H90" s="191"/>
      <c r="I90" s="250">
        <f>IF(COUNTBLANK(E90:H90)=4,"",SUM(E90:G90)+IF(Setup!$I$15="No",0,H90))</f>
        <v>506</v>
      </c>
      <c r="J90" s="191">
        <v>65</v>
      </c>
      <c r="K90" s="191">
        <v>270</v>
      </c>
      <c r="L90" s="191">
        <v>81</v>
      </c>
      <c r="M90" s="191"/>
      <c r="N90" s="254">
        <f>IF(COUNTBLANK(J90:M90)=4,"",SUM(J90:L90)+IF(Setup!$I$15="No",0,M90))</f>
        <v>416</v>
      </c>
      <c r="O90" s="191">
        <v>17</v>
      </c>
      <c r="P90" s="191"/>
      <c r="Q90" s="191">
        <v>17</v>
      </c>
      <c r="R90" s="191"/>
      <c r="S90" s="254">
        <f>IF(COUNTBLANK(O90:R90)=4,"",SUM(O90:Q90)+IF(Setup!$I$15="No",0,R90))</f>
        <v>34</v>
      </c>
      <c r="T90" s="191">
        <v>13</v>
      </c>
      <c r="U90" s="191">
        <v>4</v>
      </c>
      <c r="V90" s="191">
        <v>9</v>
      </c>
      <c r="W90" s="191"/>
      <c r="X90" s="254">
        <f>IF(COUNTBLANK(T90:W90)=4,"",SUM(T90:V90)+IF(Setup!$I$15="No",0,W90))</f>
        <v>26</v>
      </c>
      <c r="Y90" s="191"/>
      <c r="Z90" s="191">
        <v>1</v>
      </c>
      <c r="AA90" s="191"/>
      <c r="AB90" s="191"/>
      <c r="AC90" s="254">
        <f>IF(COUNTBLANK(Y90:AB90)=4,"",SUM(Y90:AA90)+IF(Setup!$I$15="No",0,AB90))</f>
        <v>1</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 Demand!S90, Demand!X90, Demand!AC90))</f>
        <v>983</v>
      </c>
      <c r="BD90" s="258">
        <f ca="1">IF(AND(A90&lt;=MaxRows,BE90&lt;&gt;"Yes"),'Demand background (hide)'!X81+IF(Setup!$I$15="Yes",'Demand background (hide)'!AJ81,0),"")</f>
        <v>15631</v>
      </c>
      <c r="BE90" s="208"/>
    </row>
    <row r="91" spans="1:57" ht="15" x14ac:dyDescent="0.25">
      <c r="A91">
        <f t="shared" ca="1" si="4"/>
        <v>79</v>
      </c>
      <c r="B91" s="263" t="str">
        <f t="shared" ca="1" si="5"/>
        <v xml:space="preserve"> </v>
      </c>
      <c r="C91" s="264">
        <f t="shared" ca="1" si="6"/>
        <v>40</v>
      </c>
      <c r="D91" s="491">
        <f t="shared" ca="1" si="7"/>
        <v>43738</v>
      </c>
      <c r="E91" s="191">
        <v>5</v>
      </c>
      <c r="F91" s="191">
        <v>392</v>
      </c>
      <c r="G91" s="192">
        <v>84</v>
      </c>
      <c r="H91" s="191"/>
      <c r="I91" s="250">
        <f>IF(COUNTBLANK(E91:H91)=4,"",SUM(E91:G91)+IF(Setup!$I$15="No",0,H91))</f>
        <v>481</v>
      </c>
      <c r="J91" s="191">
        <v>67</v>
      </c>
      <c r="K91" s="191">
        <v>217</v>
      </c>
      <c r="L91" s="191">
        <v>73</v>
      </c>
      <c r="M91" s="191"/>
      <c r="N91" s="254">
        <f>IF(COUNTBLANK(J91:M91)=4,"",SUM(J91:L91)+IF(Setup!$I$15="No",0,M91))</f>
        <v>357</v>
      </c>
      <c r="O91" s="191">
        <v>9</v>
      </c>
      <c r="P91" s="191"/>
      <c r="Q91" s="191">
        <v>9</v>
      </c>
      <c r="R91" s="191"/>
      <c r="S91" s="254">
        <f>IF(COUNTBLANK(O91:R91)=4,"",SUM(O91:Q91)+IF(Setup!$I$15="No",0,R91))</f>
        <v>18</v>
      </c>
      <c r="T91" s="191">
        <v>22</v>
      </c>
      <c r="U91" s="191">
        <v>3</v>
      </c>
      <c r="V91" s="191">
        <v>3</v>
      </c>
      <c r="W91" s="191"/>
      <c r="X91" s="254">
        <f>IF(COUNTBLANK(T91:W91)=4,"",SUM(T91:V91)+IF(Setup!$I$15="No",0,W91))</f>
        <v>28</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 Demand!S91, Demand!X91, Demand!AC91))</f>
        <v>884</v>
      </c>
      <c r="BD91" s="258">
        <f ca="1">IF(AND(A91&lt;=MaxRows,BE91&lt;&gt;"Yes"),'Demand background (hide)'!X82+IF(Setup!$I$15="Yes",'Demand background (hide)'!AJ82,0),"")</f>
        <v>13950</v>
      </c>
      <c r="BE91" s="208"/>
    </row>
    <row r="92" spans="1:57" ht="15" x14ac:dyDescent="0.25">
      <c r="A92">
        <f t="shared" ca="1" si="4"/>
        <v>80</v>
      </c>
      <c r="B92" s="263" t="str">
        <f t="shared" ca="1" si="5"/>
        <v xml:space="preserve"> </v>
      </c>
      <c r="C92" s="264">
        <f t="shared" ca="1" si="6"/>
        <v>41</v>
      </c>
      <c r="D92" s="491">
        <f t="shared" ca="1" si="7"/>
        <v>43745</v>
      </c>
      <c r="E92" s="191">
        <v>7</v>
      </c>
      <c r="F92" s="191">
        <v>388</v>
      </c>
      <c r="G92" s="192">
        <v>98</v>
      </c>
      <c r="H92" s="191"/>
      <c r="I92" s="250">
        <f>IF(COUNTBLANK(E92:H92)=4,"",SUM(E92:G92)+IF(Setup!$I$15="No",0,H92))</f>
        <v>493</v>
      </c>
      <c r="J92" s="191">
        <v>67</v>
      </c>
      <c r="K92" s="191">
        <v>253</v>
      </c>
      <c r="L92" s="191">
        <v>67</v>
      </c>
      <c r="M92" s="191"/>
      <c r="N92" s="254">
        <f>IF(COUNTBLANK(J92:M92)=4,"",SUM(J92:L92)+IF(Setup!$I$15="No",0,M92))</f>
        <v>387</v>
      </c>
      <c r="O92" s="191">
        <v>21</v>
      </c>
      <c r="P92" s="191">
        <v>2</v>
      </c>
      <c r="Q92" s="191">
        <v>21</v>
      </c>
      <c r="R92" s="191"/>
      <c r="S92" s="254">
        <f>IF(COUNTBLANK(O92:R92)=4,"",SUM(O92:Q92)+IF(Setup!$I$15="No",0,R92))</f>
        <v>44</v>
      </c>
      <c r="T92" s="191">
        <v>19</v>
      </c>
      <c r="U92" s="191">
        <v>7</v>
      </c>
      <c r="V92" s="191">
        <v>3</v>
      </c>
      <c r="W92" s="191"/>
      <c r="X92" s="254">
        <f>IF(COUNTBLANK(T92:W92)=4,"",SUM(T92:V92)+IF(Setup!$I$15="No",0,W92))</f>
        <v>29</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 Demand!S92, Demand!X92, Demand!AC92))</f>
        <v>953</v>
      </c>
      <c r="BD92" s="258">
        <f ca="1">IF(AND(A92&lt;=MaxRows,BE92&lt;&gt;"Yes"),'Demand background (hide)'!X83+IF(Setup!$I$15="Yes",'Demand background (hide)'!AJ83,0),"")</f>
        <v>15390</v>
      </c>
      <c r="BE92" s="208"/>
    </row>
    <row r="93" spans="1:57" ht="15" x14ac:dyDescent="0.25">
      <c r="A93">
        <f t="shared" ca="1" si="4"/>
        <v>81</v>
      </c>
      <c r="B93" s="263" t="str">
        <f t="shared" ca="1" si="5"/>
        <v xml:space="preserve"> </v>
      </c>
      <c r="C93" s="264">
        <f t="shared" ca="1" si="6"/>
        <v>42</v>
      </c>
      <c r="D93" s="491">
        <f t="shared" ca="1" si="7"/>
        <v>43752</v>
      </c>
      <c r="E93" s="191">
        <v>7</v>
      </c>
      <c r="F93" s="191">
        <v>411</v>
      </c>
      <c r="G93" s="192">
        <v>102</v>
      </c>
      <c r="H93" s="191"/>
      <c r="I93" s="250">
        <f>IF(COUNTBLANK(E93:H93)=4,"",SUM(E93:G93)+IF(Setup!$I$15="No",0,H93))</f>
        <v>520</v>
      </c>
      <c r="J93" s="191">
        <v>67</v>
      </c>
      <c r="K93" s="191">
        <v>249</v>
      </c>
      <c r="L93" s="191">
        <v>69</v>
      </c>
      <c r="M93" s="191"/>
      <c r="N93" s="254">
        <f>IF(COUNTBLANK(J93:M93)=4,"",SUM(J93:L93)+IF(Setup!$I$15="No",0,M93))</f>
        <v>385</v>
      </c>
      <c r="O93" s="191">
        <v>6</v>
      </c>
      <c r="P93" s="191"/>
      <c r="Q93" s="191">
        <v>6</v>
      </c>
      <c r="R93" s="191"/>
      <c r="S93" s="254">
        <f>IF(COUNTBLANK(O93:R93)=4,"",SUM(O93:Q93)+IF(Setup!$I$15="No",0,R93))</f>
        <v>12</v>
      </c>
      <c r="T93" s="191">
        <v>14</v>
      </c>
      <c r="U93" s="191">
        <v>8</v>
      </c>
      <c r="V93" s="191">
        <v>9</v>
      </c>
      <c r="W93" s="191"/>
      <c r="X93" s="254">
        <f>IF(COUNTBLANK(T93:W93)=4,"",SUM(T93:V93)+IF(Setup!$I$15="No",0,W93))</f>
        <v>31</v>
      </c>
      <c r="Y93" s="191">
        <v>2</v>
      </c>
      <c r="Z93" s="191">
        <v>1</v>
      </c>
      <c r="AA93" s="191"/>
      <c r="AB93" s="191"/>
      <c r="AC93" s="254">
        <f>IF(COUNTBLANK(Y93:AB93)=4,"",SUM(Y93:AA93)+IF(Setup!$I$15="No",0,AB93))</f>
        <v>3</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 Demand!S93, Demand!X93, Demand!AC93))</f>
        <v>951</v>
      </c>
      <c r="BD93" s="258">
        <f ca="1">IF(AND(A93&lt;=MaxRows,BE93&lt;&gt;"Yes"),'Demand background (hide)'!X84+IF(Setup!$I$15="Yes",'Demand background (hide)'!AJ84,0),"")</f>
        <v>14868</v>
      </c>
      <c r="BE93" s="208"/>
    </row>
    <row r="94" spans="1:57" ht="15" x14ac:dyDescent="0.25">
      <c r="A94">
        <f t="shared" ca="1" si="4"/>
        <v>82</v>
      </c>
      <c r="B94" s="263" t="str">
        <f t="shared" ca="1" si="5"/>
        <v xml:space="preserve"> </v>
      </c>
      <c r="C94" s="264">
        <f t="shared" ca="1" si="6"/>
        <v>43</v>
      </c>
      <c r="D94" s="491">
        <f t="shared" ca="1" si="7"/>
        <v>43759</v>
      </c>
      <c r="E94" s="191">
        <v>10</v>
      </c>
      <c r="F94" s="191">
        <v>387</v>
      </c>
      <c r="G94" s="192">
        <v>78</v>
      </c>
      <c r="H94" s="191"/>
      <c r="I94" s="250">
        <f>IF(COUNTBLANK(E94:H94)=4,"",SUM(E94:G94)+IF(Setup!$I$15="No",0,H94))</f>
        <v>475</v>
      </c>
      <c r="J94" s="191">
        <v>71</v>
      </c>
      <c r="K94" s="191">
        <v>248</v>
      </c>
      <c r="L94" s="191">
        <v>60</v>
      </c>
      <c r="M94" s="191"/>
      <c r="N94" s="254">
        <f>IF(COUNTBLANK(J94:M94)=4,"",SUM(J94:L94)+IF(Setup!$I$15="No",0,M94))</f>
        <v>379</v>
      </c>
      <c r="O94" s="191">
        <v>13</v>
      </c>
      <c r="P94" s="191"/>
      <c r="Q94" s="191">
        <v>13</v>
      </c>
      <c r="R94" s="191"/>
      <c r="S94" s="254">
        <f>IF(COUNTBLANK(O94:R94)=4,"",SUM(O94:Q94)+IF(Setup!$I$15="No",0,R94))</f>
        <v>26</v>
      </c>
      <c r="T94" s="191">
        <v>16</v>
      </c>
      <c r="U94" s="191">
        <v>3</v>
      </c>
      <c r="V94" s="191">
        <v>10</v>
      </c>
      <c r="W94" s="191"/>
      <c r="X94" s="254">
        <f>IF(COUNTBLANK(T94:W94)=4,"",SUM(T94:V94)+IF(Setup!$I$15="No",0,W94))</f>
        <v>29</v>
      </c>
      <c r="Y94" s="191">
        <v>1</v>
      </c>
      <c r="Z94" s="191"/>
      <c r="AA94" s="191"/>
      <c r="AB94" s="191"/>
      <c r="AC94" s="254">
        <f>IF(COUNTBLANK(Y94:AB94)=4,"",SUM(Y94:AA94)+IF(Setup!$I$15="No",0,AB94))</f>
        <v>1</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 Demand!S94, Demand!X94, Demand!AC94))</f>
        <v>910</v>
      </c>
      <c r="BD94" s="258">
        <f ca="1">IF(AND(A94&lt;=MaxRows,BE94&lt;&gt;"Yes"),'Demand background (hide)'!X85+IF(Setup!$I$15="Yes",'Demand background (hide)'!AJ85,0),"")</f>
        <v>14461</v>
      </c>
      <c r="BE94" s="208"/>
    </row>
    <row r="95" spans="1:57" ht="15" x14ac:dyDescent="0.25">
      <c r="A95">
        <f t="shared" ca="1" si="4"/>
        <v>83</v>
      </c>
      <c r="B95" s="263" t="str">
        <f t="shared" ca="1" si="5"/>
        <v xml:space="preserve"> </v>
      </c>
      <c r="C95" s="264">
        <f t="shared" ca="1" si="6"/>
        <v>44</v>
      </c>
      <c r="D95" s="491">
        <f t="shared" ca="1" si="7"/>
        <v>43766</v>
      </c>
      <c r="E95" s="191">
        <v>11</v>
      </c>
      <c r="F95" s="191">
        <v>379</v>
      </c>
      <c r="G95" s="192">
        <v>84</v>
      </c>
      <c r="H95" s="191"/>
      <c r="I95" s="250">
        <f>IF(COUNTBLANK(E95:H95)=4,"",SUM(E95:G95)+IF(Setup!$I$15="No",0,H95))</f>
        <v>474</v>
      </c>
      <c r="J95" s="191">
        <v>72</v>
      </c>
      <c r="K95" s="191">
        <v>284</v>
      </c>
      <c r="L95" s="191">
        <v>67</v>
      </c>
      <c r="M95" s="191"/>
      <c r="N95" s="254">
        <f>IF(COUNTBLANK(J95:M95)=4,"",SUM(J95:L95)+IF(Setup!$I$15="No",0,M95))</f>
        <v>423</v>
      </c>
      <c r="O95" s="191">
        <v>4</v>
      </c>
      <c r="P95" s="191"/>
      <c r="Q95" s="191">
        <v>4</v>
      </c>
      <c r="R95" s="191"/>
      <c r="S95" s="254">
        <f>IF(COUNTBLANK(O95:R95)=4,"",SUM(O95:Q95)+IF(Setup!$I$15="No",0,R95))</f>
        <v>8</v>
      </c>
      <c r="T95" s="191">
        <v>16</v>
      </c>
      <c r="U95" s="191">
        <v>3</v>
      </c>
      <c r="V95" s="191">
        <v>9</v>
      </c>
      <c r="W95" s="191"/>
      <c r="X95" s="254">
        <f>IF(COUNTBLANK(T95:W95)=4,"",SUM(T95:V95)+IF(Setup!$I$15="No",0,W95))</f>
        <v>28</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 Demand!S95, Demand!X95, Demand!AC95))</f>
        <v>933</v>
      </c>
      <c r="BD95" s="258">
        <f ca="1">IF(AND(A95&lt;=MaxRows,BE95&lt;&gt;"Yes"),'Demand background (hide)'!X86+IF(Setup!$I$15="Yes",'Demand background (hide)'!AJ86,0),"")</f>
        <v>14535</v>
      </c>
      <c r="BE95" s="208"/>
    </row>
    <row r="96" spans="1:57" ht="15" x14ac:dyDescent="0.25">
      <c r="A96">
        <f t="shared" ca="1" si="4"/>
        <v>84</v>
      </c>
      <c r="B96" s="263" t="str">
        <f t="shared" ca="1" si="5"/>
        <v xml:space="preserve"> </v>
      </c>
      <c r="C96" s="264">
        <f t="shared" ca="1" si="6"/>
        <v>45</v>
      </c>
      <c r="D96" s="491">
        <f t="shared" ca="1" si="7"/>
        <v>43773</v>
      </c>
      <c r="E96" s="191">
        <v>5</v>
      </c>
      <c r="F96" s="191">
        <v>392</v>
      </c>
      <c r="G96" s="192">
        <v>88</v>
      </c>
      <c r="H96" s="191"/>
      <c r="I96" s="250">
        <f>IF(COUNTBLANK(E96:H96)=4,"",SUM(E96:G96)+IF(Setup!$I$15="No",0,H96))</f>
        <v>485</v>
      </c>
      <c r="J96" s="191">
        <v>70</v>
      </c>
      <c r="K96" s="191">
        <v>259</v>
      </c>
      <c r="L96" s="191">
        <v>47</v>
      </c>
      <c r="M96" s="191"/>
      <c r="N96" s="254">
        <f>IF(COUNTBLANK(J96:M96)=4,"",SUM(J96:L96)+IF(Setup!$I$15="No",0,M96))</f>
        <v>376</v>
      </c>
      <c r="O96" s="191">
        <v>9</v>
      </c>
      <c r="P96" s="191"/>
      <c r="Q96" s="191">
        <v>9</v>
      </c>
      <c r="R96" s="191"/>
      <c r="S96" s="254">
        <f>IF(COUNTBLANK(O96:R96)=4,"",SUM(O96:Q96)+IF(Setup!$I$15="No",0,R96))</f>
        <v>18</v>
      </c>
      <c r="T96" s="191">
        <v>15</v>
      </c>
      <c r="U96" s="191">
        <v>3</v>
      </c>
      <c r="V96" s="191">
        <v>5</v>
      </c>
      <c r="W96" s="191"/>
      <c r="X96" s="254">
        <f>IF(COUNTBLANK(T96:W96)=4,"",SUM(T96:V96)+IF(Setup!$I$15="No",0,W96))</f>
        <v>23</v>
      </c>
      <c r="Y96" s="191">
        <v>2</v>
      </c>
      <c r="Z96" s="191">
        <v>1</v>
      </c>
      <c r="AA96" s="191"/>
      <c r="AB96" s="191"/>
      <c r="AC96" s="254">
        <f>IF(COUNTBLANK(Y96:AB96)=4,"",SUM(Y96:AA96)+IF(Setup!$I$15="No",0,AB96))</f>
        <v>3</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 Demand!S96, Demand!X96, Demand!AC96))</f>
        <v>905</v>
      </c>
      <c r="BD96" s="258">
        <f ca="1">IF(AND(A96&lt;=MaxRows,BE96&lt;&gt;"Yes"),'Demand background (hide)'!X87+IF(Setup!$I$15="Yes",'Demand background (hide)'!AJ87,0),"")</f>
        <v>14148</v>
      </c>
      <c r="BE96" s="208"/>
    </row>
    <row r="97" spans="1:57" ht="15" x14ac:dyDescent="0.25">
      <c r="A97">
        <f t="shared" ca="1" si="4"/>
        <v>85</v>
      </c>
      <c r="B97" s="263" t="str">
        <f t="shared" ca="1" si="5"/>
        <v xml:space="preserve"> </v>
      </c>
      <c r="C97" s="264">
        <f t="shared" ca="1" si="6"/>
        <v>46</v>
      </c>
      <c r="D97" s="491">
        <f t="shared" ca="1" si="7"/>
        <v>43780</v>
      </c>
      <c r="E97" s="191">
        <v>7</v>
      </c>
      <c r="F97" s="191">
        <v>421</v>
      </c>
      <c r="G97" s="192">
        <v>97</v>
      </c>
      <c r="H97" s="191"/>
      <c r="I97" s="250">
        <f>IF(COUNTBLANK(E97:H97)=4,"",SUM(E97:G97)+IF(Setup!$I$15="No",0,H97))</f>
        <v>525</v>
      </c>
      <c r="J97" s="191">
        <v>69</v>
      </c>
      <c r="K97" s="191">
        <v>284</v>
      </c>
      <c r="L97" s="191">
        <v>61</v>
      </c>
      <c r="M97" s="191"/>
      <c r="N97" s="254">
        <f>IF(COUNTBLANK(J97:M97)=4,"",SUM(J97:L97)+IF(Setup!$I$15="No",0,M97))</f>
        <v>414</v>
      </c>
      <c r="O97" s="191">
        <v>11</v>
      </c>
      <c r="P97" s="191">
        <v>1</v>
      </c>
      <c r="Q97" s="191">
        <v>11</v>
      </c>
      <c r="R97" s="191"/>
      <c r="S97" s="254">
        <f>IF(COUNTBLANK(O97:R97)=4,"",SUM(O97:Q97)+IF(Setup!$I$15="No",0,R97))</f>
        <v>23</v>
      </c>
      <c r="T97" s="191">
        <v>16</v>
      </c>
      <c r="U97" s="191">
        <v>6</v>
      </c>
      <c r="V97" s="191">
        <v>3</v>
      </c>
      <c r="W97" s="191"/>
      <c r="X97" s="254">
        <f>IF(COUNTBLANK(T97:W97)=4,"",SUM(T97:V97)+IF(Setup!$I$15="No",0,W97))</f>
        <v>25</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 Demand!S97, Demand!X97, Demand!AC97))</f>
        <v>987</v>
      </c>
      <c r="BD97" s="258">
        <f ca="1">IF(AND(A97&lt;=MaxRows,BE97&lt;&gt;"Yes"),'Demand background (hide)'!X88+IF(Setup!$I$15="Yes",'Demand background (hide)'!AJ88,0),"")</f>
        <v>15525</v>
      </c>
      <c r="BE97" s="208"/>
    </row>
    <row r="98" spans="1:57" ht="15" x14ac:dyDescent="0.25">
      <c r="A98">
        <f t="shared" ca="1" si="4"/>
        <v>86</v>
      </c>
      <c r="B98" s="263" t="str">
        <f t="shared" ca="1" si="5"/>
        <v xml:space="preserve"> </v>
      </c>
      <c r="C98" s="264">
        <f t="shared" ca="1" si="6"/>
        <v>47</v>
      </c>
      <c r="D98" s="491">
        <f t="shared" ca="1" si="7"/>
        <v>43787</v>
      </c>
      <c r="E98" s="191">
        <v>5</v>
      </c>
      <c r="F98" s="191">
        <v>424</v>
      </c>
      <c r="G98" s="192">
        <v>119</v>
      </c>
      <c r="H98" s="191"/>
      <c r="I98" s="250">
        <f>IF(COUNTBLANK(E98:H98)=4,"",SUM(E98:G98)+IF(Setup!$I$15="No",0,H98))</f>
        <v>548</v>
      </c>
      <c r="J98" s="191">
        <v>66</v>
      </c>
      <c r="K98" s="191">
        <v>269</v>
      </c>
      <c r="L98" s="191">
        <v>81</v>
      </c>
      <c r="M98" s="191"/>
      <c r="N98" s="254">
        <f>IF(COUNTBLANK(J98:M98)=4,"",SUM(J98:L98)+IF(Setup!$I$15="No",0,M98))</f>
        <v>416</v>
      </c>
      <c r="O98" s="191">
        <v>21</v>
      </c>
      <c r="P98" s="191">
        <v>2</v>
      </c>
      <c r="Q98" s="191">
        <v>21</v>
      </c>
      <c r="R98" s="191"/>
      <c r="S98" s="254">
        <f>IF(COUNTBLANK(O98:R98)=4,"",SUM(O98:Q98)+IF(Setup!$I$15="No",0,R98))</f>
        <v>44</v>
      </c>
      <c r="T98" s="191">
        <v>13</v>
      </c>
      <c r="U98" s="191">
        <v>3</v>
      </c>
      <c r="V98" s="191">
        <v>11</v>
      </c>
      <c r="W98" s="191"/>
      <c r="X98" s="254">
        <f>IF(COUNTBLANK(T98:W98)=4,"",SUM(T98:V98)+IF(Setup!$I$15="No",0,W98))</f>
        <v>27</v>
      </c>
      <c r="Y98" s="191">
        <v>1</v>
      </c>
      <c r="Z98" s="191">
        <v>1</v>
      </c>
      <c r="AA98" s="191"/>
      <c r="AB98" s="191"/>
      <c r="AC98" s="254">
        <f>IF(COUNTBLANK(Y98:AB98)=4,"",SUM(Y98:AA98)+IF(Setup!$I$15="No",0,AB98))</f>
        <v>2</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 Demand!S98, Demand!X98, Demand!AC98))</f>
        <v>1037</v>
      </c>
      <c r="BD98" s="258">
        <f ca="1">IF(AND(A98&lt;=MaxRows,BE98&lt;&gt;"Yes"),'Demand background (hide)'!X89+IF(Setup!$I$15="Yes",'Demand background (hide)'!AJ89,0),"")</f>
        <v>16592</v>
      </c>
      <c r="BE98" s="208"/>
    </row>
    <row r="99" spans="1:57" ht="15" x14ac:dyDescent="0.25">
      <c r="A99">
        <f t="shared" ca="1" si="4"/>
        <v>87</v>
      </c>
      <c r="B99" s="263" t="str">
        <f t="shared" ca="1" si="5"/>
        <v xml:space="preserve"> </v>
      </c>
      <c r="C99" s="264">
        <f t="shared" ca="1" si="6"/>
        <v>48</v>
      </c>
      <c r="D99" s="491">
        <f t="shared" ca="1" si="7"/>
        <v>43794</v>
      </c>
      <c r="E99" s="191">
        <v>5</v>
      </c>
      <c r="F99" s="191">
        <v>367</v>
      </c>
      <c r="G99" s="192">
        <v>69</v>
      </c>
      <c r="H99" s="191"/>
      <c r="I99" s="250">
        <f>IF(COUNTBLANK(E99:H99)=4,"",SUM(E99:G99)+IF(Setup!$I$15="No",0,H99))</f>
        <v>441</v>
      </c>
      <c r="J99" s="191">
        <v>63</v>
      </c>
      <c r="K99" s="191">
        <v>275</v>
      </c>
      <c r="L99" s="191">
        <v>39</v>
      </c>
      <c r="M99" s="191"/>
      <c r="N99" s="254">
        <f>IF(COUNTBLANK(J99:M99)=4,"",SUM(J99:L99)+IF(Setup!$I$15="No",0,M99))</f>
        <v>377</v>
      </c>
      <c r="O99" s="191">
        <v>12</v>
      </c>
      <c r="P99" s="191">
        <v>1</v>
      </c>
      <c r="Q99" s="191">
        <v>12</v>
      </c>
      <c r="R99" s="191"/>
      <c r="S99" s="254">
        <f>IF(COUNTBLANK(O99:R99)=4,"",SUM(O99:Q99)+IF(Setup!$I$15="No",0,R99))</f>
        <v>25</v>
      </c>
      <c r="T99" s="191">
        <v>18</v>
      </c>
      <c r="U99" s="191">
        <v>4</v>
      </c>
      <c r="V99" s="191">
        <v>11</v>
      </c>
      <c r="W99" s="191"/>
      <c r="X99" s="254">
        <f>IF(COUNTBLANK(T99:W99)=4,"",SUM(T99:V99)+IF(Setup!$I$15="No",0,W99))</f>
        <v>33</v>
      </c>
      <c r="Y99" s="191">
        <v>1</v>
      </c>
      <c r="Z99" s="191"/>
      <c r="AA99" s="191"/>
      <c r="AB99" s="191"/>
      <c r="AC99" s="254">
        <f>IF(COUNTBLANK(Y99:AB99)=4,"",SUM(Y99:AA99)+IF(Setup!$I$15="No",0,AB99))</f>
        <v>1</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 Demand!S99, Demand!X99, Demand!AC99))</f>
        <v>877</v>
      </c>
      <c r="BD99" s="258">
        <f ca="1">IF(AND(A99&lt;=MaxRows,BE99&lt;&gt;"Yes"),'Demand background (hide)'!X90+IF(Setup!$I$15="Yes",'Demand background (hide)'!AJ90,0),"")</f>
        <v>14011</v>
      </c>
      <c r="BE99" s="208"/>
    </row>
    <row r="100" spans="1:57" ht="15" x14ac:dyDescent="0.25">
      <c r="A100">
        <f t="shared" ca="1" si="4"/>
        <v>88</v>
      </c>
      <c r="B100" s="263" t="str">
        <f t="shared" ca="1" si="5"/>
        <v xml:space="preserve"> </v>
      </c>
      <c r="C100" s="264">
        <f t="shared" ca="1" si="6"/>
        <v>49</v>
      </c>
      <c r="D100" s="491">
        <f t="shared" ca="1" si="7"/>
        <v>43801</v>
      </c>
      <c r="E100" s="191">
        <v>10</v>
      </c>
      <c r="F100" s="191">
        <v>400</v>
      </c>
      <c r="G100" s="192">
        <v>85</v>
      </c>
      <c r="H100" s="191"/>
      <c r="I100" s="250">
        <f>IF(COUNTBLANK(E100:H100)=4,"",SUM(E100:G100)+IF(Setup!$I$15="No",0,H100))</f>
        <v>495</v>
      </c>
      <c r="J100" s="191">
        <v>81</v>
      </c>
      <c r="K100" s="191">
        <v>243</v>
      </c>
      <c r="L100" s="191">
        <v>73</v>
      </c>
      <c r="M100" s="191"/>
      <c r="N100" s="254">
        <f>IF(COUNTBLANK(J100:M100)=4,"",SUM(J100:L100)+IF(Setup!$I$15="No",0,M100))</f>
        <v>397</v>
      </c>
      <c r="O100" s="191">
        <v>3</v>
      </c>
      <c r="P100" s="191"/>
      <c r="Q100" s="191">
        <v>3</v>
      </c>
      <c r="R100" s="191"/>
      <c r="S100" s="254">
        <f>IF(COUNTBLANK(O100:R100)=4,"",SUM(O100:Q100)+IF(Setup!$I$15="No",0,R100))</f>
        <v>6</v>
      </c>
      <c r="T100" s="191">
        <v>18</v>
      </c>
      <c r="U100" s="191">
        <v>1</v>
      </c>
      <c r="V100" s="191">
        <v>8</v>
      </c>
      <c r="W100" s="191"/>
      <c r="X100" s="254">
        <f>IF(COUNTBLANK(T100:W100)=4,"",SUM(T100:V100)+IF(Setup!$I$15="No",0,W100))</f>
        <v>27</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 Demand!S100, Demand!X100, Demand!AC100))</f>
        <v>925</v>
      </c>
      <c r="BD100" s="258">
        <f ca="1">IF(AND(A100&lt;=MaxRows,BE100&lt;&gt;"Yes"),'Demand background (hide)'!X91+IF(Setup!$I$15="Yes",'Demand background (hide)'!AJ91,0),"")</f>
        <v>14370</v>
      </c>
      <c r="BE100" s="208"/>
    </row>
    <row r="101" spans="1:57" ht="15" x14ac:dyDescent="0.25">
      <c r="A101">
        <f t="shared" ca="1" si="4"/>
        <v>89</v>
      </c>
      <c r="B101" s="263" t="str">
        <f t="shared" ca="1" si="5"/>
        <v xml:space="preserve"> </v>
      </c>
      <c r="C101" s="264">
        <f t="shared" ca="1" si="6"/>
        <v>50</v>
      </c>
      <c r="D101" s="491">
        <f t="shared" ca="1" si="7"/>
        <v>43808</v>
      </c>
      <c r="E101" s="191">
        <v>4</v>
      </c>
      <c r="F101" s="191">
        <v>418</v>
      </c>
      <c r="G101" s="192">
        <v>104</v>
      </c>
      <c r="H101" s="191"/>
      <c r="I101" s="250">
        <f>IF(COUNTBLANK(E101:H101)=4,"",SUM(E101:G101)+IF(Setup!$I$15="No",0,H101))</f>
        <v>526</v>
      </c>
      <c r="J101" s="191">
        <v>50</v>
      </c>
      <c r="K101" s="191">
        <v>268</v>
      </c>
      <c r="L101" s="191">
        <v>66</v>
      </c>
      <c r="M101" s="191"/>
      <c r="N101" s="254">
        <f>IF(COUNTBLANK(J101:M101)=4,"",SUM(J101:L101)+IF(Setup!$I$15="No",0,M101))</f>
        <v>384</v>
      </c>
      <c r="O101" s="191">
        <v>12</v>
      </c>
      <c r="P101" s="191"/>
      <c r="Q101" s="191">
        <v>12</v>
      </c>
      <c r="R101" s="191"/>
      <c r="S101" s="254">
        <f>IF(COUNTBLANK(O101:R101)=4,"",SUM(O101:Q101)+IF(Setup!$I$15="No",0,R101))</f>
        <v>24</v>
      </c>
      <c r="T101" s="191">
        <v>18</v>
      </c>
      <c r="U101" s="191">
        <v>4</v>
      </c>
      <c r="V101" s="191">
        <v>9</v>
      </c>
      <c r="W101" s="191"/>
      <c r="X101" s="254">
        <f>IF(COUNTBLANK(T101:W101)=4,"",SUM(T101:V101)+IF(Setup!$I$15="No",0,W101))</f>
        <v>31</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 Demand!S101, Demand!X101, Demand!AC101))</f>
        <v>965</v>
      </c>
      <c r="BD101" s="258">
        <f ca="1">IF(AND(A101&lt;=MaxRows,BE101&lt;&gt;"Yes"),'Demand background (hide)'!X92+IF(Setup!$I$15="Yes",'Demand background (hide)'!AJ92,0),"")</f>
        <v>15300</v>
      </c>
      <c r="BE101" s="208"/>
    </row>
    <row r="102" spans="1:57" ht="15" x14ac:dyDescent="0.25">
      <c r="A102">
        <f t="shared" ca="1" si="4"/>
        <v>90</v>
      </c>
      <c r="B102" s="263" t="str">
        <f t="shared" ca="1" si="5"/>
        <v xml:space="preserve"> </v>
      </c>
      <c r="C102" s="264">
        <f t="shared" ca="1" si="6"/>
        <v>51</v>
      </c>
      <c r="D102" s="491">
        <f t="shared" ca="1" si="7"/>
        <v>43815</v>
      </c>
      <c r="E102" s="191">
        <v>10</v>
      </c>
      <c r="F102" s="191">
        <v>423</v>
      </c>
      <c r="G102" s="192">
        <v>85</v>
      </c>
      <c r="H102" s="191"/>
      <c r="I102" s="250">
        <f>IF(COUNTBLANK(E102:H102)=4,"",SUM(E102:G102)+IF(Setup!$I$15="No",0,H102))</f>
        <v>518</v>
      </c>
      <c r="J102" s="191">
        <v>74</v>
      </c>
      <c r="K102" s="191">
        <v>265</v>
      </c>
      <c r="L102" s="191">
        <v>79</v>
      </c>
      <c r="M102" s="191"/>
      <c r="N102" s="254">
        <f>IF(COUNTBLANK(J102:M102)=4,"",SUM(J102:L102)+IF(Setup!$I$15="No",0,M102))</f>
        <v>418</v>
      </c>
      <c r="O102" s="191">
        <v>11</v>
      </c>
      <c r="P102" s="191"/>
      <c r="Q102" s="191">
        <v>11</v>
      </c>
      <c r="R102" s="191"/>
      <c r="S102" s="254">
        <f>IF(COUNTBLANK(O102:R102)=4,"",SUM(O102:Q102)+IF(Setup!$I$15="No",0,R102))</f>
        <v>22</v>
      </c>
      <c r="T102" s="191">
        <v>9</v>
      </c>
      <c r="U102" s="191">
        <v>4</v>
      </c>
      <c r="V102" s="191">
        <v>11</v>
      </c>
      <c r="W102" s="191"/>
      <c r="X102" s="254">
        <f>IF(COUNTBLANK(T102:W102)=4,"",SUM(T102:V102)+IF(Setup!$I$15="No",0,W102))</f>
        <v>24</v>
      </c>
      <c r="Y102" s="191">
        <v>2</v>
      </c>
      <c r="Z102" s="191"/>
      <c r="AA102" s="191"/>
      <c r="AB102" s="191"/>
      <c r="AC102" s="254">
        <f>IF(COUNTBLANK(Y102:AB102)=4,"",SUM(Y102:AA102)+IF(Setup!$I$15="No",0,AB102))</f>
        <v>2</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 Demand!S102, Demand!X102, Demand!AC102))</f>
        <v>984</v>
      </c>
      <c r="BD102" s="258">
        <f ca="1">IF(AND(A102&lt;=MaxRows,BE102&lt;&gt;"Yes"),'Demand background (hide)'!X93+IF(Setup!$I$15="Yes",'Demand background (hide)'!AJ93,0),"")</f>
        <v>15422</v>
      </c>
      <c r="BE102" s="208"/>
    </row>
    <row r="103" spans="1:57" ht="15" x14ac:dyDescent="0.25">
      <c r="A103">
        <f t="shared" ca="1" si="4"/>
        <v>91</v>
      </c>
      <c r="B103" s="263" t="str">
        <f t="shared" ca="1" si="5"/>
        <v xml:space="preserve"> </v>
      </c>
      <c r="C103" s="264">
        <f t="shared" ca="1" si="6"/>
        <v>52</v>
      </c>
      <c r="D103" s="491">
        <f t="shared" ca="1" si="7"/>
        <v>43822</v>
      </c>
      <c r="E103" s="191">
        <v>2</v>
      </c>
      <c r="F103" s="191">
        <v>383</v>
      </c>
      <c r="G103" s="192">
        <v>44</v>
      </c>
      <c r="H103" s="191"/>
      <c r="I103" s="250">
        <f>IF(COUNTBLANK(E103:H103)=4,"",SUM(E103:G103)+IF(Setup!$I$15="No",0,H103))</f>
        <v>429</v>
      </c>
      <c r="J103" s="191">
        <v>28</v>
      </c>
      <c r="K103" s="191">
        <v>189</v>
      </c>
      <c r="L103" s="191">
        <v>18</v>
      </c>
      <c r="M103" s="191"/>
      <c r="N103" s="254">
        <f>IF(COUNTBLANK(J103:M103)=4,"",SUM(J103:L103)+IF(Setup!$I$15="No",0,M103))</f>
        <v>235</v>
      </c>
      <c r="O103" s="191"/>
      <c r="P103" s="191"/>
      <c r="Q103" s="191"/>
      <c r="R103" s="191"/>
      <c r="S103" s="254" t="str">
        <f>IF(COUNTBLANK(O103:R103)=4,"",SUM(O103:Q103)+IF(Setup!$I$15="No",0,R103))</f>
        <v/>
      </c>
      <c r="T103" s="191">
        <v>9</v>
      </c>
      <c r="U103" s="191">
        <v>4</v>
      </c>
      <c r="V103" s="191"/>
      <c r="W103" s="191"/>
      <c r="X103" s="254">
        <f>IF(COUNTBLANK(T103:W103)=4,"",SUM(T103:V103)+IF(Setup!$I$15="No",0,W103))</f>
        <v>13</v>
      </c>
      <c r="Y103" s="191">
        <v>1</v>
      </c>
      <c r="Z103" s="191"/>
      <c r="AA103" s="191"/>
      <c r="AB103" s="191"/>
      <c r="AC103" s="254">
        <f>IF(COUNTBLANK(Y103:AB103)=4,"",SUM(Y103:AA103)+IF(Setup!$I$15="No",0,AB103))</f>
        <v>1</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 Demand!S103, Demand!X103, Demand!AC103))</f>
        <v>678</v>
      </c>
      <c r="BD103" s="258">
        <f ca="1">IF(AND(A103&lt;=MaxRows,BE103&lt;&gt;"Yes"),'Demand background (hide)'!X94+IF(Setup!$I$15="Yes",'Demand background (hide)'!AJ94,0),"")</f>
        <v>10351</v>
      </c>
      <c r="BE103" s="208"/>
    </row>
    <row r="104" spans="1:57" ht="15" x14ac:dyDescent="0.25">
      <c r="A104">
        <f t="shared" ca="1" si="4"/>
        <v>92</v>
      </c>
      <c r="B104" s="263" t="str">
        <f t="shared" ca="1" si="5"/>
        <v xml:space="preserve"> </v>
      </c>
      <c r="C104" s="264">
        <f t="shared" ca="1" si="6"/>
        <v>1</v>
      </c>
      <c r="D104" s="491">
        <f t="shared" ca="1" si="7"/>
        <v>43829</v>
      </c>
      <c r="E104" s="191">
        <v>4</v>
      </c>
      <c r="F104" s="191">
        <v>390</v>
      </c>
      <c r="G104" s="192">
        <v>61</v>
      </c>
      <c r="H104" s="191"/>
      <c r="I104" s="250">
        <f>IF(COUNTBLANK(E104:H104)=4,"",SUM(E104:G104)+IF(Setup!$I$15="No",0,H104))</f>
        <v>455</v>
      </c>
      <c r="J104" s="191">
        <v>50</v>
      </c>
      <c r="K104" s="191">
        <v>278</v>
      </c>
      <c r="L104" s="191">
        <v>25</v>
      </c>
      <c r="M104" s="191"/>
      <c r="N104" s="254">
        <f>IF(COUNTBLANK(J104:M104)=4,"",SUM(J104:L104)+IF(Setup!$I$15="No",0,M104))</f>
        <v>353</v>
      </c>
      <c r="O104" s="191">
        <v>8</v>
      </c>
      <c r="P104" s="191">
        <v>2</v>
      </c>
      <c r="Q104" s="191">
        <v>8</v>
      </c>
      <c r="R104" s="191"/>
      <c r="S104" s="254">
        <f>IF(COUNTBLANK(O104:R104)=4,"",SUM(O104:Q104)+IF(Setup!$I$15="No",0,R104))</f>
        <v>18</v>
      </c>
      <c r="T104" s="191">
        <v>10</v>
      </c>
      <c r="U104" s="191">
        <v>3</v>
      </c>
      <c r="V104" s="191">
        <v>7</v>
      </c>
      <c r="W104" s="191"/>
      <c r="X104" s="254">
        <f>IF(COUNTBLANK(T104:W104)=4,"",SUM(T104:V104)+IF(Setup!$I$15="No",0,W104))</f>
        <v>20</v>
      </c>
      <c r="Y104" s="191">
        <v>1</v>
      </c>
      <c r="Z104" s="191"/>
      <c r="AA104" s="191"/>
      <c r="AB104" s="191"/>
      <c r="AC104" s="254">
        <f>IF(COUNTBLANK(Y104:AB104)=4,"",SUM(Y104:AA104)+IF(Setup!$I$15="No",0,AB104))</f>
        <v>1</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 Demand!S104, Demand!X104, Demand!AC104))</f>
        <v>847</v>
      </c>
      <c r="BD104" s="258">
        <f ca="1">IF(AND(A104&lt;=MaxRows,BE104&lt;&gt;"Yes"),'Demand background (hide)'!X95+IF(Setup!$I$15="Yes",'Demand background (hide)'!AJ95,0),"")</f>
        <v>13261</v>
      </c>
      <c r="BE104" s="208"/>
    </row>
    <row r="105" spans="1:57" ht="15" x14ac:dyDescent="0.25">
      <c r="A105">
        <f t="shared" ca="1" si="4"/>
        <v>93</v>
      </c>
      <c r="B105" s="263">
        <f t="shared" ca="1" si="5"/>
        <v>2020</v>
      </c>
      <c r="C105" s="264">
        <f t="shared" ca="1" si="6"/>
        <v>2</v>
      </c>
      <c r="D105" s="491">
        <f t="shared" ca="1" si="7"/>
        <v>43836</v>
      </c>
      <c r="E105" s="191">
        <v>10</v>
      </c>
      <c r="F105" s="191">
        <v>388</v>
      </c>
      <c r="G105" s="192">
        <v>88</v>
      </c>
      <c r="H105" s="191"/>
      <c r="I105" s="250">
        <f>IF(COUNTBLANK(E105:H105)=4,"",SUM(E105:G105)+IF(Setup!$I$15="No",0,H105))</f>
        <v>486</v>
      </c>
      <c r="J105" s="191">
        <v>91</v>
      </c>
      <c r="K105" s="191">
        <v>299</v>
      </c>
      <c r="L105" s="191">
        <v>59</v>
      </c>
      <c r="M105" s="191"/>
      <c r="N105" s="254">
        <f>IF(COUNTBLANK(J105:M105)=4,"",SUM(J105:L105)+IF(Setup!$I$15="No",0,M105))</f>
        <v>449</v>
      </c>
      <c r="O105" s="191">
        <v>15</v>
      </c>
      <c r="P105" s="191"/>
      <c r="Q105" s="191">
        <v>15</v>
      </c>
      <c r="R105" s="191"/>
      <c r="S105" s="254">
        <f>IF(COUNTBLANK(O105:R105)=4,"",SUM(O105:Q105)+IF(Setup!$I$15="No",0,R105))</f>
        <v>30</v>
      </c>
      <c r="T105" s="191">
        <v>16</v>
      </c>
      <c r="U105" s="191">
        <v>1</v>
      </c>
      <c r="V105" s="191">
        <v>9</v>
      </c>
      <c r="W105" s="191"/>
      <c r="X105" s="254">
        <f>IF(COUNTBLANK(T105:W105)=4,"",SUM(T105:V105)+IF(Setup!$I$15="No",0,W105))</f>
        <v>26</v>
      </c>
      <c r="Y105" s="191">
        <v>2</v>
      </c>
      <c r="Z105" s="191"/>
      <c r="AA105" s="191">
        <v>1</v>
      </c>
      <c r="AB105" s="191"/>
      <c r="AC105" s="254">
        <f>IF(COUNTBLANK(Y105:AB105)=4,"",SUM(Y105:AA105)+IF(Setup!$I$15="No",0,AB105))</f>
        <v>3</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 Demand!S105, Demand!X105, Demand!AC105))</f>
        <v>994</v>
      </c>
      <c r="BD105" s="258">
        <f ca="1">IF(AND(A105&lt;=MaxRows,BE105&lt;&gt;"Yes"),'Demand background (hide)'!X96+IF(Setup!$I$15="Yes",'Demand background (hide)'!AJ96,0),"")</f>
        <v>15708</v>
      </c>
      <c r="BE105" s="208"/>
    </row>
    <row r="106" spans="1:57" ht="15" x14ac:dyDescent="0.25">
      <c r="A106">
        <f t="shared" ca="1" si="4"/>
        <v>94</v>
      </c>
      <c r="B106" s="263" t="str">
        <f t="shared" ca="1" si="5"/>
        <v xml:space="preserve"> </v>
      </c>
      <c r="C106" s="264">
        <f t="shared" ca="1" si="6"/>
        <v>3</v>
      </c>
      <c r="D106" s="491">
        <f t="shared" ca="1" si="7"/>
        <v>43843</v>
      </c>
      <c r="E106" s="191">
        <v>18</v>
      </c>
      <c r="F106" s="191">
        <v>414</v>
      </c>
      <c r="G106" s="192">
        <v>119</v>
      </c>
      <c r="H106" s="191"/>
      <c r="I106" s="250">
        <f>IF(COUNTBLANK(E106:H106)=4,"",SUM(E106:G106)+IF(Setup!$I$15="No",0,H106))</f>
        <v>551</v>
      </c>
      <c r="J106" s="191">
        <v>77</v>
      </c>
      <c r="K106" s="191">
        <v>250</v>
      </c>
      <c r="L106" s="191">
        <v>70</v>
      </c>
      <c r="M106" s="191"/>
      <c r="N106" s="254">
        <f>IF(COUNTBLANK(J106:M106)=4,"",SUM(J106:L106)+IF(Setup!$I$15="No",0,M106))</f>
        <v>397</v>
      </c>
      <c r="O106" s="191">
        <v>10</v>
      </c>
      <c r="P106" s="191">
        <v>2</v>
      </c>
      <c r="Q106" s="191">
        <v>10</v>
      </c>
      <c r="R106" s="191"/>
      <c r="S106" s="254">
        <f>IF(COUNTBLANK(O106:R106)=4,"",SUM(O106:Q106)+IF(Setup!$I$15="No",0,R106))</f>
        <v>22</v>
      </c>
      <c r="T106" s="191">
        <v>18</v>
      </c>
      <c r="U106" s="191">
        <v>4</v>
      </c>
      <c r="V106" s="191">
        <v>6</v>
      </c>
      <c r="W106" s="191"/>
      <c r="X106" s="254">
        <f>IF(COUNTBLANK(T106:W106)=4,"",SUM(T106:V106)+IF(Setup!$I$15="No",0,W106))</f>
        <v>28</v>
      </c>
      <c r="Y106" s="191">
        <v>2</v>
      </c>
      <c r="Z106" s="191">
        <v>2</v>
      </c>
      <c r="AA106" s="191"/>
      <c r="AB106" s="191"/>
      <c r="AC106" s="254">
        <f>IF(COUNTBLANK(Y106:AB106)=4,"",SUM(Y106:AA106)+IF(Setup!$I$15="No",0,AB106))</f>
        <v>4</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 Demand!S106, Demand!X106, Demand!AC106))</f>
        <v>1002</v>
      </c>
      <c r="BD106" s="258">
        <f ca="1">IF(AND(A106&lt;=MaxRows,BE106&lt;&gt;"Yes"),'Demand background (hide)'!X97+IF(Setup!$I$15="Yes",'Demand background (hide)'!AJ97,0),"")</f>
        <v>15724</v>
      </c>
      <c r="BE106" s="208"/>
    </row>
    <row r="107" spans="1:57" ht="15" x14ac:dyDescent="0.25">
      <c r="A107">
        <f t="shared" ca="1" si="4"/>
        <v>95</v>
      </c>
      <c r="B107" s="263" t="str">
        <f t="shared" ca="1" si="5"/>
        <v xml:space="preserve"> </v>
      </c>
      <c r="C107" s="264">
        <f t="shared" ca="1" si="6"/>
        <v>4</v>
      </c>
      <c r="D107" s="491">
        <f t="shared" ca="1" si="7"/>
        <v>43850</v>
      </c>
      <c r="E107" s="191">
        <v>7</v>
      </c>
      <c r="F107" s="191">
        <v>446</v>
      </c>
      <c r="G107" s="192">
        <v>115</v>
      </c>
      <c r="H107" s="191"/>
      <c r="I107" s="250">
        <f>IF(COUNTBLANK(E107:H107)=4,"",SUM(E107:G107)+IF(Setup!$I$15="No",0,H107))</f>
        <v>568</v>
      </c>
      <c r="J107" s="191">
        <v>102</v>
      </c>
      <c r="K107" s="191">
        <v>300</v>
      </c>
      <c r="L107" s="191">
        <v>71</v>
      </c>
      <c r="M107" s="191"/>
      <c r="N107" s="254">
        <f>IF(COUNTBLANK(J107:M107)=4,"",SUM(J107:L107)+IF(Setup!$I$15="No",0,M107))</f>
        <v>473</v>
      </c>
      <c r="O107" s="191">
        <v>25</v>
      </c>
      <c r="P107" s="191">
        <v>2</v>
      </c>
      <c r="Q107" s="191">
        <v>25</v>
      </c>
      <c r="R107" s="191"/>
      <c r="S107" s="254">
        <f>IF(COUNTBLANK(O107:R107)=4,"",SUM(O107:Q107)+IF(Setup!$I$15="No",0,R107))</f>
        <v>52</v>
      </c>
      <c r="T107" s="191">
        <v>17</v>
      </c>
      <c r="U107" s="191">
        <v>6</v>
      </c>
      <c r="V107" s="191">
        <v>5</v>
      </c>
      <c r="W107" s="191"/>
      <c r="X107" s="254">
        <f>IF(COUNTBLANK(T107:W107)=4,"",SUM(T107:V107)+IF(Setup!$I$15="No",0,W107))</f>
        <v>28</v>
      </c>
      <c r="Y107" s="191">
        <v>1</v>
      </c>
      <c r="Z107" s="191"/>
      <c r="AA107" s="191"/>
      <c r="AB107" s="191"/>
      <c r="AC107" s="254">
        <f>IF(COUNTBLANK(Y107:AB107)=4,"",SUM(Y107:AA107)+IF(Setup!$I$15="No",0,AB107))</f>
        <v>1</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 Demand!S107, Demand!X107, Demand!AC107))</f>
        <v>1122</v>
      </c>
      <c r="BD107" s="258">
        <f ca="1">IF(AND(A107&lt;=MaxRows,BE107&lt;&gt;"Yes"),'Demand background (hide)'!X98+IF(Setup!$I$15="Yes",'Demand background (hide)'!AJ98,0),"")</f>
        <v>18016</v>
      </c>
      <c r="BE107" s="208"/>
    </row>
    <row r="108" spans="1:57" ht="15" x14ac:dyDescent="0.25">
      <c r="A108">
        <f t="shared" ca="1" si="4"/>
        <v>96</v>
      </c>
      <c r="B108" s="263" t="str">
        <f t="shared" ca="1" si="5"/>
        <v xml:space="preserve"> </v>
      </c>
      <c r="C108" s="264">
        <f t="shared" ca="1" si="6"/>
        <v>5</v>
      </c>
      <c r="D108" s="491">
        <f t="shared" ca="1" si="7"/>
        <v>43857</v>
      </c>
      <c r="E108" s="191">
        <v>17</v>
      </c>
      <c r="F108" s="191">
        <v>396</v>
      </c>
      <c r="G108" s="192">
        <v>96</v>
      </c>
      <c r="H108" s="191"/>
      <c r="I108" s="250">
        <f>IF(COUNTBLANK(E108:H108)=4,"",SUM(E108:G108)+IF(Setup!$I$15="No",0,H108))</f>
        <v>509</v>
      </c>
      <c r="J108" s="191">
        <v>102</v>
      </c>
      <c r="K108" s="191">
        <v>283</v>
      </c>
      <c r="L108" s="191">
        <v>71</v>
      </c>
      <c r="M108" s="191"/>
      <c r="N108" s="254">
        <f>IF(COUNTBLANK(J108:M108)=4,"",SUM(J108:L108)+IF(Setup!$I$15="No",0,M108))</f>
        <v>456</v>
      </c>
      <c r="O108" s="191">
        <v>14</v>
      </c>
      <c r="P108" s="191">
        <v>2</v>
      </c>
      <c r="Q108" s="191">
        <v>14</v>
      </c>
      <c r="R108" s="191"/>
      <c r="S108" s="254">
        <f>IF(COUNTBLANK(O108:R108)=4,"",SUM(O108:Q108)+IF(Setup!$I$15="No",0,R108))</f>
        <v>30</v>
      </c>
      <c r="T108" s="191">
        <v>16</v>
      </c>
      <c r="U108" s="191">
        <v>4</v>
      </c>
      <c r="V108" s="191">
        <v>10</v>
      </c>
      <c r="W108" s="191"/>
      <c r="X108" s="254">
        <f>IF(COUNTBLANK(T108:W108)=4,"",SUM(T108:V108)+IF(Setup!$I$15="No",0,W108))</f>
        <v>30</v>
      </c>
      <c r="Y108" s="191">
        <v>2</v>
      </c>
      <c r="Z108" s="191">
        <v>1</v>
      </c>
      <c r="AA108" s="191"/>
      <c r="AB108" s="191"/>
      <c r="AC108" s="254">
        <f>IF(COUNTBLANK(Y108:AB108)=4,"",SUM(Y108:AA108)+IF(Setup!$I$15="No",0,AB108))</f>
        <v>3</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 Demand!S108, Demand!X108, Demand!AC108))</f>
        <v>1028</v>
      </c>
      <c r="BD108" s="258">
        <f ca="1">IF(AND(A108&lt;=MaxRows,BE108&lt;&gt;"Yes"),'Demand background (hide)'!X99+IF(Setup!$I$15="Yes",'Demand background (hide)'!AJ99,0),"")</f>
        <v>16278</v>
      </c>
      <c r="BE108" s="208"/>
    </row>
    <row r="109" spans="1:57" ht="15" x14ac:dyDescent="0.25">
      <c r="A109">
        <f t="shared" ca="1" si="4"/>
        <v>97</v>
      </c>
      <c r="B109" s="263" t="str">
        <f t="shared" ca="1" si="5"/>
        <v xml:space="preserve"> </v>
      </c>
      <c r="C109" s="264">
        <f t="shared" ca="1" si="6"/>
        <v>6</v>
      </c>
      <c r="D109" s="491">
        <f t="shared" ca="1" si="7"/>
        <v>43864</v>
      </c>
      <c r="E109" s="191">
        <v>12</v>
      </c>
      <c r="F109" s="191">
        <v>408</v>
      </c>
      <c r="G109" s="192">
        <v>101</v>
      </c>
      <c r="H109" s="191"/>
      <c r="I109" s="250">
        <f>IF(COUNTBLANK(E109:H109)=4,"",SUM(E109:G109)+IF(Setup!$I$15="No",0,H109))</f>
        <v>521</v>
      </c>
      <c r="J109" s="191">
        <v>78</v>
      </c>
      <c r="K109" s="191">
        <v>245</v>
      </c>
      <c r="L109" s="191">
        <v>45</v>
      </c>
      <c r="M109" s="191"/>
      <c r="N109" s="254">
        <f>IF(COUNTBLANK(J109:M109)=4,"",SUM(J109:L109)+IF(Setup!$I$15="No",0,M109))</f>
        <v>368</v>
      </c>
      <c r="O109" s="191">
        <v>7</v>
      </c>
      <c r="P109" s="191"/>
      <c r="Q109" s="191">
        <v>7</v>
      </c>
      <c r="R109" s="191"/>
      <c r="S109" s="254">
        <f>IF(COUNTBLANK(O109:R109)=4,"",SUM(O109:Q109)+IF(Setup!$I$15="No",0,R109))</f>
        <v>14</v>
      </c>
      <c r="T109" s="191">
        <v>18</v>
      </c>
      <c r="U109" s="191">
        <v>4</v>
      </c>
      <c r="V109" s="191">
        <v>5</v>
      </c>
      <c r="W109" s="191"/>
      <c r="X109" s="254">
        <f>IF(COUNTBLANK(T109:W109)=4,"",SUM(T109:V109)+IF(Setup!$I$15="No",0,W109))</f>
        <v>27</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 Demand!S109, Demand!X109, Demand!AC109))</f>
        <v>930</v>
      </c>
      <c r="BD109" s="258">
        <f ca="1">IF(AND(A109&lt;=MaxRows,BE109&lt;&gt;"Yes"),'Demand background (hide)'!X100+IF(Setup!$I$15="Yes",'Demand background (hide)'!AJ100,0),"")</f>
        <v>14565</v>
      </c>
      <c r="BE109" s="208"/>
    </row>
    <row r="110" spans="1:57" ht="15" x14ac:dyDescent="0.25">
      <c r="A110">
        <f t="shared" ca="1" si="4"/>
        <v>98</v>
      </c>
      <c r="B110" s="263" t="str">
        <f t="shared" ca="1" si="5"/>
        <v xml:space="preserve"> </v>
      </c>
      <c r="C110" s="264">
        <f t="shared" ca="1" si="6"/>
        <v>7</v>
      </c>
      <c r="D110" s="491">
        <f t="shared" ca="1" si="7"/>
        <v>43871</v>
      </c>
      <c r="E110" s="191">
        <v>15</v>
      </c>
      <c r="F110" s="191">
        <v>387</v>
      </c>
      <c r="G110" s="192">
        <v>70</v>
      </c>
      <c r="H110" s="191"/>
      <c r="I110" s="250">
        <f>IF(COUNTBLANK(E110:H110)=4,"",SUM(E110:G110)+IF(Setup!$I$15="No",0,H110))</f>
        <v>472</v>
      </c>
      <c r="J110" s="191">
        <v>79</v>
      </c>
      <c r="K110" s="191">
        <v>269</v>
      </c>
      <c r="L110" s="191">
        <v>47</v>
      </c>
      <c r="M110" s="191"/>
      <c r="N110" s="254">
        <f>IF(COUNTBLANK(J110:M110)=4,"",SUM(J110:L110)+IF(Setup!$I$15="No",0,M110))</f>
        <v>395</v>
      </c>
      <c r="O110" s="191">
        <v>16</v>
      </c>
      <c r="P110" s="191">
        <v>1</v>
      </c>
      <c r="Q110" s="191">
        <v>16</v>
      </c>
      <c r="R110" s="191"/>
      <c r="S110" s="254">
        <f>IF(COUNTBLANK(O110:R110)=4,"",SUM(O110:Q110)+IF(Setup!$I$15="No",0,R110))</f>
        <v>33</v>
      </c>
      <c r="T110" s="191">
        <v>26</v>
      </c>
      <c r="U110" s="191">
        <v>5</v>
      </c>
      <c r="V110" s="191">
        <v>8</v>
      </c>
      <c r="W110" s="191"/>
      <c r="X110" s="254">
        <f>IF(COUNTBLANK(T110:W110)=4,"",SUM(T110:V110)+IF(Setup!$I$15="No",0,W110))</f>
        <v>39</v>
      </c>
      <c r="Y110" s="191">
        <v>1</v>
      </c>
      <c r="Z110" s="191"/>
      <c r="AA110" s="191">
        <v>1</v>
      </c>
      <c r="AB110" s="191"/>
      <c r="AC110" s="254">
        <f>IF(COUNTBLANK(Y110:AB110)=4,"",SUM(Y110:AA110)+IF(Setup!$I$15="No",0,AB110))</f>
        <v>2</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 Demand!S110, Demand!X110, Demand!AC110))</f>
        <v>941</v>
      </c>
      <c r="BD110" s="258">
        <f ca="1">IF(AND(A110&lt;=MaxRows,BE110&lt;&gt;"Yes"),'Demand background (hide)'!X101+IF(Setup!$I$15="Yes",'Demand background (hide)'!AJ101,0),"")</f>
        <v>15167</v>
      </c>
      <c r="BE110" s="208"/>
    </row>
    <row r="111" spans="1:57" ht="15" x14ac:dyDescent="0.25">
      <c r="A111">
        <f t="shared" ca="1" si="4"/>
        <v>99</v>
      </c>
      <c r="B111" s="263" t="str">
        <f t="shared" ca="1" si="5"/>
        <v xml:space="preserve"> </v>
      </c>
      <c r="C111" s="264">
        <f t="shared" ca="1" si="6"/>
        <v>8</v>
      </c>
      <c r="D111" s="491">
        <f t="shared" ca="1" si="7"/>
        <v>43878</v>
      </c>
      <c r="E111" s="191">
        <v>8</v>
      </c>
      <c r="F111" s="191">
        <v>362</v>
      </c>
      <c r="G111" s="192">
        <v>79</v>
      </c>
      <c r="H111" s="191"/>
      <c r="I111" s="250">
        <f>IF(COUNTBLANK(E111:H111)=4,"",SUM(E111:G111)+IF(Setup!$I$15="No",0,H111))</f>
        <v>449</v>
      </c>
      <c r="J111" s="191">
        <v>75</v>
      </c>
      <c r="K111" s="191">
        <v>254</v>
      </c>
      <c r="L111" s="191">
        <v>37</v>
      </c>
      <c r="M111" s="191"/>
      <c r="N111" s="254">
        <f>IF(COUNTBLANK(J111:M111)=4,"",SUM(J111:L111)+IF(Setup!$I$15="No",0,M111))</f>
        <v>366</v>
      </c>
      <c r="O111" s="191">
        <v>12</v>
      </c>
      <c r="P111" s="191"/>
      <c r="Q111" s="191">
        <v>12</v>
      </c>
      <c r="R111" s="191"/>
      <c r="S111" s="254">
        <f>IF(COUNTBLANK(O111:R111)=4,"",SUM(O111:Q111)+IF(Setup!$I$15="No",0,R111))</f>
        <v>24</v>
      </c>
      <c r="T111" s="191">
        <v>10</v>
      </c>
      <c r="U111" s="191">
        <v>4</v>
      </c>
      <c r="V111" s="191">
        <v>3</v>
      </c>
      <c r="W111" s="191"/>
      <c r="X111" s="254">
        <f>IF(COUNTBLANK(T111:W111)=4,"",SUM(T111:V111)+IF(Setup!$I$15="No",0,W111))</f>
        <v>17</v>
      </c>
      <c r="Y111" s="191"/>
      <c r="Z111" s="191">
        <v>1</v>
      </c>
      <c r="AA111" s="191"/>
      <c r="AB111" s="191"/>
      <c r="AC111" s="254">
        <f>IF(COUNTBLANK(Y111:AB111)=4,"",SUM(Y111:AA111)+IF(Setup!$I$15="No",0,AB111))</f>
        <v>1</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 Demand!S111, Demand!X111, Demand!AC111))</f>
        <v>857</v>
      </c>
      <c r="BD111" s="258">
        <f ca="1">IF(AND(A111&lt;=MaxRows,BE111&lt;&gt;"Yes"),'Demand background (hide)'!X102+IF(Setup!$I$15="Yes",'Demand background (hide)'!AJ102,0),"")</f>
        <v>13456</v>
      </c>
      <c r="BE111" s="208"/>
    </row>
    <row r="112" spans="1:57" ht="15" x14ac:dyDescent="0.25">
      <c r="A112">
        <f t="shared" ca="1" si="4"/>
        <v>100</v>
      </c>
      <c r="B112" s="263" t="str">
        <f t="shared" ca="1" si="5"/>
        <v xml:space="preserve"> </v>
      </c>
      <c r="C112" s="264">
        <f t="shared" ca="1" si="6"/>
        <v>9</v>
      </c>
      <c r="D112" s="491">
        <f t="shared" ca="1" si="7"/>
        <v>43885</v>
      </c>
      <c r="E112" s="191">
        <v>10</v>
      </c>
      <c r="F112" s="191">
        <v>390</v>
      </c>
      <c r="G112" s="192">
        <v>77</v>
      </c>
      <c r="H112" s="191"/>
      <c r="I112" s="250">
        <f>IF(COUNTBLANK(E112:H112)=4,"",SUM(E112:G112)+IF(Setup!$I$15="No",0,H112))</f>
        <v>477</v>
      </c>
      <c r="J112" s="191">
        <v>85</v>
      </c>
      <c r="K112" s="191">
        <v>240</v>
      </c>
      <c r="L112" s="191">
        <v>39</v>
      </c>
      <c r="M112" s="191"/>
      <c r="N112" s="254">
        <f>IF(COUNTBLANK(J112:M112)=4,"",SUM(J112:L112)+IF(Setup!$I$15="No",0,M112))</f>
        <v>364</v>
      </c>
      <c r="O112" s="191">
        <v>25</v>
      </c>
      <c r="P112" s="191"/>
      <c r="Q112" s="191">
        <v>25</v>
      </c>
      <c r="R112" s="191"/>
      <c r="S112" s="254">
        <f>IF(COUNTBLANK(O112:R112)=4,"",SUM(O112:Q112)+IF(Setup!$I$15="No",0,R112))</f>
        <v>50</v>
      </c>
      <c r="T112" s="191">
        <v>14</v>
      </c>
      <c r="U112" s="191">
        <v>3</v>
      </c>
      <c r="V112" s="191">
        <v>7</v>
      </c>
      <c r="W112" s="191"/>
      <c r="X112" s="254">
        <f>IF(COUNTBLANK(T112:W112)=4,"",SUM(T112:V112)+IF(Setup!$I$15="No",0,W112))</f>
        <v>24</v>
      </c>
      <c r="Y112" s="191">
        <v>3</v>
      </c>
      <c r="Z112" s="191">
        <v>1</v>
      </c>
      <c r="AA112" s="191"/>
      <c r="AB112" s="191"/>
      <c r="AC112" s="254">
        <f>IF(COUNTBLANK(Y112:AB112)=4,"",SUM(Y112:AA112)+IF(Setup!$I$15="No",0,AB112))</f>
        <v>4</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 Demand!S112, Demand!X112, Demand!AC112))</f>
        <v>919</v>
      </c>
      <c r="BD112" s="258">
        <f ca="1">IF(AND(A112&lt;=MaxRows,BE112&lt;&gt;"Yes"),'Demand background (hide)'!X103+IF(Setup!$I$15="Yes",'Demand background (hide)'!AJ103,0),"")</f>
        <v>14839</v>
      </c>
      <c r="BE112" s="208"/>
    </row>
    <row r="113" spans="1:59" ht="15" x14ac:dyDescent="0.25">
      <c r="A113">
        <f t="shared" ca="1" si="4"/>
        <v>101</v>
      </c>
      <c r="B113" s="263" t="str">
        <f t="shared" ca="1" si="5"/>
        <v xml:space="preserve"> </v>
      </c>
      <c r="C113" s="264">
        <f t="shared" ca="1" si="6"/>
        <v>10</v>
      </c>
      <c r="D113" s="491">
        <f t="shared" ca="1" si="7"/>
        <v>43892</v>
      </c>
      <c r="E113" s="191">
        <v>7</v>
      </c>
      <c r="F113" s="191">
        <v>380</v>
      </c>
      <c r="G113" s="192">
        <v>87</v>
      </c>
      <c r="H113" s="191"/>
      <c r="I113" s="250">
        <f>IF(COUNTBLANK(E113:H113)=4,"",SUM(E113:G113)+IF(Setup!$I$15="No",0,H113))</f>
        <v>474</v>
      </c>
      <c r="J113" s="191">
        <v>76</v>
      </c>
      <c r="K113" s="191">
        <v>254</v>
      </c>
      <c r="L113" s="191">
        <v>48</v>
      </c>
      <c r="M113" s="191"/>
      <c r="N113" s="254">
        <f>IF(COUNTBLANK(J113:M113)=4,"",SUM(J113:L113)+IF(Setup!$I$15="No",0,M113))</f>
        <v>378</v>
      </c>
      <c r="O113" s="191">
        <v>22</v>
      </c>
      <c r="P113" s="191">
        <v>2</v>
      </c>
      <c r="Q113" s="191">
        <v>22</v>
      </c>
      <c r="R113" s="191"/>
      <c r="S113" s="254">
        <f>IF(COUNTBLANK(O113:R113)=4,"",SUM(O113:Q113)+IF(Setup!$I$15="No",0,R113))</f>
        <v>46</v>
      </c>
      <c r="T113" s="191">
        <v>13</v>
      </c>
      <c r="U113" s="191">
        <v>4</v>
      </c>
      <c r="V113" s="191">
        <v>3</v>
      </c>
      <c r="W113" s="191"/>
      <c r="X113" s="254">
        <f>IF(COUNTBLANK(T113:W113)=4,"",SUM(T113:V113)+IF(Setup!$I$15="No",0,W113))</f>
        <v>20</v>
      </c>
      <c r="Y113" s="191">
        <v>1</v>
      </c>
      <c r="Z113" s="191"/>
      <c r="AA113" s="191"/>
      <c r="AB113" s="191"/>
      <c r="AC113" s="254">
        <f>IF(COUNTBLANK(Y113:AB113)=4,"",SUM(Y113:AA113)+IF(Setup!$I$15="No",0,AB113))</f>
        <v>1</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 Demand!S113, Demand!X113, Demand!AC113))</f>
        <v>919</v>
      </c>
      <c r="BD113" s="258">
        <f ca="1">IF(AND(A113&lt;=MaxRows,BE113&lt;&gt;"Yes"),'Demand background (hide)'!X104+IF(Setup!$I$15="Yes",'Demand background (hide)'!AJ104,0),"")</f>
        <v>14761</v>
      </c>
      <c r="BE113" s="208"/>
    </row>
    <row r="114" spans="1:59" ht="15" x14ac:dyDescent="0.25">
      <c r="A114">
        <f t="shared" ca="1" si="4"/>
        <v>102</v>
      </c>
      <c r="B114" s="263" t="str">
        <f t="shared" ca="1" si="5"/>
        <v xml:space="preserve"> </v>
      </c>
      <c r="C114" s="264">
        <f t="shared" ca="1" si="6"/>
        <v>11</v>
      </c>
      <c r="D114" s="491">
        <f t="shared" ca="1" si="7"/>
        <v>43899</v>
      </c>
      <c r="E114" s="191">
        <v>9</v>
      </c>
      <c r="F114" s="191">
        <v>332</v>
      </c>
      <c r="G114" s="192">
        <v>88</v>
      </c>
      <c r="H114" s="191"/>
      <c r="I114" s="250">
        <f>IF(COUNTBLANK(E114:H114)=4,"",SUM(E114:G114)+IF(Setup!$I$15="No",0,H114))</f>
        <v>429</v>
      </c>
      <c r="J114" s="191">
        <v>78</v>
      </c>
      <c r="K114" s="191">
        <v>224</v>
      </c>
      <c r="L114" s="191">
        <v>63</v>
      </c>
      <c r="M114" s="191"/>
      <c r="N114" s="254">
        <f>IF(COUNTBLANK(J114:M114)=4,"",SUM(J114:L114)+IF(Setup!$I$15="No",0,M114))</f>
        <v>365</v>
      </c>
      <c r="O114" s="191">
        <v>15</v>
      </c>
      <c r="P114" s="191"/>
      <c r="Q114" s="191">
        <v>15</v>
      </c>
      <c r="R114" s="191"/>
      <c r="S114" s="254">
        <f>IF(COUNTBLANK(O114:R114)=4,"",SUM(O114:Q114)+IF(Setup!$I$15="No",0,R114))</f>
        <v>30</v>
      </c>
      <c r="T114" s="191">
        <v>17</v>
      </c>
      <c r="U114" s="191"/>
      <c r="V114" s="191">
        <v>5</v>
      </c>
      <c r="W114" s="191"/>
      <c r="X114" s="254">
        <f>IF(COUNTBLANK(T114:W114)=4,"",SUM(T114:V114)+IF(Setup!$I$15="No",0,W114))</f>
        <v>22</v>
      </c>
      <c r="Y114" s="191">
        <v>1</v>
      </c>
      <c r="Z114" s="191"/>
      <c r="AA114" s="191"/>
      <c r="AB114" s="191"/>
      <c r="AC114" s="254">
        <f>IF(COUNTBLANK(Y114:AB114)=4,"",SUM(Y114:AA114)+IF(Setup!$I$15="No",0,AB114))</f>
        <v>1</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 Demand!S114, Demand!X114, Demand!AC114))</f>
        <v>847</v>
      </c>
      <c r="BD114" s="258">
        <f ca="1">IF(AND(A114&lt;=MaxRows,BE114&lt;&gt;"Yes"),'Demand background (hide)'!X105+IF(Setup!$I$15="Yes",'Demand background (hide)'!AJ105,0),"")</f>
        <v>13471</v>
      </c>
      <c r="BE114" s="208"/>
    </row>
    <row r="115" spans="1:59" ht="15" x14ac:dyDescent="0.25">
      <c r="A115">
        <f t="shared" ca="1" si="4"/>
        <v>103</v>
      </c>
      <c r="B115" s="263" t="str">
        <f t="shared" ca="1" si="5"/>
        <v xml:space="preserve"> </v>
      </c>
      <c r="C115" s="264">
        <f t="shared" ca="1" si="6"/>
        <v>12</v>
      </c>
      <c r="D115" s="491">
        <f t="shared" ca="1" si="7"/>
        <v>43906</v>
      </c>
      <c r="E115" s="191">
        <v>6</v>
      </c>
      <c r="F115" s="191">
        <v>274</v>
      </c>
      <c r="G115" s="192">
        <v>76</v>
      </c>
      <c r="H115" s="191"/>
      <c r="I115" s="250">
        <f>IF(COUNTBLANK(E115:H115)=4,"",SUM(E115:G115)+IF(Setup!$I$15="No",0,H115))</f>
        <v>356</v>
      </c>
      <c r="J115" s="191">
        <v>46</v>
      </c>
      <c r="K115" s="191">
        <v>170</v>
      </c>
      <c r="L115" s="191">
        <v>49</v>
      </c>
      <c r="M115" s="191"/>
      <c r="N115" s="254">
        <f>IF(COUNTBLANK(J115:M115)=4,"",SUM(J115:L115)+IF(Setup!$I$15="No",0,M115))</f>
        <v>265</v>
      </c>
      <c r="O115" s="191">
        <v>15</v>
      </c>
      <c r="P115" s="191"/>
      <c r="Q115" s="191">
        <v>15</v>
      </c>
      <c r="R115" s="191"/>
      <c r="S115" s="254">
        <f>IF(COUNTBLANK(O115:R115)=4,"",SUM(O115:Q115)+IF(Setup!$I$15="No",0,R115))</f>
        <v>30</v>
      </c>
      <c r="T115" s="191">
        <v>4</v>
      </c>
      <c r="U115" s="191">
        <v>1</v>
      </c>
      <c r="V115" s="191">
        <v>2</v>
      </c>
      <c r="W115" s="191"/>
      <c r="X115" s="254">
        <f>IF(COUNTBLANK(T115:W115)=4,"",SUM(T115:V115)+IF(Setup!$I$15="No",0,W115))</f>
        <v>7</v>
      </c>
      <c r="Y115" s="191">
        <v>1</v>
      </c>
      <c r="Z115" s="191"/>
      <c r="AA115" s="191"/>
      <c r="AB115" s="191"/>
      <c r="AC115" s="254">
        <f>IF(COUNTBLANK(Y115:AB115)=4,"",SUM(Y115:AA115)+IF(Setup!$I$15="No",0,AB115))</f>
        <v>1</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 Demand!S115, Demand!X115, Demand!AC115))</f>
        <v>659</v>
      </c>
      <c r="BD115" s="258">
        <f ca="1">IF(AND(A115&lt;=MaxRows,BE115&lt;&gt;"Yes"),'Demand background (hide)'!X106+IF(Setup!$I$15="Yes",'Demand background (hide)'!AJ106,0),"")</f>
        <v>10426</v>
      </c>
      <c r="BE115" s="208"/>
    </row>
    <row r="116" spans="1:59" ht="15" x14ac:dyDescent="0.25">
      <c r="A116">
        <f t="shared" ca="1" si="4"/>
        <v>104</v>
      </c>
      <c r="B116" s="263" t="str">
        <f t="shared" ca="1" si="5"/>
        <v xml:space="preserve"> </v>
      </c>
      <c r="C116" s="264">
        <f t="shared" ca="1" si="6"/>
        <v>13</v>
      </c>
      <c r="D116" s="491">
        <f t="shared" ca="1" si="7"/>
        <v>43913</v>
      </c>
      <c r="E116" s="191">
        <v>4</v>
      </c>
      <c r="F116" s="191">
        <v>217</v>
      </c>
      <c r="G116" s="192">
        <v>47</v>
      </c>
      <c r="H116" s="191"/>
      <c r="I116" s="250">
        <f>IF(COUNTBLANK(E116:H116)=4,"",SUM(E116:G116)+IF(Setup!$I$15="No",0,H116))</f>
        <v>268</v>
      </c>
      <c r="J116" s="191">
        <v>54</v>
      </c>
      <c r="K116" s="191">
        <v>125</v>
      </c>
      <c r="L116" s="191">
        <v>38</v>
      </c>
      <c r="M116" s="191"/>
      <c r="N116" s="254">
        <f>IF(COUNTBLANK(J116:M116)=4,"",SUM(J116:L116)+IF(Setup!$I$15="No",0,M116))</f>
        <v>217</v>
      </c>
      <c r="O116" s="191">
        <v>2</v>
      </c>
      <c r="P116" s="191"/>
      <c r="Q116" s="191">
        <v>2</v>
      </c>
      <c r="R116" s="191"/>
      <c r="S116" s="254">
        <f>IF(COUNTBLANK(O116:R116)=4,"",SUM(O116:Q116)+IF(Setup!$I$15="No",0,R116))</f>
        <v>4</v>
      </c>
      <c r="T116" s="191">
        <v>3</v>
      </c>
      <c r="U116" s="191">
        <v>1</v>
      </c>
      <c r="V116" s="191">
        <v>2</v>
      </c>
      <c r="W116" s="191"/>
      <c r="X116" s="254">
        <f>IF(COUNTBLANK(T116:W116)=4,"",SUM(T116:V116)+IF(Setup!$I$15="No",0,W116))</f>
        <v>6</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 Demand!S116, Demand!X116, Demand!AC116))</f>
        <v>495</v>
      </c>
      <c r="BD116" s="258">
        <f ca="1">IF(AND(A116&lt;=MaxRows,BE116&lt;&gt;"Yes"),'Demand background (hide)'!X107+IF(Setup!$I$15="Yes",'Demand background (hide)'!AJ107,0),"")</f>
        <v>7575</v>
      </c>
      <c r="BE116" s="208"/>
    </row>
    <row r="117" spans="1:59" ht="15" x14ac:dyDescent="0.25">
      <c r="A117">
        <f t="shared" ca="1" si="4"/>
        <v>105</v>
      </c>
      <c r="B117" s="263" t="str">
        <f t="shared" ca="1" si="5"/>
        <v xml:space="preserve"> </v>
      </c>
      <c r="C117" s="264">
        <f t="shared" ca="1" si="6"/>
        <v>14</v>
      </c>
      <c r="D117" s="491">
        <f t="shared" ca="1" si="7"/>
        <v>43920</v>
      </c>
      <c r="E117" s="191">
        <v>1</v>
      </c>
      <c r="F117" s="191">
        <v>67</v>
      </c>
      <c r="G117" s="191">
        <v>7</v>
      </c>
      <c r="H117" s="191"/>
      <c r="I117" s="250">
        <f>IF(COUNTBLANK(E117:H117)=4,"",SUM(E117:G117)+IF(Setup!$I$15="No",0,H117))</f>
        <v>75</v>
      </c>
      <c r="J117" s="191">
        <v>34</v>
      </c>
      <c r="K117" s="191">
        <v>71</v>
      </c>
      <c r="L117" s="191">
        <v>16</v>
      </c>
      <c r="M117" s="191"/>
      <c r="N117" s="254">
        <f>IF(COUNTBLANK(J117:M117)=4,"",SUM(J117:L117)+IF(Setup!$I$15="No",0,M117))</f>
        <v>121</v>
      </c>
      <c r="O117" s="191"/>
      <c r="P117" s="191"/>
      <c r="Q117" s="191">
        <v>12</v>
      </c>
      <c r="R117" s="191"/>
      <c r="S117" s="254">
        <f>IF(COUNTBLANK(O117:R117)=4,"",SUM(O117:Q117)+IF(Setup!$I$15="No",0,R117))</f>
        <v>12</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 Demand!S117, Demand!X117, Demand!AC117))</f>
        <v>208</v>
      </c>
      <c r="BD117" s="258">
        <f ca="1">IF(AND(A117&lt;=MaxRows,BE117&lt;&gt;"Yes"),'Demand background (hide)'!X108+IF(Setup!$I$15="Yes",'Demand background (hide)'!AJ108,0),"")</f>
        <v>3300</v>
      </c>
      <c r="BE117" s="208"/>
      <c r="BG117" s="50"/>
    </row>
    <row r="118" spans="1:59" ht="15" x14ac:dyDescent="0.25">
      <c r="A118">
        <f t="shared" ca="1" si="4"/>
        <v>106</v>
      </c>
      <c r="B118" s="263" t="str">
        <f t="shared" ca="1" si="5"/>
        <v xml:space="preserve"> </v>
      </c>
      <c r="C118" s="264">
        <f t="shared" ca="1" si="6"/>
        <v>15</v>
      </c>
      <c r="D118" s="491">
        <f t="shared" ca="1" si="7"/>
        <v>43927</v>
      </c>
      <c r="E118" s="191">
        <v>3</v>
      </c>
      <c r="F118" s="191">
        <v>259</v>
      </c>
      <c r="G118" s="191">
        <v>25</v>
      </c>
      <c r="H118" s="191"/>
      <c r="I118" s="250">
        <f>IF(COUNTBLANK(E118:H118)=4,"",SUM(E118:G118)+IF(Setup!$I$15="No",0,H118))</f>
        <v>287</v>
      </c>
      <c r="J118" s="191">
        <v>29</v>
      </c>
      <c r="K118" s="191">
        <v>154</v>
      </c>
      <c r="L118" s="191">
        <v>12</v>
      </c>
      <c r="M118" s="191"/>
      <c r="N118" s="254">
        <f>IF(COUNTBLANK(J118:M118)=4,"",SUM(J118:L118)+IF(Setup!$I$15="No",0,M118))</f>
        <v>195</v>
      </c>
      <c r="O118" s="191"/>
      <c r="P118" s="191"/>
      <c r="Q118" s="191">
        <v>2</v>
      </c>
      <c r="R118" s="191"/>
      <c r="S118" s="254">
        <f>IF(COUNTBLANK(O118:R118)=4,"",SUM(O118:Q118)+IF(Setup!$I$15="No",0,R118))</f>
        <v>2</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 Demand!S118, Demand!X118, Demand!AC118))</f>
        <v>484</v>
      </c>
      <c r="BD118" s="258">
        <f ca="1">IF(AND(A118&lt;=MaxRows,BE118&lt;&gt;"Yes"),'Demand background (hide)'!X109+IF(Setup!$I$15="Yes",'Demand background (hide)'!AJ109,0),"")</f>
        <v>7290</v>
      </c>
      <c r="BE118" s="208"/>
    </row>
    <row r="119" spans="1:59" ht="15" x14ac:dyDescent="0.25">
      <c r="A119">
        <f t="shared" ca="1" si="4"/>
        <v>107</v>
      </c>
      <c r="B119" s="263" t="str">
        <f t="shared" ca="1" si="5"/>
        <v xml:space="preserve"> </v>
      </c>
      <c r="C119" s="264">
        <f t="shared" ca="1" si="6"/>
        <v>16</v>
      </c>
      <c r="D119" s="491">
        <f t="shared" ca="1" si="7"/>
        <v>43934</v>
      </c>
      <c r="E119" s="191">
        <v>7</v>
      </c>
      <c r="F119" s="191">
        <v>250</v>
      </c>
      <c r="G119" s="191">
        <v>17</v>
      </c>
      <c r="H119" s="191"/>
      <c r="I119" s="250">
        <f>IF(COUNTBLANK(E119:H119)=4,"",SUM(E119:G119)+IF(Setup!$I$15="No",0,H119))</f>
        <v>274</v>
      </c>
      <c r="J119" s="191">
        <v>51</v>
      </c>
      <c r="K119" s="191">
        <v>157</v>
      </c>
      <c r="L119" s="191">
        <v>23</v>
      </c>
      <c r="M119" s="191"/>
      <c r="N119" s="254">
        <f>IF(COUNTBLANK(J119:M119)=4,"",SUM(J119:L119)+IF(Setup!$I$15="No",0,M119))</f>
        <v>231</v>
      </c>
      <c r="O119" s="191"/>
      <c r="P119" s="191"/>
      <c r="Q119" s="191">
        <v>6</v>
      </c>
      <c r="R119" s="191"/>
      <c r="S119" s="254">
        <f>IF(COUNTBLANK(O119:R119)=4,"",SUM(O119:Q119)+IF(Setup!$I$15="No",0,R119))</f>
        <v>6</v>
      </c>
      <c r="T119" s="191">
        <v>3</v>
      </c>
      <c r="U119" s="191"/>
      <c r="V119" s="191">
        <v>1</v>
      </c>
      <c r="W119" s="191"/>
      <c r="X119" s="254">
        <f>IF(COUNTBLANK(T119:W119)=4,"",SUM(T119:V119)+IF(Setup!$I$15="No",0,W119))</f>
        <v>4</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 Demand!S119, Demand!X119, Demand!AC119))</f>
        <v>515</v>
      </c>
      <c r="BD119" s="258">
        <f ca="1">IF(AND(A119&lt;=MaxRows,BE119&lt;&gt;"Yes"),'Demand background (hide)'!X110+IF(Setup!$I$15="Yes",'Demand background (hide)'!AJ110,0),"")</f>
        <v>7875</v>
      </c>
      <c r="BE119" s="208"/>
    </row>
    <row r="120" spans="1:59" ht="15" x14ac:dyDescent="0.25">
      <c r="A120">
        <f t="shared" ca="1" si="4"/>
        <v>108</v>
      </c>
      <c r="B120" s="263" t="str">
        <f t="shared" ca="1" si="5"/>
        <v xml:space="preserve"> </v>
      </c>
      <c r="C120" s="264">
        <f t="shared" ca="1" si="6"/>
        <v>17</v>
      </c>
      <c r="D120" s="491">
        <f t="shared" ca="1" si="7"/>
        <v>43941</v>
      </c>
      <c r="E120" s="191">
        <v>5</v>
      </c>
      <c r="F120" s="191">
        <v>305</v>
      </c>
      <c r="G120" s="191">
        <v>23</v>
      </c>
      <c r="H120" s="191"/>
      <c r="I120" s="250">
        <f>IF(COUNTBLANK(E120:H120)=4,"",SUM(E120:G120)+IF(Setup!$I$15="No",0,H120))</f>
        <v>333</v>
      </c>
      <c r="J120" s="191">
        <v>55</v>
      </c>
      <c r="K120" s="191">
        <v>190</v>
      </c>
      <c r="L120" s="191">
        <v>24</v>
      </c>
      <c r="M120" s="191"/>
      <c r="N120" s="254">
        <f>IF(COUNTBLANK(J120:M120)=4,"",SUM(J120:L120)+IF(Setup!$I$15="No",0,M120))</f>
        <v>269</v>
      </c>
      <c r="O120" s="191"/>
      <c r="P120" s="191"/>
      <c r="Q120" s="191">
        <v>6</v>
      </c>
      <c r="R120" s="191"/>
      <c r="S120" s="254">
        <f>IF(COUNTBLANK(O120:R120)=4,"",SUM(O120:Q120)+IF(Setup!$I$15="No",0,R120))</f>
        <v>6</v>
      </c>
      <c r="T120" s="191">
        <v>5</v>
      </c>
      <c r="U120" s="191"/>
      <c r="V120" s="191"/>
      <c r="W120" s="191"/>
      <c r="X120" s="254">
        <f>IF(COUNTBLANK(T120:W120)=4,"",SUM(T120:V120)+IF(Setup!$I$15="No",0,W120))</f>
        <v>5</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 Demand!S120, Demand!X120, Demand!AC120))</f>
        <v>613</v>
      </c>
      <c r="BD120" s="258">
        <f ca="1">IF(AND(A120&lt;=MaxRows,BE120&lt;&gt;"Yes"),'Demand background (hide)'!X111+IF(Setup!$I$15="Yes",'Demand background (hide)'!AJ111,0),"")</f>
        <v>9360</v>
      </c>
      <c r="BE120" s="208"/>
    </row>
    <row r="121" spans="1:59" ht="15" x14ac:dyDescent="0.25">
      <c r="A121">
        <f t="shared" ca="1" si="4"/>
        <v>109</v>
      </c>
      <c r="B121" s="263" t="str">
        <f t="shared" ca="1" si="5"/>
        <v xml:space="preserve"> </v>
      </c>
      <c r="C121" s="264">
        <f t="shared" ca="1" si="6"/>
        <v>18</v>
      </c>
      <c r="D121" s="491">
        <f t="shared" ca="1" si="7"/>
        <v>43948</v>
      </c>
      <c r="E121" s="191">
        <v>7</v>
      </c>
      <c r="F121" s="191">
        <v>301</v>
      </c>
      <c r="G121" s="191">
        <v>24</v>
      </c>
      <c r="H121" s="191"/>
      <c r="I121" s="250">
        <f>IF(COUNTBLANK(E121:H121)=4,"",SUM(E121:G121)+IF(Setup!$I$15="No",0,H121))</f>
        <v>332</v>
      </c>
      <c r="J121" s="191">
        <v>63</v>
      </c>
      <c r="K121" s="191">
        <v>209</v>
      </c>
      <c r="L121" s="191">
        <v>28</v>
      </c>
      <c r="M121" s="191"/>
      <c r="N121" s="254">
        <f>IF(COUNTBLANK(J121:M121)=4,"",SUM(J121:L121)+IF(Setup!$I$15="No",0,M121))</f>
        <v>300</v>
      </c>
      <c r="O121" s="191"/>
      <c r="P121" s="191"/>
      <c r="Q121" s="191">
        <v>8</v>
      </c>
      <c r="R121" s="191"/>
      <c r="S121" s="254">
        <f>IF(COUNTBLANK(O121:R121)=4,"",SUM(O121:Q121)+IF(Setup!$I$15="No",0,R121))</f>
        <v>8</v>
      </c>
      <c r="T121" s="191">
        <v>6</v>
      </c>
      <c r="U121" s="191"/>
      <c r="V121" s="191"/>
      <c r="W121" s="191"/>
      <c r="X121" s="254">
        <f>IF(COUNTBLANK(T121:W121)=4,"",SUM(T121:V121)+IF(Setup!$I$15="No",0,W121))</f>
        <v>6</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 Demand!S121, Demand!X121, Demand!AC121))</f>
        <v>646</v>
      </c>
      <c r="BD121" s="258">
        <f ca="1">IF(AND(A121&lt;=MaxRows,BE121&lt;&gt;"Yes"),'Demand background (hide)'!X112+IF(Setup!$I$15="Yes",'Demand background (hide)'!AJ112,0),"")</f>
        <v>9900</v>
      </c>
      <c r="BE121" s="208"/>
    </row>
    <row r="122" spans="1:59" ht="15" x14ac:dyDescent="0.25">
      <c r="A122">
        <f t="shared" ca="1" si="4"/>
        <v>110</v>
      </c>
      <c r="B122" s="263" t="str">
        <f t="shared" ca="1" si="5"/>
        <v xml:space="preserve"> </v>
      </c>
      <c r="C122" s="264">
        <f t="shared" ca="1" si="6"/>
        <v>19</v>
      </c>
      <c r="D122" s="491">
        <f t="shared" ca="1" si="7"/>
        <v>43955</v>
      </c>
      <c r="E122" s="191">
        <v>3</v>
      </c>
      <c r="F122" s="191">
        <v>347</v>
      </c>
      <c r="G122" s="191">
        <v>35</v>
      </c>
      <c r="H122" s="191"/>
      <c r="I122" s="250">
        <f>IF(COUNTBLANK(E122:H122)=4,"",SUM(E122:G122)+IF(Setup!$I$15="No",0,H122))</f>
        <v>385</v>
      </c>
      <c r="J122" s="191">
        <v>46</v>
      </c>
      <c r="K122" s="191">
        <v>194</v>
      </c>
      <c r="L122" s="191">
        <v>50</v>
      </c>
      <c r="M122" s="191"/>
      <c r="N122" s="254">
        <f>IF(COUNTBLANK(J122:M122)=4,"",SUM(J122:L122)+IF(Setup!$I$15="No",0,M122))</f>
        <v>290</v>
      </c>
      <c r="O122" s="191"/>
      <c r="P122" s="191"/>
      <c r="Q122" s="191">
        <v>2</v>
      </c>
      <c r="R122" s="191"/>
      <c r="S122" s="254">
        <f>IF(COUNTBLANK(O122:R122)=4,"",SUM(O122:Q122)+IF(Setup!$I$15="No",0,R122))</f>
        <v>2</v>
      </c>
      <c r="T122" s="191">
        <v>2</v>
      </c>
      <c r="U122" s="191"/>
      <c r="V122" s="191"/>
      <c r="W122" s="191"/>
      <c r="X122" s="254">
        <f>IF(COUNTBLANK(T122:W122)=4,"",SUM(T122:V122)+IF(Setup!$I$15="No",0,W122))</f>
        <v>2</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 Demand!S122, Demand!X122, Demand!AC122))</f>
        <v>679</v>
      </c>
      <c r="BD122" s="258">
        <f ca="1">IF(AND(A122&lt;=MaxRows,BE122&lt;&gt;"Yes"),'Demand background (hide)'!X113+IF(Setup!$I$15="Yes",'Demand background (hide)'!AJ113,0),"")</f>
        <v>10245</v>
      </c>
      <c r="BE122" s="208"/>
    </row>
    <row r="123" spans="1:59" ht="15" x14ac:dyDescent="0.25">
      <c r="A123">
        <f t="shared" ca="1" si="4"/>
        <v>111</v>
      </c>
      <c r="B123" s="263" t="str">
        <f t="shared" ca="1" si="5"/>
        <v xml:space="preserve"> </v>
      </c>
      <c r="C123" s="264">
        <f t="shared" ca="1" si="6"/>
        <v>20</v>
      </c>
      <c r="D123" s="491">
        <f t="shared" ca="1" si="7"/>
        <v>43962</v>
      </c>
      <c r="E123" s="191">
        <v>9</v>
      </c>
      <c r="F123" s="191">
        <v>349</v>
      </c>
      <c r="G123" s="191">
        <v>24</v>
      </c>
      <c r="H123" s="191"/>
      <c r="I123" s="250">
        <f>IF(COUNTBLANK(E123:H123)=4,"",SUM(E123:G123)+IF(Setup!$I$15="No",0,H123))</f>
        <v>382</v>
      </c>
      <c r="J123" s="191">
        <v>70</v>
      </c>
      <c r="K123" s="191">
        <v>250</v>
      </c>
      <c r="L123" s="191">
        <v>51</v>
      </c>
      <c r="M123" s="191"/>
      <c r="N123" s="254">
        <f>IF(COUNTBLANK(J123:M123)=4,"",SUM(J123:L123)+IF(Setup!$I$15="No",0,M123))</f>
        <v>371</v>
      </c>
      <c r="O123" s="191"/>
      <c r="P123" s="191"/>
      <c r="Q123" s="191">
        <v>2</v>
      </c>
      <c r="R123" s="191"/>
      <c r="S123" s="254">
        <f>IF(COUNTBLANK(O123:R123)=4,"",SUM(O123:Q123)+IF(Setup!$I$15="No",0,R123))</f>
        <v>2</v>
      </c>
      <c r="T123" s="191">
        <v>1</v>
      </c>
      <c r="U123" s="191"/>
      <c r="V123" s="191"/>
      <c r="W123" s="191"/>
      <c r="X123" s="254">
        <f>IF(COUNTBLANK(T123:W123)=4,"",SUM(T123:V123)+IF(Setup!$I$15="No",0,W123))</f>
        <v>1</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 Demand!S123, Demand!X123, Demand!AC123))</f>
        <v>756</v>
      </c>
      <c r="BD123" s="258">
        <f ca="1">IF(AND(A123&lt;=MaxRows,BE123&lt;&gt;"Yes"),'Demand background (hide)'!X114+IF(Setup!$I$15="Yes",'Demand background (hide)'!AJ114,0),"")</f>
        <v>11385</v>
      </c>
      <c r="BE123" s="208"/>
    </row>
    <row r="124" spans="1:59" ht="15" x14ac:dyDescent="0.25">
      <c r="A124">
        <f t="shared" ca="1" si="4"/>
        <v>112</v>
      </c>
      <c r="B124" s="263" t="str">
        <f t="shared" ca="1" si="5"/>
        <v xml:space="preserve"> </v>
      </c>
      <c r="C124" s="264">
        <f t="shared" ca="1" si="6"/>
        <v>21</v>
      </c>
      <c r="D124" s="491">
        <f t="shared" ca="1" si="7"/>
        <v>43969</v>
      </c>
      <c r="E124" s="191">
        <v>17</v>
      </c>
      <c r="F124" s="191">
        <v>370</v>
      </c>
      <c r="G124" s="191">
        <v>34</v>
      </c>
      <c r="H124" s="191"/>
      <c r="I124" s="250">
        <f>IF(COUNTBLANK(E124:H124)=4,"",SUM(E124:G124)+IF(Setup!$I$15="No",0,H124))</f>
        <v>421</v>
      </c>
      <c r="J124" s="191">
        <v>69</v>
      </c>
      <c r="K124" s="191">
        <v>232</v>
      </c>
      <c r="L124" s="191">
        <v>38</v>
      </c>
      <c r="M124" s="191"/>
      <c r="N124" s="254">
        <f>IF(COUNTBLANK(J124:M124)=4,"",SUM(J124:L124)+IF(Setup!$I$15="No",0,M124))</f>
        <v>339</v>
      </c>
      <c r="O124" s="191"/>
      <c r="P124" s="191">
        <v>2</v>
      </c>
      <c r="Q124" s="191">
        <v>4</v>
      </c>
      <c r="R124" s="191"/>
      <c r="S124" s="254">
        <f>IF(COUNTBLANK(O124:R124)=4,"",SUM(O124:Q124)+IF(Setup!$I$15="No",0,R124))</f>
        <v>6</v>
      </c>
      <c r="T124" s="191">
        <v>2</v>
      </c>
      <c r="U124" s="191"/>
      <c r="V124" s="191">
        <v>1</v>
      </c>
      <c r="W124" s="191"/>
      <c r="X124" s="254">
        <f>IF(COUNTBLANK(T124:W124)=4,"",SUM(T124:V124)+IF(Setup!$I$15="No",0,W124))</f>
        <v>3</v>
      </c>
      <c r="Y124" s="191">
        <v>1</v>
      </c>
      <c r="Z124" s="191"/>
      <c r="AA124" s="191"/>
      <c r="AB124" s="191"/>
      <c r="AC124" s="254">
        <f>IF(COUNTBLANK(Y124:AB124)=4,"",SUM(Y124:AA124)+IF(Setup!$I$15="No",0,AB124))</f>
        <v>1</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 Demand!S124, Demand!X124, Demand!AC124))</f>
        <v>770</v>
      </c>
      <c r="BD124" s="258">
        <f ca="1">IF(AND(A124&lt;=MaxRows,BE124&lt;&gt;"Yes"),'Demand background (hide)'!X115+IF(Setup!$I$15="Yes",'Demand background (hide)'!AJ115,0),"")</f>
        <v>11671</v>
      </c>
      <c r="BE124" s="208"/>
    </row>
    <row r="125" spans="1:59" ht="15" x14ac:dyDescent="0.25">
      <c r="A125">
        <f t="shared" ca="1" si="4"/>
        <v>113</v>
      </c>
      <c r="B125" s="263" t="str">
        <f t="shared" ca="1" si="5"/>
        <v xml:space="preserve"> </v>
      </c>
      <c r="C125" s="264">
        <f t="shared" ca="1" si="6"/>
        <v>22</v>
      </c>
      <c r="D125" s="491">
        <f t="shared" ca="1" si="7"/>
        <v>43976</v>
      </c>
      <c r="E125" s="191">
        <v>8</v>
      </c>
      <c r="F125" s="191">
        <v>338</v>
      </c>
      <c r="G125" s="191">
        <v>20</v>
      </c>
      <c r="H125" s="191"/>
      <c r="I125" s="250">
        <f>IF(COUNTBLANK(E125:H125)=4,"",SUM(E125:G125)+IF(Setup!$I$15="No",0,H125))</f>
        <v>366</v>
      </c>
      <c r="J125" s="191">
        <v>45</v>
      </c>
      <c r="K125" s="191">
        <v>207</v>
      </c>
      <c r="L125" s="191">
        <v>42</v>
      </c>
      <c r="M125" s="191"/>
      <c r="N125" s="254">
        <f>IF(COUNTBLANK(J125:M125)=4,"",SUM(J125:L125)+IF(Setup!$I$15="No",0,M125))</f>
        <v>294</v>
      </c>
      <c r="O125" s="191"/>
      <c r="P125" s="191"/>
      <c r="Q125" s="191">
        <v>4</v>
      </c>
      <c r="R125" s="191"/>
      <c r="S125" s="254">
        <f>IF(COUNTBLANK(O125:R125)=4,"",SUM(O125:Q125)+IF(Setup!$I$15="No",0,R125))</f>
        <v>4</v>
      </c>
      <c r="T125" s="191">
        <v>2</v>
      </c>
      <c r="U125" s="191"/>
      <c r="V125" s="191"/>
      <c r="W125" s="191"/>
      <c r="X125" s="254">
        <f>IF(COUNTBLANK(T125:W125)=4,"",SUM(T125:V125)+IF(Setup!$I$15="No",0,W125))</f>
        <v>2</v>
      </c>
      <c r="Y125" s="191">
        <v>2</v>
      </c>
      <c r="Z125" s="191"/>
      <c r="AA125" s="191"/>
      <c r="AB125" s="191"/>
      <c r="AC125" s="254">
        <f>IF(COUNTBLANK(Y125:AB125)=4,"",SUM(Y125:AA125)+IF(Setup!$I$15="No",0,AB125))</f>
        <v>2</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 Demand!S125, Demand!X125, Demand!AC125))</f>
        <v>668</v>
      </c>
      <c r="BD125" s="258">
        <f ca="1">IF(AND(A125&lt;=MaxRows,BE125&lt;&gt;"Yes"),'Demand background (hide)'!X116+IF(Setup!$I$15="Yes",'Demand background (hide)'!AJ116,0),"")</f>
        <v>10082</v>
      </c>
      <c r="BE125" s="208"/>
    </row>
    <row r="126" spans="1:59" ht="15" x14ac:dyDescent="0.25">
      <c r="A126">
        <f t="shared" ca="1" si="4"/>
        <v>114</v>
      </c>
      <c r="B126" s="263" t="str">
        <f t="shared" ca="1" si="5"/>
        <v xml:space="preserve"> </v>
      </c>
      <c r="C126" s="264">
        <f t="shared" ca="1" si="6"/>
        <v>23</v>
      </c>
      <c r="D126" s="491">
        <f t="shared" ca="1" si="7"/>
        <v>43983</v>
      </c>
      <c r="E126" s="191">
        <v>16</v>
      </c>
      <c r="F126" s="191">
        <v>352</v>
      </c>
      <c r="G126" s="191">
        <v>29</v>
      </c>
      <c r="H126" s="191"/>
      <c r="I126" s="250">
        <f>IF(COUNTBLANK(E126:H126)=4,"",SUM(E126:G126)+IF(Setup!$I$15="No",0,H126))</f>
        <v>397</v>
      </c>
      <c r="J126" s="191">
        <v>80</v>
      </c>
      <c r="K126" s="191">
        <v>254</v>
      </c>
      <c r="L126" s="191">
        <v>48</v>
      </c>
      <c r="M126" s="191"/>
      <c r="N126" s="254">
        <f>IF(COUNTBLANK(J126:M126)=4,"",SUM(J126:L126)+IF(Setup!$I$15="No",0,M126))</f>
        <v>382</v>
      </c>
      <c r="O126" s="191"/>
      <c r="P126" s="191"/>
      <c r="Q126" s="191">
        <v>4</v>
      </c>
      <c r="R126" s="191"/>
      <c r="S126" s="254">
        <f>IF(COUNTBLANK(O126:R126)=4,"",SUM(O126:Q126)+IF(Setup!$I$15="No",0,R126))</f>
        <v>4</v>
      </c>
      <c r="T126" s="191">
        <v>2</v>
      </c>
      <c r="U126" s="191">
        <v>1</v>
      </c>
      <c r="V126" s="191">
        <v>1</v>
      </c>
      <c r="W126" s="191"/>
      <c r="X126" s="254">
        <f>IF(COUNTBLANK(T126:W126)=4,"",SUM(T126:V126)+IF(Setup!$I$15="No",0,W126))</f>
        <v>4</v>
      </c>
      <c r="Y126" s="191"/>
      <c r="Z126" s="191">
        <v>1</v>
      </c>
      <c r="AA126" s="191"/>
      <c r="AB126" s="191"/>
      <c r="AC126" s="254">
        <f>IF(COUNTBLANK(Y126:AB126)=4,"",SUM(Y126:AA126)+IF(Setup!$I$15="No",0,AB126))</f>
        <v>1</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 Demand!S126, Demand!X126, Demand!AC126))</f>
        <v>788</v>
      </c>
      <c r="BD126" s="258">
        <f ca="1">IF(AND(A126&lt;=MaxRows,BE126&lt;&gt;"Yes"),'Demand background (hide)'!X117+IF(Setup!$I$15="Yes",'Demand background (hide)'!AJ117,0),"")</f>
        <v>11926</v>
      </c>
      <c r="BE126" s="208"/>
    </row>
    <row r="127" spans="1:59" ht="15" x14ac:dyDescent="0.25">
      <c r="A127">
        <f t="shared" ca="1" si="4"/>
        <v>115</v>
      </c>
      <c r="B127" s="263" t="str">
        <f t="shared" ca="1" si="5"/>
        <v xml:space="preserve"> </v>
      </c>
      <c r="C127" s="264">
        <f t="shared" ca="1" si="6"/>
        <v>24</v>
      </c>
      <c r="D127" s="491">
        <f t="shared" ca="1" si="7"/>
        <v>43990</v>
      </c>
      <c r="E127" s="191">
        <v>4</v>
      </c>
      <c r="F127" s="191">
        <v>376</v>
      </c>
      <c r="G127" s="191">
        <v>34</v>
      </c>
      <c r="H127" s="191"/>
      <c r="I127" s="250">
        <f>IF(COUNTBLANK(E127:H127)=4,"",SUM(E127:G127)+IF(Setup!$I$15="No",0,H127))</f>
        <v>414</v>
      </c>
      <c r="J127" s="191">
        <v>74</v>
      </c>
      <c r="K127" s="191">
        <v>224</v>
      </c>
      <c r="L127" s="191">
        <v>45</v>
      </c>
      <c r="M127" s="191"/>
      <c r="N127" s="254">
        <f>IF(COUNTBLANK(J127:M127)=4,"",SUM(J127:L127)+IF(Setup!$I$15="No",0,M127))</f>
        <v>343</v>
      </c>
      <c r="O127" s="191"/>
      <c r="P127" s="191"/>
      <c r="Q127" s="191">
        <v>1</v>
      </c>
      <c r="R127" s="191"/>
      <c r="S127" s="254">
        <f>IF(COUNTBLANK(O127:R127)=4,"",SUM(O127:Q127)+IF(Setup!$I$15="No",0,R127))</f>
        <v>1</v>
      </c>
      <c r="T127" s="191"/>
      <c r="U127" s="191">
        <v>3</v>
      </c>
      <c r="V127" s="191">
        <v>1</v>
      </c>
      <c r="W127" s="191"/>
      <c r="X127" s="254">
        <f>IF(COUNTBLANK(T127:W127)=4,"",SUM(T127:V127)+IF(Setup!$I$15="No",0,W127))</f>
        <v>4</v>
      </c>
      <c r="Y127" s="191">
        <v>2</v>
      </c>
      <c r="Z127" s="191"/>
      <c r="AA127" s="191"/>
      <c r="AB127" s="191"/>
      <c r="AC127" s="254">
        <f>IF(COUNTBLANK(Y127:AB127)=4,"",SUM(Y127:AA127)+IF(Setup!$I$15="No",0,AB127))</f>
        <v>2</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 Demand!S127, Demand!X127, Demand!AC127))</f>
        <v>764</v>
      </c>
      <c r="BD127" s="258">
        <f ca="1">IF(AND(A127&lt;=MaxRows,BE127&lt;&gt;"Yes"),'Demand background (hide)'!X118+IF(Setup!$I$15="Yes",'Demand background (hide)'!AJ118,0),"")</f>
        <v>11507</v>
      </c>
      <c r="BE127" s="208"/>
    </row>
    <row r="128" spans="1:59" ht="15" x14ac:dyDescent="0.25">
      <c r="A128">
        <f t="shared" ca="1" si="4"/>
        <v>116</v>
      </c>
      <c r="B128" s="263" t="str">
        <f t="shared" ca="1" si="5"/>
        <v xml:space="preserve"> </v>
      </c>
      <c r="C128" s="264">
        <f t="shared" ca="1" si="6"/>
        <v>25</v>
      </c>
      <c r="D128" s="491">
        <f t="shared" ca="1" si="7"/>
        <v>43997</v>
      </c>
      <c r="E128" s="191">
        <v>10</v>
      </c>
      <c r="F128" s="191">
        <v>384</v>
      </c>
      <c r="G128" s="191">
        <v>32</v>
      </c>
      <c r="H128" s="191"/>
      <c r="I128" s="250">
        <f>IF(COUNTBLANK(E128:H128)=4,"",SUM(E128:G128)+IF(Setup!$I$15="No",0,H128))</f>
        <v>426</v>
      </c>
      <c r="J128" s="191">
        <v>75</v>
      </c>
      <c r="K128" s="191">
        <v>239</v>
      </c>
      <c r="L128" s="191">
        <v>48</v>
      </c>
      <c r="M128" s="191"/>
      <c r="N128" s="254">
        <f>IF(COUNTBLANK(J128:M128)=4,"",SUM(J128:L128)+IF(Setup!$I$15="No",0,M128))</f>
        <v>362</v>
      </c>
      <c r="O128" s="191"/>
      <c r="P128" s="191"/>
      <c r="Q128" s="191"/>
      <c r="R128" s="191"/>
      <c r="S128" s="254" t="str">
        <f>IF(COUNTBLANK(O128:R128)=4,"",SUM(O128:Q128)+IF(Setup!$I$15="No",0,R128))</f>
        <v/>
      </c>
      <c r="T128" s="191"/>
      <c r="U128" s="191"/>
      <c r="V128" s="191">
        <v>3</v>
      </c>
      <c r="W128" s="191"/>
      <c r="X128" s="254">
        <f>IF(COUNTBLANK(T128:W128)=4,"",SUM(T128:V128)+IF(Setup!$I$15="No",0,W128))</f>
        <v>3</v>
      </c>
      <c r="Y128" s="191">
        <v>1</v>
      </c>
      <c r="Z128" s="191">
        <v>1</v>
      </c>
      <c r="AA128" s="191"/>
      <c r="AB128" s="191"/>
      <c r="AC128" s="254">
        <f>IF(COUNTBLANK(Y128:AB128)=4,"",SUM(Y128:AA128)+IF(Setup!$I$15="No",0,AB128))</f>
        <v>2</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 Demand!S128, Demand!X128, Demand!AC128))</f>
        <v>793</v>
      </c>
      <c r="BD128" s="258">
        <f ca="1">IF(AND(A128&lt;=MaxRows,BE128&lt;&gt;"Yes"),'Demand background (hide)'!X119+IF(Setup!$I$15="Yes",'Demand background (hide)'!AJ119,0),"")</f>
        <v>11912</v>
      </c>
      <c r="BE128" s="208"/>
    </row>
    <row r="129" spans="1:57" ht="15" x14ac:dyDescent="0.25">
      <c r="A129">
        <f t="shared" ca="1" si="4"/>
        <v>117</v>
      </c>
      <c r="B129" s="263" t="str">
        <f t="shared" ca="1" si="5"/>
        <v xml:space="preserve"> </v>
      </c>
      <c r="C129" s="264">
        <f t="shared" ca="1" si="6"/>
        <v>26</v>
      </c>
      <c r="D129" s="491">
        <f t="shared" ca="1" si="7"/>
        <v>44004</v>
      </c>
      <c r="E129" s="191">
        <v>9</v>
      </c>
      <c r="F129" s="191">
        <v>374</v>
      </c>
      <c r="G129" s="191">
        <v>31</v>
      </c>
      <c r="H129" s="191"/>
      <c r="I129" s="250">
        <f>IF(COUNTBLANK(E129:H129)=4,"",SUM(E129:G129)+IF(Setup!$I$15="No",0,H129))</f>
        <v>414</v>
      </c>
      <c r="J129" s="191">
        <v>64</v>
      </c>
      <c r="K129" s="191">
        <v>303</v>
      </c>
      <c r="L129" s="191">
        <v>44</v>
      </c>
      <c r="M129" s="191"/>
      <c r="N129" s="254">
        <f>IF(COUNTBLANK(J129:M129)=4,"",SUM(J129:L129)+IF(Setup!$I$15="No",0,M129))</f>
        <v>411</v>
      </c>
      <c r="O129" s="191"/>
      <c r="P129" s="191"/>
      <c r="Q129" s="191"/>
      <c r="R129" s="191"/>
      <c r="S129" s="254" t="str">
        <f>IF(COUNTBLANK(O129:R129)=4,"",SUM(O129:Q129)+IF(Setup!$I$15="No",0,R129))</f>
        <v/>
      </c>
      <c r="T129" s="191">
        <v>5</v>
      </c>
      <c r="U129" s="191">
        <v>1</v>
      </c>
      <c r="V129" s="191">
        <v>1</v>
      </c>
      <c r="W129" s="191"/>
      <c r="X129" s="254">
        <f>IF(COUNTBLANK(T129:W129)=4,"",SUM(T129:V129)+IF(Setup!$I$15="No",0,W129))</f>
        <v>7</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 Demand!S129, Demand!X129, Demand!AC129))</f>
        <v>832</v>
      </c>
      <c r="BD129" s="258">
        <f ca="1">IF(AND(A129&lt;=MaxRows,BE129&lt;&gt;"Yes"),'Demand background (hide)'!X120+IF(Setup!$I$15="Yes",'Demand background (hide)'!AJ120,0),"")</f>
        <v>12585</v>
      </c>
      <c r="BE129" s="208"/>
    </row>
    <row r="130" spans="1:57" ht="15" x14ac:dyDescent="0.25">
      <c r="A130">
        <f t="shared" ca="1" si="4"/>
        <v>118</v>
      </c>
      <c r="B130" s="263" t="str">
        <f t="shared" ca="1" si="5"/>
        <v xml:space="preserve"> </v>
      </c>
      <c r="C130" s="264">
        <f t="shared" ca="1" si="6"/>
        <v>27</v>
      </c>
      <c r="D130" s="491">
        <f t="shared" ca="1" si="7"/>
        <v>44011</v>
      </c>
      <c r="E130" s="191">
        <v>8</v>
      </c>
      <c r="F130" s="191">
        <v>389</v>
      </c>
      <c r="G130" s="191">
        <v>44</v>
      </c>
      <c r="H130" s="191"/>
      <c r="I130" s="250">
        <f>IF(COUNTBLANK(E130:H130)=4,"",SUM(E130:G130)+IF(Setup!$I$15="No",0,H130))</f>
        <v>441</v>
      </c>
      <c r="J130" s="191">
        <v>59</v>
      </c>
      <c r="K130" s="191">
        <v>255</v>
      </c>
      <c r="L130" s="191">
        <v>44</v>
      </c>
      <c r="M130" s="191"/>
      <c r="N130" s="254">
        <f>IF(COUNTBLANK(J130:M130)=4,"",SUM(J130:L130)+IF(Setup!$I$15="No",0,M130))</f>
        <v>358</v>
      </c>
      <c r="O130" s="191"/>
      <c r="P130" s="191"/>
      <c r="Q130" s="191"/>
      <c r="R130" s="191"/>
      <c r="S130" s="254" t="str">
        <f>IF(COUNTBLANK(O130:R130)=4,"",SUM(O130:Q130)+IF(Setup!$I$15="No",0,R130))</f>
        <v/>
      </c>
      <c r="T130" s="191">
        <v>7</v>
      </c>
      <c r="U130" s="191">
        <v>1</v>
      </c>
      <c r="V130" s="191">
        <v>2</v>
      </c>
      <c r="W130" s="191"/>
      <c r="X130" s="254">
        <f>IF(COUNTBLANK(T130:W130)=4,"",SUM(T130:V130)+IF(Setup!$I$15="No",0,W130))</f>
        <v>10</v>
      </c>
      <c r="Y130" s="191">
        <v>3</v>
      </c>
      <c r="Z130" s="191"/>
      <c r="AA130" s="191"/>
      <c r="AB130" s="191"/>
      <c r="AC130" s="254">
        <f>IF(COUNTBLANK(Y130:AB130)=4,"",SUM(Y130:AA130)+IF(Setup!$I$15="No",0,AB130))</f>
        <v>3</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 Demand!S130, Demand!X130, Demand!AC130))</f>
        <v>812</v>
      </c>
      <c r="BD130" s="258">
        <f ca="1">IF(AND(A130&lt;=MaxRows,BE130&lt;&gt;"Yes"),'Demand background (hide)'!X121+IF(Setup!$I$15="Yes",'Demand background (hide)'!AJ121,0),"")</f>
        <v>12288</v>
      </c>
      <c r="BE130" s="208"/>
    </row>
    <row r="131" spans="1:57" ht="15" x14ac:dyDescent="0.25">
      <c r="A131">
        <f t="shared" ca="1" si="4"/>
        <v>119</v>
      </c>
      <c r="B131" s="263" t="str">
        <f t="shared" ca="1" si="5"/>
        <v xml:space="preserve"> </v>
      </c>
      <c r="C131" s="264">
        <f t="shared" ca="1" si="6"/>
        <v>28</v>
      </c>
      <c r="D131" s="491">
        <f t="shared" ca="1" si="7"/>
        <v>44018</v>
      </c>
      <c r="E131" s="191">
        <v>15</v>
      </c>
      <c r="F131" s="191">
        <v>344</v>
      </c>
      <c r="G131" s="191">
        <v>42</v>
      </c>
      <c r="H131" s="191"/>
      <c r="I131" s="250">
        <f>IF(COUNTBLANK(E131:H131)=4,"",SUM(E131:G131)+IF(Setup!$I$15="No",0,H131))</f>
        <v>401</v>
      </c>
      <c r="J131" s="191">
        <v>69</v>
      </c>
      <c r="K131" s="191">
        <v>260</v>
      </c>
      <c r="L131" s="191">
        <v>45</v>
      </c>
      <c r="M131" s="191"/>
      <c r="N131" s="254">
        <f>IF(COUNTBLANK(J131:M131)=4,"",SUM(J131:L131)+IF(Setup!$I$15="No",0,M131))</f>
        <v>374</v>
      </c>
      <c r="O131" s="191"/>
      <c r="P131" s="191">
        <v>1</v>
      </c>
      <c r="Q131" s="191">
        <v>4</v>
      </c>
      <c r="R131" s="191"/>
      <c r="S131" s="254">
        <f>IF(COUNTBLANK(O131:R131)=4,"",SUM(O131:Q131)+IF(Setup!$I$15="No",0,R131))</f>
        <v>5</v>
      </c>
      <c r="T131" s="191">
        <v>9</v>
      </c>
      <c r="U131" s="191">
        <v>4</v>
      </c>
      <c r="V131" s="191">
        <v>1</v>
      </c>
      <c r="W131" s="191"/>
      <c r="X131" s="254">
        <f>IF(COUNTBLANK(T131:W131)=4,"",SUM(T131:V131)+IF(Setup!$I$15="No",0,W131))</f>
        <v>14</v>
      </c>
      <c r="Y131" s="191">
        <v>1</v>
      </c>
      <c r="Z131" s="191">
        <v>2</v>
      </c>
      <c r="AA131" s="191"/>
      <c r="AB131" s="191"/>
      <c r="AC131" s="254">
        <f>IF(COUNTBLANK(Y131:AB131)=4,"",SUM(Y131:AA131)+IF(Setup!$I$15="No",0,AB131))</f>
        <v>3</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 Demand!S131, Demand!X131, Demand!AC131))</f>
        <v>797</v>
      </c>
      <c r="BD131" s="258">
        <f ca="1">IF(AND(A131&lt;=MaxRows,BE131&lt;&gt;"Yes"),'Demand background (hide)'!X122+IF(Setup!$I$15="Yes",'Demand background (hide)'!AJ122,0),"")</f>
        <v>12198</v>
      </c>
      <c r="BE131" s="208"/>
    </row>
    <row r="132" spans="1:57" ht="15" x14ac:dyDescent="0.25">
      <c r="A132">
        <f t="shared" ca="1" si="4"/>
        <v>120</v>
      </c>
      <c r="B132" s="263" t="str">
        <f t="shared" ca="1" si="5"/>
        <v xml:space="preserve"> </v>
      </c>
      <c r="C132" s="264">
        <f t="shared" ca="1" si="6"/>
        <v>29</v>
      </c>
      <c r="D132" s="491">
        <f t="shared" ca="1" si="7"/>
        <v>44025</v>
      </c>
      <c r="E132" s="191">
        <v>7</v>
      </c>
      <c r="F132" s="191">
        <v>405</v>
      </c>
      <c r="G132" s="191">
        <v>40</v>
      </c>
      <c r="H132" s="191"/>
      <c r="I132" s="250">
        <f>IF(COUNTBLANK(E132:H132)=4,"",SUM(E132:G132)+IF(Setup!$I$15="No",0,H132))</f>
        <v>452</v>
      </c>
      <c r="J132" s="191">
        <v>76</v>
      </c>
      <c r="K132" s="191">
        <v>262</v>
      </c>
      <c r="L132" s="191">
        <v>30</v>
      </c>
      <c r="M132" s="191"/>
      <c r="N132" s="254">
        <f>IF(COUNTBLANK(J132:M132)=4,"",SUM(J132:L132)+IF(Setup!$I$15="No",0,M132))</f>
        <v>368</v>
      </c>
      <c r="O132" s="191"/>
      <c r="P132" s="191"/>
      <c r="Q132" s="191"/>
      <c r="R132" s="191"/>
      <c r="S132" s="254" t="str">
        <f>IF(COUNTBLANK(O132:R132)=4,"",SUM(O132:Q132)+IF(Setup!$I$15="No",0,R132))</f>
        <v/>
      </c>
      <c r="T132" s="191">
        <v>10</v>
      </c>
      <c r="U132" s="191">
        <v>3</v>
      </c>
      <c r="V132" s="191">
        <v>2</v>
      </c>
      <c r="W132" s="191"/>
      <c r="X132" s="254">
        <f>IF(COUNTBLANK(T132:W132)=4,"",SUM(T132:V132)+IF(Setup!$I$15="No",0,W132))</f>
        <v>15</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 Demand!S132, Demand!X132, Demand!AC132))</f>
        <v>835</v>
      </c>
      <c r="BD132" s="258">
        <f ca="1">IF(AND(A132&lt;=MaxRows,BE132&lt;&gt;"Yes"),'Demand background (hide)'!X123+IF(Setup!$I$15="Yes",'Demand background (hide)'!AJ123,0),"")</f>
        <v>12750</v>
      </c>
      <c r="BE132" s="208"/>
    </row>
    <row r="133" spans="1:57" ht="15" x14ac:dyDescent="0.25">
      <c r="A133">
        <f t="shared" ca="1" si="4"/>
        <v>121</v>
      </c>
      <c r="B133" s="263" t="str">
        <f t="shared" ca="1" si="5"/>
        <v xml:space="preserve"> </v>
      </c>
      <c r="C133" s="264">
        <f t="shared" ca="1" si="6"/>
        <v>30</v>
      </c>
      <c r="D133" s="491">
        <f t="shared" ca="1" si="7"/>
        <v>44032</v>
      </c>
      <c r="E133" s="191">
        <v>6</v>
      </c>
      <c r="F133" s="191">
        <v>389</v>
      </c>
      <c r="G133" s="191">
        <v>53</v>
      </c>
      <c r="H133" s="191"/>
      <c r="I133" s="250">
        <f>IF(COUNTBLANK(E133:H133)=4,"",SUM(E133:G133)+IF(Setup!$I$15="No",0,H133))</f>
        <v>448</v>
      </c>
      <c r="J133" s="191">
        <v>79</v>
      </c>
      <c r="K133" s="191">
        <v>286</v>
      </c>
      <c r="L133" s="191">
        <v>45</v>
      </c>
      <c r="M133" s="191"/>
      <c r="N133" s="254">
        <f>IF(COUNTBLANK(J133:M133)=4,"",SUM(J133:L133)+IF(Setup!$I$15="No",0,M133))</f>
        <v>410</v>
      </c>
      <c r="O133" s="191"/>
      <c r="P133" s="191"/>
      <c r="Q133" s="191"/>
      <c r="R133" s="191"/>
      <c r="S133" s="254" t="str">
        <f>IF(COUNTBLANK(O133:R133)=4,"",SUM(O133:Q133)+IF(Setup!$I$15="No",0,R133))</f>
        <v/>
      </c>
      <c r="T133" s="191">
        <v>12</v>
      </c>
      <c r="U133" s="191">
        <v>1</v>
      </c>
      <c r="V133" s="191">
        <v>2</v>
      </c>
      <c r="W133" s="191"/>
      <c r="X133" s="254">
        <f>IF(COUNTBLANK(T133:W133)=4,"",SUM(T133:V133)+IF(Setup!$I$15="No",0,W133))</f>
        <v>15</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 Demand!S133, Demand!X133, Demand!AC133))</f>
        <v>873</v>
      </c>
      <c r="BD133" s="258">
        <f ca="1">IF(AND(A133&lt;=MaxRows,BE133&lt;&gt;"Yes"),'Demand background (hide)'!X124+IF(Setup!$I$15="Yes",'Demand background (hide)'!AJ124,0),"")</f>
        <v>13320</v>
      </c>
      <c r="BE133" s="208"/>
    </row>
    <row r="134" spans="1:57" ht="15" x14ac:dyDescent="0.25">
      <c r="A134">
        <f t="shared" ca="1" si="4"/>
        <v>122</v>
      </c>
      <c r="B134" s="263" t="str">
        <f t="shared" ca="1" si="5"/>
        <v xml:space="preserve"> </v>
      </c>
      <c r="C134" s="264">
        <f t="shared" ca="1" si="6"/>
        <v>31</v>
      </c>
      <c r="D134" s="491">
        <f t="shared" ca="1" si="7"/>
        <v>44039</v>
      </c>
      <c r="E134" s="191">
        <v>11</v>
      </c>
      <c r="F134" s="191">
        <v>397</v>
      </c>
      <c r="G134" s="191">
        <v>58</v>
      </c>
      <c r="H134" s="191"/>
      <c r="I134" s="250">
        <f>IF(COUNTBLANK(E134:H134)=4,"",SUM(E134:G134)+IF(Setup!$I$15="No",0,H134))</f>
        <v>466</v>
      </c>
      <c r="J134" s="191">
        <v>60</v>
      </c>
      <c r="K134" s="191">
        <v>268</v>
      </c>
      <c r="L134" s="191">
        <v>39</v>
      </c>
      <c r="M134" s="191"/>
      <c r="N134" s="254">
        <f>IF(COUNTBLANK(J134:M134)=4,"",SUM(J134:L134)+IF(Setup!$I$15="No",0,M134))</f>
        <v>367</v>
      </c>
      <c r="O134" s="191"/>
      <c r="P134" s="191"/>
      <c r="Q134" s="191">
        <v>8</v>
      </c>
      <c r="R134" s="191"/>
      <c r="S134" s="254">
        <f>IF(COUNTBLANK(O134:R134)=4,"",SUM(O134:Q134)+IF(Setup!$I$15="No",0,R134))</f>
        <v>8</v>
      </c>
      <c r="T134" s="191">
        <v>5</v>
      </c>
      <c r="U134" s="191">
        <v>1</v>
      </c>
      <c r="V134" s="191">
        <v>1</v>
      </c>
      <c r="W134" s="191"/>
      <c r="X134" s="254">
        <f>IF(COUNTBLANK(T134:W134)=4,"",SUM(T134:V134)+IF(Setup!$I$15="No",0,W134))</f>
        <v>7</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 Demand!S134, Demand!X134, Demand!AC134))</f>
        <v>848</v>
      </c>
      <c r="BD134" s="258">
        <f ca="1">IF(AND(A134&lt;=MaxRows,BE134&lt;&gt;"Yes"),'Demand background (hide)'!X125+IF(Setup!$I$15="Yes",'Demand background (hide)'!AJ125,0),"")</f>
        <v>12945</v>
      </c>
      <c r="BE134" s="208"/>
    </row>
    <row r="135" spans="1:57" ht="15" x14ac:dyDescent="0.25">
      <c r="A135">
        <f t="shared" ca="1" si="4"/>
        <v>123</v>
      </c>
      <c r="B135" s="263" t="str">
        <f t="shared" ca="1" si="5"/>
        <v xml:space="preserve"> </v>
      </c>
      <c r="C135" s="264">
        <f t="shared" ca="1" si="6"/>
        <v>32</v>
      </c>
      <c r="D135" s="491">
        <f t="shared" ca="1" si="7"/>
        <v>44046</v>
      </c>
      <c r="E135" s="191">
        <v>6</v>
      </c>
      <c r="F135" s="191">
        <v>393</v>
      </c>
      <c r="G135" s="191">
        <v>57</v>
      </c>
      <c r="H135" s="191"/>
      <c r="I135" s="250">
        <f>IF(COUNTBLANK(E135:H135)=4,"",SUM(E135:G135)+IF(Setup!$I$15="No",0,H135))</f>
        <v>456</v>
      </c>
      <c r="J135" s="191">
        <v>81</v>
      </c>
      <c r="K135" s="191">
        <v>249</v>
      </c>
      <c r="L135" s="191">
        <v>33</v>
      </c>
      <c r="M135" s="191"/>
      <c r="N135" s="254">
        <f>IF(COUNTBLANK(J135:M135)=4,"",SUM(J135:L135)+IF(Setup!$I$15="No",0,M135))</f>
        <v>363</v>
      </c>
      <c r="O135" s="191"/>
      <c r="P135" s="191"/>
      <c r="Q135" s="191"/>
      <c r="R135" s="191"/>
      <c r="S135" s="254" t="str">
        <f>IF(COUNTBLANK(O135:R135)=4,"",SUM(O135:Q135)+IF(Setup!$I$15="No",0,R135))</f>
        <v/>
      </c>
      <c r="T135" s="191">
        <v>11</v>
      </c>
      <c r="U135" s="191">
        <v>2</v>
      </c>
      <c r="V135" s="191">
        <v>1</v>
      </c>
      <c r="W135" s="191"/>
      <c r="X135" s="254">
        <f>IF(COUNTBLANK(T135:W135)=4,"",SUM(T135:V135)+IF(Setup!$I$15="No",0,W135))</f>
        <v>14</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 Demand!S135, Demand!X135, Demand!AC135))</f>
        <v>833</v>
      </c>
      <c r="BD135" s="258">
        <f ca="1">IF(AND(A135&lt;=MaxRows,BE135&lt;&gt;"Yes"),'Demand background (hide)'!X126+IF(Setup!$I$15="Yes",'Demand background (hide)'!AJ126,0),"")</f>
        <v>12705</v>
      </c>
      <c r="BE135" s="208"/>
    </row>
    <row r="136" spans="1:57" ht="15" x14ac:dyDescent="0.25">
      <c r="A136">
        <f t="shared" ca="1" si="4"/>
        <v>124</v>
      </c>
      <c r="B136" s="263" t="str">
        <f t="shared" ca="1" si="5"/>
        <v xml:space="preserve"> </v>
      </c>
      <c r="C136" s="264">
        <f t="shared" ca="1" si="6"/>
        <v>33</v>
      </c>
      <c r="D136" s="491">
        <f t="shared" ca="1" si="7"/>
        <v>44053</v>
      </c>
      <c r="E136" s="191">
        <v>13</v>
      </c>
      <c r="F136" s="191">
        <v>389</v>
      </c>
      <c r="G136" s="191">
        <v>65</v>
      </c>
      <c r="H136" s="191"/>
      <c r="I136" s="250">
        <f>IF(COUNTBLANK(E136:H136)=4,"",SUM(E136:G136)+IF(Setup!$I$15="No",0,H136))</f>
        <v>467</v>
      </c>
      <c r="J136" s="191">
        <v>52</v>
      </c>
      <c r="K136" s="191">
        <v>253</v>
      </c>
      <c r="L136" s="191">
        <v>38</v>
      </c>
      <c r="M136" s="191"/>
      <c r="N136" s="254">
        <f>IF(COUNTBLANK(J136:M136)=4,"",SUM(J136:L136)+IF(Setup!$I$15="No",0,M136))</f>
        <v>343</v>
      </c>
      <c r="O136" s="191"/>
      <c r="P136" s="191"/>
      <c r="Q136" s="191"/>
      <c r="R136" s="191"/>
      <c r="S136" s="254" t="str">
        <f>IF(COUNTBLANK(O136:R136)=4,"",SUM(O136:Q136)+IF(Setup!$I$15="No",0,R136))</f>
        <v/>
      </c>
      <c r="T136" s="191">
        <v>10</v>
      </c>
      <c r="U136" s="191">
        <v>2</v>
      </c>
      <c r="V136" s="191">
        <v>7</v>
      </c>
      <c r="W136" s="191"/>
      <c r="X136" s="254">
        <f>IF(COUNTBLANK(T136:W136)=4,"",SUM(T136:V136)+IF(Setup!$I$15="No",0,W136))</f>
        <v>19</v>
      </c>
      <c r="Y136" s="191">
        <v>1</v>
      </c>
      <c r="Z136" s="191"/>
      <c r="AA136" s="191"/>
      <c r="AB136" s="191"/>
      <c r="AC136" s="254">
        <f>IF(COUNTBLANK(Y136:AB136)=4,"",SUM(Y136:AA136)+IF(Setup!$I$15="No",0,AB136))</f>
        <v>1</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 Demand!S136, Demand!X136, Demand!AC136))</f>
        <v>830</v>
      </c>
      <c r="BD136" s="258">
        <f ca="1">IF(AND(A136&lt;=MaxRows,BE136&lt;&gt;"Yes"),'Demand background (hide)'!X127+IF(Setup!$I$15="Yes",'Demand background (hide)'!AJ127,0),"")</f>
        <v>12721</v>
      </c>
      <c r="BE136" s="208"/>
    </row>
    <row r="137" spans="1:57" ht="15" x14ac:dyDescent="0.25">
      <c r="A137">
        <f t="shared" ca="1" si="4"/>
        <v>125</v>
      </c>
      <c r="B137" s="263" t="str">
        <f t="shared" ca="1" si="5"/>
        <v xml:space="preserve"> </v>
      </c>
      <c r="C137" s="264">
        <f t="shared" ca="1" si="6"/>
        <v>34</v>
      </c>
      <c r="D137" s="491">
        <f t="shared" ca="1" si="7"/>
        <v>44060</v>
      </c>
      <c r="E137" s="191">
        <v>5</v>
      </c>
      <c r="F137" s="191">
        <v>383</v>
      </c>
      <c r="G137" s="191">
        <v>54</v>
      </c>
      <c r="H137" s="191"/>
      <c r="I137" s="250">
        <f>IF(COUNTBLANK(E137:H137)=4,"",SUM(E137:G137)+IF(Setup!$I$15="No",0,H137))</f>
        <v>442</v>
      </c>
      <c r="J137" s="191">
        <v>75</v>
      </c>
      <c r="K137" s="191">
        <v>230</v>
      </c>
      <c r="L137" s="191">
        <v>33</v>
      </c>
      <c r="M137" s="191"/>
      <c r="N137" s="254">
        <f>IF(COUNTBLANK(J137:M137)=4,"",SUM(J137:L137)+IF(Setup!$I$15="No",0,M137))</f>
        <v>338</v>
      </c>
      <c r="O137" s="191"/>
      <c r="P137" s="191"/>
      <c r="Q137" s="191">
        <v>2</v>
      </c>
      <c r="R137" s="191"/>
      <c r="S137" s="254">
        <f>IF(COUNTBLANK(O137:R137)=4,"",SUM(O137:Q137)+IF(Setup!$I$15="No",0,R137))</f>
        <v>2</v>
      </c>
      <c r="T137" s="191">
        <v>8</v>
      </c>
      <c r="U137" s="191">
        <v>1</v>
      </c>
      <c r="V137" s="191">
        <v>2</v>
      </c>
      <c r="W137" s="191"/>
      <c r="X137" s="254">
        <f>IF(COUNTBLANK(T137:W137)=4,"",SUM(T137:V137)+IF(Setup!$I$15="No",0,W137))</f>
        <v>11</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 Demand!S137, Demand!X137, Demand!AC137))</f>
        <v>793</v>
      </c>
      <c r="BD137" s="258">
        <f ca="1">IF(AND(A137&lt;=MaxRows,BE137&lt;&gt;"Yes"),'Demand background (hide)'!X128+IF(Setup!$I$15="Yes",'Demand background (hide)'!AJ128,0),"")</f>
        <v>12090</v>
      </c>
      <c r="BE137" s="208"/>
    </row>
    <row r="138" spans="1:57" ht="15" x14ac:dyDescent="0.25">
      <c r="A138">
        <f t="shared" ca="1" si="4"/>
        <v>126</v>
      </c>
      <c r="B138" s="263" t="str">
        <f t="shared" ca="1" si="5"/>
        <v xml:space="preserve"> </v>
      </c>
      <c r="C138" s="264">
        <f t="shared" ca="1" si="6"/>
        <v>35</v>
      </c>
      <c r="D138" s="491">
        <f t="shared" ca="1" si="7"/>
        <v>44067</v>
      </c>
      <c r="E138" s="191">
        <v>6</v>
      </c>
      <c r="F138" s="191">
        <v>330</v>
      </c>
      <c r="G138" s="191">
        <v>64</v>
      </c>
      <c r="H138" s="191"/>
      <c r="I138" s="250">
        <f>IF(COUNTBLANK(E138:H138)=4,"",SUM(E138:G138)+IF(Setup!$I$15="No",0,H138))</f>
        <v>400</v>
      </c>
      <c r="J138" s="191">
        <v>70</v>
      </c>
      <c r="K138" s="191">
        <v>216</v>
      </c>
      <c r="L138" s="191">
        <v>25</v>
      </c>
      <c r="M138" s="191"/>
      <c r="N138" s="254">
        <f>IF(COUNTBLANK(J138:M138)=4,"",SUM(J138:L138)+IF(Setup!$I$15="No",0,M138))</f>
        <v>311</v>
      </c>
      <c r="O138" s="191"/>
      <c r="P138" s="191"/>
      <c r="Q138" s="191">
        <v>7</v>
      </c>
      <c r="R138" s="191"/>
      <c r="S138" s="254">
        <f>IF(COUNTBLANK(O138:R138)=4,"",SUM(O138:Q138)+IF(Setup!$I$15="No",0,R138))</f>
        <v>7</v>
      </c>
      <c r="T138" s="191">
        <v>17</v>
      </c>
      <c r="U138" s="191">
        <v>3</v>
      </c>
      <c r="V138" s="191">
        <v>3</v>
      </c>
      <c r="W138" s="191"/>
      <c r="X138" s="254">
        <f>IF(COUNTBLANK(T138:W138)=4,"",SUM(T138:V138)+IF(Setup!$I$15="No",0,W138))</f>
        <v>23</v>
      </c>
      <c r="Y138" s="191">
        <v>1</v>
      </c>
      <c r="Z138" s="191"/>
      <c r="AA138" s="191"/>
      <c r="AB138" s="191"/>
      <c r="AC138" s="254">
        <f>IF(COUNTBLANK(Y138:AB138)=4,"",SUM(Y138:AA138)+IF(Setup!$I$15="No",0,AB138))</f>
        <v>1</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 Demand!S138, Demand!X138, Demand!AC138))</f>
        <v>742</v>
      </c>
      <c r="BD138" s="258">
        <f ca="1">IF(AND(A138&lt;=MaxRows,BE138&lt;&gt;"Yes"),'Demand background (hide)'!X129+IF(Setup!$I$15="Yes",'Demand background (hide)'!AJ129,0),"")</f>
        <v>11566</v>
      </c>
      <c r="BE138" s="208"/>
    </row>
    <row r="139" spans="1:57" ht="15" x14ac:dyDescent="0.25">
      <c r="A139">
        <f t="shared" ca="1" si="4"/>
        <v>127</v>
      </c>
      <c r="B139" s="263" t="str">
        <f t="shared" ca="1" si="5"/>
        <v xml:space="preserve"> </v>
      </c>
      <c r="C139" s="264">
        <f t="shared" ca="1" si="6"/>
        <v>36</v>
      </c>
      <c r="D139" s="491">
        <f t="shared" ca="1" si="7"/>
        <v>44074</v>
      </c>
      <c r="E139" s="191">
        <v>5</v>
      </c>
      <c r="F139" s="191">
        <v>348</v>
      </c>
      <c r="G139" s="191">
        <v>36</v>
      </c>
      <c r="H139" s="191"/>
      <c r="I139" s="250">
        <f>IF(COUNTBLANK(E139:H139)=4,"",SUM(E139:G139)+IF(Setup!$I$15="No",0,H139))</f>
        <v>389</v>
      </c>
      <c r="J139" s="191">
        <v>50</v>
      </c>
      <c r="K139" s="191">
        <v>247</v>
      </c>
      <c r="L139" s="191">
        <v>36</v>
      </c>
      <c r="M139" s="191"/>
      <c r="N139" s="254">
        <f>IF(COUNTBLANK(J139:M139)=4,"",SUM(J139:L139)+IF(Setup!$I$15="No",0,M139))</f>
        <v>333</v>
      </c>
      <c r="O139" s="191"/>
      <c r="P139" s="191"/>
      <c r="Q139" s="191">
        <v>4</v>
      </c>
      <c r="R139" s="191"/>
      <c r="S139" s="254">
        <f>IF(COUNTBLANK(O139:R139)=4,"",SUM(O139:Q139)+IF(Setup!$I$15="No",0,R139))</f>
        <v>4</v>
      </c>
      <c r="T139" s="191">
        <v>10</v>
      </c>
      <c r="U139" s="191">
        <v>3</v>
      </c>
      <c r="V139" s="191">
        <v>1</v>
      </c>
      <c r="W139" s="191"/>
      <c r="X139" s="254">
        <f>IF(COUNTBLANK(T139:W139)=4,"",SUM(T139:V139)+IF(Setup!$I$15="No",0,W139))</f>
        <v>14</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 Demand!S139, Demand!X139, Demand!AC139))</f>
        <v>740</v>
      </c>
      <c r="BD139" s="258">
        <f ca="1">IF(AND(A139&lt;=MaxRows,BE139&lt;&gt;"Yes"),'Demand background (hide)'!X130+IF(Setup!$I$15="Yes",'Demand background (hide)'!AJ130,0),"")</f>
        <v>11370</v>
      </c>
      <c r="BE139" s="208"/>
    </row>
    <row r="140" spans="1:57" ht="15" x14ac:dyDescent="0.25">
      <c r="A140">
        <f t="shared" ca="1" si="4"/>
        <v>128</v>
      </c>
      <c r="B140" s="263" t="str">
        <f t="shared" ca="1" si="5"/>
        <v xml:space="preserve"> </v>
      </c>
      <c r="C140" s="264">
        <f t="shared" ca="1" si="6"/>
        <v>37</v>
      </c>
      <c r="D140" s="491">
        <f t="shared" ca="1" si="7"/>
        <v>44081</v>
      </c>
      <c r="E140" s="191">
        <v>8</v>
      </c>
      <c r="F140" s="191">
        <v>368</v>
      </c>
      <c r="G140" s="191">
        <v>47</v>
      </c>
      <c r="H140" s="191"/>
      <c r="I140" s="250">
        <f>IF(COUNTBLANK(E140:H140)=4,"",SUM(E140:G140)+IF(Setup!$I$15="No",0,H140))</f>
        <v>423</v>
      </c>
      <c r="J140" s="191">
        <v>76</v>
      </c>
      <c r="K140" s="191">
        <v>270</v>
      </c>
      <c r="L140" s="191">
        <v>46</v>
      </c>
      <c r="M140" s="191"/>
      <c r="N140" s="254">
        <f>IF(COUNTBLANK(J140:M140)=4,"",SUM(J140:L140)+IF(Setup!$I$15="No",0,M140))</f>
        <v>392</v>
      </c>
      <c r="O140" s="191"/>
      <c r="P140" s="191"/>
      <c r="Q140" s="191">
        <v>15</v>
      </c>
      <c r="R140" s="191"/>
      <c r="S140" s="254">
        <f>IF(COUNTBLANK(O140:R140)=4,"",SUM(O140:Q140)+IF(Setup!$I$15="No",0,R140))</f>
        <v>15</v>
      </c>
      <c r="T140" s="191">
        <v>10</v>
      </c>
      <c r="U140" s="191">
        <v>4</v>
      </c>
      <c r="V140" s="191">
        <v>2</v>
      </c>
      <c r="W140" s="191"/>
      <c r="X140" s="254">
        <f>IF(COUNTBLANK(T140:W140)=4,"",SUM(T140:V140)+IF(Setup!$I$15="No",0,W140))</f>
        <v>16</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 Demand!S140, Demand!X140, Demand!AC140))</f>
        <v>846</v>
      </c>
      <c r="BD140" s="258">
        <f ca="1">IF(AND(A140&lt;=MaxRows,BE140&lt;&gt;"Yes"),'Demand background (hide)'!X131+IF(Setup!$I$15="Yes",'Demand background (hide)'!AJ131,0),"")</f>
        <v>13155</v>
      </c>
      <c r="BE140" s="208"/>
    </row>
    <row r="141" spans="1:57" ht="15" x14ac:dyDescent="0.25">
      <c r="A141">
        <f t="shared" ref="A141:A204" ca="1" si="8">IF(BC141&lt;&gt;"",ROW(A129),"")</f>
        <v>129</v>
      </c>
      <c r="B141" s="263" t="str">
        <f t="shared" ca="1" si="5"/>
        <v xml:space="preserve"> </v>
      </c>
      <c r="C141" s="264">
        <f t="shared" ca="1" si="6"/>
        <v>38</v>
      </c>
      <c r="D141" s="491">
        <f t="shared" ca="1" si="7"/>
        <v>44088</v>
      </c>
      <c r="E141" s="191">
        <v>11</v>
      </c>
      <c r="F141" s="191">
        <v>364</v>
      </c>
      <c r="G141" s="191">
        <v>61</v>
      </c>
      <c r="H141" s="191"/>
      <c r="I141" s="250">
        <f>IF(COUNTBLANK(E141:H141)=4,"",SUM(E141:G141)+IF(Setup!$I$15="No",0,H141))</f>
        <v>436</v>
      </c>
      <c r="J141" s="191">
        <v>68</v>
      </c>
      <c r="K141" s="191">
        <v>280</v>
      </c>
      <c r="L141" s="191">
        <v>35</v>
      </c>
      <c r="M141" s="191"/>
      <c r="N141" s="254">
        <f>IF(COUNTBLANK(J141:M141)=4,"",SUM(J141:L141)+IF(Setup!$I$15="No",0,M141))</f>
        <v>383</v>
      </c>
      <c r="O141" s="191"/>
      <c r="P141" s="191">
        <v>4</v>
      </c>
      <c r="Q141" s="191">
        <v>4</v>
      </c>
      <c r="R141" s="191"/>
      <c r="S141" s="254">
        <f>IF(COUNTBLANK(O141:R141)=4,"",SUM(O141:Q141)+IF(Setup!$I$15="No",0,R141))</f>
        <v>8</v>
      </c>
      <c r="T141" s="191">
        <v>12</v>
      </c>
      <c r="U141" s="191">
        <v>4</v>
      </c>
      <c r="V141" s="191">
        <v>2</v>
      </c>
      <c r="W141" s="191"/>
      <c r="X141" s="254">
        <f>IF(COUNTBLANK(T141:W141)=4,"",SUM(T141:V141)+IF(Setup!$I$15="No",0,W141))</f>
        <v>18</v>
      </c>
      <c r="Y141" s="191">
        <v>3</v>
      </c>
      <c r="Z141" s="191"/>
      <c r="AA141" s="191"/>
      <c r="AB141" s="191"/>
      <c r="AC141" s="254">
        <f>IF(COUNTBLANK(Y141:AB141)=4,"",SUM(Y141:AA141)+IF(Setup!$I$15="No",0,AB141))</f>
        <v>3</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 Demand!S141, Demand!X141, Demand!AC141))</f>
        <v>848</v>
      </c>
      <c r="BD141" s="258">
        <f ca="1">IF(AND(A141&lt;=MaxRows,BE141&lt;&gt;"Yes"),'Demand background (hide)'!X132+IF(Setup!$I$15="Yes",'Demand background (hide)'!AJ132,0),"")</f>
        <v>13068</v>
      </c>
      <c r="BE141" s="208"/>
    </row>
    <row r="142" spans="1:57" ht="15"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39</v>
      </c>
      <c r="D142" s="491">
        <f t="shared" ref="D142:D205" ca="1" si="11">IF(OR(AND(ROW(A130)&lt;=MaxRows,$C$6&lt;&gt;""),AND(ROW(A142)&lt;=64,LEFT($C$8,1)&lt;&gt;"H")),D141+7,"")</f>
        <v>44095</v>
      </c>
      <c r="E142" s="191">
        <v>8</v>
      </c>
      <c r="F142" s="191">
        <v>329</v>
      </c>
      <c r="G142" s="191">
        <v>54</v>
      </c>
      <c r="H142" s="191"/>
      <c r="I142" s="250">
        <f>IF(COUNTBLANK(E142:H142)=4,"",SUM(E142:G142)+IF(Setup!$I$15="No",0,H142))</f>
        <v>391</v>
      </c>
      <c r="J142" s="191">
        <v>71</v>
      </c>
      <c r="K142" s="191">
        <v>233</v>
      </c>
      <c r="L142" s="191">
        <v>42</v>
      </c>
      <c r="M142" s="191"/>
      <c r="N142" s="254">
        <f>IF(COUNTBLANK(J142:M142)=4,"",SUM(J142:L142)+IF(Setup!$I$15="No",0,M142))</f>
        <v>346</v>
      </c>
      <c r="O142" s="191"/>
      <c r="P142" s="191"/>
      <c r="Q142" s="191">
        <v>5</v>
      </c>
      <c r="R142" s="191"/>
      <c r="S142" s="254">
        <f>IF(COUNTBLANK(O142:R142)=4,"",SUM(O142:Q142)+IF(Setup!$I$15="No",0,R142))</f>
        <v>5</v>
      </c>
      <c r="T142" s="191">
        <v>17</v>
      </c>
      <c r="U142" s="191">
        <v>4</v>
      </c>
      <c r="V142" s="191">
        <v>5</v>
      </c>
      <c r="W142" s="191"/>
      <c r="X142" s="254">
        <f>IF(COUNTBLANK(T142:W142)=4,"",SUM(T142:V142)+IF(Setup!$I$15="No",0,W142))</f>
        <v>26</v>
      </c>
      <c r="Y142" s="191">
        <v>2</v>
      </c>
      <c r="Z142" s="191"/>
      <c r="AA142" s="191"/>
      <c r="AB142" s="191"/>
      <c r="AC142" s="254">
        <f>IF(COUNTBLANK(Y142:AB142)=4,"",SUM(Y142:AA142)+IF(Setup!$I$15="No",0,AB142))</f>
        <v>2</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 Demand!S142, Demand!X142, Demand!AC142))</f>
        <v>770</v>
      </c>
      <c r="BD142" s="258">
        <f ca="1">IF(AND(A142&lt;=MaxRows,BE142&lt;&gt;"Yes"),'Demand background (hide)'!X133+IF(Setup!$I$15="Yes",'Demand background (hide)'!AJ133,0),"")</f>
        <v>11987</v>
      </c>
      <c r="BE142" s="208"/>
    </row>
    <row r="143" spans="1:57" ht="15" x14ac:dyDescent="0.25">
      <c r="A143">
        <f t="shared" ca="1" si="8"/>
        <v>131</v>
      </c>
      <c r="B143" s="263" t="str">
        <f t="shared" ca="1" si="9"/>
        <v xml:space="preserve"> </v>
      </c>
      <c r="C143" s="264">
        <f t="shared" ca="1" si="10"/>
        <v>40</v>
      </c>
      <c r="D143" s="491">
        <f t="shared" ca="1" si="11"/>
        <v>44102</v>
      </c>
      <c r="E143" s="191">
        <v>11</v>
      </c>
      <c r="F143" s="191">
        <v>382</v>
      </c>
      <c r="G143" s="191">
        <v>65</v>
      </c>
      <c r="H143" s="191"/>
      <c r="I143" s="250">
        <f>IF(COUNTBLANK(E143:H143)=4,"",SUM(E143:G143)+IF(Setup!$I$15="No",0,H143))</f>
        <v>458</v>
      </c>
      <c r="J143" s="191">
        <v>72</v>
      </c>
      <c r="K143" s="191">
        <v>240</v>
      </c>
      <c r="L143" s="191">
        <v>40</v>
      </c>
      <c r="M143" s="191"/>
      <c r="N143" s="254">
        <f>IF(COUNTBLANK(J143:M143)=4,"",SUM(J143:L143)+IF(Setup!$I$15="No",0,M143))</f>
        <v>352</v>
      </c>
      <c r="O143" s="191"/>
      <c r="P143" s="191"/>
      <c r="Q143" s="191">
        <v>4</v>
      </c>
      <c r="R143" s="191"/>
      <c r="S143" s="254">
        <f>IF(COUNTBLANK(O143:R143)=4,"",SUM(O143:Q143)+IF(Setup!$I$15="No",0,R143))</f>
        <v>4</v>
      </c>
      <c r="T143" s="191">
        <v>17</v>
      </c>
      <c r="U143" s="191">
        <v>3</v>
      </c>
      <c r="V143" s="191">
        <v>2</v>
      </c>
      <c r="W143" s="191"/>
      <c r="X143" s="254">
        <f>IF(COUNTBLANK(T143:W143)=4,"",SUM(T143:V143)+IF(Setup!$I$15="No",0,W143))</f>
        <v>22</v>
      </c>
      <c r="Y143" s="191">
        <v>2</v>
      </c>
      <c r="Z143" s="191"/>
      <c r="AA143" s="191"/>
      <c r="AB143" s="191"/>
      <c r="AC143" s="254">
        <f>IF(COUNTBLANK(Y143:AB143)=4,"",SUM(Y143:AA143)+IF(Setup!$I$15="No",0,AB143))</f>
        <v>2</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 Demand!S143, Demand!X143, Demand!AC143))</f>
        <v>838</v>
      </c>
      <c r="BD143" s="258">
        <f ca="1">IF(AND(A143&lt;=MaxRows,BE143&lt;&gt;"Yes"),'Demand background (hide)'!X134+IF(Setup!$I$15="Yes",'Demand background (hide)'!AJ134,0),"")</f>
        <v>12932</v>
      </c>
      <c r="BE143" s="208"/>
    </row>
    <row r="144" spans="1:57" ht="15" x14ac:dyDescent="0.25">
      <c r="A144">
        <f t="shared" ca="1" si="8"/>
        <v>132</v>
      </c>
      <c r="B144" s="263" t="str">
        <f t="shared" ca="1" si="9"/>
        <v xml:space="preserve"> </v>
      </c>
      <c r="C144" s="264">
        <f t="shared" ca="1" si="10"/>
        <v>41</v>
      </c>
      <c r="D144" s="491">
        <f t="shared" ca="1" si="11"/>
        <v>44109</v>
      </c>
      <c r="E144" s="191">
        <v>10</v>
      </c>
      <c r="F144" s="191">
        <v>359</v>
      </c>
      <c r="G144" s="191">
        <v>68</v>
      </c>
      <c r="H144" s="191"/>
      <c r="I144" s="250">
        <f>IF(COUNTBLANK(E144:H144)=4,"",SUM(E144:G144)+IF(Setup!$I$15="No",0,H144))</f>
        <v>437</v>
      </c>
      <c r="J144" s="191">
        <v>84</v>
      </c>
      <c r="K144" s="191">
        <v>259</v>
      </c>
      <c r="L144" s="191">
        <v>42</v>
      </c>
      <c r="M144" s="191"/>
      <c r="N144" s="254">
        <f>IF(COUNTBLANK(J144:M144)=4,"",SUM(J144:L144)+IF(Setup!$I$15="No",0,M144))</f>
        <v>385</v>
      </c>
      <c r="O144" s="191"/>
      <c r="P144" s="191"/>
      <c r="Q144" s="191">
        <v>8</v>
      </c>
      <c r="R144" s="191"/>
      <c r="S144" s="254">
        <f>IF(COUNTBLANK(O144:R144)=4,"",SUM(O144:Q144)+IF(Setup!$I$15="No",0,R144))</f>
        <v>8</v>
      </c>
      <c r="T144" s="191">
        <v>17</v>
      </c>
      <c r="U144" s="191">
        <v>7</v>
      </c>
      <c r="V144" s="191"/>
      <c r="W144" s="191"/>
      <c r="X144" s="254">
        <f>IF(COUNTBLANK(T144:W144)=4,"",SUM(T144:V144)+IF(Setup!$I$15="No",0,W144))</f>
        <v>24</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 Demand!S144, Demand!X144, Demand!AC144))</f>
        <v>854</v>
      </c>
      <c r="BD144" s="258">
        <f ca="1">IF(AND(A144&lt;=MaxRows,BE144&lt;&gt;"Yes"),'Demand background (hide)'!X135+IF(Setup!$I$15="Yes",'Demand background (hide)'!AJ135,0),"")</f>
        <v>13290</v>
      </c>
      <c r="BE144" s="208"/>
    </row>
    <row r="145" spans="1:57" ht="15" x14ac:dyDescent="0.25">
      <c r="A145">
        <f t="shared" ca="1" si="8"/>
        <v>133</v>
      </c>
      <c r="B145" s="263" t="str">
        <f t="shared" ca="1" si="9"/>
        <v xml:space="preserve"> </v>
      </c>
      <c r="C145" s="264">
        <f t="shared" ca="1" si="10"/>
        <v>42</v>
      </c>
      <c r="D145" s="491">
        <f t="shared" ca="1" si="11"/>
        <v>44116</v>
      </c>
      <c r="E145" s="191">
        <v>11</v>
      </c>
      <c r="F145" s="191">
        <v>346</v>
      </c>
      <c r="G145" s="191">
        <v>77</v>
      </c>
      <c r="H145" s="191"/>
      <c r="I145" s="250">
        <f>IF(COUNTBLANK(E145:H145)=4,"",SUM(E145:G145)+IF(Setup!$I$15="No",0,H145))</f>
        <v>434</v>
      </c>
      <c r="J145" s="191">
        <v>80</v>
      </c>
      <c r="K145" s="191">
        <v>273</v>
      </c>
      <c r="L145" s="191">
        <v>39</v>
      </c>
      <c r="M145" s="191"/>
      <c r="N145" s="254">
        <f>IF(COUNTBLANK(J145:M145)=4,"",SUM(J145:L145)+IF(Setup!$I$15="No",0,M145))</f>
        <v>392</v>
      </c>
      <c r="O145" s="191"/>
      <c r="P145" s="191"/>
      <c r="Q145" s="191">
        <v>23</v>
      </c>
      <c r="R145" s="191"/>
      <c r="S145" s="254">
        <f>IF(COUNTBLANK(O145:R145)=4,"",SUM(O145:Q145)+IF(Setup!$I$15="No",0,R145))</f>
        <v>23</v>
      </c>
      <c r="T145" s="191">
        <v>21</v>
      </c>
      <c r="U145" s="191">
        <v>6</v>
      </c>
      <c r="V145" s="191">
        <v>2</v>
      </c>
      <c r="W145" s="191"/>
      <c r="X145" s="254">
        <f>IF(COUNTBLANK(T145:W145)=4,"",SUM(T145:V145)+IF(Setup!$I$15="No",0,W145))</f>
        <v>29</v>
      </c>
      <c r="Y145" s="191">
        <v>1</v>
      </c>
      <c r="Z145" s="191">
        <v>1</v>
      </c>
      <c r="AA145" s="191"/>
      <c r="AB145" s="191"/>
      <c r="AC145" s="254">
        <f>IF(COUNTBLANK(Y145:AB145)=4,"",SUM(Y145:AA145)+IF(Setup!$I$15="No",0,AB145))</f>
        <v>2</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 Demand!S145, Demand!X145, Demand!AC145))</f>
        <v>880</v>
      </c>
      <c r="BD145" s="258">
        <f ca="1">IF(AND(A145&lt;=MaxRows,BE145&lt;&gt;"Yes"),'Demand background (hide)'!X136+IF(Setup!$I$15="Yes",'Demand background (hide)'!AJ136,0),"")</f>
        <v>13952</v>
      </c>
      <c r="BE145" s="208"/>
    </row>
    <row r="146" spans="1:57" ht="15" x14ac:dyDescent="0.25">
      <c r="A146">
        <f t="shared" ca="1" si="8"/>
        <v>134</v>
      </c>
      <c r="B146" s="263" t="str">
        <f t="shared" ca="1" si="9"/>
        <v xml:space="preserve"> </v>
      </c>
      <c r="C146" s="264">
        <f t="shared" ca="1" si="10"/>
        <v>43</v>
      </c>
      <c r="D146" s="491">
        <f t="shared" ca="1" si="11"/>
        <v>44123</v>
      </c>
      <c r="E146" s="191">
        <v>10</v>
      </c>
      <c r="F146" s="191">
        <v>343</v>
      </c>
      <c r="G146" s="191">
        <v>67</v>
      </c>
      <c r="H146" s="191"/>
      <c r="I146" s="250">
        <f>IF(COUNTBLANK(E146:H146)=4,"",SUM(E146:G146)+IF(Setup!$I$15="No",0,H146))</f>
        <v>420</v>
      </c>
      <c r="J146" s="191">
        <v>71</v>
      </c>
      <c r="K146" s="191">
        <v>241</v>
      </c>
      <c r="L146" s="191">
        <v>36</v>
      </c>
      <c r="M146" s="191"/>
      <c r="N146" s="254">
        <f>IF(COUNTBLANK(J146:M146)=4,"",SUM(J146:L146)+IF(Setup!$I$15="No",0,M146))</f>
        <v>348</v>
      </c>
      <c r="O146" s="191"/>
      <c r="P146" s="191">
        <v>2</v>
      </c>
      <c r="Q146" s="191">
        <v>14</v>
      </c>
      <c r="R146" s="191"/>
      <c r="S146" s="254">
        <f>IF(COUNTBLANK(O146:R146)=4,"",SUM(O146:Q146)+IF(Setup!$I$15="No",0,R146))</f>
        <v>16</v>
      </c>
      <c r="T146" s="191">
        <v>17</v>
      </c>
      <c r="U146" s="191">
        <v>6</v>
      </c>
      <c r="V146" s="191"/>
      <c r="W146" s="191"/>
      <c r="X146" s="254">
        <f>IF(COUNTBLANK(T146:W146)=4,"",SUM(T146:V146)+IF(Setup!$I$15="No",0,W146))</f>
        <v>23</v>
      </c>
      <c r="Y146" s="191"/>
      <c r="Z146" s="191">
        <v>1</v>
      </c>
      <c r="AA146" s="191"/>
      <c r="AB146" s="191"/>
      <c r="AC146" s="254">
        <f>IF(COUNTBLANK(Y146:AB146)=4,"",SUM(Y146:AA146)+IF(Setup!$I$15="No",0,AB146))</f>
        <v>1</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 Demand!S146, Demand!X146, Demand!AC146))</f>
        <v>808</v>
      </c>
      <c r="BD146" s="258">
        <f ca="1">IF(AND(A146&lt;=MaxRows,BE146&lt;&gt;"Yes"),'Demand background (hide)'!X137+IF(Setup!$I$15="Yes",'Demand background (hide)'!AJ137,0),"")</f>
        <v>12691</v>
      </c>
      <c r="BE146" s="208"/>
    </row>
    <row r="147" spans="1:57" ht="15" x14ac:dyDescent="0.25">
      <c r="A147">
        <f t="shared" ca="1" si="8"/>
        <v>135</v>
      </c>
      <c r="B147" s="263" t="str">
        <f t="shared" ca="1" si="9"/>
        <v xml:space="preserve"> </v>
      </c>
      <c r="C147" s="264">
        <f t="shared" ca="1" si="10"/>
        <v>44</v>
      </c>
      <c r="D147" s="491">
        <f t="shared" ca="1" si="11"/>
        <v>44130</v>
      </c>
      <c r="E147" s="191">
        <v>9</v>
      </c>
      <c r="F147" s="191">
        <v>342</v>
      </c>
      <c r="G147" s="191">
        <v>70</v>
      </c>
      <c r="H147" s="191"/>
      <c r="I147" s="250">
        <f>IF(COUNTBLANK(E147:H147)=4,"",SUM(E147:G147)+IF(Setup!$I$15="No",0,H147))</f>
        <v>421</v>
      </c>
      <c r="J147" s="191">
        <v>65</v>
      </c>
      <c r="K147" s="191">
        <v>253</v>
      </c>
      <c r="L147" s="191">
        <v>37</v>
      </c>
      <c r="M147" s="191"/>
      <c r="N147" s="254">
        <f>IF(COUNTBLANK(J147:M147)=4,"",SUM(J147:L147)+IF(Setup!$I$15="No",0,M147))</f>
        <v>355</v>
      </c>
      <c r="O147" s="191"/>
      <c r="P147" s="191"/>
      <c r="Q147" s="191">
        <v>18</v>
      </c>
      <c r="R147" s="191"/>
      <c r="S147" s="254">
        <f>IF(COUNTBLANK(O147:R147)=4,"",SUM(O147:Q147)+IF(Setup!$I$15="No",0,R147))</f>
        <v>18</v>
      </c>
      <c r="T147" s="191">
        <v>20</v>
      </c>
      <c r="U147" s="191">
        <v>3</v>
      </c>
      <c r="V147" s="191"/>
      <c r="W147" s="191"/>
      <c r="X147" s="254">
        <f>IF(COUNTBLANK(T147:W147)=4,"",SUM(T147:V147)+IF(Setup!$I$15="No",0,W147))</f>
        <v>23</v>
      </c>
      <c r="Y147" s="191">
        <v>1</v>
      </c>
      <c r="Z147" s="191"/>
      <c r="AA147" s="191"/>
      <c r="AB147" s="191"/>
      <c r="AC147" s="254">
        <f>IF(COUNTBLANK(Y147:AB147)=4,"",SUM(Y147:AA147)+IF(Setup!$I$15="No",0,AB147))</f>
        <v>1</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 Demand!S147, Demand!X147, Demand!AC147))</f>
        <v>818</v>
      </c>
      <c r="BD147" s="258">
        <f ca="1">IF(AND(A147&lt;=MaxRows,BE147&lt;&gt;"Yes"),'Demand background (hide)'!X138+IF(Setup!$I$15="Yes",'Demand background (hide)'!AJ138,0),"")</f>
        <v>12871</v>
      </c>
      <c r="BE147" s="208"/>
    </row>
    <row r="148" spans="1:57" ht="15" x14ac:dyDescent="0.25">
      <c r="A148">
        <f t="shared" ca="1" si="8"/>
        <v>136</v>
      </c>
      <c r="B148" s="263" t="str">
        <f t="shared" ca="1" si="9"/>
        <v xml:space="preserve"> </v>
      </c>
      <c r="C148" s="264">
        <f t="shared" ca="1" si="10"/>
        <v>45</v>
      </c>
      <c r="D148" s="491">
        <f t="shared" ca="1" si="11"/>
        <v>44137</v>
      </c>
      <c r="E148" s="191">
        <v>4</v>
      </c>
      <c r="F148" s="191">
        <v>346</v>
      </c>
      <c r="G148" s="191">
        <v>68</v>
      </c>
      <c r="H148" s="191"/>
      <c r="I148" s="250">
        <f>IF(COUNTBLANK(E148:H148)=4,"",SUM(E148:G148)+IF(Setup!$I$15="No",0,H148))</f>
        <v>418</v>
      </c>
      <c r="J148" s="191">
        <v>67</v>
      </c>
      <c r="K148" s="191">
        <v>258</v>
      </c>
      <c r="L148" s="191">
        <v>48</v>
      </c>
      <c r="M148" s="191"/>
      <c r="N148" s="254">
        <f>IF(COUNTBLANK(J148:M148)=4,"",SUM(J148:L148)+IF(Setup!$I$15="No",0,M148))</f>
        <v>373</v>
      </c>
      <c r="O148" s="191"/>
      <c r="P148" s="191">
        <v>2</v>
      </c>
      <c r="Q148" s="191">
        <v>4</v>
      </c>
      <c r="R148" s="191"/>
      <c r="S148" s="254">
        <f>IF(COUNTBLANK(O148:R148)=4,"",SUM(O148:Q148)+IF(Setup!$I$15="No",0,R148))</f>
        <v>6</v>
      </c>
      <c r="T148" s="191">
        <v>17</v>
      </c>
      <c r="U148" s="191">
        <v>3</v>
      </c>
      <c r="V148" s="191">
        <v>5</v>
      </c>
      <c r="W148" s="191"/>
      <c r="X148" s="254">
        <f>IF(COUNTBLANK(T148:W148)=4,"",SUM(T148:V148)+IF(Setup!$I$15="No",0,W148))</f>
        <v>25</v>
      </c>
      <c r="Y148" s="191"/>
      <c r="Z148" s="191">
        <v>1</v>
      </c>
      <c r="AA148" s="191"/>
      <c r="AB148" s="191"/>
      <c r="AC148" s="254">
        <f>IF(COUNTBLANK(Y148:AB148)=4,"",SUM(Y148:AA148)+IF(Setup!$I$15="No",0,AB148))</f>
        <v>1</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 Demand!S148, Demand!X148, Demand!AC148))</f>
        <v>823</v>
      </c>
      <c r="BD148" s="258">
        <f ca="1">IF(AND(A148&lt;=MaxRows,BE148&lt;&gt;"Yes"),'Demand background (hide)'!X139+IF(Setup!$I$15="Yes",'Demand background (hide)'!AJ139,0),"")</f>
        <v>12796</v>
      </c>
      <c r="BE148" s="208"/>
    </row>
    <row r="149" spans="1:57" ht="15" x14ac:dyDescent="0.25">
      <c r="A149">
        <f t="shared" ca="1" si="8"/>
        <v>137</v>
      </c>
      <c r="B149" s="263" t="str">
        <f t="shared" ca="1" si="9"/>
        <v xml:space="preserve"> </v>
      </c>
      <c r="C149" s="264">
        <f t="shared" ca="1" si="10"/>
        <v>46</v>
      </c>
      <c r="D149" s="491">
        <f t="shared" ca="1" si="11"/>
        <v>44144</v>
      </c>
      <c r="E149" s="191">
        <v>11</v>
      </c>
      <c r="F149" s="191">
        <v>366</v>
      </c>
      <c r="G149" s="191">
        <v>71</v>
      </c>
      <c r="H149" s="191"/>
      <c r="I149" s="250">
        <f>IF(COUNTBLANK(E149:H149)=4,"",SUM(E149:G149)+IF(Setup!$I$15="No",0,H149))</f>
        <v>448</v>
      </c>
      <c r="J149" s="191">
        <v>78</v>
      </c>
      <c r="K149" s="191">
        <v>250</v>
      </c>
      <c r="L149" s="191">
        <v>43</v>
      </c>
      <c r="M149" s="191"/>
      <c r="N149" s="254">
        <f>IF(COUNTBLANK(J149:M149)=4,"",SUM(J149:L149)+IF(Setup!$I$15="No",0,M149))</f>
        <v>371</v>
      </c>
      <c r="O149" s="191"/>
      <c r="P149" s="191"/>
      <c r="Q149" s="191">
        <v>13</v>
      </c>
      <c r="R149" s="191"/>
      <c r="S149" s="254">
        <f>IF(COUNTBLANK(O149:R149)=4,"",SUM(O149:Q149)+IF(Setup!$I$15="No",0,R149))</f>
        <v>13</v>
      </c>
      <c r="T149" s="191">
        <v>25</v>
      </c>
      <c r="U149" s="191">
        <v>2</v>
      </c>
      <c r="V149" s="191">
        <v>4</v>
      </c>
      <c r="W149" s="191"/>
      <c r="X149" s="254">
        <f>IF(COUNTBLANK(T149:W149)=4,"",SUM(T149:V149)+IF(Setup!$I$15="No",0,W149))</f>
        <v>31</v>
      </c>
      <c r="Y149" s="191"/>
      <c r="Z149" s="191">
        <v>1</v>
      </c>
      <c r="AA149" s="191"/>
      <c r="AB149" s="191"/>
      <c r="AC149" s="254">
        <f>IF(COUNTBLANK(Y149:AB149)=4,"",SUM(Y149:AA149)+IF(Setup!$I$15="No",0,AB149))</f>
        <v>1</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 Demand!S149, Demand!X149, Demand!AC149))</f>
        <v>864</v>
      </c>
      <c r="BD149" s="258">
        <f ca="1">IF(AND(A149&lt;=MaxRows,BE149&lt;&gt;"Yes"),'Demand background (hide)'!X140+IF(Setup!$I$15="Yes",'Demand background (hide)'!AJ140,0),"")</f>
        <v>13606</v>
      </c>
      <c r="BE149" s="208"/>
    </row>
    <row r="150" spans="1:57" ht="15" x14ac:dyDescent="0.25">
      <c r="A150">
        <f t="shared" ca="1" si="8"/>
        <v>138</v>
      </c>
      <c r="B150" s="263" t="str">
        <f t="shared" ca="1" si="9"/>
        <v xml:space="preserve"> </v>
      </c>
      <c r="C150" s="264">
        <f t="shared" ca="1" si="10"/>
        <v>47</v>
      </c>
      <c r="D150" s="491">
        <f t="shared" ca="1" si="11"/>
        <v>44151</v>
      </c>
      <c r="E150" s="191">
        <v>6</v>
      </c>
      <c r="F150" s="191">
        <v>369</v>
      </c>
      <c r="G150" s="191">
        <v>66</v>
      </c>
      <c r="H150" s="191"/>
      <c r="I150" s="250">
        <f>IF(COUNTBLANK(E150:H150)=4,"",SUM(E150:G150)+IF(Setup!$I$15="No",0,H150))</f>
        <v>441</v>
      </c>
      <c r="J150" s="191">
        <v>70</v>
      </c>
      <c r="K150" s="191">
        <v>276</v>
      </c>
      <c r="L150" s="191">
        <v>49</v>
      </c>
      <c r="M150" s="191"/>
      <c r="N150" s="254">
        <f>IF(COUNTBLANK(J150:M150)=4,"",SUM(J150:L150)+IF(Setup!$I$15="No",0,M150))</f>
        <v>395</v>
      </c>
      <c r="O150" s="191"/>
      <c r="P150" s="191">
        <v>1</v>
      </c>
      <c r="Q150" s="191">
        <v>12</v>
      </c>
      <c r="R150" s="191"/>
      <c r="S150" s="254">
        <f>IF(COUNTBLANK(O150:R150)=4,"",SUM(O150:Q150)+IF(Setup!$I$15="No",0,R150))</f>
        <v>13</v>
      </c>
      <c r="T150" s="191">
        <v>19</v>
      </c>
      <c r="U150" s="191">
        <v>3</v>
      </c>
      <c r="V150" s="191">
        <v>6</v>
      </c>
      <c r="W150" s="191"/>
      <c r="X150" s="254">
        <f>IF(COUNTBLANK(T150:W150)=4,"",SUM(T150:V150)+IF(Setup!$I$15="No",0,W150))</f>
        <v>28</v>
      </c>
      <c r="Y150" s="191">
        <v>2</v>
      </c>
      <c r="Z150" s="191">
        <v>1</v>
      </c>
      <c r="AA150" s="191"/>
      <c r="AB150" s="191"/>
      <c r="AC150" s="254">
        <f>IF(COUNTBLANK(Y150:AB150)=4,"",SUM(Y150:AA150)+IF(Setup!$I$15="No",0,AB150))</f>
        <v>3</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 Demand!S150, Demand!X150, Demand!AC150))</f>
        <v>880</v>
      </c>
      <c r="BD150" s="258">
        <f ca="1">IF(AND(A150&lt;=MaxRows,BE150&lt;&gt;"Yes"),'Demand background (hide)'!X141+IF(Setup!$I$15="Yes",'Demand background (hide)'!AJ141,0),"")</f>
        <v>13773</v>
      </c>
      <c r="BE150" s="208"/>
    </row>
    <row r="151" spans="1:57" ht="15" x14ac:dyDescent="0.25">
      <c r="A151">
        <f t="shared" ca="1" si="8"/>
        <v>139</v>
      </c>
      <c r="B151" s="263" t="str">
        <f t="shared" ca="1" si="9"/>
        <v xml:space="preserve"> </v>
      </c>
      <c r="C151" s="264">
        <f t="shared" ca="1" si="10"/>
        <v>48</v>
      </c>
      <c r="D151" s="491">
        <f t="shared" ca="1" si="11"/>
        <v>44158</v>
      </c>
      <c r="E151" s="191">
        <v>9</v>
      </c>
      <c r="F151" s="191">
        <v>361</v>
      </c>
      <c r="G151" s="191">
        <v>65</v>
      </c>
      <c r="H151" s="191"/>
      <c r="I151" s="250">
        <f>IF(COUNTBLANK(E151:H151)=4,"",SUM(E151:G151)+IF(Setup!$I$15="No",0,H151))</f>
        <v>435</v>
      </c>
      <c r="J151" s="191">
        <v>57</v>
      </c>
      <c r="K151" s="191">
        <v>236</v>
      </c>
      <c r="L151" s="191">
        <v>44</v>
      </c>
      <c r="M151" s="191"/>
      <c r="N151" s="254">
        <f>IF(COUNTBLANK(J151:M151)=4,"",SUM(J151:L151)+IF(Setup!$I$15="No",0,M151))</f>
        <v>337</v>
      </c>
      <c r="O151" s="191"/>
      <c r="P151" s="191">
        <v>3</v>
      </c>
      <c r="Q151" s="191">
        <v>10</v>
      </c>
      <c r="R151" s="191"/>
      <c r="S151" s="254">
        <f>IF(COUNTBLANK(O151:R151)=4,"",SUM(O151:Q151)+IF(Setup!$I$15="No",0,R151))</f>
        <v>13</v>
      </c>
      <c r="T151" s="191">
        <v>27</v>
      </c>
      <c r="U151" s="191">
        <v>3</v>
      </c>
      <c r="V151" s="191">
        <v>6</v>
      </c>
      <c r="W151" s="191"/>
      <c r="X151" s="254">
        <f>IF(COUNTBLANK(T151:W151)=4,"",SUM(T151:V151)+IF(Setup!$I$15="No",0,W151))</f>
        <v>36</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 Demand!S151, Demand!X151, Demand!AC151))</f>
        <v>821</v>
      </c>
      <c r="BD151" s="258">
        <f ca="1">IF(AND(A151&lt;=MaxRows,BE151&lt;&gt;"Yes"),'Demand background (hide)'!X142+IF(Setup!$I$15="Yes",'Demand background (hide)'!AJ142,0),"")</f>
        <v>13050</v>
      </c>
      <c r="BE151" s="208"/>
    </row>
    <row r="152" spans="1:57" ht="15" x14ac:dyDescent="0.25">
      <c r="A152">
        <f t="shared" ca="1" si="8"/>
        <v>140</v>
      </c>
      <c r="B152" s="263" t="str">
        <f t="shared" ca="1" si="9"/>
        <v xml:space="preserve"> </v>
      </c>
      <c r="C152" s="264">
        <f t="shared" ca="1" si="10"/>
        <v>49</v>
      </c>
      <c r="D152" s="491">
        <f t="shared" ca="1" si="11"/>
        <v>44165</v>
      </c>
      <c r="E152" s="191">
        <v>12</v>
      </c>
      <c r="F152" s="191">
        <v>396</v>
      </c>
      <c r="G152" s="191">
        <v>77</v>
      </c>
      <c r="H152" s="191"/>
      <c r="I152" s="250">
        <f>IF(COUNTBLANK(E152:H152)=4,"",SUM(E152:G152)+IF(Setup!$I$15="No",0,H152))</f>
        <v>485</v>
      </c>
      <c r="J152" s="191">
        <v>76</v>
      </c>
      <c r="K152" s="191">
        <v>267</v>
      </c>
      <c r="L152" s="191">
        <v>44</v>
      </c>
      <c r="M152" s="191"/>
      <c r="N152" s="254">
        <f>IF(COUNTBLANK(J152:M152)=4,"",SUM(J152:L152)+IF(Setup!$I$15="No",0,M152))</f>
        <v>387</v>
      </c>
      <c r="O152" s="191"/>
      <c r="P152" s="191"/>
      <c r="Q152" s="191">
        <v>7</v>
      </c>
      <c r="R152" s="191"/>
      <c r="S152" s="254">
        <f>IF(COUNTBLANK(O152:R152)=4,"",SUM(O152:Q152)+IF(Setup!$I$15="No",0,R152))</f>
        <v>7</v>
      </c>
      <c r="T152" s="191">
        <v>22</v>
      </c>
      <c r="U152" s="191">
        <v>9</v>
      </c>
      <c r="V152" s="191">
        <v>6</v>
      </c>
      <c r="W152" s="191"/>
      <c r="X152" s="254">
        <f>IF(COUNTBLANK(T152:W152)=4,"",SUM(T152:V152)+IF(Setup!$I$15="No",0,W152))</f>
        <v>37</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 Demand!S152, Demand!X152, Demand!AC152))</f>
        <v>916</v>
      </c>
      <c r="BD152" s="258">
        <f ca="1">IF(AND(A152&lt;=MaxRows,BE152&lt;&gt;"Yes"),'Demand background (hide)'!X143+IF(Setup!$I$15="Yes",'Demand background (hide)'!AJ143,0),"")</f>
        <v>14400</v>
      </c>
      <c r="BE152" s="208"/>
    </row>
    <row r="153" spans="1:57" ht="15" x14ac:dyDescent="0.25">
      <c r="A153">
        <f t="shared" ca="1" si="8"/>
        <v>141</v>
      </c>
      <c r="B153" s="263" t="str">
        <f t="shared" ca="1" si="9"/>
        <v xml:space="preserve"> </v>
      </c>
      <c r="C153" s="264">
        <f t="shared" ca="1" si="10"/>
        <v>50</v>
      </c>
      <c r="D153" s="491">
        <f t="shared" ca="1" si="11"/>
        <v>44172</v>
      </c>
      <c r="E153" s="191">
        <v>6</v>
      </c>
      <c r="F153" s="191">
        <v>403</v>
      </c>
      <c r="G153" s="191">
        <v>86</v>
      </c>
      <c r="H153" s="191"/>
      <c r="I153" s="250">
        <f>IF(COUNTBLANK(E153:H153)=4,"",SUM(E153:G153)+IF(Setup!$I$15="No",0,H153))</f>
        <v>495</v>
      </c>
      <c r="J153" s="191">
        <v>48</v>
      </c>
      <c r="K153" s="191">
        <v>311</v>
      </c>
      <c r="L153" s="191">
        <v>43</v>
      </c>
      <c r="M153" s="191"/>
      <c r="N153" s="254">
        <f>IF(COUNTBLANK(J153:M153)=4,"",SUM(J153:L153)+IF(Setup!$I$15="No",0,M153))</f>
        <v>402</v>
      </c>
      <c r="O153" s="191"/>
      <c r="P153" s="191"/>
      <c r="Q153" s="191">
        <v>14</v>
      </c>
      <c r="R153" s="191"/>
      <c r="S153" s="254">
        <f>IF(COUNTBLANK(O153:R153)=4,"",SUM(O153:Q153)+IF(Setup!$I$15="No",0,R153))</f>
        <v>14</v>
      </c>
      <c r="T153" s="191">
        <v>24</v>
      </c>
      <c r="U153" s="191">
        <v>4</v>
      </c>
      <c r="V153" s="191">
        <v>3</v>
      </c>
      <c r="W153" s="191"/>
      <c r="X153" s="254">
        <f>IF(COUNTBLANK(T153:W153)=4,"",SUM(T153:V153)+IF(Setup!$I$15="No",0,W153))</f>
        <v>31</v>
      </c>
      <c r="Y153" s="191">
        <v>1</v>
      </c>
      <c r="Z153" s="191"/>
      <c r="AA153" s="191"/>
      <c r="AB153" s="191"/>
      <c r="AC153" s="254">
        <f>IF(COUNTBLANK(Y153:AB153)=4,"",SUM(Y153:AA153)+IF(Setup!$I$15="No",0,AB153))</f>
        <v>1</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 Demand!S153, Demand!X153, Demand!AC153))</f>
        <v>943</v>
      </c>
      <c r="BD153" s="258">
        <f ca="1">IF(AND(A153&lt;=MaxRows,BE153&lt;&gt;"Yes"),'Demand background (hide)'!X144+IF(Setup!$I$15="Yes",'Demand background (hide)'!AJ144,0),"")</f>
        <v>14806</v>
      </c>
      <c r="BE153" s="208"/>
    </row>
    <row r="154" spans="1:57" ht="15" x14ac:dyDescent="0.25">
      <c r="A154">
        <f t="shared" ca="1" si="8"/>
        <v>142</v>
      </c>
      <c r="B154" s="263" t="str">
        <f t="shared" ca="1" si="9"/>
        <v xml:space="preserve"> </v>
      </c>
      <c r="C154" s="264">
        <f t="shared" ca="1" si="10"/>
        <v>51</v>
      </c>
      <c r="D154" s="491">
        <f t="shared" ca="1" si="11"/>
        <v>44179</v>
      </c>
      <c r="E154" s="191">
        <v>10</v>
      </c>
      <c r="F154" s="191">
        <v>411</v>
      </c>
      <c r="G154" s="191">
        <v>68</v>
      </c>
      <c r="H154" s="191"/>
      <c r="I154" s="250">
        <f>IF(COUNTBLANK(E154:H154)=4,"",SUM(E154:G154)+IF(Setup!$I$15="No",0,H154))</f>
        <v>489</v>
      </c>
      <c r="J154" s="191">
        <v>80</v>
      </c>
      <c r="K154" s="191">
        <v>274</v>
      </c>
      <c r="L154" s="191">
        <v>50</v>
      </c>
      <c r="M154" s="191"/>
      <c r="N154" s="254">
        <f>IF(COUNTBLANK(J154:M154)=4,"",SUM(J154:L154)+IF(Setup!$I$15="No",0,M154))</f>
        <v>404</v>
      </c>
      <c r="O154" s="191"/>
      <c r="P154" s="191">
        <v>4</v>
      </c>
      <c r="Q154" s="191">
        <v>6</v>
      </c>
      <c r="R154" s="191"/>
      <c r="S154" s="254">
        <f>IF(COUNTBLANK(O154:R154)=4,"",SUM(O154:Q154)+IF(Setup!$I$15="No",0,R154))</f>
        <v>10</v>
      </c>
      <c r="T154" s="191">
        <v>22</v>
      </c>
      <c r="U154" s="191">
        <v>5</v>
      </c>
      <c r="V154" s="191">
        <v>9</v>
      </c>
      <c r="W154" s="191"/>
      <c r="X154" s="254">
        <f>IF(COUNTBLANK(T154:W154)=4,"",SUM(T154:V154)+IF(Setup!$I$15="No",0,W154))</f>
        <v>36</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 Demand!S154, Demand!X154, Demand!AC154))</f>
        <v>939</v>
      </c>
      <c r="BD154" s="258">
        <f ca="1">IF(AND(A154&lt;=MaxRows,BE154&lt;&gt;"Yes"),'Demand background (hide)'!X145+IF(Setup!$I$15="Yes",'Demand background (hide)'!AJ145,0),"")</f>
        <v>14775</v>
      </c>
      <c r="BE154" s="208"/>
    </row>
    <row r="155" spans="1:57" ht="15" x14ac:dyDescent="0.25">
      <c r="A155">
        <f t="shared" ca="1" si="8"/>
        <v>143</v>
      </c>
      <c r="B155" s="263" t="str">
        <f t="shared" ca="1" si="9"/>
        <v xml:space="preserve"> </v>
      </c>
      <c r="C155" s="264">
        <f t="shared" ca="1" si="10"/>
        <v>52</v>
      </c>
      <c r="D155" s="491">
        <f t="shared" ca="1" si="11"/>
        <v>44186</v>
      </c>
      <c r="E155" s="191">
        <v>5</v>
      </c>
      <c r="F155" s="191">
        <v>369</v>
      </c>
      <c r="G155" s="191">
        <v>37</v>
      </c>
      <c r="H155" s="191"/>
      <c r="I155" s="250">
        <f>IF(COUNTBLANK(E155:H155)=4,"",SUM(E155:G155)+IF(Setup!$I$15="No",0,H155))</f>
        <v>411</v>
      </c>
      <c r="J155" s="191">
        <v>70</v>
      </c>
      <c r="K155" s="191">
        <v>250</v>
      </c>
      <c r="L155" s="191">
        <v>22</v>
      </c>
      <c r="M155" s="191"/>
      <c r="N155" s="254">
        <f>IF(COUNTBLANK(J155:M155)=4,"",SUM(J155:L155)+IF(Setup!$I$15="No",0,M155))</f>
        <v>342</v>
      </c>
      <c r="O155" s="191"/>
      <c r="P155" s="191"/>
      <c r="Q155" s="191">
        <v>6</v>
      </c>
      <c r="R155" s="191"/>
      <c r="S155" s="254">
        <f>IF(COUNTBLANK(O155:R155)=4,"",SUM(O155:Q155)+IF(Setup!$I$15="No",0,R155))</f>
        <v>6</v>
      </c>
      <c r="T155" s="191">
        <v>10</v>
      </c>
      <c r="U155" s="191">
        <v>1</v>
      </c>
      <c r="V155" s="191">
        <v>3</v>
      </c>
      <c r="W155" s="191"/>
      <c r="X155" s="254">
        <f>IF(COUNTBLANK(T155:W155)=4,"",SUM(T155:V155)+IF(Setup!$I$15="No",0,W155))</f>
        <v>14</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 Demand!S155, Demand!X155, Demand!AC155))</f>
        <v>773</v>
      </c>
      <c r="BD155" s="258">
        <f ca="1">IF(AND(A155&lt;=MaxRows,BE155&lt;&gt;"Yes"),'Demand background (hide)'!X146+IF(Setup!$I$15="Yes",'Demand background (hide)'!AJ146,0),"")</f>
        <v>11895</v>
      </c>
      <c r="BE155" s="208"/>
    </row>
    <row r="156" spans="1:57" ht="15" x14ac:dyDescent="0.25">
      <c r="A156">
        <f t="shared" ca="1" si="8"/>
        <v>144</v>
      </c>
      <c r="B156" s="263" t="str">
        <f t="shared" ca="1" si="9"/>
        <v xml:space="preserve"> </v>
      </c>
      <c r="C156" s="264">
        <f t="shared" ca="1" si="10"/>
        <v>53</v>
      </c>
      <c r="D156" s="491">
        <f t="shared" ca="1" si="11"/>
        <v>44193</v>
      </c>
      <c r="E156" s="191">
        <v>6</v>
      </c>
      <c r="F156" s="191">
        <v>369</v>
      </c>
      <c r="G156" s="191">
        <v>36</v>
      </c>
      <c r="H156" s="191"/>
      <c r="I156" s="250">
        <f>IF(COUNTBLANK(E156:H156)=4,"",SUM(E156:G156)+IF(Setup!$I$15="No",0,H156))</f>
        <v>411</v>
      </c>
      <c r="J156" s="191">
        <v>46</v>
      </c>
      <c r="K156" s="191">
        <v>235</v>
      </c>
      <c r="L156" s="191">
        <v>19</v>
      </c>
      <c r="M156" s="191"/>
      <c r="N156" s="254">
        <f>IF(COUNTBLANK(J156:M156)=4,"",SUM(J156:L156)+IF(Setup!$I$15="No",0,M156))</f>
        <v>300</v>
      </c>
      <c r="O156" s="191"/>
      <c r="P156" s="191"/>
      <c r="Q156" s="191">
        <v>6</v>
      </c>
      <c r="R156" s="191"/>
      <c r="S156" s="254">
        <f>IF(COUNTBLANK(O156:R156)=4,"",SUM(O156:Q156)+IF(Setup!$I$15="No",0,R156))</f>
        <v>6</v>
      </c>
      <c r="T156" s="191">
        <v>12</v>
      </c>
      <c r="U156" s="191">
        <v>4</v>
      </c>
      <c r="V156" s="191">
        <v>1</v>
      </c>
      <c r="W156" s="191"/>
      <c r="X156" s="254">
        <f>IF(COUNTBLANK(T156:W156)=4,"",SUM(T156:V156)+IF(Setup!$I$15="No",0,W156))</f>
        <v>17</v>
      </c>
      <c r="Y156" s="191">
        <v>1</v>
      </c>
      <c r="Z156" s="191"/>
      <c r="AA156" s="191"/>
      <c r="AB156" s="191"/>
      <c r="AC156" s="254">
        <f>IF(COUNTBLANK(Y156:AB156)=4,"",SUM(Y156:AA156)+IF(Setup!$I$15="No",0,AB156))</f>
        <v>1</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 Demand!S156, Demand!X156, Demand!AC156))</f>
        <v>735</v>
      </c>
      <c r="BD156" s="258">
        <f ca="1">IF(AND(A156&lt;=MaxRows,BE156&lt;&gt;"Yes"),'Demand background (hide)'!X147+IF(Setup!$I$15="Yes",'Demand background (hide)'!AJ147,0),"")</f>
        <v>11356</v>
      </c>
      <c r="BE156" s="208"/>
    </row>
    <row r="157" spans="1:57" ht="15" x14ac:dyDescent="0.25">
      <c r="A157">
        <f t="shared" ca="1" si="8"/>
        <v>145</v>
      </c>
      <c r="B157" s="263">
        <f t="shared" ca="1" si="9"/>
        <v>2021</v>
      </c>
      <c r="C157" s="264">
        <f t="shared" ca="1" si="10"/>
        <v>1</v>
      </c>
      <c r="D157" s="491">
        <f t="shared" ca="1" si="11"/>
        <v>44200</v>
      </c>
      <c r="E157" s="191">
        <v>7</v>
      </c>
      <c r="F157" s="191">
        <v>441</v>
      </c>
      <c r="G157" s="191">
        <v>63</v>
      </c>
      <c r="H157" s="191"/>
      <c r="I157" s="250">
        <f>IF(COUNTBLANK(E157:H157)=4,"",SUM(E157:G157)+IF(Setup!$I$15="No",0,H157))</f>
        <v>511</v>
      </c>
      <c r="J157" s="191">
        <v>59</v>
      </c>
      <c r="K157" s="191">
        <v>286</v>
      </c>
      <c r="L157" s="191">
        <v>36</v>
      </c>
      <c r="M157" s="191"/>
      <c r="N157" s="254">
        <f>IF(COUNTBLANK(J157:M157)=4,"",SUM(J157:L157)+IF(Setup!$I$15="No",0,M157))</f>
        <v>381</v>
      </c>
      <c r="O157" s="191"/>
      <c r="P157" s="191"/>
      <c r="Q157" s="191">
        <v>8</v>
      </c>
      <c r="R157" s="191"/>
      <c r="S157" s="254">
        <f>IF(COUNTBLANK(O157:R157)=4,"",SUM(O157:Q157)+IF(Setup!$I$15="No",0,R157))</f>
        <v>8</v>
      </c>
      <c r="T157" s="191">
        <v>30</v>
      </c>
      <c r="U157" s="191">
        <v>6</v>
      </c>
      <c r="V157" s="191">
        <v>3</v>
      </c>
      <c r="W157" s="191"/>
      <c r="X157" s="254">
        <f>IF(COUNTBLANK(T157:W157)=4,"",SUM(T157:V157)+IF(Setup!$I$15="No",0,W157))</f>
        <v>39</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 Demand!S157, Demand!X157, Demand!AC157))</f>
        <v>939</v>
      </c>
      <c r="BD157" s="258">
        <f ca="1">IF(AND(A157&lt;=MaxRows,BE157&lt;&gt;"Yes"),'Demand background (hide)'!X148+IF(Setup!$I$15="Yes",'Demand background (hide)'!AJ148,0),"")</f>
        <v>14790</v>
      </c>
      <c r="BE157" s="208"/>
    </row>
    <row r="158" spans="1:57" ht="15" x14ac:dyDescent="0.25">
      <c r="A158">
        <f t="shared" ca="1" si="8"/>
        <v>146</v>
      </c>
      <c r="B158" s="263" t="str">
        <f t="shared" ca="1" si="9"/>
        <v xml:space="preserve"> </v>
      </c>
      <c r="C158" s="264">
        <f t="shared" ca="1" si="10"/>
        <v>2</v>
      </c>
      <c r="D158" s="491">
        <f t="shared" ca="1" si="11"/>
        <v>44207</v>
      </c>
      <c r="E158" s="191">
        <v>12</v>
      </c>
      <c r="F158" s="191">
        <v>364</v>
      </c>
      <c r="G158" s="191">
        <v>82</v>
      </c>
      <c r="H158" s="191"/>
      <c r="I158" s="250">
        <f>IF(COUNTBLANK(E158:H158)=4,"",SUM(E158:G158)+IF(Setup!$I$15="No",0,H158))</f>
        <v>458</v>
      </c>
      <c r="J158" s="191">
        <v>81</v>
      </c>
      <c r="K158" s="191">
        <v>260</v>
      </c>
      <c r="L158" s="191">
        <v>41</v>
      </c>
      <c r="M158" s="191"/>
      <c r="N158" s="254">
        <f>IF(COUNTBLANK(J158:M158)=4,"",SUM(J158:L158)+IF(Setup!$I$15="No",0,M158))</f>
        <v>382</v>
      </c>
      <c r="O158" s="191"/>
      <c r="P158" s="191"/>
      <c r="Q158" s="191">
        <v>4</v>
      </c>
      <c r="R158" s="191"/>
      <c r="S158" s="254">
        <f>IF(COUNTBLANK(O158:R158)=4,"",SUM(O158:Q158)+IF(Setup!$I$15="No",0,R158))</f>
        <v>4</v>
      </c>
      <c r="T158" s="191">
        <v>18</v>
      </c>
      <c r="U158" s="191">
        <v>3</v>
      </c>
      <c r="V158" s="191">
        <v>4</v>
      </c>
      <c r="W158" s="191"/>
      <c r="X158" s="254">
        <f>IF(COUNTBLANK(T158:W158)=4,"",SUM(T158:V158)+IF(Setup!$I$15="No",0,W158))</f>
        <v>25</v>
      </c>
      <c r="Y158" s="191"/>
      <c r="Z158" s="191">
        <v>1</v>
      </c>
      <c r="AA158" s="191"/>
      <c r="AB158" s="191"/>
      <c r="AC158" s="254">
        <f>IF(COUNTBLANK(Y158:AB158)=4,"",SUM(Y158:AA158)+IF(Setup!$I$15="No",0,AB158))</f>
        <v>1</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 Demand!S158, Demand!X158, Demand!AC158))</f>
        <v>870</v>
      </c>
      <c r="BD158" s="258">
        <f ca="1">IF(AND(A158&lt;=MaxRows,BE158&lt;&gt;"Yes"),'Demand background (hide)'!X149+IF(Setup!$I$15="Yes",'Demand background (hide)'!AJ149,0),"")</f>
        <v>13471</v>
      </c>
      <c r="BE158" s="208"/>
    </row>
    <row r="159" spans="1:57" ht="15" x14ac:dyDescent="0.25">
      <c r="A159">
        <f t="shared" ca="1" si="8"/>
        <v>147</v>
      </c>
      <c r="B159" s="263" t="str">
        <f t="shared" ca="1" si="9"/>
        <v xml:space="preserve"> </v>
      </c>
      <c r="C159" s="264">
        <f t="shared" ca="1" si="10"/>
        <v>3</v>
      </c>
      <c r="D159" s="491">
        <f t="shared" ca="1" si="11"/>
        <v>44214</v>
      </c>
      <c r="E159" s="191">
        <v>11</v>
      </c>
      <c r="F159" s="191">
        <v>414</v>
      </c>
      <c r="G159" s="191">
        <v>74</v>
      </c>
      <c r="H159" s="191"/>
      <c r="I159" s="250">
        <f>IF(COUNTBLANK(E159:H159)=4,"",SUM(E159:G159)+IF(Setup!$I$15="No",0,H159))</f>
        <v>499</v>
      </c>
      <c r="J159" s="191">
        <v>72</v>
      </c>
      <c r="K159" s="191">
        <v>310</v>
      </c>
      <c r="L159" s="191">
        <v>44</v>
      </c>
      <c r="M159" s="191"/>
      <c r="N159" s="254">
        <f>IF(COUNTBLANK(J159:M159)=4,"",SUM(J159:L159)+IF(Setup!$I$15="No",0,M159))</f>
        <v>426</v>
      </c>
      <c r="O159" s="191"/>
      <c r="P159" s="191"/>
      <c r="Q159" s="191">
        <v>10</v>
      </c>
      <c r="R159" s="191"/>
      <c r="S159" s="254">
        <f>IF(COUNTBLANK(O159:R159)=4,"",SUM(O159:Q159)+IF(Setup!$I$15="No",0,R159))</f>
        <v>10</v>
      </c>
      <c r="T159" s="191">
        <v>20</v>
      </c>
      <c r="U159" s="191">
        <v>5</v>
      </c>
      <c r="V159" s="191">
        <v>5</v>
      </c>
      <c r="W159" s="191"/>
      <c r="X159" s="254">
        <f>IF(COUNTBLANK(T159:W159)=4,"",SUM(T159:V159)+IF(Setup!$I$15="No",0,W159))</f>
        <v>30</v>
      </c>
      <c r="Y159" s="191"/>
      <c r="Z159" s="191">
        <v>1</v>
      </c>
      <c r="AA159" s="191"/>
      <c r="AB159" s="191"/>
      <c r="AC159" s="254">
        <f>IF(COUNTBLANK(Y159:AB159)=4,"",SUM(Y159:AA159)+IF(Setup!$I$15="No",0,AB159))</f>
        <v>1</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 Demand!S159, Demand!X159, Demand!AC159))</f>
        <v>966</v>
      </c>
      <c r="BD159" s="258">
        <f ca="1">IF(AND(A159&lt;=MaxRows,BE159&lt;&gt;"Yes"),'Demand background (hide)'!X150+IF(Setup!$I$15="Yes",'Demand background (hide)'!AJ150,0),"")</f>
        <v>15076</v>
      </c>
      <c r="BE159" s="208"/>
    </row>
    <row r="160" spans="1:57" ht="15" x14ac:dyDescent="0.25">
      <c r="A160">
        <f t="shared" ca="1" si="8"/>
        <v>148</v>
      </c>
      <c r="B160" s="263" t="str">
        <f t="shared" ca="1" si="9"/>
        <v xml:space="preserve"> </v>
      </c>
      <c r="C160" s="264">
        <f t="shared" ca="1" si="10"/>
        <v>4</v>
      </c>
      <c r="D160" s="491">
        <f t="shared" ca="1" si="11"/>
        <v>44221</v>
      </c>
      <c r="E160" s="191">
        <v>9</v>
      </c>
      <c r="F160" s="191">
        <v>369</v>
      </c>
      <c r="G160" s="191">
        <v>75</v>
      </c>
      <c r="H160" s="191"/>
      <c r="I160" s="250">
        <f>IF(COUNTBLANK(E160:H160)=4,"",SUM(E160:G160)+IF(Setup!$I$15="No",0,H160))</f>
        <v>453</v>
      </c>
      <c r="J160" s="191">
        <v>81</v>
      </c>
      <c r="K160" s="191">
        <v>272</v>
      </c>
      <c r="L160" s="191">
        <v>34</v>
      </c>
      <c r="M160" s="191"/>
      <c r="N160" s="254">
        <f>IF(COUNTBLANK(J160:M160)=4,"",SUM(J160:L160)+IF(Setup!$I$15="No",0,M160))</f>
        <v>387</v>
      </c>
      <c r="O160" s="191"/>
      <c r="P160" s="191">
        <v>2</v>
      </c>
      <c r="Q160" s="191">
        <v>6</v>
      </c>
      <c r="R160" s="191"/>
      <c r="S160" s="254">
        <f>IF(COUNTBLANK(O160:R160)=4,"",SUM(O160:Q160)+IF(Setup!$I$15="No",0,R160))</f>
        <v>8</v>
      </c>
      <c r="T160" s="191">
        <v>19</v>
      </c>
      <c r="U160" s="191">
        <v>9</v>
      </c>
      <c r="V160" s="191">
        <v>3</v>
      </c>
      <c r="W160" s="191"/>
      <c r="X160" s="254">
        <f>IF(COUNTBLANK(T160:W160)=4,"",SUM(T160:V160)+IF(Setup!$I$15="No",0,W160))</f>
        <v>31</v>
      </c>
      <c r="Y160" s="191">
        <v>2</v>
      </c>
      <c r="Z160" s="191"/>
      <c r="AA160" s="191"/>
      <c r="AB160" s="191"/>
      <c r="AC160" s="254">
        <f>IF(COUNTBLANK(Y160:AB160)=4,"",SUM(Y160:AA160)+IF(Setup!$I$15="No",0,AB160))</f>
        <v>2</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 Demand!S160, Demand!X160, Demand!AC160))</f>
        <v>881</v>
      </c>
      <c r="BD160" s="258">
        <f ca="1">IF(AND(A160&lt;=MaxRows,BE160&lt;&gt;"Yes"),'Demand background (hide)'!X151+IF(Setup!$I$15="Yes",'Demand background (hide)'!AJ151,0),"")</f>
        <v>13772</v>
      </c>
      <c r="BE160" s="208"/>
    </row>
    <row r="161" spans="1:57" ht="15" x14ac:dyDescent="0.25">
      <c r="A161">
        <f t="shared" ca="1" si="8"/>
        <v>149</v>
      </c>
      <c r="B161" s="263" t="str">
        <f t="shared" ca="1" si="9"/>
        <v xml:space="preserve"> </v>
      </c>
      <c r="C161" s="264">
        <f t="shared" ca="1" si="10"/>
        <v>5</v>
      </c>
      <c r="D161" s="491">
        <f t="shared" ca="1" si="11"/>
        <v>44228</v>
      </c>
      <c r="E161" s="191">
        <v>6</v>
      </c>
      <c r="F161" s="191">
        <v>368</v>
      </c>
      <c r="G161" s="191">
        <v>68</v>
      </c>
      <c r="H161" s="191"/>
      <c r="I161" s="250">
        <f>IF(COUNTBLANK(E161:H161)=4,"",SUM(E161:G161)+IF(Setup!$I$15="No",0,H161))</f>
        <v>442</v>
      </c>
      <c r="J161" s="191">
        <v>75</v>
      </c>
      <c r="K161" s="191">
        <v>294</v>
      </c>
      <c r="L161" s="191">
        <v>40</v>
      </c>
      <c r="M161" s="191"/>
      <c r="N161" s="254">
        <f>IF(COUNTBLANK(J161:M161)=4,"",SUM(J161:L161)+IF(Setup!$I$15="No",0,M161))</f>
        <v>409</v>
      </c>
      <c r="O161" s="191">
        <v>2</v>
      </c>
      <c r="P161" s="191">
        <v>2</v>
      </c>
      <c r="Q161" s="191">
        <v>9</v>
      </c>
      <c r="R161" s="191"/>
      <c r="S161" s="254">
        <f>IF(COUNTBLANK(O161:R161)=4,"",SUM(O161:Q161)+IF(Setup!$I$15="No",0,R161))</f>
        <v>13</v>
      </c>
      <c r="T161" s="191">
        <v>18</v>
      </c>
      <c r="U161" s="191">
        <v>4</v>
      </c>
      <c r="V161" s="191">
        <v>1</v>
      </c>
      <c r="W161" s="191"/>
      <c r="X161" s="254">
        <f>IF(COUNTBLANK(T161:W161)=4,"",SUM(T161:V161)+IF(Setup!$I$15="No",0,W161))</f>
        <v>23</v>
      </c>
      <c r="Y161" s="191"/>
      <c r="Z161" s="191">
        <v>1</v>
      </c>
      <c r="AA161" s="191"/>
      <c r="AB161" s="191"/>
      <c r="AC161" s="254">
        <f>IF(COUNTBLANK(Y161:AB161)=4,"",SUM(Y161:AA161)+IF(Setup!$I$15="No",0,AB161))</f>
        <v>1</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 Demand!S161, Demand!X161, Demand!AC161))</f>
        <v>888</v>
      </c>
      <c r="BD161" s="258">
        <f ca="1">IF(AND(A161&lt;=MaxRows,BE161&lt;&gt;"Yes"),'Demand background (hide)'!X152+IF(Setup!$I$15="Yes",'Demand background (hide)'!AJ152,0),"")</f>
        <v>13846</v>
      </c>
      <c r="BE161" s="208"/>
    </row>
    <row r="162" spans="1:57" ht="15" x14ac:dyDescent="0.25">
      <c r="A162">
        <f t="shared" ca="1" si="8"/>
        <v>150</v>
      </c>
      <c r="B162" s="263" t="str">
        <f t="shared" ca="1" si="9"/>
        <v xml:space="preserve"> </v>
      </c>
      <c r="C162" s="264">
        <f t="shared" ca="1" si="10"/>
        <v>6</v>
      </c>
      <c r="D162" s="491">
        <f t="shared" ca="1" si="11"/>
        <v>44235</v>
      </c>
      <c r="E162" s="191">
        <v>10</v>
      </c>
      <c r="F162" s="191">
        <v>380</v>
      </c>
      <c r="G162" s="191">
        <v>58</v>
      </c>
      <c r="H162" s="191"/>
      <c r="I162" s="250">
        <f>IF(COUNTBLANK(E162:H162)=4,"",SUM(E162:G162)+IF(Setup!$I$15="No",0,H162))</f>
        <v>448</v>
      </c>
      <c r="J162" s="191">
        <v>72</v>
      </c>
      <c r="K162" s="191">
        <v>274</v>
      </c>
      <c r="L162" s="191">
        <v>26</v>
      </c>
      <c r="M162" s="191"/>
      <c r="N162" s="254">
        <f>IF(COUNTBLANK(J162:M162)=4,"",SUM(J162:L162)+IF(Setup!$I$15="No",0,M162))</f>
        <v>372</v>
      </c>
      <c r="O162" s="191"/>
      <c r="P162" s="191">
        <v>4</v>
      </c>
      <c r="Q162" s="191">
        <v>11</v>
      </c>
      <c r="R162" s="191"/>
      <c r="S162" s="254">
        <f>IF(COUNTBLANK(O162:R162)=4,"",SUM(O162:Q162)+IF(Setup!$I$15="No",0,R162))</f>
        <v>15</v>
      </c>
      <c r="T162" s="191">
        <v>20</v>
      </c>
      <c r="U162" s="191">
        <v>1</v>
      </c>
      <c r="V162" s="191">
        <v>5</v>
      </c>
      <c r="W162" s="191"/>
      <c r="X162" s="254">
        <f>IF(COUNTBLANK(T162:W162)=4,"",SUM(T162:V162)+IF(Setup!$I$15="No",0,W162))</f>
        <v>26</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 Demand!S162, Demand!X162, Demand!AC162))</f>
        <v>861</v>
      </c>
      <c r="BD162" s="258">
        <f ca="1">IF(AND(A162&lt;=MaxRows,BE162&lt;&gt;"Yes"),'Demand background (hide)'!X153+IF(Setup!$I$15="Yes",'Demand background (hide)'!AJ153,0),"")</f>
        <v>13530</v>
      </c>
      <c r="BE162" s="208"/>
    </row>
    <row r="163" spans="1:57" ht="15" x14ac:dyDescent="0.25">
      <c r="A163">
        <f t="shared" ca="1" si="8"/>
        <v>151</v>
      </c>
      <c r="B163" s="263" t="str">
        <f t="shared" ca="1" si="9"/>
        <v xml:space="preserve"> </v>
      </c>
      <c r="C163" s="264">
        <f t="shared" ca="1" si="10"/>
        <v>7</v>
      </c>
      <c r="D163" s="491">
        <f t="shared" ca="1" si="11"/>
        <v>44242</v>
      </c>
      <c r="E163" s="191">
        <v>14</v>
      </c>
      <c r="F163" s="191">
        <v>360</v>
      </c>
      <c r="G163" s="191">
        <v>54</v>
      </c>
      <c r="H163" s="191"/>
      <c r="I163" s="250">
        <f>IF(COUNTBLANK(E163:H163)=4,"",SUM(E163:G163)+IF(Setup!$I$15="No",0,H163))</f>
        <v>428</v>
      </c>
      <c r="J163" s="191">
        <v>81</v>
      </c>
      <c r="K163" s="191">
        <v>292</v>
      </c>
      <c r="L163" s="191">
        <v>20</v>
      </c>
      <c r="M163" s="191"/>
      <c r="N163" s="254">
        <f>IF(COUNTBLANK(J163:M163)=4,"",SUM(J163:L163)+IF(Setup!$I$15="No",0,M163))</f>
        <v>393</v>
      </c>
      <c r="O163" s="191"/>
      <c r="P163" s="191">
        <v>4</v>
      </c>
      <c r="Q163" s="191">
        <v>14</v>
      </c>
      <c r="R163" s="191"/>
      <c r="S163" s="254">
        <f>IF(COUNTBLANK(O163:R163)=4,"",SUM(O163:Q163)+IF(Setup!$I$15="No",0,R163))</f>
        <v>18</v>
      </c>
      <c r="T163" s="191">
        <v>18</v>
      </c>
      <c r="U163" s="191">
        <v>6</v>
      </c>
      <c r="V163" s="191">
        <v>4</v>
      </c>
      <c r="W163" s="191"/>
      <c r="X163" s="254">
        <f>IF(COUNTBLANK(T163:W163)=4,"",SUM(T163:V163)+IF(Setup!$I$15="No",0,W163))</f>
        <v>28</v>
      </c>
      <c r="Y163" s="191"/>
      <c r="Z163" s="191">
        <v>2</v>
      </c>
      <c r="AA163" s="191">
        <v>1</v>
      </c>
      <c r="AB163" s="191"/>
      <c r="AC163" s="254">
        <f>IF(COUNTBLANK(Y163:AB163)=4,"",SUM(Y163:AA163)+IF(Setup!$I$15="No",0,AB163))</f>
        <v>3</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 Demand!S163, Demand!X163, Demand!AC163))</f>
        <v>870</v>
      </c>
      <c r="BD163" s="258">
        <f ca="1">IF(AND(A163&lt;=MaxRows,BE163&lt;&gt;"Yes"),'Demand background (hide)'!X154+IF(Setup!$I$15="Yes",'Demand background (hide)'!AJ154,0),"")</f>
        <v>13698</v>
      </c>
      <c r="BE163" s="208"/>
    </row>
    <row r="164" spans="1:57" ht="15" x14ac:dyDescent="0.25">
      <c r="A164">
        <f t="shared" ca="1" si="8"/>
        <v>152</v>
      </c>
      <c r="B164" s="263" t="str">
        <f t="shared" ca="1" si="9"/>
        <v xml:space="preserve"> </v>
      </c>
      <c r="C164" s="264">
        <f t="shared" ca="1" si="10"/>
        <v>8</v>
      </c>
      <c r="D164" s="491">
        <f t="shared" ca="1" si="11"/>
        <v>44249</v>
      </c>
      <c r="E164" s="191">
        <v>7</v>
      </c>
      <c r="F164" s="191">
        <v>374</v>
      </c>
      <c r="G164" s="191">
        <v>73</v>
      </c>
      <c r="H164" s="191"/>
      <c r="I164" s="250">
        <f>IF(COUNTBLANK(E164:H164)=4,"",SUM(E164:G164)+IF(Setup!$I$15="No",0,H164))</f>
        <v>454</v>
      </c>
      <c r="J164" s="191">
        <v>81</v>
      </c>
      <c r="K164" s="191">
        <v>308</v>
      </c>
      <c r="L164" s="191">
        <v>44</v>
      </c>
      <c r="M164" s="191"/>
      <c r="N164" s="254">
        <f>IF(COUNTBLANK(J164:M164)=4,"",SUM(J164:L164)+IF(Setup!$I$15="No",0,M164))</f>
        <v>433</v>
      </c>
      <c r="O164" s="191"/>
      <c r="P164" s="191"/>
      <c r="Q164" s="191">
        <v>5</v>
      </c>
      <c r="R164" s="191"/>
      <c r="S164" s="254">
        <f>IF(COUNTBLANK(O164:R164)=4,"",SUM(O164:Q164)+IF(Setup!$I$15="No",0,R164))</f>
        <v>5</v>
      </c>
      <c r="T164" s="191">
        <v>14</v>
      </c>
      <c r="U164" s="191">
        <v>6</v>
      </c>
      <c r="V164" s="191">
        <v>3</v>
      </c>
      <c r="W164" s="191"/>
      <c r="X164" s="254">
        <f>IF(COUNTBLANK(T164:W164)=4,"",SUM(T164:V164)+IF(Setup!$I$15="No",0,W164))</f>
        <v>23</v>
      </c>
      <c r="Y164" s="191">
        <v>1</v>
      </c>
      <c r="Z164" s="191"/>
      <c r="AA164" s="191"/>
      <c r="AB164" s="191"/>
      <c r="AC164" s="254">
        <f>IF(COUNTBLANK(Y164:AB164)=4,"",SUM(Y164:AA164)+IF(Setup!$I$15="No",0,AB164))</f>
        <v>1</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f ca="1">IF('Demand background (hide)'!A155=Num_Modalities,"",SUM(Demand!I164, Demand!N164, Demand!S164, Demand!X164, Demand!AC164))</f>
        <v>916</v>
      </c>
      <c r="BD164" s="258">
        <f ca="1">IF(AND(A164&lt;=MaxRows,BE164&lt;&gt;"Yes"),'Demand background (hide)'!X155+IF(Setup!$I$15="Yes",'Demand background (hide)'!AJ155,0),"")</f>
        <v>14146</v>
      </c>
      <c r="BE164" s="208"/>
    </row>
    <row r="165" spans="1:57" ht="15" x14ac:dyDescent="0.25">
      <c r="A165">
        <f t="shared" ca="1" si="8"/>
        <v>153</v>
      </c>
      <c r="B165" s="263" t="str">
        <f t="shared" ca="1" si="9"/>
        <v xml:space="preserve"> </v>
      </c>
      <c r="C165" s="264">
        <f t="shared" ca="1" si="10"/>
        <v>9</v>
      </c>
      <c r="D165" s="491">
        <f t="shared" ca="1" si="11"/>
        <v>44256</v>
      </c>
      <c r="E165" s="191">
        <v>4</v>
      </c>
      <c r="F165" s="191">
        <v>366</v>
      </c>
      <c r="G165" s="191">
        <v>57</v>
      </c>
      <c r="H165" s="191"/>
      <c r="I165" s="250">
        <f>IF(COUNTBLANK(E165:H165)=4,"",SUM(E165:G165)+IF(Setup!$I$15="No",0,H165))</f>
        <v>427</v>
      </c>
      <c r="J165" s="191">
        <v>87</v>
      </c>
      <c r="K165" s="191">
        <v>334</v>
      </c>
      <c r="L165" s="191">
        <v>48</v>
      </c>
      <c r="M165" s="191"/>
      <c r="N165" s="254">
        <f>IF(COUNTBLANK(J165:M165)=4,"",SUM(J165:L165)+IF(Setup!$I$15="No",0,M165))</f>
        <v>469</v>
      </c>
      <c r="O165" s="191"/>
      <c r="P165" s="191">
        <v>2</v>
      </c>
      <c r="Q165" s="191">
        <v>13</v>
      </c>
      <c r="R165" s="191"/>
      <c r="S165" s="254">
        <f>IF(COUNTBLANK(O165:R165)=4,"",SUM(O165:Q165)+IF(Setup!$I$15="No",0,R165))</f>
        <v>15</v>
      </c>
      <c r="T165" s="191">
        <v>19</v>
      </c>
      <c r="U165" s="191">
        <v>5</v>
      </c>
      <c r="V165" s="191">
        <v>4</v>
      </c>
      <c r="W165" s="191"/>
      <c r="X165" s="254">
        <f>IF(COUNTBLANK(T165:W165)=4,"",SUM(T165:V165)+IF(Setup!$I$15="No",0,W165))</f>
        <v>28</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f ca="1">IF('Demand background (hide)'!A156=Num_Modalities,"",SUM(Demand!I165, Demand!N165, Demand!S165, Demand!X165, Demand!AC165))</f>
        <v>939</v>
      </c>
      <c r="BD165" s="258">
        <f ca="1">IF(AND(A165&lt;=MaxRows,BE165&lt;&gt;"Yes"),'Demand background (hide)'!X156+IF(Setup!$I$15="Yes",'Demand background (hide)'!AJ156,0),"")</f>
        <v>14730</v>
      </c>
      <c r="BE165" s="208"/>
    </row>
    <row r="166" spans="1:57" ht="15" x14ac:dyDescent="0.25">
      <c r="A166">
        <f t="shared" ca="1" si="8"/>
        <v>154</v>
      </c>
      <c r="B166" s="263" t="str">
        <f t="shared" ca="1" si="9"/>
        <v xml:space="preserve"> </v>
      </c>
      <c r="C166" s="264">
        <f t="shared" ca="1" si="10"/>
        <v>10</v>
      </c>
      <c r="D166" s="491">
        <f t="shared" ca="1" si="11"/>
        <v>44263</v>
      </c>
      <c r="E166" s="191">
        <v>9</v>
      </c>
      <c r="F166" s="191">
        <v>408</v>
      </c>
      <c r="G166" s="191">
        <v>87</v>
      </c>
      <c r="H166" s="191"/>
      <c r="I166" s="250">
        <f>IF(COUNTBLANK(E166:H166)=4,"",SUM(E166:G166)+IF(Setup!$I$15="No",0,H166))</f>
        <v>504</v>
      </c>
      <c r="J166" s="191">
        <v>79</v>
      </c>
      <c r="K166" s="191">
        <v>295</v>
      </c>
      <c r="L166" s="191">
        <v>48</v>
      </c>
      <c r="M166" s="191"/>
      <c r="N166" s="254">
        <f>IF(COUNTBLANK(J166:M166)=4,"",SUM(J166:L166)+IF(Setup!$I$15="No",0,M166))</f>
        <v>422</v>
      </c>
      <c r="O166" s="191"/>
      <c r="P166" s="191"/>
      <c r="Q166" s="191">
        <v>10</v>
      </c>
      <c r="R166" s="191"/>
      <c r="S166" s="254">
        <f>IF(COUNTBLANK(O166:R166)=4,"",SUM(O166:Q166)+IF(Setup!$I$15="No",0,R166))</f>
        <v>10</v>
      </c>
      <c r="T166" s="191">
        <v>16</v>
      </c>
      <c r="U166" s="191">
        <v>5</v>
      </c>
      <c r="V166" s="191">
        <v>6</v>
      </c>
      <c r="W166" s="191"/>
      <c r="X166" s="254">
        <f>IF(COUNTBLANK(T166:W166)=4,"",SUM(T166:V166)+IF(Setup!$I$15="No",0,W166))</f>
        <v>27</v>
      </c>
      <c r="Y166" s="191">
        <v>1</v>
      </c>
      <c r="Z166" s="191">
        <v>1</v>
      </c>
      <c r="AA166" s="191"/>
      <c r="AB166" s="191"/>
      <c r="AC166" s="254">
        <f>IF(COUNTBLANK(Y166:AB166)=4,"",SUM(Y166:AA166)+IF(Setup!$I$15="No",0,AB166))</f>
        <v>2</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f ca="1">IF('Demand background (hide)'!A157=Num_Modalities,"",SUM(Demand!I166, Demand!N166, Demand!S166, Demand!X166, Demand!AC166))</f>
        <v>965</v>
      </c>
      <c r="BD166" s="258">
        <f ca="1">IF(AND(A166&lt;=MaxRows,BE166&lt;&gt;"Yes"),'Demand background (hide)'!X157+IF(Setup!$I$15="Yes",'Demand background (hide)'!AJ157,0),"")</f>
        <v>15002</v>
      </c>
      <c r="BE166" s="208"/>
    </row>
    <row r="167" spans="1:57" ht="15" x14ac:dyDescent="0.25">
      <c r="A167">
        <f t="shared" ca="1" si="8"/>
        <v>155</v>
      </c>
      <c r="B167" s="263" t="str">
        <f t="shared" ca="1" si="9"/>
        <v xml:space="preserve"> </v>
      </c>
      <c r="C167" s="264">
        <f t="shared" ca="1" si="10"/>
        <v>11</v>
      </c>
      <c r="D167" s="491">
        <f t="shared" ca="1" si="11"/>
        <v>44270</v>
      </c>
      <c r="E167" s="191">
        <v>10</v>
      </c>
      <c r="F167" s="191">
        <v>451</v>
      </c>
      <c r="G167" s="191">
        <v>63</v>
      </c>
      <c r="H167" s="191"/>
      <c r="I167" s="250">
        <f>IF(COUNTBLANK(E167:H167)=4,"",SUM(E167:G167)+IF(Setup!$I$15="No",0,H167))</f>
        <v>524</v>
      </c>
      <c r="J167" s="191">
        <v>84</v>
      </c>
      <c r="K167" s="191">
        <v>327</v>
      </c>
      <c r="L167" s="191">
        <v>39</v>
      </c>
      <c r="M167" s="191"/>
      <c r="N167" s="254">
        <f>IF(COUNTBLANK(J167:M167)=4,"",SUM(J167:L167)+IF(Setup!$I$15="No",0,M167))</f>
        <v>450</v>
      </c>
      <c r="O167" s="191"/>
      <c r="P167" s="191"/>
      <c r="Q167" s="191">
        <v>6</v>
      </c>
      <c r="R167" s="191"/>
      <c r="S167" s="254">
        <f>IF(COUNTBLANK(O167:R167)=4,"",SUM(O167:Q167)+IF(Setup!$I$15="No",0,R167))</f>
        <v>6</v>
      </c>
      <c r="T167" s="191">
        <v>16</v>
      </c>
      <c r="U167" s="191">
        <v>5</v>
      </c>
      <c r="V167" s="191">
        <v>3</v>
      </c>
      <c r="W167" s="191"/>
      <c r="X167" s="254">
        <f>IF(COUNTBLANK(T167:W167)=4,"",SUM(T167:V167)+IF(Setup!$I$15="No",0,W167))</f>
        <v>24</v>
      </c>
      <c r="Y167" s="191">
        <v>2</v>
      </c>
      <c r="Z167" s="191"/>
      <c r="AA167" s="191">
        <v>1</v>
      </c>
      <c r="AB167" s="191"/>
      <c r="AC167" s="254">
        <f>IF(COUNTBLANK(Y167:AB167)=4,"",SUM(Y167:AA167)+IF(Setup!$I$15="No",0,AB167))</f>
        <v>3</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f ca="1">IF('Demand background (hide)'!A158=Num_Modalities,"",SUM(Demand!I167, Demand!N167, Demand!S167, Demand!X167, Demand!AC167))</f>
        <v>1007</v>
      </c>
      <c r="BD167" s="258">
        <f ca="1">IF(AND(A167&lt;=MaxRows,BE167&lt;&gt;"Yes"),'Demand background (hide)'!X158+IF(Setup!$I$15="Yes",'Demand background (hide)'!AJ158,0),"")</f>
        <v>15513</v>
      </c>
      <c r="BE167" s="208"/>
    </row>
    <row r="168" spans="1:57" ht="15" x14ac:dyDescent="0.25">
      <c r="A168">
        <f t="shared" ca="1" si="8"/>
        <v>156</v>
      </c>
      <c r="B168" s="263" t="str">
        <f t="shared" ca="1" si="9"/>
        <v xml:space="preserve"> </v>
      </c>
      <c r="C168" s="264">
        <f t="shared" ca="1" si="10"/>
        <v>12</v>
      </c>
      <c r="D168" s="491">
        <f t="shared" ca="1" si="11"/>
        <v>44277</v>
      </c>
      <c r="E168" s="191">
        <v>11</v>
      </c>
      <c r="F168" s="191">
        <v>420</v>
      </c>
      <c r="G168" s="191">
        <v>74</v>
      </c>
      <c r="H168" s="191"/>
      <c r="I168" s="250">
        <f>IF(COUNTBLANK(E168:H168)=4,"",SUM(E168:G168)+IF(Setup!$I$15="No",0,H168))</f>
        <v>505</v>
      </c>
      <c r="J168" s="191">
        <v>76</v>
      </c>
      <c r="K168" s="191">
        <v>340</v>
      </c>
      <c r="L168" s="191">
        <v>37</v>
      </c>
      <c r="M168" s="191"/>
      <c r="N168" s="254">
        <f>IF(COUNTBLANK(J168:M168)=4,"",SUM(J168:L168)+IF(Setup!$I$15="No",0,M168))</f>
        <v>453</v>
      </c>
      <c r="O168" s="191"/>
      <c r="P168" s="191">
        <v>8</v>
      </c>
      <c r="Q168" s="191">
        <v>3</v>
      </c>
      <c r="R168" s="191"/>
      <c r="S168" s="254">
        <f>IF(COUNTBLANK(O168:R168)=4,"",SUM(O168:Q168)+IF(Setup!$I$15="No",0,R168))</f>
        <v>11</v>
      </c>
      <c r="T168" s="191">
        <v>19</v>
      </c>
      <c r="U168" s="191">
        <v>10</v>
      </c>
      <c r="V168" s="191">
        <v>2</v>
      </c>
      <c r="W168" s="191"/>
      <c r="X168" s="254">
        <f>IF(COUNTBLANK(T168:W168)=4,"",SUM(T168:V168)+IF(Setup!$I$15="No",0,W168))</f>
        <v>31</v>
      </c>
      <c r="Y168" s="191">
        <v>1</v>
      </c>
      <c r="Z168" s="191"/>
      <c r="AA168" s="191"/>
      <c r="AB168" s="191"/>
      <c r="AC168" s="254">
        <f>IF(COUNTBLANK(Y168:AB168)=4,"",SUM(Y168:AA168)+IF(Setup!$I$15="No",0,AB168))</f>
        <v>1</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f ca="1">IF('Demand background (hide)'!A159=Num_Modalities,"",SUM(Demand!I168, Demand!N168, Demand!S168, Demand!X168, Demand!AC168))</f>
        <v>1001</v>
      </c>
      <c r="BD168" s="258">
        <f ca="1">IF(AND(A168&lt;=MaxRows,BE168&lt;&gt;"Yes"),'Demand background (hide)'!X159+IF(Setup!$I$15="Yes",'Demand background (hide)'!AJ159,0),"")</f>
        <v>15631</v>
      </c>
      <c r="BE168" s="208"/>
    </row>
    <row r="169" spans="1:57" ht="15" x14ac:dyDescent="0.25">
      <c r="A169">
        <f t="shared" ca="1" si="8"/>
        <v>157</v>
      </c>
      <c r="B169" s="263" t="str">
        <f t="shared" ca="1" si="9"/>
        <v xml:space="preserve"> </v>
      </c>
      <c r="C169" s="264">
        <f t="shared" ca="1" si="10"/>
        <v>13</v>
      </c>
      <c r="D169" s="491">
        <f t="shared" ca="1" si="11"/>
        <v>44284</v>
      </c>
      <c r="E169" s="191">
        <v>4</v>
      </c>
      <c r="F169" s="191">
        <v>420</v>
      </c>
      <c r="G169" s="191">
        <v>78</v>
      </c>
      <c r="H169" s="191"/>
      <c r="I169" s="250">
        <f>IF(COUNTBLANK(E169:H169)=4,"",SUM(E169:G169)+IF(Setup!$I$15="No",0,H169))</f>
        <v>502</v>
      </c>
      <c r="J169" s="191">
        <v>76</v>
      </c>
      <c r="K169" s="191">
        <v>314</v>
      </c>
      <c r="L169" s="191">
        <v>29</v>
      </c>
      <c r="M169" s="191"/>
      <c r="N169" s="254">
        <f>IF(COUNTBLANK(J169:M169)=4,"",SUM(J169:L169)+IF(Setup!$I$15="No",0,M169))</f>
        <v>419</v>
      </c>
      <c r="O169" s="191"/>
      <c r="P169" s="191">
        <v>2</v>
      </c>
      <c r="Q169" s="191">
        <v>16</v>
      </c>
      <c r="R169" s="191"/>
      <c r="S169" s="254">
        <f>IF(COUNTBLANK(O169:R169)=4,"",SUM(O169:Q169)+IF(Setup!$I$15="No",0,R169))</f>
        <v>18</v>
      </c>
      <c r="T169" s="191">
        <v>18</v>
      </c>
      <c r="U169" s="191">
        <v>7</v>
      </c>
      <c r="V169" s="191">
        <v>3</v>
      </c>
      <c r="W169" s="191"/>
      <c r="X169" s="254">
        <f>IF(COUNTBLANK(T169:W169)=4,"",SUM(T169:V169)+IF(Setup!$I$15="No",0,W169))</f>
        <v>28</v>
      </c>
      <c r="Y169" s="191"/>
      <c r="Z169" s="191">
        <v>1</v>
      </c>
      <c r="AA169" s="191"/>
      <c r="AB169" s="191"/>
      <c r="AC169" s="254">
        <f>IF(COUNTBLANK(Y169:AB169)=4,"",SUM(Y169:AA169)+IF(Setup!$I$15="No",0,AB169))</f>
        <v>1</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f ca="1">IF('Demand background (hide)'!A160=Num_Modalities,"",SUM(Demand!I169, Demand!N169, Demand!S169, Demand!X169, Demand!AC169))</f>
        <v>968</v>
      </c>
      <c r="BD169" s="258">
        <f ca="1">IF(AND(A169&lt;=MaxRows,BE169&lt;&gt;"Yes"),'Demand background (hide)'!X160+IF(Setup!$I$15="Yes",'Demand background (hide)'!AJ160,0),"")</f>
        <v>15196</v>
      </c>
      <c r="BE169" s="208"/>
    </row>
    <row r="170" spans="1:57" ht="15" x14ac:dyDescent="0.25">
      <c r="A170">
        <f t="shared" ca="1" si="8"/>
        <v>158</v>
      </c>
      <c r="B170" s="263" t="str">
        <f t="shared" ca="1" si="9"/>
        <v xml:space="preserve"> </v>
      </c>
      <c r="C170" s="264">
        <f t="shared" ca="1" si="10"/>
        <v>14</v>
      </c>
      <c r="D170" s="491">
        <f t="shared" ca="1" si="11"/>
        <v>44291</v>
      </c>
      <c r="E170" s="191">
        <v>8</v>
      </c>
      <c r="F170" s="191">
        <v>440</v>
      </c>
      <c r="G170" s="191">
        <v>57</v>
      </c>
      <c r="H170" s="191"/>
      <c r="I170" s="250">
        <f>IF(COUNTBLANK(E170:H170)=4,"",SUM(E170:G170)+IF(Setup!$I$15="No",0,H170))</f>
        <v>505</v>
      </c>
      <c r="J170" s="191">
        <v>57</v>
      </c>
      <c r="K170" s="191">
        <v>287</v>
      </c>
      <c r="L170" s="191">
        <v>30</v>
      </c>
      <c r="M170" s="191"/>
      <c r="N170" s="254">
        <f>IF(COUNTBLANK(J170:M170)=4,"",SUM(J170:L170)+IF(Setup!$I$15="No",0,M170))</f>
        <v>374</v>
      </c>
      <c r="O170" s="191"/>
      <c r="P170" s="191"/>
      <c r="Q170" s="191">
        <v>10</v>
      </c>
      <c r="R170" s="191"/>
      <c r="S170" s="254">
        <f>IF(COUNTBLANK(O170:R170)=4,"",SUM(O170:Q170)+IF(Setup!$I$15="No",0,R170))</f>
        <v>10</v>
      </c>
      <c r="T170" s="191">
        <v>17</v>
      </c>
      <c r="U170" s="191">
        <v>5</v>
      </c>
      <c r="V170" s="191">
        <v>1</v>
      </c>
      <c r="W170" s="191"/>
      <c r="X170" s="254">
        <f>IF(COUNTBLANK(T170:W170)=4,"",SUM(T170:V170)+IF(Setup!$I$15="No",0,W170))</f>
        <v>23</v>
      </c>
      <c r="Y170" s="191"/>
      <c r="Z170" s="191">
        <v>1</v>
      </c>
      <c r="AA170" s="191"/>
      <c r="AB170" s="191"/>
      <c r="AC170" s="254">
        <f>IF(COUNTBLANK(Y170:AB170)=4,"",SUM(Y170:AA170)+IF(Setup!$I$15="No",0,AB170))</f>
        <v>1</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f ca="1">IF('Demand background (hide)'!A161=Num_Modalities,"",SUM(Demand!I170, Demand!N170, Demand!S170, Demand!X170, Demand!AC170))</f>
        <v>913</v>
      </c>
      <c r="BD170" s="258">
        <f ca="1">IF(AND(A170&lt;=MaxRows,BE170&lt;&gt;"Yes"),'Demand background (hide)'!X161+IF(Setup!$I$15="Yes",'Demand background (hide)'!AJ161,0),"")</f>
        <v>14176</v>
      </c>
      <c r="BE170" s="208"/>
    </row>
    <row r="171" spans="1:57" ht="15" x14ac:dyDescent="0.25">
      <c r="A171">
        <f t="shared" ca="1" si="8"/>
        <v>159</v>
      </c>
      <c r="B171" s="263" t="str">
        <f t="shared" ca="1" si="9"/>
        <v xml:space="preserve"> </v>
      </c>
      <c r="C171" s="264">
        <f t="shared" ca="1" si="10"/>
        <v>15</v>
      </c>
      <c r="D171" s="491">
        <f t="shared" ca="1" si="11"/>
        <v>44298</v>
      </c>
      <c r="E171" s="191">
        <v>9</v>
      </c>
      <c r="F171" s="191">
        <v>399</v>
      </c>
      <c r="G171" s="191">
        <v>85</v>
      </c>
      <c r="H171" s="191"/>
      <c r="I171" s="250">
        <f>IF(COUNTBLANK(E171:H171)=4,"",SUM(E171:G171)+IF(Setup!$I$15="No",0,H171))</f>
        <v>493</v>
      </c>
      <c r="J171" s="191">
        <v>78</v>
      </c>
      <c r="K171" s="191">
        <v>334</v>
      </c>
      <c r="L171" s="191">
        <v>34</v>
      </c>
      <c r="M171" s="191"/>
      <c r="N171" s="254">
        <f>IF(COUNTBLANK(J171:M171)=4,"",SUM(J171:L171)+IF(Setup!$I$15="No",0,M171))</f>
        <v>446</v>
      </c>
      <c r="O171" s="191"/>
      <c r="P171" s="191">
        <v>8</v>
      </c>
      <c r="Q171" s="191">
        <v>14</v>
      </c>
      <c r="R171" s="191"/>
      <c r="S171" s="254">
        <f>IF(COUNTBLANK(O171:R171)=4,"",SUM(O171:Q171)+IF(Setup!$I$15="No",0,R171))</f>
        <v>22</v>
      </c>
      <c r="T171" s="191">
        <v>12</v>
      </c>
      <c r="U171" s="191">
        <v>8</v>
      </c>
      <c r="V171" s="191">
        <v>3</v>
      </c>
      <c r="W171" s="191"/>
      <c r="X171" s="254">
        <f>IF(COUNTBLANK(T171:W171)=4,"",SUM(T171:V171)+IF(Setup!$I$15="No",0,W171))</f>
        <v>23</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f ca="1">IF('Demand background (hide)'!A162=Num_Modalities,"",SUM(Demand!I171, Demand!N171, Demand!S171, Demand!X171, Demand!AC171))</f>
        <v>984</v>
      </c>
      <c r="BD171" s="258">
        <f ca="1">IF(AND(A171&lt;=MaxRows,BE171&lt;&gt;"Yes"),'Demand background (hide)'!X162+IF(Setup!$I$15="Yes",'Demand background (hide)'!AJ162,0),"")</f>
        <v>15435</v>
      </c>
      <c r="BE171" s="208"/>
    </row>
    <row r="172" spans="1:57" ht="15" x14ac:dyDescent="0.25">
      <c r="A172">
        <f t="shared" ca="1" si="8"/>
        <v>160</v>
      </c>
      <c r="B172" s="263" t="str">
        <f t="shared" ca="1" si="9"/>
        <v xml:space="preserve"> </v>
      </c>
      <c r="C172" s="264">
        <f t="shared" ca="1" si="10"/>
        <v>16</v>
      </c>
      <c r="D172" s="491">
        <f t="shared" ca="1" si="11"/>
        <v>44305</v>
      </c>
      <c r="E172" s="191">
        <v>10</v>
      </c>
      <c r="F172" s="191">
        <v>456</v>
      </c>
      <c r="G172" s="191">
        <v>105</v>
      </c>
      <c r="H172" s="191"/>
      <c r="I172" s="250">
        <f>IF(COUNTBLANK(E172:H172)=4,"",SUM(E172:G172)+IF(Setup!$I$15="No",0,H172))</f>
        <v>571</v>
      </c>
      <c r="J172" s="191">
        <v>90</v>
      </c>
      <c r="K172" s="191">
        <v>329</v>
      </c>
      <c r="L172" s="191">
        <v>53</v>
      </c>
      <c r="M172" s="191"/>
      <c r="N172" s="254">
        <f>IF(COUNTBLANK(J172:M172)=4,"",SUM(J172:L172)+IF(Setup!$I$15="No",0,M172))</f>
        <v>472</v>
      </c>
      <c r="O172" s="191"/>
      <c r="P172" s="191">
        <v>2</v>
      </c>
      <c r="Q172" s="191">
        <v>11</v>
      </c>
      <c r="R172" s="191"/>
      <c r="S172" s="254">
        <f>IF(COUNTBLANK(O172:R172)=4,"",SUM(O172:Q172)+IF(Setup!$I$15="No",0,R172))</f>
        <v>13</v>
      </c>
      <c r="T172" s="191">
        <v>16</v>
      </c>
      <c r="U172" s="191">
        <v>8</v>
      </c>
      <c r="V172" s="191">
        <v>2</v>
      </c>
      <c r="W172" s="191"/>
      <c r="X172" s="254">
        <f>IF(COUNTBLANK(T172:W172)=4,"",SUM(T172:V172)+IF(Setup!$I$15="No",0,W172))</f>
        <v>26</v>
      </c>
      <c r="Y172" s="191">
        <v>1</v>
      </c>
      <c r="Z172" s="191"/>
      <c r="AA172" s="191"/>
      <c r="AB172" s="191"/>
      <c r="AC172" s="254">
        <f>IF(COUNTBLANK(Y172:AB172)=4,"",SUM(Y172:AA172)+IF(Setup!$I$15="No",0,AB172))</f>
        <v>1</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f ca="1">IF('Demand background (hide)'!A163=Num_Modalities,"",SUM(Demand!I172, Demand!N172, Demand!S172, Demand!X172, Demand!AC172))</f>
        <v>1083</v>
      </c>
      <c r="BD172" s="258">
        <f ca="1">IF(AND(A172&lt;=MaxRows,BE172&lt;&gt;"Yes"),'Demand background (hide)'!X163+IF(Setup!$I$15="Yes",'Demand background (hide)'!AJ163,0),"")</f>
        <v>16816</v>
      </c>
      <c r="BE172" s="208"/>
    </row>
    <row r="173" spans="1:57" ht="15" x14ac:dyDescent="0.25">
      <c r="A173">
        <f t="shared" ca="1" si="8"/>
        <v>161</v>
      </c>
      <c r="B173" s="263" t="str">
        <f t="shared" ca="1" si="9"/>
        <v xml:space="preserve"> </v>
      </c>
      <c r="C173" s="264">
        <f t="shared" ca="1" si="10"/>
        <v>17</v>
      </c>
      <c r="D173" s="491">
        <f t="shared" ca="1" si="11"/>
        <v>44312</v>
      </c>
      <c r="E173" s="191">
        <v>12</v>
      </c>
      <c r="F173" s="191">
        <v>422</v>
      </c>
      <c r="G173" s="191">
        <v>99</v>
      </c>
      <c r="H173" s="191"/>
      <c r="I173" s="250">
        <f>IF(COUNTBLANK(E173:H173)=4,"",SUM(E173:G173)+IF(Setup!$I$15="No",0,H173))</f>
        <v>533</v>
      </c>
      <c r="J173" s="191">
        <v>74</v>
      </c>
      <c r="K173" s="191">
        <v>314</v>
      </c>
      <c r="L173" s="191">
        <v>51</v>
      </c>
      <c r="M173" s="191"/>
      <c r="N173" s="254">
        <f>IF(COUNTBLANK(J173:M173)=4,"",SUM(J173:L173)+IF(Setup!$I$15="No",0,M173))</f>
        <v>439</v>
      </c>
      <c r="O173" s="191"/>
      <c r="P173" s="191">
        <v>3</v>
      </c>
      <c r="Q173" s="191">
        <v>18</v>
      </c>
      <c r="R173" s="191"/>
      <c r="S173" s="254">
        <f>IF(COUNTBLANK(O173:R173)=4,"",SUM(O173:Q173)+IF(Setup!$I$15="No",0,R173))</f>
        <v>21</v>
      </c>
      <c r="T173" s="191">
        <v>18</v>
      </c>
      <c r="U173" s="191">
        <v>5</v>
      </c>
      <c r="V173" s="191"/>
      <c r="W173" s="191"/>
      <c r="X173" s="254">
        <f>IF(COUNTBLANK(T173:W173)=4,"",SUM(T173:V173)+IF(Setup!$I$15="No",0,W173))</f>
        <v>23</v>
      </c>
      <c r="Y173" s="191">
        <v>2</v>
      </c>
      <c r="Z173" s="191"/>
      <c r="AA173" s="191"/>
      <c r="AB173" s="191"/>
      <c r="AC173" s="254">
        <f>IF(COUNTBLANK(Y173:AB173)=4,"",SUM(Y173:AA173)+IF(Setup!$I$15="No",0,AB173))</f>
        <v>2</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f ca="1">IF('Demand background (hide)'!A164=Num_Modalities,"",SUM(Demand!I173, Demand!N173, Demand!S173, Demand!X173, Demand!AC173))</f>
        <v>1018</v>
      </c>
      <c r="BD173" s="258">
        <f ca="1">IF(AND(A173&lt;=MaxRows,BE173&lt;&gt;"Yes"),'Demand background (hide)'!X164+IF(Setup!$I$15="Yes",'Demand background (hide)'!AJ164,0),"")</f>
        <v>15902</v>
      </c>
      <c r="BE173" s="208"/>
    </row>
    <row r="174" spans="1:57" ht="15" x14ac:dyDescent="0.25">
      <c r="A174">
        <f t="shared" ca="1" si="8"/>
        <v>162</v>
      </c>
      <c r="B174" s="263" t="str">
        <f t="shared" ca="1" si="9"/>
        <v xml:space="preserve"> </v>
      </c>
      <c r="C174" s="264">
        <f t="shared" ca="1" si="10"/>
        <v>18</v>
      </c>
      <c r="D174" s="491">
        <f t="shared" ca="1" si="11"/>
        <v>44319</v>
      </c>
      <c r="E174" s="191">
        <v>4</v>
      </c>
      <c r="F174" s="191">
        <v>398</v>
      </c>
      <c r="G174" s="191">
        <v>73</v>
      </c>
      <c r="H174" s="191"/>
      <c r="I174" s="250">
        <f>IF(COUNTBLANK(E174:H174)=4,"",SUM(E174:G174)+IF(Setup!$I$15="No",0,H174))</f>
        <v>475</v>
      </c>
      <c r="J174" s="191">
        <v>84</v>
      </c>
      <c r="K174" s="191">
        <v>307</v>
      </c>
      <c r="L174" s="191">
        <v>34</v>
      </c>
      <c r="M174" s="191"/>
      <c r="N174" s="254">
        <f>IF(COUNTBLANK(J174:M174)=4,"",SUM(J174:L174)+IF(Setup!$I$15="No",0,M174))</f>
        <v>425</v>
      </c>
      <c r="O174" s="191"/>
      <c r="P174" s="191">
        <v>3</v>
      </c>
      <c r="Q174" s="191">
        <v>7</v>
      </c>
      <c r="R174" s="191"/>
      <c r="S174" s="254">
        <f>IF(COUNTBLANK(O174:R174)=4,"",SUM(O174:Q174)+IF(Setup!$I$15="No",0,R174))</f>
        <v>10</v>
      </c>
      <c r="T174" s="191">
        <v>18</v>
      </c>
      <c r="U174" s="191">
        <v>1</v>
      </c>
      <c r="V174" s="191"/>
      <c r="W174" s="191"/>
      <c r="X174" s="254">
        <f>IF(COUNTBLANK(T174:W174)=4,"",SUM(T174:V174)+IF(Setup!$I$15="No",0,W174))</f>
        <v>19</v>
      </c>
      <c r="Y174" s="191">
        <v>1</v>
      </c>
      <c r="Z174" s="191"/>
      <c r="AA174" s="191"/>
      <c r="AB174" s="191"/>
      <c r="AC174" s="254">
        <f>IF(COUNTBLANK(Y174:AB174)=4,"",SUM(Y174:AA174)+IF(Setup!$I$15="No",0,AB174))</f>
        <v>1</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f ca="1">IF('Demand background (hide)'!A165=Num_Modalities,"",SUM(Demand!I174, Demand!N174, Demand!S174, Demand!X174, Demand!AC174))</f>
        <v>930</v>
      </c>
      <c r="BD174" s="258">
        <f ca="1">IF(AND(A174&lt;=MaxRows,BE174&lt;&gt;"Yes"),'Demand background (hide)'!X165+IF(Setup!$I$15="Yes",'Demand background (hide)'!AJ165,0),"")</f>
        <v>14371</v>
      </c>
      <c r="BE174" s="208"/>
    </row>
    <row r="175" spans="1:57" ht="15" x14ac:dyDescent="0.25">
      <c r="A175">
        <f t="shared" ca="1" si="8"/>
        <v>163</v>
      </c>
      <c r="B175" s="263" t="str">
        <f t="shared" ca="1" si="9"/>
        <v xml:space="preserve"> </v>
      </c>
      <c r="C175" s="264">
        <f t="shared" ca="1" si="10"/>
        <v>19</v>
      </c>
      <c r="D175" s="491">
        <f t="shared" ca="1" si="11"/>
        <v>44326</v>
      </c>
      <c r="E175" s="191">
        <v>11</v>
      </c>
      <c r="F175" s="191">
        <v>424</v>
      </c>
      <c r="G175" s="191">
        <v>109</v>
      </c>
      <c r="H175" s="191"/>
      <c r="I175" s="250">
        <f>IF(COUNTBLANK(E175:H175)=4,"",SUM(E175:G175)+IF(Setup!$I$15="No",0,H175))</f>
        <v>544</v>
      </c>
      <c r="J175" s="191">
        <v>86</v>
      </c>
      <c r="K175" s="191">
        <v>335</v>
      </c>
      <c r="L175" s="191">
        <v>43</v>
      </c>
      <c r="M175" s="191"/>
      <c r="N175" s="254">
        <f>IF(COUNTBLANK(J175:M175)=4,"",SUM(J175:L175)+IF(Setup!$I$15="No",0,M175))</f>
        <v>464</v>
      </c>
      <c r="O175" s="191"/>
      <c r="P175" s="191">
        <v>4</v>
      </c>
      <c r="Q175" s="191">
        <v>15</v>
      </c>
      <c r="R175" s="191"/>
      <c r="S175" s="254">
        <f>IF(COUNTBLANK(O175:R175)=4,"",SUM(O175:Q175)+IF(Setup!$I$15="No",0,R175))</f>
        <v>19</v>
      </c>
      <c r="T175" s="191">
        <v>13</v>
      </c>
      <c r="U175" s="191">
        <v>5</v>
      </c>
      <c r="V175" s="191">
        <v>2</v>
      </c>
      <c r="W175" s="191"/>
      <c r="X175" s="254">
        <f>IF(COUNTBLANK(T175:W175)=4,"",SUM(T175:V175)+IF(Setup!$I$15="No",0,W175))</f>
        <v>20</v>
      </c>
      <c r="Y175" s="191">
        <v>2</v>
      </c>
      <c r="Z175" s="191">
        <v>1</v>
      </c>
      <c r="AA175" s="191"/>
      <c r="AB175" s="191"/>
      <c r="AC175" s="254">
        <f>IF(COUNTBLANK(Y175:AB175)=4,"",SUM(Y175:AA175)+IF(Setup!$I$15="No",0,AB175))</f>
        <v>3</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f ca="1">IF('Demand background (hide)'!A166=Num_Modalities,"",SUM(Demand!I175, Demand!N175, Demand!S175, Demand!X175, Demand!AC175))</f>
        <v>1050</v>
      </c>
      <c r="BD175" s="258">
        <f ca="1">IF(AND(A175&lt;=MaxRows,BE175&lt;&gt;"Yes"),'Demand background (hide)'!X166+IF(Setup!$I$15="Yes",'Demand background (hide)'!AJ166,0),"")</f>
        <v>16293</v>
      </c>
      <c r="BE175" s="208"/>
    </row>
    <row r="176" spans="1:57" ht="15" x14ac:dyDescent="0.25">
      <c r="A176">
        <f t="shared" ca="1" si="8"/>
        <v>164</v>
      </c>
      <c r="B176" s="263" t="str">
        <f t="shared" ca="1" si="9"/>
        <v xml:space="preserve"> </v>
      </c>
      <c r="C176" s="264">
        <f t="shared" ca="1" si="10"/>
        <v>20</v>
      </c>
      <c r="D176" s="491">
        <f t="shared" ca="1" si="11"/>
        <v>44333</v>
      </c>
      <c r="E176" s="191">
        <v>5</v>
      </c>
      <c r="F176" s="191">
        <v>426</v>
      </c>
      <c r="G176" s="191">
        <v>116</v>
      </c>
      <c r="H176" s="191"/>
      <c r="I176" s="250">
        <f>IF(COUNTBLANK(E176:H176)=4,"",SUM(E176:G176)+IF(Setup!$I$15="No",0,H176))</f>
        <v>547</v>
      </c>
      <c r="J176" s="191">
        <v>72</v>
      </c>
      <c r="K176" s="191">
        <v>292</v>
      </c>
      <c r="L176" s="191">
        <v>28</v>
      </c>
      <c r="M176" s="191"/>
      <c r="N176" s="254">
        <f>IF(COUNTBLANK(J176:M176)=4,"",SUM(J176:L176)+IF(Setup!$I$15="No",0,M176))</f>
        <v>392</v>
      </c>
      <c r="O176" s="191"/>
      <c r="P176" s="191">
        <v>2</v>
      </c>
      <c r="Q176" s="191">
        <v>12</v>
      </c>
      <c r="R176" s="191"/>
      <c r="S176" s="254">
        <f>IF(COUNTBLANK(O176:R176)=4,"",SUM(O176:Q176)+IF(Setup!$I$15="No",0,R176))</f>
        <v>14</v>
      </c>
      <c r="T176" s="191">
        <v>33</v>
      </c>
      <c r="U176" s="191">
        <v>2</v>
      </c>
      <c r="V176" s="191">
        <v>2</v>
      </c>
      <c r="W176" s="191"/>
      <c r="X176" s="254">
        <f>IF(COUNTBLANK(T176:W176)=4,"",SUM(T176:V176)+IF(Setup!$I$15="No",0,W176))</f>
        <v>37</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f ca="1">IF('Demand background (hide)'!A167=Num_Modalities,"",SUM(Demand!I176, Demand!N176, Demand!S176, Demand!X176, Demand!AC176))</f>
        <v>990</v>
      </c>
      <c r="BD176" s="258">
        <f ca="1">IF(AND(A176&lt;=MaxRows,BE176&lt;&gt;"Yes"),'Demand background (hide)'!X167+IF(Setup!$I$15="Yes",'Demand background (hide)'!AJ167,0),"")</f>
        <v>15615</v>
      </c>
      <c r="BE176" s="208"/>
    </row>
    <row r="177" spans="1:57" ht="15" x14ac:dyDescent="0.25">
      <c r="A177">
        <f t="shared" ca="1" si="8"/>
        <v>165</v>
      </c>
      <c r="B177" s="263" t="str">
        <f t="shared" ca="1" si="9"/>
        <v xml:space="preserve"> </v>
      </c>
      <c r="C177" s="264">
        <f t="shared" ca="1" si="10"/>
        <v>21</v>
      </c>
      <c r="D177" s="491">
        <f t="shared" ca="1" si="11"/>
        <v>44340</v>
      </c>
      <c r="E177" s="191">
        <v>6</v>
      </c>
      <c r="F177" s="191">
        <v>468</v>
      </c>
      <c r="G177" s="191">
        <v>96</v>
      </c>
      <c r="H177" s="191"/>
      <c r="I177" s="250">
        <f>IF(COUNTBLANK(E177:H177)=4,"",SUM(E177:G177)+IF(Setup!$I$15="No",0,H177))</f>
        <v>570</v>
      </c>
      <c r="J177" s="191">
        <v>93</v>
      </c>
      <c r="K177" s="191">
        <v>352</v>
      </c>
      <c r="L177" s="191">
        <v>40</v>
      </c>
      <c r="M177" s="191"/>
      <c r="N177" s="254">
        <f>IF(COUNTBLANK(J177:M177)=4,"",SUM(J177:L177)+IF(Setup!$I$15="No",0,M177))</f>
        <v>485</v>
      </c>
      <c r="O177" s="191"/>
      <c r="P177" s="191"/>
      <c r="Q177" s="191">
        <v>16</v>
      </c>
      <c r="R177" s="191"/>
      <c r="S177" s="254">
        <f>IF(COUNTBLANK(O177:R177)=4,"",SUM(O177:Q177)+IF(Setup!$I$15="No",0,R177))</f>
        <v>16</v>
      </c>
      <c r="T177" s="191">
        <v>21</v>
      </c>
      <c r="U177" s="191">
        <v>5</v>
      </c>
      <c r="V177" s="191">
        <v>7</v>
      </c>
      <c r="W177" s="191"/>
      <c r="X177" s="254">
        <f>IF(COUNTBLANK(T177:W177)=4,"",SUM(T177:V177)+IF(Setup!$I$15="No",0,W177))</f>
        <v>33</v>
      </c>
      <c r="Y177" s="191">
        <v>1</v>
      </c>
      <c r="Z177" s="191"/>
      <c r="AA177" s="191"/>
      <c r="AB177" s="191"/>
      <c r="AC177" s="254">
        <f>IF(COUNTBLANK(Y177:AB177)=4,"",SUM(Y177:AA177)+IF(Setup!$I$15="No",0,AB177))</f>
        <v>1</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f ca="1">IF('Demand background (hide)'!A168=Num_Modalities,"",SUM(Demand!I177, Demand!N177, Demand!S177, Demand!X177, Demand!AC177))</f>
        <v>1105</v>
      </c>
      <c r="BD177" s="258">
        <f ca="1">IF(AND(A177&lt;=MaxRows,BE177&lt;&gt;"Yes"),'Demand background (hide)'!X168+IF(Setup!$I$15="Yes",'Demand background (hide)'!AJ168,0),"")</f>
        <v>17296</v>
      </c>
      <c r="BE177" s="208"/>
    </row>
    <row r="178" spans="1:57" ht="15" x14ac:dyDescent="0.25">
      <c r="A178" t="str">
        <f t="shared" ca="1" si="8"/>
        <v/>
      </c>
      <c r="B178" s="263" t="str">
        <f t="shared" ca="1" si="9"/>
        <v xml:space="preserve"> </v>
      </c>
      <c r="C178" s="264" t="str">
        <f t="shared" ca="1" si="10"/>
        <v/>
      </c>
      <c r="D178" s="491"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 Demand!S178, Demand!X178, Demand!AC178))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491"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 Demand!S179, Demand!X179, Demand!AC179))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491"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 Demand!S180, Demand!X180, Demand!AC180))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491"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 Demand!S181, Demand!X181, Demand!AC181))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491"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 Demand!S182, Demand!X182, Demand!AC182))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491"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 Demand!S183, Demand!X183, Demand!AC183))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491"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 Demand!S184, Demand!X184, Demand!AC184))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491"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 Demand!S185, Demand!X185, Demand!AC185))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491"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 Demand!S186, Demand!X186, Demand!AC186))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491"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 Demand!S187, Demand!X187, Demand!AC187))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491"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 Demand!S188, Demand!X188, Demand!AC188))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491"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 Demand!S189, Demand!X189, Demand!AC189))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491"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 Demand!S190, Demand!X190, Demand!AC190))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491"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 Demand!S191, Demand!X191, Demand!AC191))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491"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 Demand!S192, Demand!X192, Demand!AC192))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491"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 Demand!S193, Demand!X193, Demand!AC193))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491"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 Demand!S194, Demand!X194, Demand!AC194))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491"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 Demand!S195, Demand!X195, Demand!AC195))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491"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 Demand!S196, Demand!X196, Demand!AC196))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491"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 Demand!S197, Demand!X197, Demand!AC197))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491"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 Demand!S198, Demand!X198, Demand!AC198))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491"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 Demand!S199, Demand!X199, Demand!AC199))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491"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 Demand!S200, Demand!X200, Demand!AC200))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491"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 Demand!S201, Demand!X201, Demand!AC201))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491"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 Demand!S202, Demand!X202, Demand!AC202))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491"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 Demand!S203, Demand!X203, Demand!AC203))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491"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 Demand!S204, Demand!X204, Demand!AC204))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491"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 Demand!S205, Demand!X205, Demand!AC205))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491"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 Demand!S206, Demand!X206, Demand!AC206))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491"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 Demand!S207, Demand!X207, Demand!AC207))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491"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 Demand!S208, Demand!X208, Demand!AC208))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491"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 Demand!S209, Demand!X209, Demand!AC209))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491"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 Demand!S210, Demand!X210, Demand!AC210))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491"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 Demand!S211, Demand!X211, Demand!AC211))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491"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 Demand!S212, Demand!X212, Demand!AC212))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491"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 Demand!S213, Demand!X213, Demand!AC213))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491"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 Demand!S214, Demand!X214, Demand!AC214))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491"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 Demand!S215, Demand!X215, Demand!AC215))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491"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 Demand!S216, Demand!X216, Demand!AC216))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491"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 Demand!S217, Demand!X217, Demand!AC217))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491"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 Demand!S218, Demand!X218, Demand!AC218))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491"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 Demand!S219, Demand!X219, Demand!AC219))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491"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 Demand!S220, Demand!X220, Demand!AC220))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491"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 Demand!S221, Demand!X221, Demand!AC221))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491"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 Demand!S222, Demand!X222, Demand!AC222))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491"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 Demand!S223, Demand!X223, Demand!AC223))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491"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 Demand!S224, Demand!X224, Demand!AC224))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491"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 Demand!S225, Demand!X225, Demand!AC225))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491"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 Demand!S226, Demand!X226, Demand!AC226))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491"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 Demand!S227, Demand!X227, Demand!AC227))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491"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 Demand!S228, Demand!X228, Demand!AC228))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491"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 Demand!S229, Demand!X229, Demand!AC229))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491"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 Demand!S230, Demand!X230, Demand!AC230))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491"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 Demand!S231, Demand!X231, Demand!AC231))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491"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 Demand!S232, Demand!X232, Demand!AC232))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491"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 Demand!S233, Demand!X233, Demand!AC233))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491"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 Demand!S234, Demand!X234, Demand!AC234))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491"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 Demand!S235, Demand!X235, Demand!AC235))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491"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 Demand!S236, Demand!X236, Demand!AC236))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491"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 Demand!S237, Demand!X237, Demand!AC237))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491"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 Demand!S238, Demand!X238, Demand!AC238))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491"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 Demand!S239, Demand!X239, Demand!AC239))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491"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 Demand!S240, Demand!X240, Demand!AC240))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491"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 Demand!S241, Demand!X241, Demand!AC241))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491"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 Demand!S242, Demand!X242, Demand!AC242))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491"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 Demand!S243, Demand!X243, Demand!AC243))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491"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 Demand!S244, Demand!X244, Demand!AC244))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491"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 Demand!S245, Demand!X245, Demand!AC245))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491"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 Demand!S246, Demand!X246, Demand!AC246))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491"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 Demand!S247, Demand!X247, Demand!AC247))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491"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 Demand!S248, Demand!X248, Demand!AC248))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491"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 Demand!S249, Demand!X249, Demand!AC249))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491"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 Demand!S250, Demand!X250, Demand!AC250))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491"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 Demand!S251, Demand!X251, Demand!AC251))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491"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 Demand!S252, Demand!X252, Demand!AC252))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491"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 Demand!S253, Demand!X253, Demand!AC253))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491"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 Demand!S254, Demand!X254, Demand!AC254))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491"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 Demand!S255, Demand!X255, Demand!AC255))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491"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 Demand!S256, Demand!X256, Demand!AC256))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491"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 Demand!S257, Demand!X257, Demand!AC257))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491"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 Demand!S258, Demand!X258, Demand!AC258))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491"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 Demand!S259, Demand!X259, Demand!AC259))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491"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 Demand!S260, Demand!X260, Demand!AC260))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491"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 Demand!S261, Demand!X261, Demand!AC261))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491"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 Demand!S262, Demand!X262, Demand!AC262))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491"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 Demand!S263, Demand!X263, Demand!AC263))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491"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 Demand!S264, Demand!X264, Demand!AC264))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491"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 Demand!S265, Demand!X265, Demand!AC265))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491"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 Demand!S266, Demand!X266, Demand!AC266))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491"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 Demand!S267, Demand!X267, Demand!AC267))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491"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 Demand!S268, Demand!X268, Demand!AC268))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491"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 Demand!S269, Demand!X269, Demand!AC269))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491"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 Demand!S270, Demand!X270, Demand!AC270))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491"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 Demand!S271, Demand!X271, Demand!AC271))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491"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 Demand!S272, Demand!X272, Demand!AC272))</f>
        <v/>
      </c>
      <c r="BD272" s="258" t="str">
        <f ca="1">IF(AND(A272&lt;=MaxRows,BE272&lt;&gt;"Yes"),'Demand background (hide)'!X263+IF(Setup!$I$15="Yes",'Demand background (hide)'!AJ263,0),"")</f>
        <v/>
      </c>
      <c r="BE272" s="208"/>
    </row>
  </sheetData>
  <sheetProtection algorithmName="SHA-512" hashValue="5OTLvvKxR0ufvouLTaCN6Yy4GweERR/yokMMRFh0wy4sHPBNMYdAkN98u2n0c0oEOfXH5Um/pooxpJFqLP5P8w==" saltValue="Q1F7THps8sBcRKKq9/8u9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1188</v>
      </c>
    </row>
    <row r="2" spans="1:135" x14ac:dyDescent="0.2">
      <c r="N2">
        <f ca="1">IF(Setup!$I$17="Patients",1,OFFSET(Demand!$F$11,0,(COLUMN(A1)-1)*5,1,1))</f>
        <v>15</v>
      </c>
      <c r="O2">
        <f ca="1">IF(Setup!$I$17="Patients",1,OFFSET(Demand!$F$11,0,(COLUMN(B1)-1)*5,1,1))</f>
        <v>15</v>
      </c>
      <c r="P2">
        <f ca="1">IF(Setup!$I$17="Patients",1,OFFSET(Demand!$F$11,0,(COLUMN(C1)-1)*5,1,1))</f>
        <v>30</v>
      </c>
      <c r="Q2">
        <f ca="1">IF(Setup!$I$17="Patients",1,OFFSET(Demand!$F$11,0,(COLUMN(D1)-1)*5,1,1))</f>
        <v>30</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1189</v>
      </c>
    </row>
    <row r="3" spans="1:135" x14ac:dyDescent="0.2">
      <c r="A3" t="s">
        <v>63</v>
      </c>
      <c r="B3" t="str">
        <f ca="1">OFFSET('Control sheet (hide)'!$AA$3,COLUMN(A1)-1,0,1,1)</f>
        <v>Slot A</v>
      </c>
      <c r="C3" t="str">
        <f ca="1">OFFSET('Control sheet (hide)'!$AA$3,COLUMN(B1)-1,0,1,1)</f>
        <v>Slot B</v>
      </c>
      <c r="D3" t="str">
        <f ca="1">OFFSET('Control sheet (hide)'!$AA$3,COLUMN(C1)-1,0,1,1)</f>
        <v>Cacrys</v>
      </c>
      <c r="E3" t="str">
        <f ca="1">OFFSET('Control sheet (hide)'!$AA$3,COLUMN(D1)-1,0,1,1)</f>
        <v>CT Colon</v>
      </c>
      <c r="F3" t="str">
        <f ca="1">OFFSET('Control sheet (hide)'!$AA$3,COLUMN(E1)-1,0,1,1)</f>
        <v>CT Biopsy</v>
      </c>
      <c r="G3" t="str">
        <f ca="1">OFFSET('Control sheet (hide)'!$AA$3,COLUMN(F1)-1,0,1,1)</f>
        <v>Modality 6</v>
      </c>
      <c r="H3" t="str">
        <f ca="1">OFFSET('Control sheet (hide)'!$AA$3,COLUMN(G1)-1,0,1,1)</f>
        <v>Modality 1</v>
      </c>
      <c r="I3" t="str">
        <f ca="1">OFFSET('Control sheet (hide)'!$AA$3,COLUMN(H1)-1,0,1,1)</f>
        <v>Modality 8</v>
      </c>
      <c r="J3" t="str">
        <f ca="1">OFFSET('Control sheet (hide)'!$AA$3,COLUMN(I1)-1,0,1,1)</f>
        <v>Modality 9</v>
      </c>
      <c r="K3" t="str">
        <f ca="1">OFFSET('Control sheet (hide)'!$AA$3,COLUMN(J1)-1,0,1,1)</f>
        <v>Modality 10</v>
      </c>
      <c r="N3" t="str">
        <f t="shared" ref="N3:W3" ca="1" si="0">B3</f>
        <v>Slot A</v>
      </c>
      <c r="O3" t="str">
        <f t="shared" ca="1" si="0"/>
        <v>Slot B</v>
      </c>
      <c r="P3" t="str">
        <f t="shared" ca="1" si="0"/>
        <v>Cacrys</v>
      </c>
      <c r="Q3" t="str">
        <f t="shared" ca="1" si="0"/>
        <v>CT Colon</v>
      </c>
      <c r="R3" t="str">
        <f t="shared" ca="1" si="0"/>
        <v>CT Biopsy</v>
      </c>
      <c r="S3" t="str">
        <f t="shared" ca="1" si="0"/>
        <v>Modality 6</v>
      </c>
      <c r="T3" t="str">
        <f t="shared" ca="1" si="0"/>
        <v>Modality 1</v>
      </c>
      <c r="U3" t="str">
        <f t="shared" ca="1" si="0"/>
        <v>Modality 8</v>
      </c>
      <c r="V3" t="str">
        <f t="shared" ca="1" si="0"/>
        <v>Modality 9</v>
      </c>
      <c r="W3" t="str">
        <f t="shared" ca="1" si="0"/>
        <v>Modality 10</v>
      </c>
      <c r="X3" t="s">
        <v>67</v>
      </c>
      <c r="Y3" t="s">
        <v>181</v>
      </c>
      <c r="Z3" t="str">
        <f ca="1">N3</f>
        <v>Slot A</v>
      </c>
      <c r="AA3" t="str">
        <f t="shared" ref="AA3:AI3" ca="1" si="1">O3</f>
        <v>Slot B</v>
      </c>
      <c r="AB3" t="str">
        <f t="shared" ca="1" si="1"/>
        <v>Cacrys</v>
      </c>
      <c r="AC3" t="str">
        <f t="shared" ca="1" si="1"/>
        <v>CT Colon</v>
      </c>
      <c r="AD3" t="str">
        <f t="shared" ca="1" si="1"/>
        <v>CT Biopsy</v>
      </c>
      <c r="AE3" t="str">
        <f t="shared" ca="1" si="1"/>
        <v>Modality 6</v>
      </c>
      <c r="AF3" t="str">
        <f t="shared" ca="1" si="1"/>
        <v>Modality 1</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14486.884615384615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Slot A</v>
      </c>
      <c r="CX3" t="str">
        <f t="shared" ref="CX3:DF3" ca="1" si="2">C3</f>
        <v>Slot B</v>
      </c>
      <c r="CY3" t="str">
        <f t="shared" ca="1" si="2"/>
        <v>Cacrys</v>
      </c>
      <c r="CZ3" t="str">
        <f t="shared" ca="1" si="2"/>
        <v>CT Colon</v>
      </c>
      <c r="DA3" t="str">
        <f t="shared" ca="1" si="2"/>
        <v>CT Biopsy</v>
      </c>
      <c r="DB3" t="str">
        <f t="shared" ca="1" si="2"/>
        <v>Modality 6</v>
      </c>
      <c r="DC3" t="str">
        <f t="shared" ca="1" si="2"/>
        <v>Modality 1</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1197</v>
      </c>
      <c r="DR3" t="s">
        <v>1190</v>
      </c>
      <c r="DS3" t="s">
        <v>1196</v>
      </c>
      <c r="DT3" s="67" t="s">
        <v>1199</v>
      </c>
      <c r="DU3" t="s">
        <v>502</v>
      </c>
      <c r="DV3" s="67" t="s">
        <v>1221</v>
      </c>
      <c r="DW3" s="67" t="s">
        <v>1222</v>
      </c>
      <c r="DX3" s="67" t="s">
        <v>1220</v>
      </c>
      <c r="DZ3" s="67" t="s">
        <v>1219</v>
      </c>
      <c r="EA3" s="5">
        <f ca="1">IFERROR(SUM(DU4:DU29),0)</f>
        <v>0</v>
      </c>
      <c r="ED3" t="s">
        <v>1223</v>
      </c>
      <c r="EE3" t="s">
        <v>1193</v>
      </c>
    </row>
    <row r="4" spans="1:135" s="5" customFormat="1" x14ac:dyDescent="0.2">
      <c r="A4" s="5">
        <f t="shared" ref="A4:A35" ca="1" si="3">SUM(OFFSET(B4,0,0,1,Num_Modalities))</f>
        <v>2</v>
      </c>
      <c r="B4" s="5">
        <f ca="1">COUNTBLANK(OFFSET(Demand!$I13,0,(COLUMN(A1)-1)*5,1,1))</f>
        <v>0</v>
      </c>
      <c r="C4" s="5">
        <f ca="1">COUNTBLANK(OFFSET(Demand!$I13,0,(COLUMN(B1)-1)*5,1,1))</f>
        <v>0</v>
      </c>
      <c r="D4" s="5">
        <f ca="1">COUNTBLANK(OFFSET(Demand!$I13,0,(COLUMN(C1)-1)*5,1,1))</f>
        <v>1</v>
      </c>
      <c r="E4" s="5">
        <f ca="1">COUNTBLANK(OFFSET(Demand!$I13,0,(COLUMN(D1)-1)*5,1,1))</f>
        <v>0</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675</v>
      </c>
      <c r="O4" s="5">
        <f ca="1">SUM(OFFSET(Demand!$E13,0,(COLUMN(B1)-1)*5,1,3))*O$2</f>
        <v>390</v>
      </c>
      <c r="P4" s="5">
        <f ca="1">SUM(OFFSET(Demand!$E13,0,(COLUMN(C1)-1)*5,1,3))*P$2</f>
        <v>0</v>
      </c>
      <c r="Q4" s="5">
        <f ca="1">SUM(OFFSET(Demand!$E13,0,(COLUMN(D1)-1)*5,1,3))*Q$2</f>
        <v>30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1095</v>
      </c>
      <c r="Y4" s="5">
        <f t="shared" ref="Y4:Y67" ca="1" si="5">SUM(OFFSET(N4,0,0,1,Num_Modalities))</f>
        <v>1095</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1095</v>
      </c>
      <c r="AM4" s="5">
        <f ca="1">IF(AN4&lt;&gt;"","",AJ4)</f>
        <v>0</v>
      </c>
      <c r="AN4" s="5" t="str">
        <f>IF(Demand!BE13="Yes","Yes","")</f>
        <v/>
      </c>
      <c r="AP4" s="36">
        <f>Demand!B13</f>
        <v>2018</v>
      </c>
      <c r="AQ4" s="5" t="str">
        <f>TEXT(Demand!D13,"MMM")</f>
        <v>Apr</v>
      </c>
      <c r="AV4" s="5" t="s">
        <v>71</v>
      </c>
      <c r="AW4" s="44">
        <f ca="1">IFERROR(AVERAGE(OFFSET($AT$4,'SPC background (hide)'!$C$4-1,0,'SPC background (hide)'!$H$5,1)),0)</f>
        <v>1018.5384615384615</v>
      </c>
      <c r="BB4"/>
      <c r="BC4"/>
      <c r="BD4"/>
      <c r="BE4"/>
      <c r="BF4" t="s">
        <v>199</v>
      </c>
      <c r="BG4"/>
      <c r="BH4"/>
      <c r="BI4"/>
      <c r="BJ4"/>
      <c r="BK4"/>
      <c r="BL4"/>
      <c r="BM4"/>
      <c r="BP4"/>
      <c r="BQ4">
        <f ca="1">IF($AN4="",OFFSET(Demand!$A$13,ROW(A1)-1,4+((QUOTIENT(COLUMN(BQ$2)-69,3))*5)+MOD(COLUMN(BQ$2),3),1,1),"")</f>
        <v>0</v>
      </c>
      <c r="BR4">
        <f ca="1">IF($AN4="",OFFSET(Demand!$A$13,ROW(B1)-1,4+((QUOTIENT(COLUMN(BR$2)-69,3))*5)+MOD(COLUMN(BR$2),3),1,1),"")</f>
        <v>44</v>
      </c>
      <c r="BS4">
        <f ca="1">IF($AN4="",OFFSET(Demand!$A$13,ROW(C1)-1,4+((QUOTIENT(COLUMN(BS$2)-69,3))*5)+MOD(COLUMN(BS$2),3),1,1),"")</f>
        <v>1</v>
      </c>
      <c r="BT4">
        <f ca="1">IF($AN4="",OFFSET(Demand!$A$13,ROW(D1)-1,4+((QUOTIENT(COLUMN(BT$2)-69,3))*5)+MOD(COLUMN(BT$2),3),1,1),"")</f>
        <v>0</v>
      </c>
      <c r="BU4">
        <f ca="1">IF($AN4="",OFFSET(Demand!$A$13,ROW(E1)-1,4+((QUOTIENT(COLUMN(BU$2)-69,3))*5)+MOD(COLUMN(BU$2),3),1,1),"")</f>
        <v>26</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1</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f ca="1">VLOOKUP(IF($DM4&lt;53,$DM4,52),'Summary Calculations (hide)'!$D$15:$F$67,2,0)</f>
        <v>14765</v>
      </c>
      <c r="DP4" s="5">
        <f ca="1">VLOOKUP(IF($DM4&lt;53,$DM4,52),'Summary Calculations (hide)'!$D$15:$F$67,3,0)</f>
        <v>15657.95</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14765</v>
      </c>
      <c r="DT4" s="5">
        <f ca="1">IF(AND('Demand adjustments for Covid'!$F$9="Yes",MaxRows&gt;=10),IF(OR(AND(DN4&gt;='Demand adjustments for Covid'!$F$12,DN4&lt;'Demand adjustments for Covid'!$F$17),DR4=1),DS4+3,DP4),'Demand background (hide)'!DP4)</f>
        <v>15657.95</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15657.95</v>
      </c>
      <c r="ED4" s="5" t="s">
        <v>1191</v>
      </c>
      <c r="EE4" s="5">
        <f>MATCH('Demand adjustments for Covid'!$F$17,$DN$4:$DN$55,0)</f>
        <v>7</v>
      </c>
    </row>
    <row r="5" spans="1:135" s="5" customFormat="1" x14ac:dyDescent="0.2">
      <c r="A5" s="5">
        <f t="shared" ca="1" si="3"/>
        <v>0</v>
      </c>
      <c r="B5" s="5">
        <f ca="1">COUNTBLANK(OFFSET(Demand!$I14,0,(COLUMN(A2)-1)*5,1,1))</f>
        <v>0</v>
      </c>
      <c r="C5" s="5">
        <f ca="1">COUNTBLANK(OFFSET(Demand!$I14,0,(COLUMN(B2)-1)*5,1,1))</f>
        <v>0</v>
      </c>
      <c r="D5" s="5">
        <f ca="1">COUNTBLANK(OFFSET(Demand!$I14,0,(COLUMN(C2)-1)*5,1,1))</f>
        <v>0</v>
      </c>
      <c r="E5" s="5">
        <f ca="1">COUNTBLANK(OFFSET(Demand!$I14,0,(COLUMN(D2)-1)*5,1,1))</f>
        <v>0</v>
      </c>
      <c r="F5" s="5">
        <f ca="1">COUNTBLANK(OFFSET(Demand!$I14,0,(COLUMN(E2)-1)*5,1,1))</f>
        <v>0</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5895</v>
      </c>
      <c r="O5" s="5">
        <f ca="1">SUM(OFFSET(Demand!$E14,0,(COLUMN(B2)-1)*5,1,3))*O$2</f>
        <v>3915</v>
      </c>
      <c r="P5" s="5">
        <f ca="1">SUM(OFFSET(Demand!$E14,0,(COLUMN(C2)-1)*5,1,3))*P$2</f>
        <v>1020</v>
      </c>
      <c r="Q5" s="5">
        <f ca="1">SUM(OFFSET(Demand!$E14,0,(COLUMN(D2)-1)*5,1,3))*Q$2</f>
        <v>510</v>
      </c>
      <c r="R5" s="5">
        <f ca="1">SUM(OFFSET(Demand!$E14,0,(COLUMN(E2)-1)*5,1,3))*R$2</f>
        <v>1</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11341</v>
      </c>
      <c r="Y5" s="5">
        <f t="shared" ca="1" si="5"/>
        <v>11341</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11341</v>
      </c>
      <c r="AM5" s="5">
        <f t="shared" ref="AM5:AM68" ca="1" si="9">IF(AN5&lt;&gt;"","",AJ5)</f>
        <v>0</v>
      </c>
      <c r="AN5" s="5" t="str">
        <f>IF(Demand!BE14="Yes","Yes","")</f>
        <v/>
      </c>
      <c r="AP5" s="36" t="str">
        <f ca="1">Demand!B14</f>
        <v xml:space="preserve"> </v>
      </c>
      <c r="AQ5" s="5" t="str">
        <f ca="1">IF(TEXT(Demand!D14,"MMM")&lt;&gt;TEXT(Demand!D13,"MMM"),TEXT(Demand!D14,"MMM"),"")</f>
        <v/>
      </c>
      <c r="AT5" s="5">
        <f ca="1">IF(OR(AL5="",AL4=""),"",ABS(AL5-AL4))</f>
        <v>10246</v>
      </c>
      <c r="AV5" s="5" t="s">
        <v>70</v>
      </c>
      <c r="AW5" s="44">
        <f ca="1">AW4/1.128</f>
        <v>902.95962902345889</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4</v>
      </c>
      <c r="BR5">
        <f ca="1">IF($AN5="",OFFSET(Demand!$A$13,ROW(B2)-1,4+((QUOTIENT(COLUMN(BR$2)-69,3))*5)+MOD(COLUMN(BR$2),3),1,1),"")</f>
        <v>332</v>
      </c>
      <c r="BS5">
        <f ca="1">IF($AN5="",OFFSET(Demand!$A$13,ROW(C2)-1,4+((QUOTIENT(COLUMN(BS$2)-69,3))*5)+MOD(COLUMN(BS$2),3),1,1),"")</f>
        <v>57</v>
      </c>
      <c r="BT5">
        <f ca="1">IF($AN5="",OFFSET(Demand!$A$13,ROW(D2)-1,4+((QUOTIENT(COLUMN(BT$2)-69,3))*5)+MOD(COLUMN(BT$2),3),1,1),"")</f>
        <v>31</v>
      </c>
      <c r="BU5">
        <f ca="1">IF($AN5="",OFFSET(Demand!$A$13,ROW(E2)-1,4+((QUOTIENT(COLUMN(BU$2)-69,3))*5)+MOD(COLUMN(BU$2),3),1,1),"")</f>
        <v>192</v>
      </c>
      <c r="BV5">
        <f ca="1">IF($AN5="",OFFSET(Demand!$A$13,ROW(F2)-1,4+((QUOTIENT(COLUMN(BV$2)-69,3))*5)+MOD(COLUMN(BV$2),3),1,1),"")</f>
        <v>38</v>
      </c>
      <c r="BW5">
        <f ca="1">IF($AN5="",OFFSET(Demand!$A$13,ROW(G2)-1,4+((QUOTIENT(COLUMN(BW$2)-69,3))*5)+MOD(COLUMN(BW$2),3),1,1),"")</f>
        <v>31</v>
      </c>
      <c r="BX5">
        <f ca="1">IF($AN5="",OFFSET(Demand!$A$13,ROW(H2)-1,4+((QUOTIENT(COLUMN(BX$2)-69,3))*5)+MOD(COLUMN(BX$2),3),1,1),"")</f>
        <v>0</v>
      </c>
      <c r="BY5">
        <f ca="1">IF($AN5="",OFFSET(Demand!$A$13,ROW(I2)-1,4+((QUOTIENT(COLUMN(BY$2)-69,3))*5)+MOD(COLUMN(BY$2),3),1,1),"")</f>
        <v>3</v>
      </c>
      <c r="BZ5">
        <f ca="1">IF($AN5="",OFFSET(Demand!$A$13,ROW(J2)-1,4+((QUOTIENT(COLUMN(BZ$2)-69,3))*5)+MOD(COLUMN(BZ$2),3),1,1),"")</f>
        <v>7</v>
      </c>
      <c r="CA5">
        <f ca="1">IF($AN5="",OFFSET(Demand!$A$13,ROW(K2)-1,4+((QUOTIENT(COLUMN(CA$2)-69,3))*5)+MOD(COLUMN(CA$2),3),1,1),"")</f>
        <v>8</v>
      </c>
      <c r="CB5">
        <f ca="1">IF($AN5="",OFFSET(Demand!$A$13,ROW(L2)-1,4+((QUOTIENT(COLUMN(CB$2)-69,3))*5)+MOD(COLUMN(CB$2),3),1,1),"")</f>
        <v>2</v>
      </c>
      <c r="CC5">
        <f ca="1">IF($AN5="",OFFSET(Demand!$A$13,ROW(M2)-1,4+((QUOTIENT(COLUMN(CC$2)-69,3))*5)+MOD(COLUMN(CC$2),3),1,1),"")</f>
        <v>0</v>
      </c>
      <c r="CD5">
        <f ca="1">IF($AN5="",OFFSET(Demand!$A$13,ROW(N2)-1,4+((QUOTIENT(COLUMN(CD$2)-69,3))*5)+MOD(COLUMN(CD$2),3),1,1),"")</f>
        <v>0</v>
      </c>
      <c r="CE5">
        <f ca="1">IF($AN5="",OFFSET(Demand!$A$13,ROW(O2)-1,4+((QUOTIENT(COLUMN(CE$2)-69,3))*5)+MOD(COLUMN(CE$2),3),1,1),"")</f>
        <v>1</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f ca="1">VLOOKUP(IF($DM5&lt;53,$DM5,52),'Summary Calculations (hide)'!$D$15:$F$67,2,0)</f>
        <v>14765</v>
      </c>
      <c r="DP5" s="5">
        <f ca="1">VLOOKUP(IF($DM5&lt;53,$DM5,52),'Summary Calculations (hide)'!$D$15:$F$67,3,0)</f>
        <v>15657.95</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14765</v>
      </c>
      <c r="DT5" s="5">
        <f ca="1">IF('Demand adjustments for Covid'!$F$9="Yes",IF(OR(AND(DN5&gt;='Demand adjustments for Covid'!$F$12,DN5&lt;'Demand adjustments for Covid'!$F$17),DR5=1),DS5+3,DP5),'Demand background (hide)'!DP5)</f>
        <v>15657.95</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15657.95</v>
      </c>
      <c r="DZ5" s="5" t="s">
        <v>1224</v>
      </c>
      <c r="EA5" s="5">
        <f>MATCH('Demand adjustments for Covid'!F17,'Demand background (hide)'!DN4:DN55,0)+'Demand adjustments for Covid'!F18+12</f>
        <v>39</v>
      </c>
      <c r="ED5" s="5" t="s">
        <v>1192</v>
      </c>
      <c r="EE5" s="5">
        <f>EE4+'Demand adjustments for Covid'!$F$18</f>
        <v>27</v>
      </c>
    </row>
    <row r="6" spans="1:135" s="5" customFormat="1" x14ac:dyDescent="0.2">
      <c r="A6" s="5">
        <f t="shared" ca="1" si="3"/>
        <v>0</v>
      </c>
      <c r="B6" s="5">
        <f ca="1">COUNTBLANK(OFFSET(Demand!$I15,0,(COLUMN(A3)-1)*5,1,1))</f>
        <v>0</v>
      </c>
      <c r="C6" s="5">
        <f ca="1">COUNTBLANK(OFFSET(Demand!$I15,0,(COLUMN(B3)-1)*5,1,1))</f>
        <v>0</v>
      </c>
      <c r="D6" s="5">
        <f ca="1">COUNTBLANK(OFFSET(Demand!$I15,0,(COLUMN(C3)-1)*5,1,1))</f>
        <v>0</v>
      </c>
      <c r="E6" s="5">
        <f ca="1">COUNTBLANK(OFFSET(Demand!$I15,0,(COLUMN(D3)-1)*5,1,1))</f>
        <v>0</v>
      </c>
      <c r="F6" s="5">
        <f ca="1">COUNTBLANK(OFFSET(Demand!$I15,0,(COLUMN(E3)-1)*5,1,1))</f>
        <v>0</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6675</v>
      </c>
      <c r="O6" s="5">
        <f ca="1">SUM(OFFSET(Demand!$E15,0,(COLUMN(B3)-1)*5,1,3))*O$2</f>
        <v>5220</v>
      </c>
      <c r="P6" s="5">
        <f ca="1">SUM(OFFSET(Demand!$E15,0,(COLUMN(C3)-1)*5,1,3))*P$2</f>
        <v>1650</v>
      </c>
      <c r="Q6" s="5">
        <f ca="1">SUM(OFFSET(Demand!$E15,0,(COLUMN(D3)-1)*5,1,3))*Q$2</f>
        <v>780</v>
      </c>
      <c r="R6" s="5">
        <f ca="1">SUM(OFFSET(Demand!$E15,0,(COLUMN(E3)-1)*5,1,3))*R$2</f>
        <v>1</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14326</v>
      </c>
      <c r="Y6" s="5">
        <f t="shared" ca="1" si="5"/>
        <v>14326</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14326</v>
      </c>
      <c r="AM6" s="5">
        <f t="shared" ca="1" si="9"/>
        <v>0</v>
      </c>
      <c r="AN6" s="5" t="str">
        <f>IF(Demand!BE15="Yes","Yes","")</f>
        <v/>
      </c>
      <c r="AP6" s="36" t="str">
        <f ca="1">Demand!B15</f>
        <v xml:space="preserve"> </v>
      </c>
      <c r="AQ6" s="5" t="str">
        <f ca="1">IF(TEXT(Demand!D15,"MMM")&lt;&gt;TEXT(Demand!D14,"MMM"),TEXT(Demand!D15,"MMM"),"")</f>
        <v/>
      </c>
      <c r="AT6" s="5">
        <f t="shared" ref="AT6:AT69" ca="1" si="12">IF(OR(AL6="",AL5=""),"",ABS(AL6-AL5))</f>
        <v>2985</v>
      </c>
      <c r="AV6" s="5" t="s">
        <v>137</v>
      </c>
      <c r="AW6" s="44">
        <f ca="1">PERCENTILE(OFFSET(AL$4,'SPC background (hide)'!$C$4-1,0,'SPC background (hide)'!$H$5,1),'Control sheet (hide)'!$I$9)</f>
        <v>14765</v>
      </c>
      <c r="AX6" s="5">
        <f ca="1">PERCENTILE(OFFSET(AM$4,'SPC background (hide)'!$C$4-1,0,'SPC background (hide)'!$H$5,1),'Control sheet (hide)'!$I$9)</f>
        <v>0</v>
      </c>
      <c r="BB6" t="str">
        <f>'Control sheet (hide)'!AA3</f>
        <v>Slot A</v>
      </c>
      <c r="BC6" s="46">
        <f t="shared" ref="BC6:BC15" ca="1" si="13">IFERROR(IF(ROW(A1)&lt;=Num_Modalities,BJ6/$BM6,""),"")</f>
        <v>1.4375706670973995E-2</v>
      </c>
      <c r="BD6" s="46">
        <f t="shared" ref="BD6:BD15" ca="1" si="14">IFERROR(IF(ROW(B1)&lt;=Num_Modalities,BK6/$BM6,""),"")</f>
        <v>0.80257632046519145</v>
      </c>
      <c r="BE6" s="46">
        <f t="shared" ref="BE6:BE15" ca="1" si="15">IFERROR(IF(ROW(C1)&lt;=Num_Modalities,BL6/$BM6,""),"")</f>
        <v>0.18304797286383459</v>
      </c>
      <c r="BF6" s="5">
        <f ca="1">SUM(OFFSET($BQ$4,'SPC background (hide)'!$C$4-1,((ROW(A1)-1)*3)+MOD(COLUMN(C1),3),'SPC background (hide)'!$I$11,1))</f>
        <v>356</v>
      </c>
      <c r="BG6" s="5">
        <f ca="1">SUM(OFFSET($BQ$4,'SPC background (hide)'!$C$4-1,((ROW(B1)-1)*3)+MOD(COLUMN(D1),3),'SPC background (hide)'!$I$11,1))</f>
        <v>19875</v>
      </c>
      <c r="BH6" s="5">
        <f ca="1">SUM(OFFSET($BQ$4,'SPC background (hide)'!$C$4-1,((ROW(C1)-1)*3)+MOD(COLUMN(E1),3),'SPC background (hide)'!$I$11,1))</f>
        <v>4533</v>
      </c>
      <c r="BI6" s="5">
        <f ca="1">SUM(BF6:BH6)</f>
        <v>24764</v>
      </c>
      <c r="BJ6" s="5">
        <f ca="1">BF6*OFFSET($N$2,0,ROW(A1)-1,1,1)</f>
        <v>5340</v>
      </c>
      <c r="BK6" s="5">
        <f t="shared" ref="BK6:BL6" ca="1" si="16">BG6*OFFSET($N$2,0,ROW(B1)-1,1,1)</f>
        <v>298125</v>
      </c>
      <c r="BL6" s="5">
        <f t="shared" ca="1" si="16"/>
        <v>67995</v>
      </c>
      <c r="BM6" s="5">
        <f ca="1">SUM(BJ6:BL6)</f>
        <v>371460</v>
      </c>
      <c r="BN6" s="5">
        <f ca="1">OFFSET($N$2,0,ROW(A1)-1,1,1)</f>
        <v>15</v>
      </c>
      <c r="BO6" s="84">
        <f ca="1">BM6/$BM$16</f>
        <v>0.49309853209401605</v>
      </c>
      <c r="BQ6">
        <f ca="1">IF($AN6="",OFFSET(Demand!$A$13,ROW(A3)-1,4+((QUOTIENT(COLUMN(BQ$2)-69,3))*5)+MOD(COLUMN(BQ$2),3),1,1),"")</f>
        <v>1</v>
      </c>
      <c r="BR6">
        <f ca="1">IF($AN6="",OFFSET(Demand!$A$13,ROW(B3)-1,4+((QUOTIENT(COLUMN(BR$2)-69,3))*5)+MOD(COLUMN(BR$2),3),1,1),"")</f>
        <v>346</v>
      </c>
      <c r="BS6">
        <f ca="1">IF($AN6="",OFFSET(Demand!$A$13,ROW(C3)-1,4+((QUOTIENT(COLUMN(BS$2)-69,3))*5)+MOD(COLUMN(BS$2),3),1,1),"")</f>
        <v>98</v>
      </c>
      <c r="BT6">
        <f ca="1">IF($AN6="",OFFSET(Demand!$A$13,ROW(D3)-1,4+((QUOTIENT(COLUMN(BT$2)-69,3))*5)+MOD(COLUMN(BT$2),3),1,1),"")</f>
        <v>50</v>
      </c>
      <c r="BU6">
        <f ca="1">IF($AN6="",OFFSET(Demand!$A$13,ROW(E3)-1,4+((QUOTIENT(COLUMN(BU$2)-69,3))*5)+MOD(COLUMN(BU$2),3),1,1),"")</f>
        <v>257</v>
      </c>
      <c r="BV6">
        <f ca="1">IF($AN6="",OFFSET(Demand!$A$13,ROW(F3)-1,4+((QUOTIENT(COLUMN(BV$2)-69,3))*5)+MOD(COLUMN(BV$2),3),1,1),"")</f>
        <v>41</v>
      </c>
      <c r="BW6">
        <f ca="1">IF($AN6="",OFFSET(Demand!$A$13,ROW(G3)-1,4+((QUOTIENT(COLUMN(BW$2)-69,3))*5)+MOD(COLUMN(BW$2),3),1,1),"")</f>
        <v>50</v>
      </c>
      <c r="BX6">
        <f ca="1">IF($AN6="",OFFSET(Demand!$A$13,ROW(H3)-1,4+((QUOTIENT(COLUMN(BX$2)-69,3))*5)+MOD(COLUMN(BX$2),3),1,1),"")</f>
        <v>0</v>
      </c>
      <c r="BY6">
        <f ca="1">IF($AN6="",OFFSET(Demand!$A$13,ROW(I3)-1,4+((QUOTIENT(COLUMN(BY$2)-69,3))*5)+MOD(COLUMN(BY$2),3),1,1),"")</f>
        <v>5</v>
      </c>
      <c r="BZ6">
        <f ca="1">IF($AN6="",OFFSET(Demand!$A$13,ROW(J3)-1,4+((QUOTIENT(COLUMN(BZ$2)-69,3))*5)+MOD(COLUMN(BZ$2),3),1,1),"")</f>
        <v>9</v>
      </c>
      <c r="CA6">
        <f ca="1">IF($AN6="",OFFSET(Demand!$A$13,ROW(K3)-1,4+((QUOTIENT(COLUMN(CA$2)-69,3))*5)+MOD(COLUMN(CA$2),3),1,1),"")</f>
        <v>9</v>
      </c>
      <c r="CB6">
        <f ca="1">IF($AN6="",OFFSET(Demand!$A$13,ROW(L3)-1,4+((QUOTIENT(COLUMN(CB$2)-69,3))*5)+MOD(COLUMN(CB$2),3),1,1),"")</f>
        <v>8</v>
      </c>
      <c r="CC6">
        <f ca="1">IF($AN6="",OFFSET(Demand!$A$13,ROW(M3)-1,4+((QUOTIENT(COLUMN(CC$2)-69,3))*5)+MOD(COLUMN(CC$2),3),1,1),"")</f>
        <v>0</v>
      </c>
      <c r="CD6">
        <f ca="1">IF($AN6="",OFFSET(Demand!$A$13,ROW(N3)-1,4+((QUOTIENT(COLUMN(CD$2)-69,3))*5)+MOD(COLUMN(CD$2),3),1,1),"")</f>
        <v>1</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f ca="1">VLOOKUP(IF($DM6&lt;53,$DM6,52),'Summary Calculations (hide)'!$D$15:$F$67,2,0)</f>
        <v>14765</v>
      </c>
      <c r="DP6" s="5">
        <f ca="1">VLOOKUP(IF($DM6&lt;53,$DM6,52),'Summary Calculations (hide)'!$D$15:$F$67,3,0)</f>
        <v>15657.95</v>
      </c>
      <c r="DQ6" s="5">
        <f>IF(AND(DN6&gt;='Demand adjustments for Covid'!$F$12,DN6&lt;'Demand adjustments for Covid'!$F$17),'Demand adjustments for Covid'!$F$13,DO6)</f>
        <v>200</v>
      </c>
      <c r="DR6" s="5">
        <f t="shared" si="7"/>
        <v>0</v>
      </c>
      <c r="DS6" s="5">
        <f ca="1">IF('Demand adjustments for Covid'!$F$9="Yes",IF(DR6=0,DQ6,((SUM(DR$4:DR6)-1)*$EE$8)+'Demand adjustments for Covid'!F$13),'Demand background (hide)'!DO6)</f>
        <v>14765</v>
      </c>
      <c r="DT6" s="5">
        <f ca="1">IF('Demand adjustments for Covid'!$F$9="Yes",IF(OR(AND(DN6&gt;='Demand adjustments for Covid'!$F$12,DN6&lt;'Demand adjustments for Covid'!$F$17),DR6=1),DS6+3,DP6),'Demand background (hide)'!DP6)</f>
        <v>15657.95</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15657.95</v>
      </c>
      <c r="EA6" s="317"/>
    </row>
    <row r="7" spans="1:135" s="5" customFormat="1" x14ac:dyDescent="0.2">
      <c r="A7" s="5">
        <f t="shared" ca="1" si="3"/>
        <v>0</v>
      </c>
      <c r="B7" s="5">
        <f ca="1">COUNTBLANK(OFFSET(Demand!$I16,0,(COLUMN(A4)-1)*5,1,1))</f>
        <v>0</v>
      </c>
      <c r="C7" s="5">
        <f ca="1">COUNTBLANK(OFFSET(Demand!$I16,0,(COLUMN(B4)-1)*5,1,1))</f>
        <v>0</v>
      </c>
      <c r="D7" s="5">
        <f ca="1">COUNTBLANK(OFFSET(Demand!$I16,0,(COLUMN(C4)-1)*5,1,1))</f>
        <v>0</v>
      </c>
      <c r="E7" s="5">
        <f ca="1">COUNTBLANK(OFFSET(Demand!$I16,0,(COLUMN(D4)-1)*5,1,1))</f>
        <v>0</v>
      </c>
      <c r="F7" s="5">
        <f ca="1">COUNTBLANK(OFFSET(Demand!$I16,0,(COLUMN(E4)-1)*5,1,1))</f>
        <v>0</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6570</v>
      </c>
      <c r="O7" s="5">
        <f ca="1">SUM(OFFSET(Demand!$E16,0,(COLUMN(B4)-1)*5,1,3))*O$2</f>
        <v>5550</v>
      </c>
      <c r="P7" s="5">
        <f ca="1">SUM(OFFSET(Demand!$E16,0,(COLUMN(C4)-1)*5,1,3))*P$2</f>
        <v>1710</v>
      </c>
      <c r="Q7" s="5">
        <f ca="1">SUM(OFFSET(Demand!$E16,0,(COLUMN(D4)-1)*5,1,3))*Q$2</f>
        <v>810</v>
      </c>
      <c r="R7" s="5">
        <f ca="1">SUM(OFFSET(Demand!$E16,0,(COLUMN(E4)-1)*5,1,3))*R$2</f>
        <v>3</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14643</v>
      </c>
      <c r="Y7" s="5">
        <f t="shared" ca="1" si="5"/>
        <v>14643</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14643</v>
      </c>
      <c r="AM7" s="5">
        <f t="shared" ca="1" si="9"/>
        <v>0</v>
      </c>
      <c r="AN7" s="5" t="str">
        <f>IF(Demand!BE16="Yes","Yes","")</f>
        <v/>
      </c>
      <c r="AP7" s="36" t="str">
        <f ca="1">Demand!B16</f>
        <v xml:space="preserve"> </v>
      </c>
      <c r="AQ7" s="5" t="str">
        <f ca="1">IF(TEXT(Demand!D16,"MMM")&lt;&gt;TEXT(Demand!D15,"MMM"),TEXT(Demand!D16,"MMM"),"")</f>
        <v/>
      </c>
      <c r="AT7" s="5">
        <f t="shared" ca="1" si="12"/>
        <v>317</v>
      </c>
      <c r="AV7" s="5" t="s">
        <v>138</v>
      </c>
      <c r="AW7" s="44">
        <f ca="1">PERCENTILE(OFFSET(AL$4,'SPC background (hide)'!$C$4-1,0,'SPC background (hide)'!$H$5,1),'Control sheet (hide)'!$I$10)</f>
        <v>15657.95</v>
      </c>
      <c r="AX7" s="5">
        <f ca="1">PERCENTILE(OFFSET(AM$4,'SPC background (hide)'!$C$4-1,0,'SPC background (hide)'!$H$5,1),'Control sheet (hide)'!$I$10)</f>
        <v>0</v>
      </c>
      <c r="BB7" t="str">
        <f>'Control sheet (hide)'!AA4</f>
        <v>Slot B</v>
      </c>
      <c r="BC7" s="46">
        <f t="shared" ca="1" si="13"/>
        <v>0.17373267226550643</v>
      </c>
      <c r="BD7" s="46">
        <f t="shared" ca="1" si="14"/>
        <v>0.67555398158453905</v>
      </c>
      <c r="BE7" s="46">
        <f t="shared" ca="1" si="15"/>
        <v>0.15071334614995446</v>
      </c>
      <c r="BF7" s="5">
        <f ca="1">SUM(OFFSET($BQ$4,'SPC background (hide)'!$C$4-1,((ROW(A2)-1)*3)+MOD(COLUMN(C2),3),'SPC background (hide)'!$I$11,1))</f>
        <v>3434</v>
      </c>
      <c r="BG7" s="5">
        <f ca="1">SUM(OFFSET($BQ$4,'SPC background (hide)'!$C$4-1,((ROW(B2)-1)*3)+MOD(COLUMN(D2),3),'SPC background (hide)'!$I$11,1))</f>
        <v>13353</v>
      </c>
      <c r="BH7" s="5">
        <f ca="1">SUM(OFFSET($BQ$4,'SPC background (hide)'!$C$4-1,((ROW(C2)-1)*3)+MOD(COLUMN(E2),3),'SPC background (hide)'!$I$11,1))</f>
        <v>2979</v>
      </c>
      <c r="BI7" s="5">
        <f t="shared" ref="BI7:BI15" ca="1" si="18">SUM(BF7:BH7)</f>
        <v>19766</v>
      </c>
      <c r="BJ7" s="5">
        <f t="shared" ref="BJ7:BL7" ca="1" si="19">BF7*OFFSET($N$2,0,ROW(A2)-1,1,1)</f>
        <v>51510</v>
      </c>
      <c r="BK7" s="5">
        <f t="shared" ca="1" si="19"/>
        <v>200295</v>
      </c>
      <c r="BL7" s="5">
        <f t="shared" ca="1" si="19"/>
        <v>44685</v>
      </c>
      <c r="BM7" s="5">
        <f t="shared" ref="BM7:BM15" ca="1" si="20">SUM(BJ7:BL7)</f>
        <v>296490</v>
      </c>
      <c r="BN7" s="5">
        <f t="shared" ref="BN7:BN15" ca="1" si="21">OFFSET($N$2,0,ROW(A2)-1,1,1)</f>
        <v>15</v>
      </c>
      <c r="BO7" s="84">
        <f t="shared" ref="BO7:BO15" ca="1" si="22">BM7/$BM$16</f>
        <v>0.39357880735625594</v>
      </c>
      <c r="BQ7">
        <f ca="1">IF($AN7="",OFFSET(Demand!$A$13,ROW(A4)-1,4+((QUOTIENT(COLUMN(BQ$2)-69,3))*5)+MOD(COLUMN(BQ$2),3),1,1),"")</f>
        <v>8</v>
      </c>
      <c r="BR7">
        <f ca="1">IF($AN7="",OFFSET(Demand!$A$13,ROW(B4)-1,4+((QUOTIENT(COLUMN(BR$2)-69,3))*5)+MOD(COLUMN(BR$2),3),1,1),"")</f>
        <v>347</v>
      </c>
      <c r="BS7">
        <f ca="1">IF($AN7="",OFFSET(Demand!$A$13,ROW(C4)-1,4+((QUOTIENT(COLUMN(BS$2)-69,3))*5)+MOD(COLUMN(BS$2),3),1,1),"")</f>
        <v>83</v>
      </c>
      <c r="BT7">
        <f ca="1">IF($AN7="",OFFSET(Demand!$A$13,ROW(D4)-1,4+((QUOTIENT(COLUMN(BT$2)-69,3))*5)+MOD(COLUMN(BT$2),3),1,1),"")</f>
        <v>53</v>
      </c>
      <c r="BU7">
        <f ca="1">IF($AN7="",OFFSET(Demand!$A$13,ROW(E4)-1,4+((QUOTIENT(COLUMN(BU$2)-69,3))*5)+MOD(COLUMN(BU$2),3),1,1),"")</f>
        <v>257</v>
      </c>
      <c r="BV7">
        <f ca="1">IF($AN7="",OFFSET(Demand!$A$13,ROW(F4)-1,4+((QUOTIENT(COLUMN(BV$2)-69,3))*5)+MOD(COLUMN(BV$2),3),1,1),"")</f>
        <v>60</v>
      </c>
      <c r="BW7">
        <f ca="1">IF($AN7="",OFFSET(Demand!$A$13,ROW(G4)-1,4+((QUOTIENT(COLUMN(BW$2)-69,3))*5)+MOD(COLUMN(BW$2),3),1,1),"")</f>
        <v>53</v>
      </c>
      <c r="BX7">
        <f ca="1">IF($AN7="",OFFSET(Demand!$A$13,ROW(H4)-1,4+((QUOTIENT(COLUMN(BX$2)-69,3))*5)+MOD(COLUMN(BX$2),3),1,1),"")</f>
        <v>0</v>
      </c>
      <c r="BY7">
        <f ca="1">IF($AN7="",OFFSET(Demand!$A$13,ROW(I4)-1,4+((QUOTIENT(COLUMN(BY$2)-69,3))*5)+MOD(COLUMN(BY$2),3),1,1),"")</f>
        <v>4</v>
      </c>
      <c r="BZ7">
        <f ca="1">IF($AN7="",OFFSET(Demand!$A$13,ROW(J4)-1,4+((QUOTIENT(COLUMN(BZ$2)-69,3))*5)+MOD(COLUMN(BZ$2),3),1,1),"")</f>
        <v>13</v>
      </c>
      <c r="CA7">
        <f ca="1">IF($AN7="",OFFSET(Demand!$A$13,ROW(K4)-1,4+((QUOTIENT(COLUMN(CA$2)-69,3))*5)+MOD(COLUMN(CA$2),3),1,1),"")</f>
        <v>5</v>
      </c>
      <c r="CB7">
        <f ca="1">IF($AN7="",OFFSET(Demand!$A$13,ROW(L4)-1,4+((QUOTIENT(COLUMN(CB$2)-69,3))*5)+MOD(COLUMN(CB$2),3),1,1),"")</f>
        <v>9</v>
      </c>
      <c r="CC7">
        <f ca="1">IF($AN7="",OFFSET(Demand!$A$13,ROW(M4)-1,4+((QUOTIENT(COLUMN(CC$2)-69,3))*5)+MOD(COLUMN(CC$2),3),1,1),"")</f>
        <v>2</v>
      </c>
      <c r="CD7">
        <f ca="1">IF($AN7="",OFFSET(Demand!$A$13,ROW(N4)-1,4+((QUOTIENT(COLUMN(CD$2)-69,3))*5)+MOD(COLUMN(CD$2),3),1,1),"")</f>
        <v>1</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f ca="1">VLOOKUP(IF($DM7&lt;53,$DM7,52),'Summary Calculations (hide)'!$D$15:$F$67,2,0)</f>
        <v>14765</v>
      </c>
      <c r="DP7" s="5">
        <f ca="1">VLOOKUP(IF($DM7&lt;53,$DM7,52),'Summary Calculations (hide)'!$D$15:$F$67,3,0)</f>
        <v>15657.95</v>
      </c>
      <c r="DQ7" s="5">
        <f>IF(AND(DN7&gt;='Demand adjustments for Covid'!$F$12,DN7&lt;'Demand adjustments for Covid'!$F$17),'Demand adjustments for Covid'!$F$13,DO7)</f>
        <v>200</v>
      </c>
      <c r="DR7" s="5">
        <f t="shared" si="7"/>
        <v>0</v>
      </c>
      <c r="DS7" s="5">
        <f ca="1">IF('Demand adjustments for Covid'!$F$9="Yes",IF(DR7=0,DQ7,((SUM(DR$4:DR7)-1)*$EE$8)+'Demand adjustments for Covid'!F$13),'Demand background (hide)'!DO7)</f>
        <v>14765</v>
      </c>
      <c r="DT7" s="5">
        <f ca="1">IF('Demand adjustments for Covid'!$F$9="Yes",IF(OR(AND(DN7&gt;='Demand adjustments for Covid'!$F$12,DN7&lt;'Demand adjustments for Covid'!$F$17),DR7=1),DS7+3,DP7),'Demand background (hide)'!DP7)</f>
        <v>15657.95</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15657.95</v>
      </c>
      <c r="ED7" s="5" t="s">
        <v>1194</v>
      </c>
      <c r="EE7" s="5">
        <f ca="1">INDEX($DO$4:$DO$55,EE5)</f>
        <v>14765</v>
      </c>
    </row>
    <row r="8" spans="1:135" s="5" customFormat="1" x14ac:dyDescent="0.2">
      <c r="A8" s="5">
        <f t="shared" ca="1" si="3"/>
        <v>1</v>
      </c>
      <c r="B8" s="5">
        <f ca="1">COUNTBLANK(OFFSET(Demand!$I17,0,(COLUMN(A5)-1)*5,1,1))</f>
        <v>0</v>
      </c>
      <c r="C8" s="5">
        <f ca="1">COUNTBLANK(OFFSET(Demand!$I17,0,(COLUMN(B5)-1)*5,1,1))</f>
        <v>0</v>
      </c>
      <c r="D8" s="5">
        <f ca="1">COUNTBLANK(OFFSET(Demand!$I17,0,(COLUMN(C5)-1)*5,1,1))</f>
        <v>0</v>
      </c>
      <c r="E8" s="5">
        <f ca="1">COUNTBLANK(OFFSET(Demand!$I17,0,(COLUMN(D5)-1)*5,1,1))</f>
        <v>0</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6105</v>
      </c>
      <c r="O8" s="5">
        <f ca="1">SUM(OFFSET(Demand!$E17,0,(COLUMN(B5)-1)*5,1,3))*O$2</f>
        <v>5460</v>
      </c>
      <c r="P8" s="5">
        <f ca="1">SUM(OFFSET(Demand!$E17,0,(COLUMN(C5)-1)*5,1,3))*P$2</f>
        <v>1290</v>
      </c>
      <c r="Q8" s="5">
        <f ca="1">SUM(OFFSET(Demand!$E17,0,(COLUMN(D5)-1)*5,1,3))*Q$2</f>
        <v>780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13635</v>
      </c>
      <c r="Y8" s="5">
        <f t="shared" ca="1" si="5"/>
        <v>13635</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13635</v>
      </c>
      <c r="AM8" s="5">
        <f t="shared" ca="1" si="9"/>
        <v>0</v>
      </c>
      <c r="AN8" s="5" t="str">
        <f>IF(Demand!BE17="Yes","Yes","")</f>
        <v/>
      </c>
      <c r="AP8" s="36" t="str">
        <f ca="1">Demand!B17</f>
        <v xml:space="preserve"> </v>
      </c>
      <c r="AQ8" s="5" t="str">
        <f ca="1">IF(TEXT(Demand!D17,"MMM")&lt;&gt;TEXT(Demand!D16,"MMM"),TEXT(Demand!D17,"MMM"),"")</f>
        <v/>
      </c>
      <c r="AT8" s="5">
        <f t="shared" ca="1" si="12"/>
        <v>1008</v>
      </c>
      <c r="BB8" t="str">
        <f>'Control sheet (hide)'!AA5</f>
        <v>Cacrys</v>
      </c>
      <c r="BC8" s="46">
        <f t="shared" ca="1" si="13"/>
        <v>0.65051020408163263</v>
      </c>
      <c r="BD8" s="46">
        <f t="shared" ca="1" si="14"/>
        <v>2.3596938775510203E-2</v>
      </c>
      <c r="BE8" s="46">
        <f t="shared" ca="1" si="15"/>
        <v>0.32589285714285715</v>
      </c>
      <c r="BF8" s="5">
        <f ca="1">SUM(OFFSET($BQ$4,'SPC background (hide)'!$C$4-1,((ROW(A3)-1)*3)+MOD(COLUMN(C3),3),'SPC background (hide)'!$I$11,1))</f>
        <v>1020</v>
      </c>
      <c r="BG8" s="5">
        <f ca="1">SUM(OFFSET($BQ$4,'SPC background (hide)'!$C$4-1,((ROW(B3)-1)*3)+MOD(COLUMN(D3),3),'SPC background (hide)'!$I$11,1))</f>
        <v>37</v>
      </c>
      <c r="BH8" s="5">
        <f ca="1">SUM(OFFSET($BQ$4,'SPC background (hide)'!$C$4-1,((ROW(C3)-1)*3)+MOD(COLUMN(E3),3),'SPC background (hide)'!$I$11,1))</f>
        <v>511</v>
      </c>
      <c r="BI8" s="5">
        <f t="shared" ca="1" si="18"/>
        <v>1568</v>
      </c>
      <c r="BJ8" s="5">
        <f t="shared" ref="BJ8:BL8" ca="1" si="23">BF8*OFFSET($N$2,0,ROW(A3)-1,1,1)</f>
        <v>30600</v>
      </c>
      <c r="BK8" s="5">
        <f t="shared" ca="1" si="23"/>
        <v>1110</v>
      </c>
      <c r="BL8" s="5">
        <f t="shared" ca="1" si="23"/>
        <v>15330</v>
      </c>
      <c r="BM8" s="5">
        <f t="shared" ca="1" si="20"/>
        <v>47040</v>
      </c>
      <c r="BN8" s="5">
        <f t="shared" ca="1" si="21"/>
        <v>30</v>
      </c>
      <c r="BO8" s="84">
        <f t="shared" ca="1" si="22"/>
        <v>6.2443748855065193E-2</v>
      </c>
      <c r="BQ8">
        <f ca="1">IF($AN8="",OFFSET(Demand!$A$13,ROW(A5)-1,4+((QUOTIENT(COLUMN(BQ$2)-69,3))*5)+MOD(COLUMN(BQ$2),3),1,1),"")</f>
        <v>3</v>
      </c>
      <c r="BR8">
        <f ca="1">IF($AN8="",OFFSET(Demand!$A$13,ROW(B5)-1,4+((QUOTIENT(COLUMN(BR$2)-69,3))*5)+MOD(COLUMN(BR$2),3),1,1),"")</f>
        <v>323</v>
      </c>
      <c r="BS8">
        <f ca="1">IF($AN8="",OFFSET(Demand!$A$13,ROW(C5)-1,4+((QUOTIENT(COLUMN(BS$2)-69,3))*5)+MOD(COLUMN(BS$2),3),1,1),"")</f>
        <v>81</v>
      </c>
      <c r="BT8">
        <f ca="1">IF($AN8="",OFFSET(Demand!$A$13,ROW(D5)-1,4+((QUOTIENT(COLUMN(BT$2)-69,3))*5)+MOD(COLUMN(BT$2),3),1,1),"")</f>
        <v>37</v>
      </c>
      <c r="BU8">
        <f ca="1">IF($AN8="",OFFSET(Demand!$A$13,ROW(E5)-1,4+((QUOTIENT(COLUMN(BU$2)-69,3))*5)+MOD(COLUMN(BU$2),3),1,1),"")</f>
        <v>268</v>
      </c>
      <c r="BV8">
        <f ca="1">IF($AN8="",OFFSET(Demand!$A$13,ROW(F5)-1,4+((QUOTIENT(COLUMN(BV$2)-69,3))*5)+MOD(COLUMN(BV$2),3),1,1),"")</f>
        <v>59</v>
      </c>
      <c r="BW8">
        <f ca="1">IF($AN8="",OFFSET(Demand!$A$13,ROW(G5)-1,4+((QUOTIENT(COLUMN(BW$2)-69,3))*5)+MOD(COLUMN(BW$2),3),1,1),"")</f>
        <v>37</v>
      </c>
      <c r="BX8">
        <f ca="1">IF($AN8="",OFFSET(Demand!$A$13,ROW(H5)-1,4+((QUOTIENT(COLUMN(BX$2)-69,3))*5)+MOD(COLUMN(BX$2),3),1,1),"")</f>
        <v>2</v>
      </c>
      <c r="BY8">
        <f ca="1">IF($AN8="",OFFSET(Demand!$A$13,ROW(I5)-1,4+((QUOTIENT(COLUMN(BY$2)-69,3))*5)+MOD(COLUMN(BY$2),3),1,1),"")</f>
        <v>4</v>
      </c>
      <c r="BZ8">
        <f ca="1">IF($AN8="",OFFSET(Demand!$A$13,ROW(J5)-1,4+((QUOTIENT(COLUMN(BZ$2)-69,3))*5)+MOD(COLUMN(BZ$2),3),1,1),"")</f>
        <v>10</v>
      </c>
      <c r="CA8">
        <f ca="1">IF($AN8="",OFFSET(Demand!$A$13,ROW(K5)-1,4+((QUOTIENT(COLUMN(CA$2)-69,3))*5)+MOD(COLUMN(CA$2),3),1,1),"")</f>
        <v>4</v>
      </c>
      <c r="CB8">
        <f ca="1">IF($AN8="",OFFSET(Demand!$A$13,ROW(L5)-1,4+((QUOTIENT(COLUMN(CB$2)-69,3))*5)+MOD(COLUMN(CB$2),3),1,1),"")</f>
        <v>12</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f ca="1">VLOOKUP(IF($DM8&lt;53,$DM8,52),'Summary Calculations (hide)'!$D$15:$F$67,2,0)</f>
        <v>14765</v>
      </c>
      <c r="DP8" s="5">
        <f ca="1">VLOOKUP(IF($DM8&lt;53,$DM8,52),'Summary Calculations (hide)'!$D$15:$F$67,3,0)</f>
        <v>15657.95</v>
      </c>
      <c r="DQ8" s="5">
        <f>IF(AND(DN8&gt;='Demand adjustments for Covid'!$F$12,DN8&lt;'Demand adjustments for Covid'!$F$17),'Demand adjustments for Covid'!$F$13,DO8)</f>
        <v>200</v>
      </c>
      <c r="DR8" s="5">
        <f t="shared" si="7"/>
        <v>0</v>
      </c>
      <c r="DS8" s="5">
        <f ca="1">IF('Demand adjustments for Covid'!$F$9="Yes",IF(DR8=0,DQ8,((SUM(DR$4:DR8)-1)*$EE$8)+'Demand adjustments for Covid'!F$13),'Demand background (hide)'!DO8)</f>
        <v>14765</v>
      </c>
      <c r="DT8" s="5">
        <f ca="1">IF('Demand adjustments for Covid'!$F$9="Yes",IF(OR(AND(DN8&gt;='Demand adjustments for Covid'!$F$12,DN8&lt;'Demand adjustments for Covid'!$F$17),DR8=1),DS8+3,DP8),'Demand background (hide)'!DP8)</f>
        <v>15657.95</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15657.95</v>
      </c>
      <c r="ED8" s="5" t="s">
        <v>1195</v>
      </c>
      <c r="EE8" s="5">
        <f ca="1">IF('Demand adjustments for Covid'!F18&gt;0,(EE7-'Demand adjustments for Covid'!F13)/'Demand adjustments for Covid'!F18,0)</f>
        <v>728.25</v>
      </c>
    </row>
    <row r="9" spans="1:135" s="5" customFormat="1" x14ac:dyDescent="0.2">
      <c r="A9" s="5">
        <f t="shared" ca="1" si="3"/>
        <v>1</v>
      </c>
      <c r="B9" s="5">
        <f ca="1">COUNTBLANK(OFFSET(Demand!$I18,0,(COLUMN(A6)-1)*5,1,1))</f>
        <v>0</v>
      </c>
      <c r="C9" s="5">
        <f ca="1">COUNTBLANK(OFFSET(Demand!$I18,0,(COLUMN(B6)-1)*5,1,1))</f>
        <v>0</v>
      </c>
      <c r="D9" s="5">
        <f ca="1">COUNTBLANK(OFFSET(Demand!$I18,0,(COLUMN(C6)-1)*5,1,1))</f>
        <v>0</v>
      </c>
      <c r="E9" s="5">
        <f ca="1">COUNTBLANK(OFFSET(Demand!$I18,0,(COLUMN(D6)-1)*5,1,1))</f>
        <v>0</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6690</v>
      </c>
      <c r="O9" s="5">
        <f ca="1">SUM(OFFSET(Demand!$E18,0,(COLUMN(B6)-1)*5,1,3))*O$2</f>
        <v>5835</v>
      </c>
      <c r="P9" s="5">
        <f ca="1">SUM(OFFSET(Demand!$E18,0,(COLUMN(C6)-1)*5,1,3))*P$2</f>
        <v>1500</v>
      </c>
      <c r="Q9" s="5">
        <f ca="1">SUM(OFFSET(Demand!$E18,0,(COLUMN(D6)-1)*5,1,3))*Q$2</f>
        <v>630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14655</v>
      </c>
      <c r="Y9" s="5">
        <f t="shared" ca="1" si="5"/>
        <v>14655</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14655</v>
      </c>
      <c r="AM9" s="5">
        <f t="shared" ca="1" si="9"/>
        <v>0</v>
      </c>
      <c r="AN9" s="5" t="str">
        <f>IF(Demand!BE18="Yes","Yes","")</f>
        <v/>
      </c>
      <c r="AP9" s="36" t="str">
        <f ca="1">Demand!B18</f>
        <v xml:space="preserve"> </v>
      </c>
      <c r="AQ9" s="5" t="str">
        <f ca="1">IF(TEXT(Demand!D18,"MMM")&lt;&gt;TEXT(Demand!D17,"MMM"),TEXT(Demand!D18,"MMM"),"")</f>
        <v>May</v>
      </c>
      <c r="AT9" s="5">
        <f t="shared" ca="1" si="12"/>
        <v>1020</v>
      </c>
      <c r="BB9" t="str">
        <f>'Control sheet (hide)'!AA6</f>
        <v>CT Colon</v>
      </c>
      <c r="BC9" s="46">
        <f t="shared" ca="1" si="13"/>
        <v>0.5827450980392157</v>
      </c>
      <c r="BD9" s="46">
        <f t="shared" ca="1" si="14"/>
        <v>0.16</v>
      </c>
      <c r="BE9" s="46">
        <f t="shared" ca="1" si="15"/>
        <v>0.25725490196078432</v>
      </c>
      <c r="BF9" s="5">
        <f ca="1">SUM(OFFSET($BQ$4,'SPC background (hide)'!$C$4-1,((ROW(A4)-1)*3)+MOD(COLUMN(C4),3),'SPC background (hide)'!$I$11,1))</f>
        <v>743</v>
      </c>
      <c r="BG9" s="5">
        <f ca="1">SUM(OFFSET($BQ$4,'SPC background (hide)'!$C$4-1,((ROW(B4)-1)*3)+MOD(COLUMN(D4),3),'SPC background (hide)'!$I$11,1))</f>
        <v>204</v>
      </c>
      <c r="BH9" s="5">
        <f ca="1">SUM(OFFSET($BQ$4,'SPC background (hide)'!$C$4-1,((ROW(C4)-1)*3)+MOD(COLUMN(E4),3),'SPC background (hide)'!$I$11,1))</f>
        <v>328</v>
      </c>
      <c r="BI9" s="5">
        <f t="shared" ca="1" si="18"/>
        <v>1275</v>
      </c>
      <c r="BJ9" s="5">
        <f t="shared" ref="BJ9:BL9" ca="1" si="24">BF9*OFFSET($N$2,0,ROW(A4)-1,1,1)</f>
        <v>22290</v>
      </c>
      <c r="BK9" s="5">
        <f t="shared" ca="1" si="24"/>
        <v>6120</v>
      </c>
      <c r="BL9" s="5">
        <f t="shared" ca="1" si="24"/>
        <v>9840</v>
      </c>
      <c r="BM9" s="5">
        <f t="shared" ca="1" si="20"/>
        <v>38250</v>
      </c>
      <c r="BN9" s="5">
        <f t="shared" ca="1" si="21"/>
        <v>30</v>
      </c>
      <c r="BO9" s="84">
        <f t="shared" ca="1" si="22"/>
        <v>5.0775369764163344E-2</v>
      </c>
      <c r="BQ9">
        <f ca="1">IF($AN9="",OFFSET(Demand!$A$13,ROW(A6)-1,4+((QUOTIENT(COLUMN(BQ$2)-69,3))*5)+MOD(COLUMN(BQ$2),3),1,1),"")</f>
        <v>5</v>
      </c>
      <c r="BR9">
        <f ca="1">IF($AN9="",OFFSET(Demand!$A$13,ROW(B6)-1,4+((QUOTIENT(COLUMN(BR$2)-69,3))*5)+MOD(COLUMN(BR$2),3),1,1),"")</f>
        <v>339</v>
      </c>
      <c r="BS9">
        <f ca="1">IF($AN9="",OFFSET(Demand!$A$13,ROW(C6)-1,4+((QUOTIENT(COLUMN(BS$2)-69,3))*5)+MOD(COLUMN(BS$2),3),1,1),"")</f>
        <v>102</v>
      </c>
      <c r="BT9">
        <f ca="1">IF($AN9="",OFFSET(Demand!$A$13,ROW(D6)-1,4+((QUOTIENT(COLUMN(BT$2)-69,3))*5)+MOD(COLUMN(BT$2),3),1,1),"")</f>
        <v>49</v>
      </c>
      <c r="BU9">
        <f ca="1">IF($AN9="",OFFSET(Demand!$A$13,ROW(E6)-1,4+((QUOTIENT(COLUMN(BU$2)-69,3))*5)+MOD(COLUMN(BU$2),3),1,1),"")</f>
        <v>281</v>
      </c>
      <c r="BV9">
        <f ca="1">IF($AN9="",OFFSET(Demand!$A$13,ROW(F6)-1,4+((QUOTIENT(COLUMN(BV$2)-69,3))*5)+MOD(COLUMN(BV$2),3),1,1),"")</f>
        <v>59</v>
      </c>
      <c r="BW9">
        <f ca="1">IF($AN9="",OFFSET(Demand!$A$13,ROW(G6)-1,4+((QUOTIENT(COLUMN(BW$2)-69,3))*5)+MOD(COLUMN(BW$2),3),1,1),"")</f>
        <v>49</v>
      </c>
      <c r="BX9">
        <f ca="1">IF($AN9="",OFFSET(Demand!$A$13,ROW(H6)-1,4+((QUOTIENT(COLUMN(BX$2)-69,3))*5)+MOD(COLUMN(BX$2),3),1,1),"")</f>
        <v>0</v>
      </c>
      <c r="BY9">
        <f ca="1">IF($AN9="",OFFSET(Demand!$A$13,ROW(I6)-1,4+((QUOTIENT(COLUMN(BY$2)-69,3))*5)+MOD(COLUMN(BY$2),3),1,1),"")</f>
        <v>1</v>
      </c>
      <c r="BZ9">
        <f ca="1">IF($AN9="",OFFSET(Demand!$A$13,ROW(J6)-1,4+((QUOTIENT(COLUMN(BZ$2)-69,3))*5)+MOD(COLUMN(BZ$2),3),1,1),"")</f>
        <v>6</v>
      </c>
      <c r="CA9">
        <f ca="1">IF($AN9="",OFFSET(Demand!$A$13,ROW(K6)-1,4+((QUOTIENT(COLUMN(CA$2)-69,3))*5)+MOD(COLUMN(CA$2),3),1,1),"")</f>
        <v>8</v>
      </c>
      <c r="CB9">
        <f ca="1">IF($AN9="",OFFSET(Demand!$A$13,ROW(L6)-1,4+((QUOTIENT(COLUMN(CB$2)-69,3))*5)+MOD(COLUMN(CB$2),3),1,1),"")</f>
        <v>7</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f ca="1">VLOOKUP(IF($DM9&lt;53,$DM9,52),'Summary Calculations (hide)'!$D$15:$F$67,2,0)</f>
        <v>14765</v>
      </c>
      <c r="DP9" s="5">
        <f ca="1">VLOOKUP(IF($DM9&lt;53,$DM9,52),'Summary Calculations (hide)'!$D$15:$F$67,3,0)</f>
        <v>15657.95</v>
      </c>
      <c r="DQ9" s="5">
        <f>IF(AND(DN9&gt;='Demand adjustments for Covid'!$F$12,DN9&lt;'Demand adjustments for Covid'!$F$17),'Demand adjustments for Covid'!$F$13,DO9)</f>
        <v>200</v>
      </c>
      <c r="DR9" s="5">
        <f t="shared" si="7"/>
        <v>0</v>
      </c>
      <c r="DS9" s="5">
        <f ca="1">IF('Demand adjustments for Covid'!$F$9="Yes",IF(DR9=0,DQ9,((SUM(DR$4:DR9)-1)*$EE$8)+'Demand adjustments for Covid'!F$13),'Demand background (hide)'!DO9)</f>
        <v>14765</v>
      </c>
      <c r="DT9" s="5">
        <f ca="1">IF('Demand adjustments for Covid'!$F$9="Yes",IF(OR(AND(DN9&gt;='Demand adjustments for Covid'!$F$12,DN9&lt;'Demand adjustments for Covid'!$F$17),DR9=1),DS9+3,DP9),'Demand background (hide)'!DP9)</f>
        <v>15657.95</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15657.95</v>
      </c>
    </row>
    <row r="10" spans="1:135" s="5" customFormat="1" x14ac:dyDescent="0.2">
      <c r="A10" s="5">
        <f t="shared" ca="1" si="3"/>
        <v>0</v>
      </c>
      <c r="B10" s="5">
        <f ca="1">COUNTBLANK(OFFSET(Demand!$I19,0,(COLUMN(A7)-1)*5,1,1))</f>
        <v>0</v>
      </c>
      <c r="C10" s="5">
        <f ca="1">COUNTBLANK(OFFSET(Demand!$I19,0,(COLUMN(B7)-1)*5,1,1))</f>
        <v>0</v>
      </c>
      <c r="D10" s="5">
        <f ca="1">COUNTBLANK(OFFSET(Demand!$I19,0,(COLUMN(C7)-1)*5,1,1))</f>
        <v>0</v>
      </c>
      <c r="E10" s="5">
        <f ca="1">COUNTBLANK(OFFSET(Demand!$I19,0,(COLUMN(D7)-1)*5,1,1))</f>
        <v>0</v>
      </c>
      <c r="F10" s="5">
        <f ca="1">COUNTBLANK(OFFSET(Demand!$I19,0,(COLUMN(E7)-1)*5,1,1))</f>
        <v>0</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5940</v>
      </c>
      <c r="O10" s="5">
        <f ca="1">SUM(OFFSET(Demand!$E19,0,(COLUMN(B7)-1)*5,1,3))*O$2</f>
        <v>5475</v>
      </c>
      <c r="P10" s="5">
        <f ca="1">SUM(OFFSET(Demand!$E19,0,(COLUMN(C7)-1)*5,1,3))*P$2</f>
        <v>960</v>
      </c>
      <c r="Q10" s="5">
        <f ca="1">SUM(OFFSET(Demand!$E19,0,(COLUMN(D7)-1)*5,1,3))*Q$2</f>
        <v>570</v>
      </c>
      <c r="R10" s="5">
        <f ca="1">SUM(OFFSET(Demand!$E19,0,(COLUMN(E7)-1)*5,1,3))*R$2</f>
        <v>1</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12946</v>
      </c>
      <c r="Y10" s="5">
        <f t="shared" ca="1" si="5"/>
        <v>12946</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12946</v>
      </c>
      <c r="AM10" s="5">
        <f t="shared" ca="1" si="9"/>
        <v>0</v>
      </c>
      <c r="AN10" s="5" t="str">
        <f>IF(Demand!BE19="Yes","Yes","")</f>
        <v/>
      </c>
      <c r="AP10" s="36" t="str">
        <f ca="1">Demand!B19</f>
        <v xml:space="preserve"> </v>
      </c>
      <c r="AQ10" s="5" t="str">
        <f ca="1">IF(TEXT(Demand!D19,"MMM")&lt;&gt;TEXT(Demand!D18,"MMM"),TEXT(Demand!D19,"MMM"),"")</f>
        <v/>
      </c>
      <c r="AT10" s="5">
        <f t="shared" ca="1" si="12"/>
        <v>1709</v>
      </c>
      <c r="AV10" s="5" t="s">
        <v>69</v>
      </c>
      <c r="AW10" s="44" t="str">
        <f ca="1">IFERROR(AVERAGE(OFFSET(AL$4,'SPC background (hide)'!$D$6-1,0,'SPC background (hide)'!$H$7,1)),"")</f>
        <v/>
      </c>
      <c r="AX10" s="5" t="str">
        <f ca="1">IFERROR(AVERAGE(OFFSET(AM$4,'SPC background (hide)'!$D$6-1,0,'SPC background (hide)'!$H$7,1)),"")</f>
        <v/>
      </c>
      <c r="BB10" t="str">
        <f>'Control sheet (hide)'!AA7</f>
        <v>CT Biopsy</v>
      </c>
      <c r="BC10" s="46">
        <f t="shared" ca="1" si="13"/>
        <v>0.62820512820512819</v>
      </c>
      <c r="BD10" s="46">
        <f t="shared" ca="1" si="14"/>
        <v>0.30769230769230771</v>
      </c>
      <c r="BE10" s="46">
        <f t="shared" ca="1" si="15"/>
        <v>6.4102564102564097E-2</v>
      </c>
      <c r="BF10" s="5">
        <f ca="1">SUM(OFFSET($BQ$4,'SPC background (hide)'!$C$4-1,((ROW(A5)-1)*3)+MOD(COLUMN(C5),3),'SPC background (hide)'!$I$11,1))</f>
        <v>49</v>
      </c>
      <c r="BG10" s="5">
        <f ca="1">SUM(OFFSET($BQ$4,'SPC background (hide)'!$C$4-1,((ROW(B5)-1)*3)+MOD(COLUMN(D5),3),'SPC background (hide)'!$I$11,1))</f>
        <v>24</v>
      </c>
      <c r="BH10" s="5">
        <f ca="1">SUM(OFFSET($BQ$4,'SPC background (hide)'!$C$4-1,((ROW(C5)-1)*3)+MOD(COLUMN(E5),3),'SPC background (hide)'!$I$11,1))</f>
        <v>5</v>
      </c>
      <c r="BI10" s="5">
        <f t="shared" ca="1" si="18"/>
        <v>78</v>
      </c>
      <c r="BJ10" s="5">
        <f t="shared" ref="BJ10:BL10" ca="1" si="25">BF10*OFFSET($N$2,0,ROW(A5)-1,1,1)</f>
        <v>49</v>
      </c>
      <c r="BK10" s="5">
        <f t="shared" ca="1" si="25"/>
        <v>24</v>
      </c>
      <c r="BL10" s="5">
        <f t="shared" ca="1" si="25"/>
        <v>5</v>
      </c>
      <c r="BM10" s="5">
        <f t="shared" ca="1" si="20"/>
        <v>78</v>
      </c>
      <c r="BN10" s="5">
        <f t="shared" ca="1" si="21"/>
        <v>1</v>
      </c>
      <c r="BO10" s="84">
        <f t="shared" ca="1" si="22"/>
        <v>1.0354193049947034E-4</v>
      </c>
      <c r="BQ10">
        <f ca="1">IF($AN10="",OFFSET(Demand!$A$13,ROW(A7)-1,4+((QUOTIENT(COLUMN(BQ$2)-69,3))*5)+MOD(COLUMN(BQ$2),3),1,1),"")</f>
        <v>0</v>
      </c>
      <c r="BR10">
        <f ca="1">IF($AN10="",OFFSET(Demand!$A$13,ROW(B7)-1,4+((QUOTIENT(COLUMN(BR$2)-69,3))*5)+MOD(COLUMN(BR$2),3),1,1),"")</f>
        <v>325</v>
      </c>
      <c r="BS10">
        <f ca="1">IF($AN10="",OFFSET(Demand!$A$13,ROW(C7)-1,4+((QUOTIENT(COLUMN(BS$2)-69,3))*5)+MOD(COLUMN(BS$2),3),1,1),"")</f>
        <v>71</v>
      </c>
      <c r="BT10">
        <f ca="1">IF($AN10="",OFFSET(Demand!$A$13,ROW(D7)-1,4+((QUOTIENT(COLUMN(BT$2)-69,3))*5)+MOD(COLUMN(BT$2),3),1,1),"")</f>
        <v>29</v>
      </c>
      <c r="BU10">
        <f ca="1">IF($AN10="",OFFSET(Demand!$A$13,ROW(E7)-1,4+((QUOTIENT(COLUMN(BU$2)-69,3))*5)+MOD(COLUMN(BU$2),3),1,1),"")</f>
        <v>271</v>
      </c>
      <c r="BV10">
        <f ca="1">IF($AN10="",OFFSET(Demand!$A$13,ROW(F7)-1,4+((QUOTIENT(COLUMN(BV$2)-69,3))*5)+MOD(COLUMN(BV$2),3),1,1),"")</f>
        <v>65</v>
      </c>
      <c r="BW10">
        <f ca="1">IF($AN10="",OFFSET(Demand!$A$13,ROW(G7)-1,4+((QUOTIENT(COLUMN(BW$2)-69,3))*5)+MOD(COLUMN(BW$2),3),1,1),"")</f>
        <v>29</v>
      </c>
      <c r="BX10">
        <f ca="1">IF($AN10="",OFFSET(Demand!$A$13,ROW(H7)-1,4+((QUOTIENT(COLUMN(BX$2)-69,3))*5)+MOD(COLUMN(BX$2),3),1,1),"")</f>
        <v>1</v>
      </c>
      <c r="BY10">
        <f ca="1">IF($AN10="",OFFSET(Demand!$A$13,ROW(I7)-1,4+((QUOTIENT(COLUMN(BY$2)-69,3))*5)+MOD(COLUMN(BY$2),3),1,1),"")</f>
        <v>2</v>
      </c>
      <c r="BZ10">
        <f ca="1">IF($AN10="",OFFSET(Demand!$A$13,ROW(J7)-1,4+((QUOTIENT(COLUMN(BZ$2)-69,3))*5)+MOD(COLUMN(BZ$2),3),1,1),"")</f>
        <v>5</v>
      </c>
      <c r="CA10">
        <f ca="1">IF($AN10="",OFFSET(Demand!$A$13,ROW(K7)-1,4+((QUOTIENT(COLUMN(CA$2)-69,3))*5)+MOD(COLUMN(CA$2),3),1,1),"")</f>
        <v>10</v>
      </c>
      <c r="CB10">
        <f ca="1">IF($AN10="",OFFSET(Demand!$A$13,ROW(L7)-1,4+((QUOTIENT(COLUMN(CB$2)-69,3))*5)+MOD(COLUMN(CB$2),3),1,1),"")</f>
        <v>4</v>
      </c>
      <c r="CC10">
        <f ca="1">IF($AN10="",OFFSET(Demand!$A$13,ROW(M7)-1,4+((QUOTIENT(COLUMN(CC$2)-69,3))*5)+MOD(COLUMN(CC$2),3),1,1),"")</f>
        <v>0</v>
      </c>
      <c r="CD10">
        <f ca="1">IF($AN10="",OFFSET(Demand!$A$13,ROW(N7)-1,4+((QUOTIENT(COLUMN(CD$2)-69,3))*5)+MOD(COLUMN(CD$2),3),1,1),"")</f>
        <v>0</v>
      </c>
      <c r="CE10">
        <f ca="1">IF($AN10="",OFFSET(Demand!$A$13,ROW(O7)-1,4+((QUOTIENT(COLUMN(CE$2)-69,3))*5)+MOD(COLUMN(CE$2),3),1,1),"")</f>
        <v>1</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f ca="1">VLOOKUP(IF($DM10&lt;53,$DM10,52),'Summary Calculations (hide)'!$D$15:$F$67,2,0)</f>
        <v>14765</v>
      </c>
      <c r="DP10" s="5">
        <f ca="1">VLOOKUP(IF($DM10&lt;53,$DM10,52),'Summary Calculations (hide)'!$D$15:$F$67,3,0)</f>
        <v>15657.95</v>
      </c>
      <c r="DQ10" s="5">
        <f ca="1">IF(AND(DN10&gt;='Demand adjustments for Covid'!$F$12,DN10&lt;'Demand adjustments for Covid'!$F$17),'Demand adjustments for Covid'!$F$13,DO10)</f>
        <v>14765</v>
      </c>
      <c r="DR10" s="5">
        <f t="shared" si="7"/>
        <v>1</v>
      </c>
      <c r="DS10" s="5">
        <f ca="1">IF('Demand adjustments for Covid'!$F$9="Yes",IF(DR10=0,DQ10,((SUM(DR$4:DR10)-1)*$EE$8)+'Demand adjustments for Covid'!F$13),'Demand background (hide)'!DO10)</f>
        <v>14765</v>
      </c>
      <c r="DT10" s="5">
        <f ca="1">IF('Demand adjustments for Covid'!$F$9="Yes",IF(OR(AND(DN10&gt;='Demand adjustments for Covid'!$F$12,DN10&lt;'Demand adjustments for Covid'!$F$17),DR10=1),DS10+3,DP10),'Demand background (hide)'!DP10)</f>
        <v>15657.95</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15657.95</v>
      </c>
      <c r="ED10" s="5" t="s">
        <v>1198</v>
      </c>
      <c r="EE10" s="5">
        <f ca="1">SUM(DU4:DU55)</f>
        <v>0</v>
      </c>
    </row>
    <row r="11" spans="1:135" s="5" customFormat="1" x14ac:dyDescent="0.2">
      <c r="A11" s="5">
        <f t="shared" ca="1" si="3"/>
        <v>0</v>
      </c>
      <c r="B11" s="5">
        <f ca="1">COUNTBLANK(OFFSET(Demand!$I20,0,(COLUMN(A8)-1)*5,1,1))</f>
        <v>0</v>
      </c>
      <c r="C11" s="5">
        <f ca="1">COUNTBLANK(OFFSET(Demand!$I20,0,(COLUMN(B8)-1)*5,1,1))</f>
        <v>0</v>
      </c>
      <c r="D11" s="5">
        <f ca="1">COUNTBLANK(OFFSET(Demand!$I20,0,(COLUMN(C8)-1)*5,1,1))</f>
        <v>0</v>
      </c>
      <c r="E11" s="5">
        <f ca="1">COUNTBLANK(OFFSET(Demand!$I20,0,(COLUMN(D8)-1)*5,1,1))</f>
        <v>0</v>
      </c>
      <c r="F11" s="5">
        <f ca="1">COUNTBLANK(OFFSET(Demand!$I20,0,(COLUMN(E8)-1)*5,1,1))</f>
        <v>0</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6360</v>
      </c>
      <c r="O11" s="5">
        <f ca="1">SUM(OFFSET(Demand!$E20,0,(COLUMN(B8)-1)*5,1,3))*O$2</f>
        <v>5430</v>
      </c>
      <c r="P11" s="5">
        <f ca="1">SUM(OFFSET(Demand!$E20,0,(COLUMN(C8)-1)*5,1,3))*P$2</f>
        <v>1950</v>
      </c>
      <c r="Q11" s="5">
        <f ca="1">SUM(OFFSET(Demand!$E20,0,(COLUMN(D8)-1)*5,1,3))*Q$2</f>
        <v>480</v>
      </c>
      <c r="R11" s="5">
        <f ca="1">SUM(OFFSET(Demand!$E20,0,(COLUMN(E8)-1)*5,1,3))*R$2</f>
        <v>1</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14221</v>
      </c>
      <c r="Y11" s="5">
        <f t="shared" ca="1" si="5"/>
        <v>14221</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14221</v>
      </c>
      <c r="AM11" s="5">
        <f t="shared" ca="1" si="9"/>
        <v>0</v>
      </c>
      <c r="AN11" s="5" t="str">
        <f>IF(Demand!BE20="Yes","Yes","")</f>
        <v/>
      </c>
      <c r="AP11" s="36" t="str">
        <f ca="1">Demand!B20</f>
        <v xml:space="preserve"> </v>
      </c>
      <c r="AQ11" s="5" t="str">
        <f ca="1">IF(TEXT(Demand!D20,"MMM")&lt;&gt;TEXT(Demand!D19,"MMM"),TEXT(Demand!D20,"MMM"),"")</f>
        <v/>
      </c>
      <c r="AT11" s="5">
        <f t="shared" ca="1" si="12"/>
        <v>1275</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7</v>
      </c>
      <c r="BR11">
        <f ca="1">IF($AN11="",OFFSET(Demand!$A$13,ROW(B8)-1,4+((QUOTIENT(COLUMN(BR$2)-69,3))*5)+MOD(COLUMN(BR$2),3),1,1),"")</f>
        <v>336</v>
      </c>
      <c r="BS11">
        <f ca="1">IF($AN11="",OFFSET(Demand!$A$13,ROW(C8)-1,4+((QUOTIENT(COLUMN(BS$2)-69,3))*5)+MOD(COLUMN(BS$2),3),1,1),"")</f>
        <v>81</v>
      </c>
      <c r="BT11">
        <f ca="1">IF($AN11="",OFFSET(Demand!$A$13,ROW(D8)-1,4+((QUOTIENT(COLUMN(BT$2)-69,3))*5)+MOD(COLUMN(BT$2),3),1,1),"")</f>
        <v>56</v>
      </c>
      <c r="BU11">
        <f ca="1">IF($AN11="",OFFSET(Demand!$A$13,ROW(E8)-1,4+((QUOTIENT(COLUMN(BU$2)-69,3))*5)+MOD(COLUMN(BU$2),3),1,1),"")</f>
        <v>243</v>
      </c>
      <c r="BV11">
        <f ca="1">IF($AN11="",OFFSET(Demand!$A$13,ROW(F8)-1,4+((QUOTIENT(COLUMN(BV$2)-69,3))*5)+MOD(COLUMN(BV$2),3),1,1),"")</f>
        <v>63</v>
      </c>
      <c r="BW11">
        <f ca="1">IF($AN11="",OFFSET(Demand!$A$13,ROW(G8)-1,4+((QUOTIENT(COLUMN(BW$2)-69,3))*5)+MOD(COLUMN(BW$2),3),1,1),"")</f>
        <v>56</v>
      </c>
      <c r="BX11">
        <f ca="1">IF($AN11="",OFFSET(Demand!$A$13,ROW(H8)-1,4+((QUOTIENT(COLUMN(BX$2)-69,3))*5)+MOD(COLUMN(BX$2),3),1,1),"")</f>
        <v>0</v>
      </c>
      <c r="BY11">
        <f ca="1">IF($AN11="",OFFSET(Demand!$A$13,ROW(I8)-1,4+((QUOTIENT(COLUMN(BY$2)-69,3))*5)+MOD(COLUMN(BY$2),3),1,1),"")</f>
        <v>9</v>
      </c>
      <c r="BZ11">
        <f ca="1">IF($AN11="",OFFSET(Demand!$A$13,ROW(J8)-1,4+((QUOTIENT(COLUMN(BZ$2)-69,3))*5)+MOD(COLUMN(BZ$2),3),1,1),"")</f>
        <v>2</v>
      </c>
      <c r="CA11">
        <f ca="1">IF($AN11="",OFFSET(Demand!$A$13,ROW(K8)-1,4+((QUOTIENT(COLUMN(CA$2)-69,3))*5)+MOD(COLUMN(CA$2),3),1,1),"")</f>
        <v>7</v>
      </c>
      <c r="CB11">
        <f ca="1">IF($AN11="",OFFSET(Demand!$A$13,ROW(L8)-1,4+((QUOTIENT(COLUMN(CB$2)-69,3))*5)+MOD(COLUMN(CB$2),3),1,1),"")</f>
        <v>7</v>
      </c>
      <c r="CC11">
        <f ca="1">IF($AN11="",OFFSET(Demand!$A$13,ROW(M8)-1,4+((QUOTIENT(COLUMN(CC$2)-69,3))*5)+MOD(COLUMN(CC$2),3),1,1),"")</f>
        <v>0</v>
      </c>
      <c r="CD11">
        <f ca="1">IF($AN11="",OFFSET(Demand!$A$13,ROW(N8)-1,4+((QUOTIENT(COLUMN(CD$2)-69,3))*5)+MOD(COLUMN(CD$2),3),1,1),"")</f>
        <v>1</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f ca="1">VLOOKUP(IF($DM11&lt;53,$DM11,52),'Summary Calculations (hide)'!$D$15:$F$67,2,0)</f>
        <v>14765</v>
      </c>
      <c r="DP11" s="5">
        <f ca="1">VLOOKUP(IF($DM11&lt;53,$DM11,52),'Summary Calculations (hide)'!$D$15:$F$67,3,0)</f>
        <v>15657.95</v>
      </c>
      <c r="DQ11" s="5">
        <f ca="1">IF(AND(DN11&gt;='Demand adjustments for Covid'!$F$12,DN11&lt;'Demand adjustments for Covid'!$F$17),'Demand adjustments for Covid'!$F$13,DO11)</f>
        <v>14765</v>
      </c>
      <c r="DR11" s="5">
        <f t="shared" si="7"/>
        <v>1</v>
      </c>
      <c r="DS11" s="5">
        <f ca="1">IF('Demand adjustments for Covid'!$F$9="Yes",IF(DR11=0,DQ11,((SUM(DR$4:DR11)-1)*$EE$8)+'Demand adjustments for Covid'!F$13),'Demand background (hide)'!DO11)</f>
        <v>14765</v>
      </c>
      <c r="DT11" s="5">
        <f ca="1">IF('Demand adjustments for Covid'!$F$9="Yes",IF(OR(AND(DN11&gt;='Demand adjustments for Covid'!$F$12,DN11&lt;'Demand adjustments for Covid'!$F$17),DR11=1),DS11+3,DP11),'Demand background (hide)'!DP11)</f>
        <v>15657.95</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15657.95</v>
      </c>
    </row>
    <row r="12" spans="1:135" s="5" customFormat="1" x14ac:dyDescent="0.2">
      <c r="A12" s="5">
        <f t="shared" ca="1" si="3"/>
        <v>0</v>
      </c>
      <c r="B12" s="5">
        <f ca="1">COUNTBLANK(OFFSET(Demand!$I21,0,(COLUMN(A9)-1)*5,1,1))</f>
        <v>0</v>
      </c>
      <c r="C12" s="5">
        <f ca="1">COUNTBLANK(OFFSET(Demand!$I21,0,(COLUMN(B9)-1)*5,1,1))</f>
        <v>0</v>
      </c>
      <c r="D12" s="5">
        <f ca="1">COUNTBLANK(OFFSET(Demand!$I21,0,(COLUMN(C9)-1)*5,1,1))</f>
        <v>0</v>
      </c>
      <c r="E12" s="5">
        <f ca="1">COUNTBLANK(OFFSET(Demand!$I21,0,(COLUMN(D9)-1)*5,1,1))</f>
        <v>0</v>
      </c>
      <c r="F12" s="5">
        <f ca="1">COUNTBLANK(OFFSET(Demand!$I21,0,(COLUMN(E9)-1)*5,1,1))</f>
        <v>0</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5955</v>
      </c>
      <c r="O12" s="5">
        <f ca="1">SUM(OFFSET(Demand!$E21,0,(COLUMN(B9)-1)*5,1,3))*O$2</f>
        <v>5280</v>
      </c>
      <c r="P12" s="5">
        <f ca="1">SUM(OFFSET(Demand!$E21,0,(COLUMN(C9)-1)*5,1,3))*P$2</f>
        <v>1470</v>
      </c>
      <c r="Q12" s="5">
        <f ca="1">SUM(OFFSET(Demand!$E21,0,(COLUMN(D9)-1)*5,1,3))*Q$2</f>
        <v>540</v>
      </c>
      <c r="R12" s="5">
        <f ca="1">SUM(OFFSET(Demand!$E21,0,(COLUMN(E9)-1)*5,1,3))*R$2</f>
        <v>1</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13246</v>
      </c>
      <c r="Y12" s="5">
        <f t="shared" ca="1" si="5"/>
        <v>13246</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13246</v>
      </c>
      <c r="AM12" s="5">
        <f t="shared" ca="1" si="9"/>
        <v>0</v>
      </c>
      <c r="AN12" s="5" t="str">
        <f>IF(Demand!BE21="Yes","Yes","")</f>
        <v/>
      </c>
      <c r="AP12" s="36" t="str">
        <f ca="1">Demand!B21</f>
        <v xml:space="preserve"> </v>
      </c>
      <c r="AQ12" s="5" t="str">
        <f ca="1">IF(TEXT(Demand!D21,"MMM")&lt;&gt;TEXT(Demand!D20,"MMM"),TEXT(Demand!D21,"MMM"),"")</f>
        <v/>
      </c>
      <c r="AT12" s="5">
        <f t="shared" ca="1" si="12"/>
        <v>975</v>
      </c>
      <c r="AV12" s="5" t="s">
        <v>72</v>
      </c>
      <c r="AW12" s="44" t="str">
        <f ca="1">IFERROR(AW11/1.128,"")</f>
        <v/>
      </c>
      <c r="BB12" t="str">
        <f>'Control sheet (hide)'!AA9</f>
        <v>Modality 1</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2</v>
      </c>
      <c r="BR12">
        <f ca="1">IF($AN12="",OFFSET(Demand!$A$13,ROW(B9)-1,4+((QUOTIENT(COLUMN(BR$2)-69,3))*5)+MOD(COLUMN(BR$2),3),1,1),"")</f>
        <v>309</v>
      </c>
      <c r="BS12">
        <f ca="1">IF($AN12="",OFFSET(Demand!$A$13,ROW(C9)-1,4+((QUOTIENT(COLUMN(BS$2)-69,3))*5)+MOD(COLUMN(BS$2),3),1,1),"")</f>
        <v>86</v>
      </c>
      <c r="BT12">
        <f ca="1">IF($AN12="",OFFSET(Demand!$A$13,ROW(D9)-1,4+((QUOTIENT(COLUMN(BT$2)-69,3))*5)+MOD(COLUMN(BT$2),3),1,1),"")</f>
        <v>45</v>
      </c>
      <c r="BU12">
        <f ca="1">IF($AN12="",OFFSET(Demand!$A$13,ROW(E9)-1,4+((QUOTIENT(COLUMN(BU$2)-69,3))*5)+MOD(COLUMN(BU$2),3),1,1),"")</f>
        <v>227</v>
      </c>
      <c r="BV12">
        <f ca="1">IF($AN12="",OFFSET(Demand!$A$13,ROW(F9)-1,4+((QUOTIENT(COLUMN(BV$2)-69,3))*5)+MOD(COLUMN(BV$2),3),1,1),"")</f>
        <v>80</v>
      </c>
      <c r="BW12">
        <f ca="1">IF($AN12="",OFFSET(Demand!$A$13,ROW(G9)-1,4+((QUOTIENT(COLUMN(BW$2)-69,3))*5)+MOD(COLUMN(BW$2),3),1,1),"")</f>
        <v>45</v>
      </c>
      <c r="BX12">
        <f ca="1">IF($AN12="",OFFSET(Demand!$A$13,ROW(H9)-1,4+((QUOTIENT(COLUMN(BX$2)-69,3))*5)+MOD(COLUMN(BX$2),3),1,1),"")</f>
        <v>0</v>
      </c>
      <c r="BY12">
        <f ca="1">IF($AN12="",OFFSET(Demand!$A$13,ROW(I9)-1,4+((QUOTIENT(COLUMN(BY$2)-69,3))*5)+MOD(COLUMN(BY$2),3),1,1),"")</f>
        <v>4</v>
      </c>
      <c r="BZ12">
        <f ca="1">IF($AN12="",OFFSET(Demand!$A$13,ROW(J9)-1,4+((QUOTIENT(COLUMN(BZ$2)-69,3))*5)+MOD(COLUMN(BZ$2),3),1,1),"")</f>
        <v>5</v>
      </c>
      <c r="CA12">
        <f ca="1">IF($AN12="",OFFSET(Demand!$A$13,ROW(K9)-1,4+((QUOTIENT(COLUMN(CA$2)-69,3))*5)+MOD(COLUMN(CA$2),3),1,1),"")</f>
        <v>10</v>
      </c>
      <c r="CB12">
        <f ca="1">IF($AN12="",OFFSET(Demand!$A$13,ROW(L9)-1,4+((QUOTIENT(COLUMN(CB$2)-69,3))*5)+MOD(COLUMN(CB$2),3),1,1),"")</f>
        <v>3</v>
      </c>
      <c r="CC12">
        <f ca="1">IF($AN12="",OFFSET(Demand!$A$13,ROW(M9)-1,4+((QUOTIENT(COLUMN(CC$2)-69,3))*5)+MOD(COLUMN(CC$2),3),1,1),"")</f>
        <v>0</v>
      </c>
      <c r="CD12">
        <f ca="1">IF($AN12="",OFFSET(Demand!$A$13,ROW(N9)-1,4+((QUOTIENT(COLUMN(CD$2)-69,3))*5)+MOD(COLUMN(CD$2),3),1,1),"")</f>
        <v>1</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f ca="1">VLOOKUP(IF($DM12&lt;53,$DM12,52),'Summary Calculations (hide)'!$D$15:$F$67,2,0)</f>
        <v>14765</v>
      </c>
      <c r="DP12" s="5">
        <f ca="1">VLOOKUP(IF($DM12&lt;53,$DM12,52),'Summary Calculations (hide)'!$D$15:$F$67,3,0)</f>
        <v>15657.95</v>
      </c>
      <c r="DQ12" s="5">
        <f ca="1">IF(AND(DN12&gt;='Demand adjustments for Covid'!$F$12,DN12&lt;'Demand adjustments for Covid'!$F$17),'Demand adjustments for Covid'!$F$13,DO12)</f>
        <v>14765</v>
      </c>
      <c r="DR12" s="5">
        <f t="shared" si="7"/>
        <v>1</v>
      </c>
      <c r="DS12" s="5">
        <f ca="1">IF('Demand adjustments for Covid'!$F$9="Yes",IF(DR12=0,DQ12,((SUM(DR$4:DR12)-1)*$EE$8)+'Demand adjustments for Covid'!F$13),'Demand background (hide)'!DO12)</f>
        <v>14765</v>
      </c>
      <c r="DT12" s="5">
        <f ca="1">IF('Demand adjustments for Covid'!$F$9="Yes",IF(OR(AND(DN12&gt;='Demand adjustments for Covid'!$F$12,DN12&lt;'Demand adjustments for Covid'!$F$17),DR12=1),DS12+3,DP12),'Demand background (hide)'!DP12)</f>
        <v>15657.95</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15657.95</v>
      </c>
    </row>
    <row r="13" spans="1:135" s="5" customFormat="1" x14ac:dyDescent="0.2">
      <c r="A13" s="5">
        <f t="shared" ca="1" si="3"/>
        <v>0</v>
      </c>
      <c r="B13" s="5">
        <f ca="1">COUNTBLANK(OFFSET(Demand!$I22,0,(COLUMN(A10)-1)*5,1,1))</f>
        <v>0</v>
      </c>
      <c r="C13" s="5">
        <f ca="1">COUNTBLANK(OFFSET(Demand!$I22,0,(COLUMN(B10)-1)*5,1,1))</f>
        <v>0</v>
      </c>
      <c r="D13" s="5">
        <f ca="1">COUNTBLANK(OFFSET(Demand!$I22,0,(COLUMN(C10)-1)*5,1,1))</f>
        <v>0</v>
      </c>
      <c r="E13" s="5">
        <f ca="1">COUNTBLANK(OFFSET(Demand!$I22,0,(COLUMN(D10)-1)*5,1,1))</f>
        <v>0</v>
      </c>
      <c r="F13" s="5">
        <f ca="1">COUNTBLANK(OFFSET(Demand!$I22,0,(COLUMN(E10)-1)*5,1,1))</f>
        <v>0</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5580</v>
      </c>
      <c r="O13" s="5">
        <f ca="1">SUM(OFFSET(Demand!$E22,0,(COLUMN(B10)-1)*5,1,3))*O$2</f>
        <v>4950</v>
      </c>
      <c r="P13" s="5">
        <f ca="1">SUM(OFFSET(Demand!$E22,0,(COLUMN(C10)-1)*5,1,3))*P$2</f>
        <v>1200</v>
      </c>
      <c r="Q13" s="5">
        <f ca="1">SUM(OFFSET(Demand!$E22,0,(COLUMN(D10)-1)*5,1,3))*Q$2</f>
        <v>540</v>
      </c>
      <c r="R13" s="5">
        <f ca="1">SUM(OFFSET(Demand!$E22,0,(COLUMN(E10)-1)*5,1,3))*R$2</f>
        <v>1</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12271</v>
      </c>
      <c r="Y13" s="5">
        <f t="shared" ca="1" si="5"/>
        <v>12271</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12271</v>
      </c>
      <c r="AM13" s="5">
        <f t="shared" ca="1" si="9"/>
        <v>0</v>
      </c>
      <c r="AN13" s="5" t="str">
        <f>IF(Demand!BE22="Yes","Yes","")</f>
        <v/>
      </c>
      <c r="AP13" s="36" t="str">
        <f ca="1">Demand!B22</f>
        <v xml:space="preserve"> </v>
      </c>
      <c r="AQ13" s="5" t="str">
        <f ca="1">IF(TEXT(Demand!D22,"MMM")&lt;&gt;TEXT(Demand!D21,"MMM"),TEXT(Demand!D22,"MMM"),"")</f>
        <v>Jun</v>
      </c>
      <c r="AT13" s="5">
        <f t="shared" ca="1" si="12"/>
        <v>975</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4</v>
      </c>
      <c r="BR13">
        <f ca="1">IF($AN13="",OFFSET(Demand!$A$13,ROW(B10)-1,4+((QUOTIENT(COLUMN(BR$2)-69,3))*5)+MOD(COLUMN(BR$2),3),1,1),"")</f>
        <v>306</v>
      </c>
      <c r="BS13">
        <f ca="1">IF($AN13="",OFFSET(Demand!$A$13,ROW(C10)-1,4+((QUOTIENT(COLUMN(BS$2)-69,3))*5)+MOD(COLUMN(BS$2),3),1,1),"")</f>
        <v>62</v>
      </c>
      <c r="BT13">
        <f ca="1">IF($AN13="",OFFSET(Demand!$A$13,ROW(D10)-1,4+((QUOTIENT(COLUMN(BT$2)-69,3))*5)+MOD(COLUMN(BT$2),3),1,1),"")</f>
        <v>39</v>
      </c>
      <c r="BU13">
        <f ca="1">IF($AN13="",OFFSET(Demand!$A$13,ROW(E10)-1,4+((QUOTIENT(COLUMN(BU$2)-69,3))*5)+MOD(COLUMN(BU$2),3),1,1),"")</f>
        <v>252</v>
      </c>
      <c r="BV13">
        <f ca="1">IF($AN13="",OFFSET(Demand!$A$13,ROW(F10)-1,4+((QUOTIENT(COLUMN(BV$2)-69,3))*5)+MOD(COLUMN(BV$2),3),1,1),"")</f>
        <v>39</v>
      </c>
      <c r="BW13">
        <f ca="1">IF($AN13="",OFFSET(Demand!$A$13,ROW(G10)-1,4+((QUOTIENT(COLUMN(BW$2)-69,3))*5)+MOD(COLUMN(BW$2),3),1,1),"")</f>
        <v>39</v>
      </c>
      <c r="BX13">
        <f ca="1">IF($AN13="",OFFSET(Demand!$A$13,ROW(H10)-1,4+((QUOTIENT(COLUMN(BX$2)-69,3))*5)+MOD(COLUMN(BX$2),3),1,1),"")</f>
        <v>1</v>
      </c>
      <c r="BY13">
        <f ca="1">IF($AN13="",OFFSET(Demand!$A$13,ROW(I10)-1,4+((QUOTIENT(COLUMN(BY$2)-69,3))*5)+MOD(COLUMN(BY$2),3),1,1),"")</f>
        <v>0</v>
      </c>
      <c r="BZ13">
        <f ca="1">IF($AN13="",OFFSET(Demand!$A$13,ROW(J10)-1,4+((QUOTIENT(COLUMN(BZ$2)-69,3))*5)+MOD(COLUMN(BZ$2),3),1,1),"")</f>
        <v>3</v>
      </c>
      <c r="CA13">
        <f ca="1">IF($AN13="",OFFSET(Demand!$A$13,ROW(K10)-1,4+((QUOTIENT(COLUMN(CA$2)-69,3))*5)+MOD(COLUMN(CA$2),3),1,1),"")</f>
        <v>10</v>
      </c>
      <c r="CB13">
        <f ca="1">IF($AN13="",OFFSET(Demand!$A$13,ROW(L10)-1,4+((QUOTIENT(COLUMN(CB$2)-69,3))*5)+MOD(COLUMN(CB$2),3),1,1),"")</f>
        <v>5</v>
      </c>
      <c r="CC13">
        <f ca="1">IF($AN13="",OFFSET(Demand!$A$13,ROW(M10)-1,4+((QUOTIENT(COLUMN(CC$2)-69,3))*5)+MOD(COLUMN(CC$2),3),1,1),"")</f>
        <v>1</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f ca="1">VLOOKUP(IF($DM13&lt;53,$DM13,52),'Summary Calculations (hide)'!$D$15:$F$67,2,0)</f>
        <v>14765</v>
      </c>
      <c r="DP13" s="5">
        <f ca="1">VLOOKUP(IF($DM13&lt;53,$DM13,52),'Summary Calculations (hide)'!$D$15:$F$67,3,0)</f>
        <v>15657.95</v>
      </c>
      <c r="DQ13" s="5">
        <f ca="1">IF(AND(DN13&gt;='Demand adjustments for Covid'!$F$12,DN13&lt;'Demand adjustments for Covid'!$F$17),'Demand adjustments for Covid'!$F$13,DO13)</f>
        <v>14765</v>
      </c>
      <c r="DR13" s="5">
        <f t="shared" si="7"/>
        <v>1</v>
      </c>
      <c r="DS13" s="5">
        <f ca="1">IF('Demand adjustments for Covid'!$F$9="Yes",IF(DR13=0,DQ13,((SUM(DR$4:DR13)-1)*$EE$8)+'Demand adjustments for Covid'!F$13),'Demand background (hide)'!DO13)</f>
        <v>14765</v>
      </c>
      <c r="DT13" s="5">
        <f ca="1">IF('Demand adjustments for Covid'!$F$9="Yes",IF(OR(AND(DN13&gt;='Demand adjustments for Covid'!$F$12,DN13&lt;'Demand adjustments for Covid'!$F$17),DR13=1),DS13+3,DP13),'Demand background (hide)'!DP13)</f>
        <v>15657.95</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15657.95</v>
      </c>
    </row>
    <row r="14" spans="1:135" s="5" customFormat="1" x14ac:dyDescent="0.2">
      <c r="A14" s="5">
        <f t="shared" ca="1" si="3"/>
        <v>0</v>
      </c>
      <c r="B14" s="5">
        <f ca="1">COUNTBLANK(OFFSET(Demand!$I23,0,(COLUMN(A11)-1)*5,1,1))</f>
        <v>0</v>
      </c>
      <c r="C14" s="5">
        <f ca="1">COUNTBLANK(OFFSET(Demand!$I23,0,(COLUMN(B11)-1)*5,1,1))</f>
        <v>0</v>
      </c>
      <c r="D14" s="5">
        <f ca="1">COUNTBLANK(OFFSET(Demand!$I23,0,(COLUMN(C11)-1)*5,1,1))</f>
        <v>0</v>
      </c>
      <c r="E14" s="5">
        <f ca="1">COUNTBLANK(OFFSET(Demand!$I23,0,(COLUMN(D11)-1)*5,1,1))</f>
        <v>0</v>
      </c>
      <c r="F14" s="5">
        <f ca="1">COUNTBLANK(OFFSET(Demand!$I23,0,(COLUMN(E11)-1)*5,1,1))</f>
        <v>0</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5820</v>
      </c>
      <c r="O14" s="5">
        <f ca="1">SUM(OFFSET(Demand!$E23,0,(COLUMN(B11)-1)*5,1,3))*O$2</f>
        <v>5520</v>
      </c>
      <c r="P14" s="5">
        <f ca="1">SUM(OFFSET(Demand!$E23,0,(COLUMN(C11)-1)*5,1,3))*P$2</f>
        <v>1410</v>
      </c>
      <c r="Q14" s="5">
        <f ca="1">SUM(OFFSET(Demand!$E23,0,(COLUMN(D11)-1)*5,1,3))*Q$2</f>
        <v>510</v>
      </c>
      <c r="R14" s="5">
        <f ca="1">SUM(OFFSET(Demand!$E23,0,(COLUMN(E11)-1)*5,1,3))*R$2</f>
        <v>2</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13262</v>
      </c>
      <c r="Y14" s="5">
        <f t="shared" ca="1" si="5"/>
        <v>13262</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13262</v>
      </c>
      <c r="AM14" s="5">
        <f t="shared" ca="1" si="9"/>
        <v>0</v>
      </c>
      <c r="AN14" s="5" t="str">
        <f>IF(Demand!BE23="Yes","Yes","")</f>
        <v/>
      </c>
      <c r="AP14" s="36" t="str">
        <f ca="1">Demand!B23</f>
        <v xml:space="preserve"> </v>
      </c>
      <c r="AQ14" s="5" t="str">
        <f ca="1">IF(TEXT(Demand!D23,"MMM")&lt;&gt;TEXT(Demand!D22,"MMM"),TEXT(Demand!D23,"MMM"),"")</f>
        <v/>
      </c>
      <c r="AT14" s="5">
        <f t="shared" ca="1" si="12"/>
        <v>991</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4</v>
      </c>
      <c r="BR14">
        <f ca="1">IF($AN14="",OFFSET(Demand!$A$13,ROW(B11)-1,4+((QUOTIENT(COLUMN(BR$2)-69,3))*5)+MOD(COLUMN(BR$2),3),1,1),"")</f>
        <v>298</v>
      </c>
      <c r="BS14">
        <f ca="1">IF($AN14="",OFFSET(Demand!$A$13,ROW(C11)-1,4+((QUOTIENT(COLUMN(BS$2)-69,3))*5)+MOD(COLUMN(BS$2),3),1,1),"")</f>
        <v>86</v>
      </c>
      <c r="BT14">
        <f ca="1">IF($AN14="",OFFSET(Demand!$A$13,ROW(D11)-1,4+((QUOTIENT(COLUMN(BT$2)-69,3))*5)+MOD(COLUMN(BT$2),3),1,1),"")</f>
        <v>43</v>
      </c>
      <c r="BU14">
        <f ca="1">IF($AN14="",OFFSET(Demand!$A$13,ROW(E11)-1,4+((QUOTIENT(COLUMN(BU$2)-69,3))*5)+MOD(COLUMN(BU$2),3),1,1),"")</f>
        <v>265</v>
      </c>
      <c r="BV14">
        <f ca="1">IF($AN14="",OFFSET(Demand!$A$13,ROW(F11)-1,4+((QUOTIENT(COLUMN(BV$2)-69,3))*5)+MOD(COLUMN(BV$2),3),1,1),"")</f>
        <v>60</v>
      </c>
      <c r="BW14">
        <f ca="1">IF($AN14="",OFFSET(Demand!$A$13,ROW(G11)-1,4+((QUOTIENT(COLUMN(BW$2)-69,3))*5)+MOD(COLUMN(BW$2),3),1,1),"")</f>
        <v>43</v>
      </c>
      <c r="BX14">
        <f ca="1">IF($AN14="",OFFSET(Demand!$A$13,ROW(H11)-1,4+((QUOTIENT(COLUMN(BX$2)-69,3))*5)+MOD(COLUMN(BX$2),3),1,1),"")</f>
        <v>1</v>
      </c>
      <c r="BY14">
        <f ca="1">IF($AN14="",OFFSET(Demand!$A$13,ROW(I11)-1,4+((QUOTIENT(COLUMN(BY$2)-69,3))*5)+MOD(COLUMN(BY$2),3),1,1),"")</f>
        <v>3</v>
      </c>
      <c r="BZ14">
        <f ca="1">IF($AN14="",OFFSET(Demand!$A$13,ROW(J11)-1,4+((QUOTIENT(COLUMN(BZ$2)-69,3))*5)+MOD(COLUMN(BZ$2),3),1,1),"")</f>
        <v>9</v>
      </c>
      <c r="CA14">
        <f ca="1">IF($AN14="",OFFSET(Demand!$A$13,ROW(K11)-1,4+((QUOTIENT(COLUMN(CA$2)-69,3))*5)+MOD(COLUMN(CA$2),3),1,1),"")</f>
        <v>2</v>
      </c>
      <c r="CB14">
        <f ca="1">IF($AN14="",OFFSET(Demand!$A$13,ROW(L11)-1,4+((QUOTIENT(COLUMN(CB$2)-69,3))*5)+MOD(COLUMN(CB$2),3),1,1),"")</f>
        <v>6</v>
      </c>
      <c r="CC14">
        <f ca="1">IF($AN14="",OFFSET(Demand!$A$13,ROW(M11)-1,4+((QUOTIENT(COLUMN(CC$2)-69,3))*5)+MOD(COLUMN(CC$2),3),1,1),"")</f>
        <v>1</v>
      </c>
      <c r="CD14">
        <f ca="1">IF($AN14="",OFFSET(Demand!$A$13,ROW(N11)-1,4+((QUOTIENT(COLUMN(CD$2)-69,3))*5)+MOD(COLUMN(CD$2),3),1,1),"")</f>
        <v>1</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f ca="1">VLOOKUP(IF($DM14&lt;53,$DM14,52),'Summary Calculations (hide)'!$D$15:$F$67,2,0)</f>
        <v>14765</v>
      </c>
      <c r="DP14" s="5">
        <f ca="1">VLOOKUP(IF($DM14&lt;53,$DM14,52),'Summary Calculations (hide)'!$D$15:$F$67,3,0)</f>
        <v>15657.95</v>
      </c>
      <c r="DQ14" s="5">
        <f ca="1">IF(AND(DN14&gt;='Demand adjustments for Covid'!$F$12,DN14&lt;'Demand adjustments for Covid'!$F$17),'Demand adjustments for Covid'!$F$13,DO14)</f>
        <v>14765</v>
      </c>
      <c r="DR14" s="5">
        <f t="shared" si="7"/>
        <v>1</v>
      </c>
      <c r="DS14" s="5">
        <f ca="1">IF('Demand adjustments for Covid'!$F$9="Yes",IF(DR14=0,DQ14,((SUM(DR$4:DR14)-1)*$EE$8)+'Demand adjustments for Covid'!F$13),'Demand background (hide)'!DO14)</f>
        <v>14765</v>
      </c>
      <c r="DT14" s="5">
        <f ca="1">IF('Demand adjustments for Covid'!$F$9="Yes",IF(OR(AND(DN14&gt;='Demand adjustments for Covid'!$F$12,DN14&lt;'Demand adjustments for Covid'!$F$17),DR14=1),DS14+3,DP14),'Demand background (hide)'!DP14)</f>
        <v>15657.95</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15657.95</v>
      </c>
    </row>
    <row r="15" spans="1:135" s="5" customFormat="1" x14ac:dyDescent="0.2">
      <c r="A15" s="5">
        <f t="shared" ca="1" si="3"/>
        <v>0</v>
      </c>
      <c r="B15" s="5">
        <f ca="1">COUNTBLANK(OFFSET(Demand!$I24,0,(COLUMN(A12)-1)*5,1,1))</f>
        <v>0</v>
      </c>
      <c r="C15" s="5">
        <f ca="1">COUNTBLANK(OFFSET(Demand!$I24,0,(COLUMN(B12)-1)*5,1,1))</f>
        <v>0</v>
      </c>
      <c r="D15" s="5">
        <f ca="1">COUNTBLANK(OFFSET(Demand!$I24,0,(COLUMN(C12)-1)*5,1,1))</f>
        <v>0</v>
      </c>
      <c r="E15" s="5">
        <f ca="1">COUNTBLANK(OFFSET(Demand!$I24,0,(COLUMN(D12)-1)*5,1,1))</f>
        <v>0</v>
      </c>
      <c r="F15" s="5">
        <f ca="1">COUNTBLANK(OFFSET(Demand!$I24,0,(COLUMN(E12)-1)*5,1,1))</f>
        <v>0</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5760</v>
      </c>
      <c r="O15" s="5">
        <f ca="1">SUM(OFFSET(Demand!$E24,0,(COLUMN(B12)-1)*5,1,3))*O$2</f>
        <v>5130</v>
      </c>
      <c r="P15" s="5">
        <f ca="1">SUM(OFFSET(Demand!$E24,0,(COLUMN(C12)-1)*5,1,3))*P$2</f>
        <v>2160</v>
      </c>
      <c r="Q15" s="5">
        <f ca="1">SUM(OFFSET(Demand!$E24,0,(COLUMN(D12)-1)*5,1,3))*Q$2</f>
        <v>810</v>
      </c>
      <c r="R15" s="5">
        <f ca="1">SUM(OFFSET(Demand!$E24,0,(COLUMN(E12)-1)*5,1,3))*R$2</f>
        <v>1</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13861</v>
      </c>
      <c r="Y15" s="5">
        <f t="shared" ca="1" si="5"/>
        <v>13861</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13861</v>
      </c>
      <c r="AM15" s="5">
        <f t="shared" ca="1" si="9"/>
        <v>0</v>
      </c>
      <c r="AN15" s="5" t="str">
        <f>IF(Demand!BE24="Yes","Yes","")</f>
        <v/>
      </c>
      <c r="AP15" s="36" t="str">
        <f ca="1">Demand!B24</f>
        <v xml:space="preserve"> </v>
      </c>
      <c r="AQ15" s="5" t="str">
        <f ca="1">IF(TEXT(Demand!D24,"MMM")&lt;&gt;TEXT(Demand!D23,"MMM"),TEXT(Demand!D24,"MMM"),"")</f>
        <v/>
      </c>
      <c r="AT15" s="5">
        <f t="shared" ca="1" si="12"/>
        <v>599</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3</v>
      </c>
      <c r="BR15">
        <f ca="1">IF($AN15="",OFFSET(Demand!$A$13,ROW(B12)-1,4+((QUOTIENT(COLUMN(BR$2)-69,3))*5)+MOD(COLUMN(BR$2),3),1,1),"")</f>
        <v>307</v>
      </c>
      <c r="BS15">
        <f ca="1">IF($AN15="",OFFSET(Demand!$A$13,ROW(C12)-1,4+((QUOTIENT(COLUMN(BS$2)-69,3))*5)+MOD(COLUMN(BS$2),3),1,1),"")</f>
        <v>74</v>
      </c>
      <c r="BT15">
        <f ca="1">IF($AN15="",OFFSET(Demand!$A$13,ROW(D12)-1,4+((QUOTIENT(COLUMN(BT$2)-69,3))*5)+MOD(COLUMN(BT$2),3),1,1),"")</f>
        <v>61</v>
      </c>
      <c r="BU15">
        <f ca="1">IF($AN15="",OFFSET(Demand!$A$13,ROW(E12)-1,4+((QUOTIENT(COLUMN(BU$2)-69,3))*5)+MOD(COLUMN(BU$2),3),1,1),"")</f>
        <v>232</v>
      </c>
      <c r="BV15">
        <f ca="1">IF($AN15="",OFFSET(Demand!$A$13,ROW(F12)-1,4+((QUOTIENT(COLUMN(BV$2)-69,3))*5)+MOD(COLUMN(BV$2),3),1,1),"")</f>
        <v>49</v>
      </c>
      <c r="BW15">
        <f ca="1">IF($AN15="",OFFSET(Demand!$A$13,ROW(G12)-1,4+((QUOTIENT(COLUMN(BW$2)-69,3))*5)+MOD(COLUMN(BW$2),3),1,1),"")</f>
        <v>61</v>
      </c>
      <c r="BX15">
        <f ca="1">IF($AN15="",OFFSET(Demand!$A$13,ROW(H12)-1,4+((QUOTIENT(COLUMN(BX$2)-69,3))*5)+MOD(COLUMN(BX$2),3),1,1),"")</f>
        <v>2</v>
      </c>
      <c r="BY15">
        <f ca="1">IF($AN15="",OFFSET(Demand!$A$13,ROW(I12)-1,4+((QUOTIENT(COLUMN(BY$2)-69,3))*5)+MOD(COLUMN(BY$2),3),1,1),"")</f>
        <v>9</v>
      </c>
      <c r="BZ15">
        <f ca="1">IF($AN15="",OFFSET(Demand!$A$13,ROW(J12)-1,4+((QUOTIENT(COLUMN(BZ$2)-69,3))*5)+MOD(COLUMN(BZ$2),3),1,1),"")</f>
        <v>13</v>
      </c>
      <c r="CA15">
        <f ca="1">IF($AN15="",OFFSET(Demand!$A$13,ROW(K12)-1,4+((QUOTIENT(COLUMN(CA$2)-69,3))*5)+MOD(COLUMN(CA$2),3),1,1),"")</f>
        <v>8</v>
      </c>
      <c r="CB15">
        <f ca="1">IF($AN15="",OFFSET(Demand!$A$13,ROW(L12)-1,4+((QUOTIENT(COLUMN(CB$2)-69,3))*5)+MOD(COLUMN(CB$2),3),1,1),"")</f>
        <v>6</v>
      </c>
      <c r="CC15">
        <f ca="1">IF($AN15="",OFFSET(Demand!$A$13,ROW(M12)-1,4+((QUOTIENT(COLUMN(CC$2)-69,3))*5)+MOD(COLUMN(CC$2),3),1,1),"")</f>
        <v>0</v>
      </c>
      <c r="CD15">
        <f ca="1">IF($AN15="",OFFSET(Demand!$A$13,ROW(N12)-1,4+((QUOTIENT(COLUMN(CD$2)-69,3))*5)+MOD(COLUMN(CD$2),3),1,1),"")</f>
        <v>1</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f ca="1">VLOOKUP(IF($DM15&lt;53,$DM15,52),'Summary Calculations (hide)'!$D$15:$F$67,2,0)</f>
        <v>14765</v>
      </c>
      <c r="DP15" s="5">
        <f ca="1">VLOOKUP(IF($DM15&lt;53,$DM15,52),'Summary Calculations (hide)'!$D$15:$F$67,3,0)</f>
        <v>15657.95</v>
      </c>
      <c r="DQ15" s="5">
        <f ca="1">IF(AND(DN15&gt;='Demand adjustments for Covid'!$F$12,DN15&lt;'Demand adjustments for Covid'!$F$17),'Demand adjustments for Covid'!$F$13,DO15)</f>
        <v>14765</v>
      </c>
      <c r="DR15" s="5">
        <f t="shared" si="7"/>
        <v>1</v>
      </c>
      <c r="DS15" s="5">
        <f ca="1">IF('Demand adjustments for Covid'!$F$9="Yes",IF(DR15=0,DQ15,((SUM(DR$4:DR15)-1)*$EE$8)+'Demand adjustments for Covid'!F$13),'Demand background (hide)'!DO15)</f>
        <v>14765</v>
      </c>
      <c r="DT15" s="5">
        <f ca="1">IF('Demand adjustments for Covid'!$F$9="Yes",IF(OR(AND(DN15&gt;='Demand adjustments for Covid'!$F$12,DN15&lt;'Demand adjustments for Covid'!$F$17),DR15=1),DS15+3,DP15),'Demand background (hide)'!DP15)</f>
        <v>15657.95</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15657.95</v>
      </c>
    </row>
    <row r="16" spans="1:135" s="5" customFormat="1" x14ac:dyDescent="0.2">
      <c r="A16" s="5">
        <f t="shared" ca="1" si="3"/>
        <v>0</v>
      </c>
      <c r="B16" s="5">
        <f ca="1">COUNTBLANK(OFFSET(Demand!$I25,0,(COLUMN(A13)-1)*5,1,1))</f>
        <v>0</v>
      </c>
      <c r="C16" s="5">
        <f ca="1">COUNTBLANK(OFFSET(Demand!$I25,0,(COLUMN(B13)-1)*5,1,1))</f>
        <v>0</v>
      </c>
      <c r="D16" s="5">
        <f ca="1">COUNTBLANK(OFFSET(Demand!$I25,0,(COLUMN(C13)-1)*5,1,1))</f>
        <v>0</v>
      </c>
      <c r="E16" s="5">
        <f ca="1">COUNTBLANK(OFFSET(Demand!$I25,0,(COLUMN(D13)-1)*5,1,1))</f>
        <v>0</v>
      </c>
      <c r="F16" s="5">
        <f ca="1">COUNTBLANK(OFFSET(Demand!$I25,0,(COLUMN(E13)-1)*5,1,1))</f>
        <v>0</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6645</v>
      </c>
      <c r="O16" s="5">
        <f ca="1">SUM(OFFSET(Demand!$E25,0,(COLUMN(B13)-1)*5,1,3))*O$2</f>
        <v>5505</v>
      </c>
      <c r="P16" s="5">
        <f ca="1">SUM(OFFSET(Demand!$E25,0,(COLUMN(C13)-1)*5,1,3))*P$2</f>
        <v>1590</v>
      </c>
      <c r="Q16" s="5">
        <f ca="1">SUM(OFFSET(Demand!$E25,0,(COLUMN(D13)-1)*5,1,3))*Q$2</f>
        <v>540</v>
      </c>
      <c r="R16" s="5">
        <f ca="1">SUM(OFFSET(Demand!$E25,0,(COLUMN(E13)-1)*5,1,3))*R$2</f>
        <v>4</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14284</v>
      </c>
      <c r="Y16" s="5">
        <f t="shared" ca="1" si="5"/>
        <v>14284</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14284</v>
      </c>
      <c r="AM16" s="5">
        <f t="shared" ca="1" si="9"/>
        <v>0</v>
      </c>
      <c r="AN16" s="5" t="str">
        <f>IF(Demand!BE25="Yes","Yes","")</f>
        <v/>
      </c>
      <c r="AP16" s="36" t="str">
        <f ca="1">Demand!B25</f>
        <v xml:space="preserve"> </v>
      </c>
      <c r="AQ16" s="5" t="str">
        <f ca="1">IF(TEXT(Demand!D25,"MMM")&lt;&gt;TEXT(Demand!D24,"MMM"),TEXT(Demand!D25,"MMM"),"")</f>
        <v/>
      </c>
      <c r="AT16" s="5">
        <f t="shared" ca="1" si="12"/>
        <v>423</v>
      </c>
      <c r="BB16" s="5" t="s">
        <v>24</v>
      </c>
      <c r="BC16" s="46">
        <f ca="1">BJ16/$BM16</f>
        <v>0.14574057702059423</v>
      </c>
      <c r="BD16" s="46">
        <f ca="1">BK16/$BM16</f>
        <v>0.67126233542806624</v>
      </c>
      <c r="BE16" s="46">
        <f ca="1">BL16/$BM16</f>
        <v>0.18299708755133953</v>
      </c>
      <c r="BF16" s="5">
        <f t="shared" ref="BF16:BM16" ca="1" si="31">SUM(OFFSET(BF$6,0,0,Num_Modalities,1))</f>
        <v>5602</v>
      </c>
      <c r="BG16" s="5">
        <f t="shared" ca="1" si="31"/>
        <v>33493</v>
      </c>
      <c r="BH16" s="5">
        <f t="shared" ca="1" si="31"/>
        <v>8356</v>
      </c>
      <c r="BI16" s="5">
        <f t="shared" ca="1" si="31"/>
        <v>47451</v>
      </c>
      <c r="BJ16" s="5">
        <f t="shared" ca="1" si="31"/>
        <v>109789</v>
      </c>
      <c r="BK16" s="5">
        <f t="shared" ca="1" si="31"/>
        <v>505674</v>
      </c>
      <c r="BL16" s="5">
        <f t="shared" ca="1" si="31"/>
        <v>137855</v>
      </c>
      <c r="BM16" s="5">
        <f t="shared" ca="1" si="31"/>
        <v>753318</v>
      </c>
      <c r="BN16" s="5">
        <f ca="1">IF(BI16=0,1,BM16/BI16)</f>
        <v>15.875703357147373</v>
      </c>
      <c r="BQ16">
        <f ca="1">IF($AN16="",OFFSET(Demand!$A$13,ROW(A13)-1,4+((QUOTIENT(COLUMN(BQ$2)-69,3))*5)+MOD(COLUMN(BQ$2),3),1,1),"")</f>
        <v>6</v>
      </c>
      <c r="BR16">
        <f ca="1">IF($AN16="",OFFSET(Demand!$A$13,ROW(B13)-1,4+((QUOTIENT(COLUMN(BR$2)-69,3))*5)+MOD(COLUMN(BR$2),3),1,1),"")</f>
        <v>336</v>
      </c>
      <c r="BS16">
        <f ca="1">IF($AN16="",OFFSET(Demand!$A$13,ROW(C13)-1,4+((QUOTIENT(COLUMN(BS$2)-69,3))*5)+MOD(COLUMN(BS$2),3),1,1),"")</f>
        <v>101</v>
      </c>
      <c r="BT16">
        <f ca="1">IF($AN16="",OFFSET(Demand!$A$13,ROW(D13)-1,4+((QUOTIENT(COLUMN(BT$2)-69,3))*5)+MOD(COLUMN(BT$2),3),1,1),"")</f>
        <v>50</v>
      </c>
      <c r="BU16">
        <f ca="1">IF($AN16="",OFFSET(Demand!$A$13,ROW(E13)-1,4+((QUOTIENT(COLUMN(BU$2)-69,3))*5)+MOD(COLUMN(BU$2),3),1,1),"")</f>
        <v>254</v>
      </c>
      <c r="BV16">
        <f ca="1">IF($AN16="",OFFSET(Demand!$A$13,ROW(F13)-1,4+((QUOTIENT(COLUMN(BV$2)-69,3))*5)+MOD(COLUMN(BV$2),3),1,1),"")</f>
        <v>63</v>
      </c>
      <c r="BW16">
        <f ca="1">IF($AN16="",OFFSET(Demand!$A$13,ROW(G13)-1,4+((QUOTIENT(COLUMN(BW$2)-69,3))*5)+MOD(COLUMN(BW$2),3),1,1),"")</f>
        <v>50</v>
      </c>
      <c r="BX16">
        <f ca="1">IF($AN16="",OFFSET(Demand!$A$13,ROW(H13)-1,4+((QUOTIENT(COLUMN(BX$2)-69,3))*5)+MOD(COLUMN(BX$2),3),1,1),"")</f>
        <v>1</v>
      </c>
      <c r="BY16">
        <f ca="1">IF($AN16="",OFFSET(Demand!$A$13,ROW(I13)-1,4+((QUOTIENT(COLUMN(BY$2)-69,3))*5)+MOD(COLUMN(BY$2),3),1,1),"")</f>
        <v>2</v>
      </c>
      <c r="BZ16">
        <f ca="1">IF($AN16="",OFFSET(Demand!$A$13,ROW(J13)-1,4+((QUOTIENT(COLUMN(BZ$2)-69,3))*5)+MOD(COLUMN(BZ$2),3),1,1),"")</f>
        <v>8</v>
      </c>
      <c r="CA16">
        <f ca="1">IF($AN16="",OFFSET(Demand!$A$13,ROW(K13)-1,4+((QUOTIENT(COLUMN(CA$2)-69,3))*5)+MOD(COLUMN(CA$2),3),1,1),"")</f>
        <v>6</v>
      </c>
      <c r="CB16">
        <f ca="1">IF($AN16="",OFFSET(Demand!$A$13,ROW(L13)-1,4+((QUOTIENT(COLUMN(CB$2)-69,3))*5)+MOD(COLUMN(CB$2),3),1,1),"")</f>
        <v>4</v>
      </c>
      <c r="CC16">
        <f ca="1">IF($AN16="",OFFSET(Demand!$A$13,ROW(M13)-1,4+((QUOTIENT(COLUMN(CC$2)-69,3))*5)+MOD(COLUMN(CC$2),3),1,1),"")</f>
        <v>0</v>
      </c>
      <c r="CD16">
        <f ca="1">IF($AN16="",OFFSET(Demand!$A$13,ROW(N13)-1,4+((QUOTIENT(COLUMN(CD$2)-69,3))*5)+MOD(COLUMN(CD$2),3),1,1),"")</f>
        <v>4</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f ca="1">VLOOKUP(IF($DM16&lt;53,$DM16,52),'Summary Calculations (hide)'!$D$15:$F$67,2,0)</f>
        <v>14765</v>
      </c>
      <c r="DP16" s="5">
        <f ca="1">VLOOKUP(IF($DM16&lt;53,$DM16,52),'Summary Calculations (hide)'!$D$15:$F$67,3,0)</f>
        <v>15657.95</v>
      </c>
      <c r="DQ16" s="5">
        <f ca="1">IF(AND(DN16&gt;='Demand adjustments for Covid'!$F$12,DN16&lt;'Demand adjustments for Covid'!$F$17),'Demand adjustments for Covid'!$F$13,DO16)</f>
        <v>14765</v>
      </c>
      <c r="DR16" s="5">
        <f t="shared" si="7"/>
        <v>1</v>
      </c>
      <c r="DS16" s="5">
        <f ca="1">IF('Demand adjustments for Covid'!$F$9="Yes",IF(DR16=0,DQ16,((SUM(DR$4:DR16)-1)*$EE$8)+'Demand adjustments for Covid'!F$13),'Demand background (hide)'!DO16)</f>
        <v>14765</v>
      </c>
      <c r="DT16" s="5">
        <f ca="1">IF('Demand adjustments for Covid'!$F$9="Yes",IF(OR(AND(DN16&gt;='Demand adjustments for Covid'!$F$12,DN16&lt;'Demand adjustments for Covid'!$F$17),DR16=1),DS16+3,DP16),'Demand background (hide)'!DP16)</f>
        <v>15657.95</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15657.95</v>
      </c>
    </row>
    <row r="17" spans="1:128" s="5" customFormat="1" x14ac:dyDescent="0.2">
      <c r="A17" s="5">
        <f t="shared" ca="1" si="3"/>
        <v>1</v>
      </c>
      <c r="B17" s="5">
        <f ca="1">COUNTBLANK(OFFSET(Demand!$I26,0,(COLUMN(A14)-1)*5,1,1))</f>
        <v>0</v>
      </c>
      <c r="C17" s="5">
        <f ca="1">COUNTBLANK(OFFSET(Demand!$I26,0,(COLUMN(B14)-1)*5,1,1))</f>
        <v>0</v>
      </c>
      <c r="D17" s="5">
        <f ca="1">COUNTBLANK(OFFSET(Demand!$I26,0,(COLUMN(C14)-1)*5,1,1))</f>
        <v>0</v>
      </c>
      <c r="E17" s="5">
        <f ca="1">COUNTBLANK(OFFSET(Demand!$I26,0,(COLUMN(D14)-1)*5,1,1))</f>
        <v>0</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6180</v>
      </c>
      <c r="O17" s="5">
        <f ca="1">SUM(OFFSET(Demand!$E26,0,(COLUMN(B14)-1)*5,1,3))*O$2</f>
        <v>4680</v>
      </c>
      <c r="P17" s="5">
        <f ca="1">SUM(OFFSET(Demand!$E26,0,(COLUMN(C14)-1)*5,1,3))*P$2</f>
        <v>1680</v>
      </c>
      <c r="Q17" s="5">
        <f ca="1">SUM(OFFSET(Demand!$E26,0,(COLUMN(D14)-1)*5,1,3))*Q$2</f>
        <v>720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13260</v>
      </c>
      <c r="Y17" s="5">
        <f t="shared" ca="1" si="5"/>
        <v>13260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13260</v>
      </c>
      <c r="AM17" s="5">
        <f t="shared" ca="1" si="9"/>
        <v>0</v>
      </c>
      <c r="AN17" s="5" t="str">
        <f>IF(Demand!BE26="Yes","Yes","")</f>
        <v/>
      </c>
      <c r="AP17" s="36" t="str">
        <f ca="1">Demand!B26</f>
        <v xml:space="preserve"> </v>
      </c>
      <c r="AQ17" s="5" t="str">
        <f ca="1">IF(TEXT(Demand!D26,"MMM")&lt;&gt;TEXT(Demand!D25,"MMM"),TEXT(Demand!D26,"MMM"),"")</f>
        <v>Jul</v>
      </c>
      <c r="AT17" s="5">
        <f t="shared" ca="1" si="12"/>
        <v>1024</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4</v>
      </c>
      <c r="BR17">
        <f ca="1">IF($AN17="",OFFSET(Demand!$A$13,ROW(B14)-1,4+((QUOTIENT(COLUMN(BR$2)-69,3))*5)+MOD(COLUMN(BR$2),3),1,1),"")</f>
        <v>330</v>
      </c>
      <c r="BS17">
        <f ca="1">IF($AN17="",OFFSET(Demand!$A$13,ROW(C14)-1,4+((QUOTIENT(COLUMN(BS$2)-69,3))*5)+MOD(COLUMN(BS$2),3),1,1),"")</f>
        <v>78</v>
      </c>
      <c r="BT17">
        <f ca="1">IF($AN17="",OFFSET(Demand!$A$13,ROW(D14)-1,4+((QUOTIENT(COLUMN(BT$2)-69,3))*5)+MOD(COLUMN(BT$2),3),1,1),"")</f>
        <v>54</v>
      </c>
      <c r="BU17">
        <f ca="1">IF($AN17="",OFFSET(Demand!$A$13,ROW(E14)-1,4+((QUOTIENT(COLUMN(BU$2)-69,3))*5)+MOD(COLUMN(BU$2),3),1,1),"")</f>
        <v>223</v>
      </c>
      <c r="BV17">
        <f ca="1">IF($AN17="",OFFSET(Demand!$A$13,ROW(F14)-1,4+((QUOTIENT(COLUMN(BV$2)-69,3))*5)+MOD(COLUMN(BV$2),3),1,1),"")</f>
        <v>35</v>
      </c>
      <c r="BW17">
        <f ca="1">IF($AN17="",OFFSET(Demand!$A$13,ROW(G14)-1,4+((QUOTIENT(COLUMN(BW$2)-69,3))*5)+MOD(COLUMN(BW$2),3),1,1),"")</f>
        <v>54</v>
      </c>
      <c r="BX17">
        <f ca="1">IF($AN17="",OFFSET(Demand!$A$13,ROW(H14)-1,4+((QUOTIENT(COLUMN(BX$2)-69,3))*5)+MOD(COLUMN(BX$2),3),1,1),"")</f>
        <v>2</v>
      </c>
      <c r="BY17">
        <f ca="1">IF($AN17="",OFFSET(Demand!$A$13,ROW(I14)-1,4+((QUOTIENT(COLUMN(BY$2)-69,3))*5)+MOD(COLUMN(BY$2),3),1,1),"")</f>
        <v>0</v>
      </c>
      <c r="BZ17">
        <f ca="1">IF($AN17="",OFFSET(Demand!$A$13,ROW(J14)-1,4+((QUOTIENT(COLUMN(BZ$2)-69,3))*5)+MOD(COLUMN(BZ$2),3),1,1),"")</f>
        <v>9</v>
      </c>
      <c r="CA17">
        <f ca="1">IF($AN17="",OFFSET(Demand!$A$13,ROW(K14)-1,4+((QUOTIENT(COLUMN(CA$2)-69,3))*5)+MOD(COLUMN(CA$2),3),1,1),"")</f>
        <v>9</v>
      </c>
      <c r="CB17">
        <f ca="1">IF($AN17="",OFFSET(Demand!$A$13,ROW(L14)-1,4+((QUOTIENT(COLUMN(CB$2)-69,3))*5)+MOD(COLUMN(CB$2),3),1,1),"")</f>
        <v>6</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f ca="1">VLOOKUP(IF($DM17&lt;53,$DM17,52),'Summary Calculations (hide)'!$D$15:$F$67,2,0)</f>
        <v>14765</v>
      </c>
      <c r="DP17" s="5">
        <f ca="1">VLOOKUP(IF($DM17&lt;53,$DM17,52),'Summary Calculations (hide)'!$D$15:$F$67,3,0)</f>
        <v>15657.95</v>
      </c>
      <c r="DQ17" s="5">
        <f ca="1">IF(AND(DN17&gt;='Demand adjustments for Covid'!$F$12,DN17&lt;'Demand adjustments for Covid'!$F$17),'Demand adjustments for Covid'!$F$13,DO17)</f>
        <v>14765</v>
      </c>
      <c r="DR17" s="5">
        <f t="shared" si="7"/>
        <v>1</v>
      </c>
      <c r="DS17" s="5">
        <f ca="1">IF('Demand adjustments for Covid'!$F$9="Yes",IF(DR17=0,DQ17,((SUM(DR$4:DR17)-1)*$EE$8)+'Demand adjustments for Covid'!F$13),'Demand background (hide)'!DO17)</f>
        <v>14765</v>
      </c>
      <c r="DT17" s="5">
        <f ca="1">IF('Demand adjustments for Covid'!$F$9="Yes",IF(OR(AND(DN17&gt;='Demand adjustments for Covid'!$F$12,DN17&lt;'Demand adjustments for Covid'!$F$17),DR17=1),DS17+3,DP17),'Demand background (hide)'!DP17)</f>
        <v>15657.95</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15657.95</v>
      </c>
    </row>
    <row r="18" spans="1:128" s="5" customFormat="1" x14ac:dyDescent="0.2">
      <c r="A18" s="5">
        <f t="shared" ca="1" si="3"/>
        <v>1</v>
      </c>
      <c r="B18" s="5">
        <f ca="1">COUNTBLANK(OFFSET(Demand!$I27,0,(COLUMN(A15)-1)*5,1,1))</f>
        <v>0</v>
      </c>
      <c r="C18" s="5">
        <f ca="1">COUNTBLANK(OFFSET(Demand!$I27,0,(COLUMN(B15)-1)*5,1,1))</f>
        <v>0</v>
      </c>
      <c r="D18" s="5">
        <f ca="1">COUNTBLANK(OFFSET(Demand!$I27,0,(COLUMN(C15)-1)*5,1,1))</f>
        <v>0</v>
      </c>
      <c r="E18" s="5">
        <f ca="1">COUNTBLANK(OFFSET(Demand!$I27,0,(COLUMN(D15)-1)*5,1,1))</f>
        <v>0</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6645</v>
      </c>
      <c r="O18" s="5">
        <f ca="1">SUM(OFFSET(Demand!$E27,0,(COLUMN(B15)-1)*5,1,3))*O$2</f>
        <v>5505</v>
      </c>
      <c r="P18" s="5">
        <f ca="1">SUM(OFFSET(Demand!$E27,0,(COLUMN(C15)-1)*5,1,3))*P$2</f>
        <v>1710</v>
      </c>
      <c r="Q18" s="5">
        <f ca="1">SUM(OFFSET(Demand!$E27,0,(COLUMN(D15)-1)*5,1,3))*Q$2</f>
        <v>750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14610</v>
      </c>
      <c r="Y18" s="5">
        <f t="shared" ca="1" si="5"/>
        <v>14610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14610</v>
      </c>
      <c r="AM18" s="5">
        <f t="shared" ca="1" si="9"/>
        <v>0</v>
      </c>
      <c r="AN18" s="5" t="str">
        <f>IF(Demand!BE27="Yes","Yes","")</f>
        <v/>
      </c>
      <c r="AP18" s="36" t="str">
        <f ca="1">Demand!B27</f>
        <v xml:space="preserve"> </v>
      </c>
      <c r="AQ18" s="5" t="str">
        <f ca="1">IF(TEXT(Demand!D27,"MMM")&lt;&gt;TEXT(Demand!D26,"MMM"),TEXT(Demand!D27,"MMM"),"")</f>
        <v/>
      </c>
      <c r="AT18" s="5">
        <f t="shared" ca="1" si="12"/>
        <v>1350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107.73076923076923</v>
      </c>
      <c r="BG18" s="5">
        <f ca="1">BG16/MAX('SPC background (hide)'!$I$5:$I$11)</f>
        <v>644.09615384615381</v>
      </c>
      <c r="BH18" s="5">
        <f ca="1">BH16/MAX('SPC background (hide)'!$I$5:$I$11)</f>
        <v>160.69230769230768</v>
      </c>
      <c r="BI18" s="5">
        <f ca="1">BI16/MAX('SPC background (hide)'!$I$5:$I$11)</f>
        <v>912.51923076923072</v>
      </c>
      <c r="BJ18" s="5">
        <f ca="1">BJ16/MAX('SPC background (hide)'!$I$5:$I$11)</f>
        <v>2111.3269230769229</v>
      </c>
      <c r="BK18" s="5">
        <f ca="1">BK16/MAX('SPC background (hide)'!$I$5:$I$11)</f>
        <v>9724.5</v>
      </c>
      <c r="BL18" s="5">
        <f ca="1">BL16/MAX('SPC background (hide)'!$I$5:$I$11)</f>
        <v>2651.0576923076924</v>
      </c>
      <c r="BM18" s="5">
        <f ca="1">BM16/MAX('SPC background (hide)'!$I$5:$I$11)</f>
        <v>14486.884615384615</v>
      </c>
      <c r="BQ18">
        <f ca="1">IF($AN18="",OFFSET(Demand!$A$13,ROW(A15)-1,4+((QUOTIENT(COLUMN(BQ$2)-69,3))*5)+MOD(COLUMN(BQ$2),3),1,1),"")</f>
        <v>6</v>
      </c>
      <c r="BR18">
        <f ca="1">IF($AN18="",OFFSET(Demand!$A$13,ROW(B15)-1,4+((QUOTIENT(COLUMN(BR$2)-69,3))*5)+MOD(COLUMN(BR$2),3),1,1),"")</f>
        <v>344</v>
      </c>
      <c r="BS18">
        <f ca="1">IF($AN18="",OFFSET(Demand!$A$13,ROW(C15)-1,4+((QUOTIENT(COLUMN(BS$2)-69,3))*5)+MOD(COLUMN(BS$2),3),1,1),"")</f>
        <v>93</v>
      </c>
      <c r="BT18">
        <f ca="1">IF($AN18="",OFFSET(Demand!$A$13,ROW(D15)-1,4+((QUOTIENT(COLUMN(BT$2)-69,3))*5)+MOD(COLUMN(BT$2),3),1,1),"")</f>
        <v>56</v>
      </c>
      <c r="BU18">
        <f ca="1">IF($AN18="",OFFSET(Demand!$A$13,ROW(E15)-1,4+((QUOTIENT(COLUMN(BU$2)-69,3))*5)+MOD(COLUMN(BU$2),3),1,1),"")</f>
        <v>250</v>
      </c>
      <c r="BV18">
        <f ca="1">IF($AN18="",OFFSET(Demand!$A$13,ROW(F15)-1,4+((QUOTIENT(COLUMN(BV$2)-69,3))*5)+MOD(COLUMN(BV$2),3),1,1),"")</f>
        <v>61</v>
      </c>
      <c r="BW18">
        <f ca="1">IF($AN18="",OFFSET(Demand!$A$13,ROW(G15)-1,4+((QUOTIENT(COLUMN(BW$2)-69,3))*5)+MOD(COLUMN(BW$2),3),1,1),"")</f>
        <v>56</v>
      </c>
      <c r="BX18">
        <f ca="1">IF($AN18="",OFFSET(Demand!$A$13,ROW(H15)-1,4+((QUOTIENT(COLUMN(BX$2)-69,3))*5)+MOD(COLUMN(BX$2),3),1,1),"")</f>
        <v>0</v>
      </c>
      <c r="BY18">
        <f ca="1">IF($AN18="",OFFSET(Demand!$A$13,ROW(I15)-1,4+((QUOTIENT(COLUMN(BY$2)-69,3))*5)+MOD(COLUMN(BY$2),3),1,1),"")</f>
        <v>1</v>
      </c>
      <c r="BZ18">
        <f ca="1">IF($AN18="",OFFSET(Demand!$A$13,ROW(J15)-1,4+((QUOTIENT(COLUMN(BZ$2)-69,3))*5)+MOD(COLUMN(BZ$2),3),1,1),"")</f>
        <v>12</v>
      </c>
      <c r="CA18">
        <f ca="1">IF($AN18="",OFFSET(Demand!$A$13,ROW(K15)-1,4+((QUOTIENT(COLUMN(CA$2)-69,3))*5)+MOD(COLUMN(CA$2),3),1,1),"")</f>
        <v>6</v>
      </c>
      <c r="CB18">
        <f ca="1">IF($AN18="",OFFSET(Demand!$A$13,ROW(L15)-1,4+((QUOTIENT(COLUMN(CB$2)-69,3))*5)+MOD(COLUMN(CB$2),3),1,1),"")</f>
        <v>7</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f ca="1">VLOOKUP(IF($DM18&lt;53,$DM18,52),'Summary Calculations (hide)'!$D$15:$F$67,2,0)</f>
        <v>14765</v>
      </c>
      <c r="DP18" s="5">
        <f ca="1">VLOOKUP(IF($DM18&lt;53,$DM18,52),'Summary Calculations (hide)'!$D$15:$F$67,3,0)</f>
        <v>15657.95</v>
      </c>
      <c r="DQ18" s="5">
        <f ca="1">IF(AND(DN18&gt;='Demand adjustments for Covid'!$F$12,DN18&lt;'Demand adjustments for Covid'!$F$17),'Demand adjustments for Covid'!$F$13,DO18)</f>
        <v>14765</v>
      </c>
      <c r="DR18" s="5">
        <f t="shared" si="7"/>
        <v>1</v>
      </c>
      <c r="DS18" s="5">
        <f ca="1">IF('Demand adjustments for Covid'!$F$9="Yes",IF(DR18=0,DQ18,((SUM(DR$4:DR18)-1)*$EE$8)+'Demand adjustments for Covid'!F$13),'Demand background (hide)'!DO18)</f>
        <v>14765</v>
      </c>
      <c r="DT18" s="5">
        <f ca="1">IF('Demand adjustments for Covid'!$F$9="Yes",IF(OR(AND(DN18&gt;='Demand adjustments for Covid'!$F$12,DN18&lt;'Demand adjustments for Covid'!$F$17),DR18=1),DS18+3,DP18),'Demand background (hide)'!DP18)</f>
        <v>15657.95</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15657.95</v>
      </c>
    </row>
    <row r="19" spans="1:128" s="5" customFormat="1" x14ac:dyDescent="0.2">
      <c r="A19" s="5">
        <f t="shared" ca="1" si="3"/>
        <v>0</v>
      </c>
      <c r="B19" s="5">
        <f ca="1">COUNTBLANK(OFFSET(Demand!$I28,0,(COLUMN(A16)-1)*5,1,1))</f>
        <v>0</v>
      </c>
      <c r="C19" s="5">
        <f ca="1">COUNTBLANK(OFFSET(Demand!$I28,0,(COLUMN(B16)-1)*5,1,1))</f>
        <v>0</v>
      </c>
      <c r="D19" s="5">
        <f ca="1">COUNTBLANK(OFFSET(Demand!$I28,0,(COLUMN(C16)-1)*5,1,1))</f>
        <v>0</v>
      </c>
      <c r="E19" s="5">
        <f ca="1">COUNTBLANK(OFFSET(Demand!$I28,0,(COLUMN(D16)-1)*5,1,1))</f>
        <v>0</v>
      </c>
      <c r="F19" s="5">
        <f ca="1">COUNTBLANK(OFFSET(Demand!$I28,0,(COLUMN(E16)-1)*5,1,1))</f>
        <v>0</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6435</v>
      </c>
      <c r="O19" s="5">
        <f ca="1">SUM(OFFSET(Demand!$E28,0,(COLUMN(B16)-1)*5,1,3))*O$2</f>
        <v>5190</v>
      </c>
      <c r="P19" s="5">
        <f ca="1">SUM(OFFSET(Demand!$E28,0,(COLUMN(C16)-1)*5,1,3))*P$2</f>
        <v>1230</v>
      </c>
      <c r="Q19" s="5">
        <f ca="1">SUM(OFFSET(Demand!$E28,0,(COLUMN(D16)-1)*5,1,3))*Q$2</f>
        <v>420</v>
      </c>
      <c r="R19" s="5">
        <f ca="1">SUM(OFFSET(Demand!$E28,0,(COLUMN(E16)-1)*5,1,3))*R$2</f>
        <v>1</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13276</v>
      </c>
      <c r="Y19" s="5">
        <f t="shared" ca="1" si="5"/>
        <v>13276</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13276</v>
      </c>
      <c r="AM19" s="5">
        <f t="shared" ca="1" si="9"/>
        <v>0</v>
      </c>
      <c r="AN19" s="5" t="str">
        <f>IF(Demand!BE28="Yes","Yes","")</f>
        <v/>
      </c>
      <c r="AP19" s="36" t="str">
        <f ca="1">Demand!B28</f>
        <v xml:space="preserve"> </v>
      </c>
      <c r="AQ19" s="5" t="str">
        <f ca="1">IF(TEXT(Demand!D28,"MMM")&lt;&gt;TEXT(Demand!D27,"MMM"),TEXT(Demand!D28,"MMM"),"")</f>
        <v/>
      </c>
      <c r="AT19" s="5">
        <f t="shared" ca="1" si="12"/>
        <v>1334</v>
      </c>
      <c r="AV19" s="5" t="s">
        <v>107</v>
      </c>
      <c r="AW19" s="44" t="str">
        <f ca="1">IFERROR(AW18/1.128,"")</f>
        <v/>
      </c>
      <c r="AX19" s="5" t="str">
        <f ca="1">IFERROR(AX18/1.128,"")</f>
        <v/>
      </c>
      <c r="BQ19">
        <f ca="1">IF($AN19="",OFFSET(Demand!$A$13,ROW(A16)-1,4+((QUOTIENT(COLUMN(BQ$2)-69,3))*5)+MOD(COLUMN(BQ$2),3),1,1),"")</f>
        <v>4</v>
      </c>
      <c r="BR19">
        <f ca="1">IF($AN19="",OFFSET(Demand!$A$13,ROW(B16)-1,4+((QUOTIENT(COLUMN(BR$2)-69,3))*5)+MOD(COLUMN(BR$2),3),1,1),"")</f>
        <v>349</v>
      </c>
      <c r="BS19">
        <f ca="1">IF($AN19="",OFFSET(Demand!$A$13,ROW(C16)-1,4+((QUOTIENT(COLUMN(BS$2)-69,3))*5)+MOD(COLUMN(BS$2),3),1,1),"")</f>
        <v>76</v>
      </c>
      <c r="BT19">
        <f ca="1">IF($AN19="",OFFSET(Demand!$A$13,ROW(D16)-1,4+((QUOTIENT(COLUMN(BT$2)-69,3))*5)+MOD(COLUMN(BT$2),3),1,1),"")</f>
        <v>40</v>
      </c>
      <c r="BU19">
        <f ca="1">IF($AN19="",OFFSET(Demand!$A$13,ROW(E16)-1,4+((QUOTIENT(COLUMN(BU$2)-69,3))*5)+MOD(COLUMN(BU$2),3),1,1),"")</f>
        <v>263</v>
      </c>
      <c r="BV19">
        <f ca="1">IF($AN19="",OFFSET(Demand!$A$13,ROW(F16)-1,4+((QUOTIENT(COLUMN(BV$2)-69,3))*5)+MOD(COLUMN(BV$2),3),1,1),"")</f>
        <v>43</v>
      </c>
      <c r="BW19">
        <f ca="1">IF($AN19="",OFFSET(Demand!$A$13,ROW(G16)-1,4+((QUOTIENT(COLUMN(BW$2)-69,3))*5)+MOD(COLUMN(BW$2),3),1,1),"")</f>
        <v>40</v>
      </c>
      <c r="BX19">
        <f ca="1">IF($AN19="",OFFSET(Demand!$A$13,ROW(H16)-1,4+((QUOTIENT(COLUMN(BX$2)-69,3))*5)+MOD(COLUMN(BX$2),3),1,1),"")</f>
        <v>0</v>
      </c>
      <c r="BY19">
        <f ca="1">IF($AN19="",OFFSET(Demand!$A$13,ROW(I16)-1,4+((QUOTIENT(COLUMN(BY$2)-69,3))*5)+MOD(COLUMN(BY$2),3),1,1),"")</f>
        <v>1</v>
      </c>
      <c r="BZ19">
        <f ca="1">IF($AN19="",OFFSET(Demand!$A$13,ROW(J16)-1,4+((QUOTIENT(COLUMN(BZ$2)-69,3))*5)+MOD(COLUMN(BZ$2),3),1,1),"")</f>
        <v>7</v>
      </c>
      <c r="CA19">
        <f ca="1">IF($AN19="",OFFSET(Demand!$A$13,ROW(K16)-1,4+((QUOTIENT(COLUMN(CA$2)-69,3))*5)+MOD(COLUMN(CA$2),3),1,1),"")</f>
        <v>4</v>
      </c>
      <c r="CB19">
        <f ca="1">IF($AN19="",OFFSET(Demand!$A$13,ROW(L16)-1,4+((QUOTIENT(COLUMN(CB$2)-69,3))*5)+MOD(COLUMN(CB$2),3),1,1),"")</f>
        <v>3</v>
      </c>
      <c r="CC19">
        <f ca="1">IF($AN19="",OFFSET(Demand!$A$13,ROW(M16)-1,4+((QUOTIENT(COLUMN(CC$2)-69,3))*5)+MOD(COLUMN(CC$2),3),1,1),"")</f>
        <v>1</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f ca="1">VLOOKUP(IF($DM19&lt;53,$DM19,52),'Summary Calculations (hide)'!$D$15:$F$67,2,0)</f>
        <v>14765</v>
      </c>
      <c r="DP19" s="5">
        <f ca="1">VLOOKUP(IF($DM19&lt;53,$DM19,52),'Summary Calculations (hide)'!$D$15:$F$67,3,0)</f>
        <v>15657.95</v>
      </c>
      <c r="DQ19" s="5">
        <f ca="1">IF(AND(DN19&gt;='Demand adjustments for Covid'!$F$12,DN19&lt;'Demand adjustments for Covid'!$F$17),'Demand adjustments for Covid'!$F$13,DO19)</f>
        <v>14765</v>
      </c>
      <c r="DR19" s="5">
        <f t="shared" si="7"/>
        <v>1</v>
      </c>
      <c r="DS19" s="5">
        <f ca="1">IF('Demand adjustments for Covid'!$F$9="Yes",IF(DR19=0,DQ19,((SUM(DR$4:DR19)-1)*$EE$8)+'Demand adjustments for Covid'!F$13),'Demand background (hide)'!DO19)</f>
        <v>14765</v>
      </c>
      <c r="DT19" s="5">
        <f ca="1">IF('Demand adjustments for Covid'!$F$9="Yes",IF(OR(AND(DN19&gt;='Demand adjustments for Covid'!$F$12,DN19&lt;'Demand adjustments for Covid'!$F$17),DR19=1),DS19+3,DP19),'Demand background (hide)'!DP19)</f>
        <v>15657.95</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15657.95</v>
      </c>
    </row>
    <row r="20" spans="1:128" s="5" customFormat="1" x14ac:dyDescent="0.2">
      <c r="A20" s="5">
        <f t="shared" ca="1" si="3"/>
        <v>0</v>
      </c>
      <c r="B20" s="5">
        <f ca="1">COUNTBLANK(OFFSET(Demand!$I29,0,(COLUMN(A17)-1)*5,1,1))</f>
        <v>0</v>
      </c>
      <c r="C20" s="5">
        <f ca="1">COUNTBLANK(OFFSET(Demand!$I29,0,(COLUMN(B17)-1)*5,1,1))</f>
        <v>0</v>
      </c>
      <c r="D20" s="5">
        <f ca="1">COUNTBLANK(OFFSET(Demand!$I29,0,(COLUMN(C17)-1)*5,1,1))</f>
        <v>0</v>
      </c>
      <c r="E20" s="5">
        <f ca="1">COUNTBLANK(OFFSET(Demand!$I29,0,(COLUMN(D17)-1)*5,1,1))</f>
        <v>0</v>
      </c>
      <c r="F20" s="5">
        <f ca="1">COUNTBLANK(OFFSET(Demand!$I29,0,(COLUMN(E17)-1)*5,1,1))</f>
        <v>0</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6210</v>
      </c>
      <c r="O20" s="5">
        <f ca="1">SUM(OFFSET(Demand!$E29,0,(COLUMN(B17)-1)*5,1,3))*O$2</f>
        <v>5475</v>
      </c>
      <c r="P20" s="5">
        <f ca="1">SUM(OFFSET(Demand!$E29,0,(COLUMN(C17)-1)*5,1,3))*P$2</f>
        <v>1950</v>
      </c>
      <c r="Q20" s="5">
        <f ca="1">SUM(OFFSET(Demand!$E29,0,(COLUMN(D17)-1)*5,1,3))*Q$2</f>
        <v>1050</v>
      </c>
      <c r="R20" s="5">
        <f ca="1">SUM(OFFSET(Demand!$E29,0,(COLUMN(E17)-1)*5,1,3))*R$2</f>
        <v>2</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14687</v>
      </c>
      <c r="Y20" s="5">
        <f t="shared" ca="1" si="5"/>
        <v>14687</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14687</v>
      </c>
      <c r="AM20" s="5">
        <f t="shared" ca="1" si="9"/>
        <v>0</v>
      </c>
      <c r="AN20" s="5" t="str">
        <f>IF(Demand!BE29="Yes","Yes","")</f>
        <v/>
      </c>
      <c r="AP20" s="36" t="str">
        <f ca="1">Demand!B29</f>
        <v xml:space="preserve"> </v>
      </c>
      <c r="AQ20" s="5" t="str">
        <f ca="1">IF(TEXT(Demand!D29,"MMM")&lt;&gt;TEXT(Demand!D28,"MMM"),TEXT(Demand!D29,"MMM"),"")</f>
        <v/>
      </c>
      <c r="AT20" s="5">
        <f t="shared" ca="1" si="12"/>
        <v>1411</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0.1457405770205942</v>
      </c>
      <c r="BK20" s="46">
        <f ca="1">BK18/BM18</f>
        <v>0.67126233542806624</v>
      </c>
      <c r="BL20" s="46">
        <f ca="1">BL18/BM18</f>
        <v>0.18299708755133956</v>
      </c>
      <c r="BQ20">
        <f ca="1">IF($AN20="",OFFSET(Demand!$A$13,ROW(A17)-1,4+((QUOTIENT(COLUMN(BQ$2)-69,3))*5)+MOD(COLUMN(BQ$2),3),1,1),"")</f>
        <v>6</v>
      </c>
      <c r="BR20">
        <f ca="1">IF($AN20="",OFFSET(Demand!$A$13,ROW(B17)-1,4+((QUOTIENT(COLUMN(BR$2)-69,3))*5)+MOD(COLUMN(BR$2),3),1,1),"")</f>
        <v>339</v>
      </c>
      <c r="BS20">
        <f ca="1">IF($AN20="",OFFSET(Demand!$A$13,ROW(C17)-1,4+((QUOTIENT(COLUMN(BS$2)-69,3))*5)+MOD(COLUMN(BS$2),3),1,1),"")</f>
        <v>69</v>
      </c>
      <c r="BT20">
        <f ca="1">IF($AN20="",OFFSET(Demand!$A$13,ROW(D17)-1,4+((QUOTIENT(COLUMN(BT$2)-69,3))*5)+MOD(COLUMN(BT$2),3),1,1),"")</f>
        <v>59</v>
      </c>
      <c r="BU20">
        <f ca="1">IF($AN20="",OFFSET(Demand!$A$13,ROW(E17)-1,4+((QUOTIENT(COLUMN(BU$2)-69,3))*5)+MOD(COLUMN(BU$2),3),1,1),"")</f>
        <v>247</v>
      </c>
      <c r="BV20">
        <f ca="1">IF($AN20="",OFFSET(Demand!$A$13,ROW(F17)-1,4+((QUOTIENT(COLUMN(BV$2)-69,3))*5)+MOD(COLUMN(BV$2),3),1,1),"")</f>
        <v>59</v>
      </c>
      <c r="BW20">
        <f ca="1">IF($AN20="",OFFSET(Demand!$A$13,ROW(G17)-1,4+((QUOTIENT(COLUMN(BW$2)-69,3))*5)+MOD(COLUMN(BW$2),3),1,1),"")</f>
        <v>59</v>
      </c>
      <c r="BX20">
        <f ca="1">IF($AN20="",OFFSET(Demand!$A$13,ROW(H17)-1,4+((QUOTIENT(COLUMN(BX$2)-69,3))*5)+MOD(COLUMN(BX$2),3),1,1),"")</f>
        <v>1</v>
      </c>
      <c r="BY20">
        <f ca="1">IF($AN20="",OFFSET(Demand!$A$13,ROW(I17)-1,4+((QUOTIENT(COLUMN(BY$2)-69,3))*5)+MOD(COLUMN(BY$2),3),1,1),"")</f>
        <v>5</v>
      </c>
      <c r="BZ20">
        <f ca="1">IF($AN20="",OFFSET(Demand!$A$13,ROW(J17)-1,4+((QUOTIENT(COLUMN(BZ$2)-69,3))*5)+MOD(COLUMN(BZ$2),3),1,1),"")</f>
        <v>14</v>
      </c>
      <c r="CA20">
        <f ca="1">IF($AN20="",OFFSET(Demand!$A$13,ROW(K17)-1,4+((QUOTIENT(COLUMN(CA$2)-69,3))*5)+MOD(COLUMN(CA$2),3),1,1),"")</f>
        <v>12</v>
      </c>
      <c r="CB20">
        <f ca="1">IF($AN20="",OFFSET(Demand!$A$13,ROW(L17)-1,4+((QUOTIENT(COLUMN(CB$2)-69,3))*5)+MOD(COLUMN(CB$2),3),1,1),"")</f>
        <v>9</v>
      </c>
      <c r="CC20">
        <f ca="1">IF($AN20="",OFFSET(Demand!$A$13,ROW(M17)-1,4+((QUOTIENT(COLUMN(CC$2)-69,3))*5)+MOD(COLUMN(CC$2),3),1,1),"")</f>
        <v>2</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f ca="1">VLOOKUP(IF($DM20&lt;53,$DM20,52),'Summary Calculations (hide)'!$D$15:$F$67,2,0)</f>
        <v>14765</v>
      </c>
      <c r="DP20" s="5">
        <f ca="1">VLOOKUP(IF($DM20&lt;53,$DM20,52),'Summary Calculations (hide)'!$D$15:$F$67,3,0)</f>
        <v>15657.95</v>
      </c>
      <c r="DQ20" s="5">
        <f ca="1">IF(AND(DN20&gt;='Demand adjustments for Covid'!$F$12,DN20&lt;'Demand adjustments for Covid'!$F$17),'Demand adjustments for Covid'!$F$13,DO20)</f>
        <v>14765</v>
      </c>
      <c r="DR20" s="5">
        <f t="shared" si="7"/>
        <v>1</v>
      </c>
      <c r="DS20" s="5">
        <f ca="1">IF('Demand adjustments for Covid'!$F$9="Yes",IF(DR20=0,DQ20,((SUM(DR$4:DR20)-1)*$EE$8)+'Demand adjustments for Covid'!F$13),'Demand background (hide)'!DO20)</f>
        <v>14765</v>
      </c>
      <c r="DT20" s="5">
        <f ca="1">IF('Demand adjustments for Covid'!$F$9="Yes",IF(OR(AND(DN20&gt;='Demand adjustments for Covid'!$F$12,DN20&lt;'Demand adjustments for Covid'!$F$17),DR20=1),DS20+3,DP20),'Demand background (hide)'!DP20)</f>
        <v>15657.95</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15657.95</v>
      </c>
    </row>
    <row r="21" spans="1:128" s="5" customFormat="1" x14ac:dyDescent="0.2">
      <c r="A21" s="5">
        <f t="shared" ca="1" si="3"/>
        <v>1</v>
      </c>
      <c r="B21" s="5">
        <f ca="1">COUNTBLANK(OFFSET(Demand!$I30,0,(COLUMN(A18)-1)*5,1,1))</f>
        <v>0</v>
      </c>
      <c r="C21" s="5">
        <f ca="1">COUNTBLANK(OFFSET(Demand!$I30,0,(COLUMN(B18)-1)*5,1,1))</f>
        <v>0</v>
      </c>
      <c r="D21" s="5">
        <f ca="1">COUNTBLANK(OFFSET(Demand!$I30,0,(COLUMN(C18)-1)*5,1,1))</f>
        <v>0</v>
      </c>
      <c r="E21" s="5">
        <f ca="1">COUNTBLANK(OFFSET(Demand!$I30,0,(COLUMN(D18)-1)*5,1,1))</f>
        <v>0</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6375</v>
      </c>
      <c r="O21" s="5">
        <f ca="1">SUM(OFFSET(Demand!$E30,0,(COLUMN(B18)-1)*5,1,3))*O$2</f>
        <v>5985</v>
      </c>
      <c r="P21" s="5">
        <f ca="1">SUM(OFFSET(Demand!$E30,0,(COLUMN(C18)-1)*5,1,3))*P$2</f>
        <v>1830</v>
      </c>
      <c r="Q21" s="5">
        <f ca="1">SUM(OFFSET(Demand!$E30,0,(COLUMN(D18)-1)*5,1,3))*Q$2</f>
        <v>600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14790</v>
      </c>
      <c r="Y21" s="5">
        <f t="shared" ca="1" si="5"/>
        <v>14790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14790</v>
      </c>
      <c r="AM21" s="5">
        <f t="shared" ca="1" si="9"/>
        <v>0</v>
      </c>
      <c r="AN21" s="5" t="str">
        <f>IF(Demand!BE30="Yes","Yes","")</f>
        <v/>
      </c>
      <c r="AP21" s="36" t="str">
        <f ca="1">Demand!B30</f>
        <v xml:space="preserve"> </v>
      </c>
      <c r="AQ21" s="5" t="str">
        <f ca="1">IF(TEXT(Demand!D30,"MMM")&lt;&gt;TEXT(Demand!D29,"MMM"),TEXT(Demand!D30,"MMM"),"")</f>
        <v/>
      </c>
      <c r="AT21" s="5">
        <f t="shared" ca="1" si="12"/>
        <v>103</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8</v>
      </c>
      <c r="BR21">
        <f ca="1">IF($AN21="",OFFSET(Demand!$A$13,ROW(B18)-1,4+((QUOTIENT(COLUMN(BR$2)-69,3))*5)+MOD(COLUMN(BR$2),3),1,1),"")</f>
        <v>338</v>
      </c>
      <c r="BS21">
        <f ca="1">IF($AN21="",OFFSET(Demand!$A$13,ROW(C18)-1,4+((QUOTIENT(COLUMN(BS$2)-69,3))*5)+MOD(COLUMN(BS$2),3),1,1),"")</f>
        <v>79</v>
      </c>
      <c r="BT21">
        <f ca="1">IF($AN21="",OFFSET(Demand!$A$13,ROW(D18)-1,4+((QUOTIENT(COLUMN(BT$2)-69,3))*5)+MOD(COLUMN(BT$2),3),1,1),"")</f>
        <v>54</v>
      </c>
      <c r="BU21">
        <f ca="1">IF($AN21="",OFFSET(Demand!$A$13,ROW(E18)-1,4+((QUOTIENT(COLUMN(BU$2)-69,3))*5)+MOD(COLUMN(BU$2),3),1,1),"")</f>
        <v>285</v>
      </c>
      <c r="BV21">
        <f ca="1">IF($AN21="",OFFSET(Demand!$A$13,ROW(F18)-1,4+((QUOTIENT(COLUMN(BV$2)-69,3))*5)+MOD(COLUMN(BV$2),3),1,1),"")</f>
        <v>60</v>
      </c>
      <c r="BW21">
        <f ca="1">IF($AN21="",OFFSET(Demand!$A$13,ROW(G18)-1,4+((QUOTIENT(COLUMN(BW$2)-69,3))*5)+MOD(COLUMN(BW$2),3),1,1),"")</f>
        <v>54</v>
      </c>
      <c r="BX21">
        <f ca="1">IF($AN21="",OFFSET(Demand!$A$13,ROW(H18)-1,4+((QUOTIENT(COLUMN(BX$2)-69,3))*5)+MOD(COLUMN(BX$2),3),1,1),"")</f>
        <v>0</v>
      </c>
      <c r="BY21">
        <f ca="1">IF($AN21="",OFFSET(Demand!$A$13,ROW(I18)-1,4+((QUOTIENT(COLUMN(BY$2)-69,3))*5)+MOD(COLUMN(BY$2),3),1,1),"")</f>
        <v>7</v>
      </c>
      <c r="BZ21">
        <f ca="1">IF($AN21="",OFFSET(Demand!$A$13,ROW(J18)-1,4+((QUOTIENT(COLUMN(BZ$2)-69,3))*5)+MOD(COLUMN(BZ$2),3),1,1),"")</f>
        <v>10</v>
      </c>
      <c r="CA21">
        <f ca="1">IF($AN21="",OFFSET(Demand!$A$13,ROW(K18)-1,4+((QUOTIENT(COLUMN(CA$2)-69,3))*5)+MOD(COLUMN(CA$2),3),1,1),"")</f>
        <v>2</v>
      </c>
      <c r="CB21">
        <f ca="1">IF($AN21="",OFFSET(Demand!$A$13,ROW(L18)-1,4+((QUOTIENT(COLUMN(CB$2)-69,3))*5)+MOD(COLUMN(CB$2),3),1,1),"")</f>
        <v>8</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f ca="1">VLOOKUP(IF($DM21&lt;53,$DM21,52),'Summary Calculations (hide)'!$D$15:$F$67,2,0)</f>
        <v>14765</v>
      </c>
      <c r="DP21" s="5">
        <f ca="1">VLOOKUP(IF($DM21&lt;53,$DM21,52),'Summary Calculations (hide)'!$D$15:$F$67,3,0)</f>
        <v>15657.95</v>
      </c>
      <c r="DQ21" s="5">
        <f ca="1">IF(AND(DN21&gt;='Demand adjustments for Covid'!$F$12,DN21&lt;'Demand adjustments for Covid'!$F$17),'Demand adjustments for Covid'!$F$13,DO21)</f>
        <v>14765</v>
      </c>
      <c r="DR21" s="5">
        <f t="shared" si="7"/>
        <v>1</v>
      </c>
      <c r="DS21" s="5">
        <f ca="1">IF('Demand adjustments for Covid'!$F$9="Yes",IF(DR21=0,DQ21,((SUM(DR$4:DR21)-1)*$EE$8)+'Demand adjustments for Covid'!F$13),'Demand background (hide)'!DO21)</f>
        <v>14765</v>
      </c>
      <c r="DT21" s="5">
        <f ca="1">IF('Demand adjustments for Covid'!$F$9="Yes",IF(OR(AND(DN21&gt;='Demand adjustments for Covid'!$F$12,DN21&lt;'Demand adjustments for Covid'!$F$17),DR21=1),DS21+3,DP21),'Demand background (hide)'!DP21)</f>
        <v>15657.95</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15657.95</v>
      </c>
    </row>
    <row r="22" spans="1:128" s="5" customFormat="1" x14ac:dyDescent="0.2">
      <c r="A22" s="5">
        <f t="shared" ca="1" si="3"/>
        <v>0</v>
      </c>
      <c r="B22" s="5">
        <f ca="1">COUNTBLANK(OFFSET(Demand!$I31,0,(COLUMN(A19)-1)*5,1,1))</f>
        <v>0</v>
      </c>
      <c r="C22" s="5">
        <f ca="1">COUNTBLANK(OFFSET(Demand!$I31,0,(COLUMN(B19)-1)*5,1,1))</f>
        <v>0</v>
      </c>
      <c r="D22" s="5">
        <f ca="1">COUNTBLANK(OFFSET(Demand!$I31,0,(COLUMN(C19)-1)*5,1,1))</f>
        <v>0</v>
      </c>
      <c r="E22" s="5">
        <f ca="1">COUNTBLANK(OFFSET(Demand!$I31,0,(COLUMN(D19)-1)*5,1,1))</f>
        <v>0</v>
      </c>
      <c r="F22" s="5">
        <f ca="1">COUNTBLANK(OFFSET(Demand!$I31,0,(COLUMN(E19)-1)*5,1,1))</f>
        <v>0</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5835</v>
      </c>
      <c r="O22" s="5">
        <f ca="1">SUM(OFFSET(Demand!$E31,0,(COLUMN(B19)-1)*5,1,3))*O$2</f>
        <v>4485</v>
      </c>
      <c r="P22" s="5">
        <f ca="1">SUM(OFFSET(Demand!$E31,0,(COLUMN(C19)-1)*5,1,3))*P$2</f>
        <v>1560</v>
      </c>
      <c r="Q22" s="5">
        <f ca="1">SUM(OFFSET(Demand!$E31,0,(COLUMN(D19)-1)*5,1,3))*Q$2</f>
        <v>600</v>
      </c>
      <c r="R22" s="5">
        <f ca="1">SUM(OFFSET(Demand!$E31,0,(COLUMN(E19)-1)*5,1,3))*R$2</f>
        <v>1</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12481</v>
      </c>
      <c r="Y22" s="5">
        <f t="shared" ca="1" si="5"/>
        <v>12481</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12481</v>
      </c>
      <c r="AM22" s="5">
        <f t="shared" ca="1" si="9"/>
        <v>0</v>
      </c>
      <c r="AN22" s="5" t="str">
        <f>IF(Demand!BE31="Yes","Yes","")</f>
        <v/>
      </c>
      <c r="AP22" s="36" t="str">
        <f ca="1">Demand!B31</f>
        <v xml:space="preserve"> </v>
      </c>
      <c r="AQ22" s="5" t="str">
        <f ca="1">IF(TEXT(Demand!D31,"MMM")&lt;&gt;TEXT(Demand!D30,"MMM"),TEXT(Demand!D31,"MMM"),"")</f>
        <v>Aug</v>
      </c>
      <c r="AT22" s="5">
        <f t="shared" ca="1" si="12"/>
        <v>2309</v>
      </c>
      <c r="BQ22">
        <f ca="1">IF($AN22="",OFFSET(Demand!$A$13,ROW(A19)-1,4+((QUOTIENT(COLUMN(BQ$2)-69,3))*5)+MOD(COLUMN(BQ$2),3),1,1),"")</f>
        <v>9</v>
      </c>
      <c r="BR22">
        <f ca="1">IF($AN22="",OFFSET(Demand!$A$13,ROW(B19)-1,4+((QUOTIENT(COLUMN(BR$2)-69,3))*5)+MOD(COLUMN(BR$2),3),1,1),"")</f>
        <v>306</v>
      </c>
      <c r="BS22">
        <f ca="1">IF($AN22="",OFFSET(Demand!$A$13,ROW(C19)-1,4+((QUOTIENT(COLUMN(BS$2)-69,3))*5)+MOD(COLUMN(BS$2),3),1,1),"")</f>
        <v>74</v>
      </c>
      <c r="BT22">
        <f ca="1">IF($AN22="",OFFSET(Demand!$A$13,ROW(D19)-1,4+((QUOTIENT(COLUMN(BT$2)-69,3))*5)+MOD(COLUMN(BT$2),3),1,1),"")</f>
        <v>49</v>
      </c>
      <c r="BU22">
        <f ca="1">IF($AN22="",OFFSET(Demand!$A$13,ROW(E19)-1,4+((QUOTIENT(COLUMN(BU$2)-69,3))*5)+MOD(COLUMN(BU$2),3),1,1),"")</f>
        <v>206</v>
      </c>
      <c r="BV22">
        <f ca="1">IF($AN22="",OFFSET(Demand!$A$13,ROW(F19)-1,4+((QUOTIENT(COLUMN(BV$2)-69,3))*5)+MOD(COLUMN(BV$2),3),1,1),"")</f>
        <v>44</v>
      </c>
      <c r="BW22">
        <f ca="1">IF($AN22="",OFFSET(Demand!$A$13,ROW(G19)-1,4+((QUOTIENT(COLUMN(BW$2)-69,3))*5)+MOD(COLUMN(BW$2),3),1,1),"")</f>
        <v>49</v>
      </c>
      <c r="BX22">
        <f ca="1">IF($AN22="",OFFSET(Demand!$A$13,ROW(H19)-1,4+((QUOTIENT(COLUMN(BX$2)-69,3))*5)+MOD(COLUMN(BX$2),3),1,1),"")</f>
        <v>0</v>
      </c>
      <c r="BY22">
        <f ca="1">IF($AN22="",OFFSET(Demand!$A$13,ROW(I19)-1,4+((QUOTIENT(COLUMN(BY$2)-69,3))*5)+MOD(COLUMN(BY$2),3),1,1),"")</f>
        <v>3</v>
      </c>
      <c r="BZ22">
        <f ca="1">IF($AN22="",OFFSET(Demand!$A$13,ROW(J19)-1,4+((QUOTIENT(COLUMN(BZ$2)-69,3))*5)+MOD(COLUMN(BZ$2),3),1,1),"")</f>
        <v>5</v>
      </c>
      <c r="CA22">
        <f ca="1">IF($AN22="",OFFSET(Demand!$A$13,ROW(K19)-1,4+((QUOTIENT(COLUMN(CA$2)-69,3))*5)+MOD(COLUMN(CA$2),3),1,1),"")</f>
        <v>11</v>
      </c>
      <c r="CB22">
        <f ca="1">IF($AN22="",OFFSET(Demand!$A$13,ROW(L19)-1,4+((QUOTIENT(COLUMN(CB$2)-69,3))*5)+MOD(COLUMN(CB$2),3),1,1),"")</f>
        <v>4</v>
      </c>
      <c r="CC22">
        <f ca="1">IF($AN22="",OFFSET(Demand!$A$13,ROW(M19)-1,4+((QUOTIENT(COLUMN(CC$2)-69,3))*5)+MOD(COLUMN(CC$2),3),1,1),"")</f>
        <v>0</v>
      </c>
      <c r="CD22">
        <f ca="1">IF($AN22="",OFFSET(Demand!$A$13,ROW(N19)-1,4+((QUOTIENT(COLUMN(CD$2)-69,3))*5)+MOD(COLUMN(CD$2),3),1,1),"")</f>
        <v>1</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f ca="1">VLOOKUP(IF($DM22&lt;53,$DM22,52),'Summary Calculations (hide)'!$D$15:$F$67,2,0)</f>
        <v>14765</v>
      </c>
      <c r="DP22" s="5">
        <f ca="1">VLOOKUP(IF($DM22&lt;53,$DM22,52),'Summary Calculations (hide)'!$D$15:$F$67,3,0)</f>
        <v>15657.95</v>
      </c>
      <c r="DQ22" s="5">
        <f ca="1">IF(AND(DN22&gt;='Demand adjustments for Covid'!$F$12,DN22&lt;'Demand adjustments for Covid'!$F$17),'Demand adjustments for Covid'!$F$13,DO22)</f>
        <v>14765</v>
      </c>
      <c r="DR22" s="5">
        <f t="shared" si="7"/>
        <v>1</v>
      </c>
      <c r="DS22" s="5">
        <f ca="1">IF('Demand adjustments for Covid'!$F$9="Yes",IF(DR22=0,DQ22,((SUM(DR$4:DR22)-1)*$EE$8)+'Demand adjustments for Covid'!F$13),'Demand background (hide)'!DO22)</f>
        <v>14765</v>
      </c>
      <c r="DT22" s="5">
        <f ca="1">IF('Demand adjustments for Covid'!$F$9="Yes",IF(OR(AND(DN22&gt;='Demand adjustments for Covid'!$F$12,DN22&lt;'Demand adjustments for Covid'!$F$17),DR22=1),DS22+3,DP22),'Demand background (hide)'!DP22)</f>
        <v>15657.95</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15657.95</v>
      </c>
    </row>
    <row r="23" spans="1:128" s="5" customFormat="1" x14ac:dyDescent="0.2">
      <c r="A23" s="5">
        <f t="shared" ca="1" si="3"/>
        <v>0</v>
      </c>
      <c r="B23" s="5">
        <f ca="1">COUNTBLANK(OFFSET(Demand!$I32,0,(COLUMN(A20)-1)*5,1,1))</f>
        <v>0</v>
      </c>
      <c r="C23" s="5">
        <f ca="1">COUNTBLANK(OFFSET(Demand!$I32,0,(COLUMN(B20)-1)*5,1,1))</f>
        <v>0</v>
      </c>
      <c r="D23" s="5">
        <f ca="1">COUNTBLANK(OFFSET(Demand!$I32,0,(COLUMN(C20)-1)*5,1,1))</f>
        <v>0</v>
      </c>
      <c r="E23" s="5">
        <f ca="1">COUNTBLANK(OFFSET(Demand!$I32,0,(COLUMN(D20)-1)*5,1,1))</f>
        <v>0</v>
      </c>
      <c r="F23" s="5">
        <f ca="1">COUNTBLANK(OFFSET(Demand!$I32,0,(COLUMN(E20)-1)*5,1,1))</f>
        <v>0</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6585</v>
      </c>
      <c r="O23" s="5">
        <f ca="1">SUM(OFFSET(Demand!$E32,0,(COLUMN(B20)-1)*5,1,3))*O$2</f>
        <v>4800</v>
      </c>
      <c r="P23" s="5">
        <f ca="1">SUM(OFFSET(Demand!$E32,0,(COLUMN(C20)-1)*5,1,3))*P$2</f>
        <v>1410</v>
      </c>
      <c r="Q23" s="5">
        <f ca="1">SUM(OFFSET(Demand!$E32,0,(COLUMN(D20)-1)*5,1,3))*Q$2</f>
        <v>720</v>
      </c>
      <c r="R23" s="5">
        <f ca="1">SUM(OFFSET(Demand!$E32,0,(COLUMN(E20)-1)*5,1,3))*R$2</f>
        <v>1</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13516</v>
      </c>
      <c r="Y23" s="5">
        <f t="shared" ca="1" si="5"/>
        <v>13516</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13516</v>
      </c>
      <c r="AM23" s="5">
        <f t="shared" ca="1" si="9"/>
        <v>0</v>
      </c>
      <c r="AN23" s="5" t="str">
        <f>IF(Demand!BE32="Yes","Yes","")</f>
        <v/>
      </c>
      <c r="AP23" s="36" t="str">
        <f ca="1">Demand!B32</f>
        <v xml:space="preserve"> </v>
      </c>
      <c r="AQ23" s="5" t="str">
        <f ca="1">IF(TEXT(Demand!D32,"MMM")&lt;&gt;TEXT(Demand!D31,"MMM"),TEXT(Demand!D32,"MMM"),"")</f>
        <v/>
      </c>
      <c r="AT23" s="5">
        <f t="shared" ca="1" si="12"/>
        <v>1035</v>
      </c>
      <c r="BQ23">
        <f ca="1">IF($AN23="",OFFSET(Demand!$A$13,ROW(A20)-1,4+((QUOTIENT(COLUMN(BQ$2)-69,3))*5)+MOD(COLUMN(BQ$2),3),1,1),"")</f>
        <v>8</v>
      </c>
      <c r="BR23">
        <f ca="1">IF($AN23="",OFFSET(Demand!$A$13,ROW(B20)-1,4+((QUOTIENT(COLUMN(BR$2)-69,3))*5)+MOD(COLUMN(BR$2),3),1,1),"")</f>
        <v>338</v>
      </c>
      <c r="BS23">
        <f ca="1">IF($AN23="",OFFSET(Demand!$A$13,ROW(C20)-1,4+((QUOTIENT(COLUMN(BS$2)-69,3))*5)+MOD(COLUMN(BS$2),3),1,1),"")</f>
        <v>93</v>
      </c>
      <c r="BT23">
        <f ca="1">IF($AN23="",OFFSET(Demand!$A$13,ROW(D20)-1,4+((QUOTIENT(COLUMN(BT$2)-69,3))*5)+MOD(COLUMN(BT$2),3),1,1),"")</f>
        <v>45</v>
      </c>
      <c r="BU23">
        <f ca="1">IF($AN23="",OFFSET(Demand!$A$13,ROW(E20)-1,4+((QUOTIENT(COLUMN(BU$2)-69,3))*5)+MOD(COLUMN(BU$2),3),1,1),"")</f>
        <v>232</v>
      </c>
      <c r="BV23">
        <f ca="1">IF($AN23="",OFFSET(Demand!$A$13,ROW(F20)-1,4+((QUOTIENT(COLUMN(BV$2)-69,3))*5)+MOD(COLUMN(BV$2),3),1,1),"")</f>
        <v>43</v>
      </c>
      <c r="BW23">
        <f ca="1">IF($AN23="",OFFSET(Demand!$A$13,ROW(G20)-1,4+((QUOTIENT(COLUMN(BW$2)-69,3))*5)+MOD(COLUMN(BW$2),3),1,1),"")</f>
        <v>45</v>
      </c>
      <c r="BX23">
        <f ca="1">IF($AN23="",OFFSET(Demand!$A$13,ROW(H20)-1,4+((QUOTIENT(COLUMN(BX$2)-69,3))*5)+MOD(COLUMN(BX$2),3),1,1),"")</f>
        <v>0</v>
      </c>
      <c r="BY23">
        <f ca="1">IF($AN23="",OFFSET(Demand!$A$13,ROW(I20)-1,4+((QUOTIENT(COLUMN(BY$2)-69,3))*5)+MOD(COLUMN(BY$2),3),1,1),"")</f>
        <v>2</v>
      </c>
      <c r="BZ23">
        <f ca="1">IF($AN23="",OFFSET(Demand!$A$13,ROW(J20)-1,4+((QUOTIENT(COLUMN(BZ$2)-69,3))*5)+MOD(COLUMN(BZ$2),3),1,1),"")</f>
        <v>10</v>
      </c>
      <c r="CA23">
        <f ca="1">IF($AN23="",OFFSET(Demand!$A$13,ROW(K20)-1,4+((QUOTIENT(COLUMN(CA$2)-69,3))*5)+MOD(COLUMN(CA$2),3),1,1),"")</f>
        <v>8</v>
      </c>
      <c r="CB23">
        <f ca="1">IF($AN23="",OFFSET(Demand!$A$13,ROW(L20)-1,4+((QUOTIENT(COLUMN(CB$2)-69,3))*5)+MOD(COLUMN(CB$2),3),1,1),"")</f>
        <v>6</v>
      </c>
      <c r="CC23">
        <f ca="1">IF($AN23="",OFFSET(Demand!$A$13,ROW(M20)-1,4+((QUOTIENT(COLUMN(CC$2)-69,3))*5)+MOD(COLUMN(CC$2),3),1,1),"")</f>
        <v>1</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f ca="1">VLOOKUP(IF($DM23&lt;53,$DM23,52),'Summary Calculations (hide)'!$D$15:$F$67,2,0)</f>
        <v>14765</v>
      </c>
      <c r="DP23" s="5">
        <f ca="1">VLOOKUP(IF($DM23&lt;53,$DM23,52),'Summary Calculations (hide)'!$D$15:$F$67,3,0)</f>
        <v>15657.95</v>
      </c>
      <c r="DQ23" s="5">
        <f ca="1">IF(AND(DN23&gt;='Demand adjustments for Covid'!$F$12,DN23&lt;'Demand adjustments for Covid'!$F$17),'Demand adjustments for Covid'!$F$13,DO23)</f>
        <v>14765</v>
      </c>
      <c r="DR23" s="5">
        <f t="shared" si="7"/>
        <v>1</v>
      </c>
      <c r="DS23" s="5">
        <f ca="1">IF('Demand adjustments for Covid'!$F$9="Yes",IF(DR23=0,DQ23,((SUM(DR$4:DR23)-1)*$EE$8)+'Demand adjustments for Covid'!F$13),'Demand background (hide)'!DO23)</f>
        <v>14765</v>
      </c>
      <c r="DT23" s="5">
        <f ca="1">IF('Demand adjustments for Covid'!$F$9="Yes",IF(OR(AND(DN23&gt;='Demand adjustments for Covid'!$F$12,DN23&lt;'Demand adjustments for Covid'!$F$17),DR23=1),DS23+3,DP23),'Demand background (hide)'!DP23)</f>
        <v>15657.95</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15657.95</v>
      </c>
    </row>
    <row r="24" spans="1:128" s="5" customFormat="1" x14ac:dyDescent="0.2">
      <c r="A24" s="5">
        <f t="shared" ca="1" si="3"/>
        <v>0</v>
      </c>
      <c r="B24" s="5">
        <f ca="1">COUNTBLANK(OFFSET(Demand!$I33,0,(COLUMN(A21)-1)*5,1,1))</f>
        <v>0</v>
      </c>
      <c r="C24" s="5">
        <f ca="1">COUNTBLANK(OFFSET(Demand!$I33,0,(COLUMN(B21)-1)*5,1,1))</f>
        <v>0</v>
      </c>
      <c r="D24" s="5">
        <f ca="1">COUNTBLANK(OFFSET(Demand!$I33,0,(COLUMN(C21)-1)*5,1,1))</f>
        <v>0</v>
      </c>
      <c r="E24" s="5">
        <f ca="1">COUNTBLANK(OFFSET(Demand!$I33,0,(COLUMN(D21)-1)*5,1,1))</f>
        <v>0</v>
      </c>
      <c r="F24" s="5">
        <f ca="1">COUNTBLANK(OFFSET(Demand!$I33,0,(COLUMN(E21)-1)*5,1,1))</f>
        <v>0</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6615</v>
      </c>
      <c r="O24" s="5">
        <f ca="1">SUM(OFFSET(Demand!$E33,0,(COLUMN(B21)-1)*5,1,3))*O$2</f>
        <v>5445</v>
      </c>
      <c r="P24" s="5">
        <f ca="1">SUM(OFFSET(Demand!$E33,0,(COLUMN(C21)-1)*5,1,3))*P$2</f>
        <v>1950</v>
      </c>
      <c r="Q24" s="5">
        <f ca="1">SUM(OFFSET(Demand!$E33,0,(COLUMN(D21)-1)*5,1,3))*Q$2</f>
        <v>810</v>
      </c>
      <c r="R24" s="5">
        <f ca="1">SUM(OFFSET(Demand!$E33,0,(COLUMN(E21)-1)*5,1,3))*R$2</f>
        <v>1</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14821</v>
      </c>
      <c r="Y24" s="5">
        <f t="shared" ca="1" si="5"/>
        <v>14821</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14821</v>
      </c>
      <c r="AM24" s="5">
        <f t="shared" ca="1" si="9"/>
        <v>0</v>
      </c>
      <c r="AN24" s="5" t="str">
        <f>IF(Demand!BE33="Yes","Yes","")</f>
        <v/>
      </c>
      <c r="AP24" s="36" t="str">
        <f ca="1">Demand!B33</f>
        <v xml:space="preserve"> </v>
      </c>
      <c r="AQ24" s="5" t="str">
        <f ca="1">IF(TEXT(Demand!D33,"MMM")&lt;&gt;TEXT(Demand!D32,"MMM"),TEXT(Demand!D33,"MMM"),"")</f>
        <v/>
      </c>
      <c r="AT24" s="5">
        <f t="shared" ca="1" si="12"/>
        <v>1305</v>
      </c>
      <c r="BQ24">
        <f ca="1">IF($AN24="",OFFSET(Demand!$A$13,ROW(A21)-1,4+((QUOTIENT(COLUMN(BQ$2)-69,3))*5)+MOD(COLUMN(BQ$2),3),1,1),"")</f>
        <v>10</v>
      </c>
      <c r="BR24">
        <f ca="1">IF($AN24="",OFFSET(Demand!$A$13,ROW(B21)-1,4+((QUOTIENT(COLUMN(BR$2)-69,3))*5)+MOD(COLUMN(BR$2),3),1,1),"")</f>
        <v>348</v>
      </c>
      <c r="BS24">
        <f ca="1">IF($AN24="",OFFSET(Demand!$A$13,ROW(C21)-1,4+((QUOTIENT(COLUMN(BS$2)-69,3))*5)+MOD(COLUMN(BS$2),3),1,1),"")</f>
        <v>83</v>
      </c>
      <c r="BT24">
        <f ca="1">IF($AN24="",OFFSET(Demand!$A$13,ROW(D21)-1,4+((QUOTIENT(COLUMN(BT$2)-69,3))*5)+MOD(COLUMN(BT$2),3),1,1),"")</f>
        <v>62</v>
      </c>
      <c r="BU24">
        <f ca="1">IF($AN24="",OFFSET(Demand!$A$13,ROW(E21)-1,4+((QUOTIENT(COLUMN(BU$2)-69,3))*5)+MOD(COLUMN(BU$2),3),1,1),"")</f>
        <v>253</v>
      </c>
      <c r="BV24">
        <f ca="1">IF($AN24="",OFFSET(Demand!$A$13,ROW(F21)-1,4+((QUOTIENT(COLUMN(BV$2)-69,3))*5)+MOD(COLUMN(BV$2),3),1,1),"")</f>
        <v>48</v>
      </c>
      <c r="BW24">
        <f ca="1">IF($AN24="",OFFSET(Demand!$A$13,ROW(G21)-1,4+((QUOTIENT(COLUMN(BW$2)-69,3))*5)+MOD(COLUMN(BW$2),3),1,1),"")</f>
        <v>62</v>
      </c>
      <c r="BX24">
        <f ca="1">IF($AN24="",OFFSET(Demand!$A$13,ROW(H21)-1,4+((QUOTIENT(COLUMN(BX$2)-69,3))*5)+MOD(COLUMN(BX$2),3),1,1),"")</f>
        <v>0</v>
      </c>
      <c r="BY24">
        <f ca="1">IF($AN24="",OFFSET(Demand!$A$13,ROW(I21)-1,4+((QUOTIENT(COLUMN(BY$2)-69,3))*5)+MOD(COLUMN(BY$2),3),1,1),"")</f>
        <v>3</v>
      </c>
      <c r="BZ24">
        <f ca="1">IF($AN24="",OFFSET(Demand!$A$13,ROW(J21)-1,4+((QUOTIENT(COLUMN(BZ$2)-69,3))*5)+MOD(COLUMN(BZ$2),3),1,1),"")</f>
        <v>7</v>
      </c>
      <c r="CA24">
        <f ca="1">IF($AN24="",OFFSET(Demand!$A$13,ROW(K21)-1,4+((QUOTIENT(COLUMN(CA$2)-69,3))*5)+MOD(COLUMN(CA$2),3),1,1),"")</f>
        <v>13</v>
      </c>
      <c r="CB24">
        <f ca="1">IF($AN24="",OFFSET(Demand!$A$13,ROW(L21)-1,4+((QUOTIENT(COLUMN(CB$2)-69,3))*5)+MOD(COLUMN(CB$2),3),1,1),"")</f>
        <v>7</v>
      </c>
      <c r="CC24">
        <f ca="1">IF($AN24="",OFFSET(Demand!$A$13,ROW(M21)-1,4+((QUOTIENT(COLUMN(CC$2)-69,3))*5)+MOD(COLUMN(CC$2),3),1,1),"")</f>
        <v>0</v>
      </c>
      <c r="CD24">
        <f ca="1">IF($AN24="",OFFSET(Demand!$A$13,ROW(N21)-1,4+((QUOTIENT(COLUMN(CD$2)-69,3))*5)+MOD(COLUMN(CD$2),3),1,1),"")</f>
        <v>1</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f ca="1">VLOOKUP(IF($DM24&lt;53,$DM24,52),'Summary Calculations (hide)'!$D$15:$F$67,2,0)</f>
        <v>14765</v>
      </c>
      <c r="DP24" s="5">
        <f ca="1">VLOOKUP(IF($DM24&lt;53,$DM24,52),'Summary Calculations (hide)'!$D$15:$F$67,3,0)</f>
        <v>15657.95</v>
      </c>
      <c r="DQ24" s="5">
        <f ca="1">IF(AND(DN24&gt;='Demand adjustments for Covid'!$F$12,DN24&lt;'Demand adjustments for Covid'!$F$17),'Demand adjustments for Covid'!$F$13,DO24)</f>
        <v>14765</v>
      </c>
      <c r="DR24" s="5">
        <f t="shared" si="7"/>
        <v>1</v>
      </c>
      <c r="DS24" s="5">
        <f ca="1">IF('Demand adjustments for Covid'!$F$9="Yes",IF(DR24=0,DQ24,((SUM(DR$4:DR24)-1)*$EE$8)+'Demand adjustments for Covid'!F$13),'Demand background (hide)'!DO24)</f>
        <v>14765</v>
      </c>
      <c r="DT24" s="5">
        <f ca="1">IF('Demand adjustments for Covid'!$F$9="Yes",IF(OR(AND(DN24&gt;='Demand adjustments for Covid'!$F$12,DN24&lt;'Demand adjustments for Covid'!$F$17),DR24=1),DS24+3,DP24),'Demand background (hide)'!DP24)</f>
        <v>15657.95</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15657.95</v>
      </c>
    </row>
    <row r="25" spans="1:128" s="5" customFormat="1" x14ac:dyDescent="0.2">
      <c r="A25" s="5">
        <f t="shared" ca="1" si="3"/>
        <v>0</v>
      </c>
      <c r="B25" s="5">
        <f ca="1">COUNTBLANK(OFFSET(Demand!$I34,0,(COLUMN(A22)-1)*5,1,1))</f>
        <v>0</v>
      </c>
      <c r="C25" s="5">
        <f ca="1">COUNTBLANK(OFFSET(Demand!$I34,0,(COLUMN(B22)-1)*5,1,1))</f>
        <v>0</v>
      </c>
      <c r="D25" s="5">
        <f ca="1">COUNTBLANK(OFFSET(Demand!$I34,0,(COLUMN(C22)-1)*5,1,1))</f>
        <v>0</v>
      </c>
      <c r="E25" s="5">
        <f ca="1">COUNTBLANK(OFFSET(Demand!$I34,0,(COLUMN(D22)-1)*5,1,1))</f>
        <v>0</v>
      </c>
      <c r="F25" s="5">
        <f ca="1">COUNTBLANK(OFFSET(Demand!$I34,0,(COLUMN(E22)-1)*5,1,1))</f>
        <v>0</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6480</v>
      </c>
      <c r="O25" s="5">
        <f ca="1">SUM(OFFSET(Demand!$E34,0,(COLUMN(B22)-1)*5,1,3))*O$2</f>
        <v>5370</v>
      </c>
      <c r="P25" s="5">
        <f ca="1">SUM(OFFSET(Demand!$E34,0,(COLUMN(C22)-1)*5,1,3))*P$2</f>
        <v>1830</v>
      </c>
      <c r="Q25" s="5">
        <f ca="1">SUM(OFFSET(Demand!$E34,0,(COLUMN(D22)-1)*5,1,3))*Q$2</f>
        <v>870</v>
      </c>
      <c r="R25" s="5">
        <f ca="1">SUM(OFFSET(Demand!$E34,0,(COLUMN(E22)-1)*5,1,3))*R$2</f>
        <v>1</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14551</v>
      </c>
      <c r="Y25" s="5">
        <f t="shared" ca="1" si="5"/>
        <v>14551</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14551</v>
      </c>
      <c r="AM25" s="5">
        <f t="shared" ca="1" si="9"/>
        <v>0</v>
      </c>
      <c r="AN25" s="5" t="str">
        <f>IF(Demand!BE34="Yes","Yes","")</f>
        <v/>
      </c>
      <c r="AP25" s="36" t="str">
        <f ca="1">Demand!B34</f>
        <v xml:space="preserve"> </v>
      </c>
      <c r="AQ25" s="5" t="str">
        <f ca="1">IF(TEXT(Demand!D34,"MMM")&lt;&gt;TEXT(Demand!D33,"MMM"),TEXT(Demand!D34,"MMM"),"")</f>
        <v/>
      </c>
      <c r="AT25" s="5">
        <f t="shared" ca="1" si="12"/>
        <v>270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5</v>
      </c>
      <c r="BR25">
        <f ca="1">IF($AN25="",OFFSET(Demand!$A$13,ROW(B22)-1,4+((QUOTIENT(COLUMN(BR$2)-69,3))*5)+MOD(COLUMN(BR$2),3),1,1),"")</f>
        <v>356</v>
      </c>
      <c r="BS25">
        <f ca="1">IF($AN25="",OFFSET(Demand!$A$13,ROW(C22)-1,4+((QUOTIENT(COLUMN(BS$2)-69,3))*5)+MOD(COLUMN(BS$2),3),1,1),"")</f>
        <v>71</v>
      </c>
      <c r="BT25">
        <f ca="1">IF($AN25="",OFFSET(Demand!$A$13,ROW(D22)-1,4+((QUOTIENT(COLUMN(BT$2)-69,3))*5)+MOD(COLUMN(BT$2),3),1,1),"")</f>
        <v>60</v>
      </c>
      <c r="BU25">
        <f ca="1">IF($AN25="",OFFSET(Demand!$A$13,ROW(E22)-1,4+((QUOTIENT(COLUMN(BU$2)-69,3))*5)+MOD(COLUMN(BU$2),3),1,1),"")</f>
        <v>254</v>
      </c>
      <c r="BV25">
        <f ca="1">IF($AN25="",OFFSET(Demand!$A$13,ROW(F22)-1,4+((QUOTIENT(COLUMN(BV$2)-69,3))*5)+MOD(COLUMN(BV$2),3),1,1),"")</f>
        <v>44</v>
      </c>
      <c r="BW25">
        <f ca="1">IF($AN25="",OFFSET(Demand!$A$13,ROW(G22)-1,4+((QUOTIENT(COLUMN(BW$2)-69,3))*5)+MOD(COLUMN(BW$2),3),1,1),"")</f>
        <v>60</v>
      </c>
      <c r="BX25">
        <f ca="1">IF($AN25="",OFFSET(Demand!$A$13,ROW(H22)-1,4+((QUOTIENT(COLUMN(BX$2)-69,3))*5)+MOD(COLUMN(BX$2),3),1,1),"")</f>
        <v>0</v>
      </c>
      <c r="BY25">
        <f ca="1">IF($AN25="",OFFSET(Demand!$A$13,ROW(I22)-1,4+((QUOTIENT(COLUMN(BY$2)-69,3))*5)+MOD(COLUMN(BY$2),3),1,1),"")</f>
        <v>1</v>
      </c>
      <c r="BZ25">
        <f ca="1">IF($AN25="",OFFSET(Demand!$A$13,ROW(J22)-1,4+((QUOTIENT(COLUMN(BZ$2)-69,3))*5)+MOD(COLUMN(BZ$2),3),1,1),"")</f>
        <v>14</v>
      </c>
      <c r="CA25">
        <f ca="1">IF($AN25="",OFFSET(Demand!$A$13,ROW(K22)-1,4+((QUOTIENT(COLUMN(CA$2)-69,3))*5)+MOD(COLUMN(CA$2),3),1,1),"")</f>
        <v>3</v>
      </c>
      <c r="CB25">
        <f ca="1">IF($AN25="",OFFSET(Demand!$A$13,ROW(L22)-1,4+((QUOTIENT(COLUMN(CB$2)-69,3))*5)+MOD(COLUMN(CB$2),3),1,1),"")</f>
        <v>12</v>
      </c>
      <c r="CC25">
        <f ca="1">IF($AN25="",OFFSET(Demand!$A$13,ROW(M22)-1,4+((QUOTIENT(COLUMN(CC$2)-69,3))*5)+MOD(COLUMN(CC$2),3),1,1),"")</f>
        <v>1</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f ca="1">VLOOKUP(IF($DM25&lt;53,$DM25,52),'Summary Calculations (hide)'!$D$15:$F$67,2,0)</f>
        <v>14765</v>
      </c>
      <c r="DP25" s="5">
        <f ca="1">VLOOKUP(IF($DM25&lt;53,$DM25,52),'Summary Calculations (hide)'!$D$15:$F$67,3,0)</f>
        <v>15657.95</v>
      </c>
      <c r="DQ25" s="5">
        <f ca="1">IF(AND(DN25&gt;='Demand adjustments for Covid'!$F$12,DN25&lt;'Demand adjustments for Covid'!$F$17),'Demand adjustments for Covid'!$F$13,DO25)</f>
        <v>14765</v>
      </c>
      <c r="DR25" s="5">
        <f t="shared" si="7"/>
        <v>1</v>
      </c>
      <c r="DS25" s="5">
        <f ca="1">IF('Demand adjustments for Covid'!$F$9="Yes",IF(DR25=0,DQ25,((SUM(DR$4:DR25)-1)*$EE$8)+'Demand adjustments for Covid'!F$13),'Demand background (hide)'!DO25)</f>
        <v>14765</v>
      </c>
      <c r="DT25" s="5">
        <f ca="1">IF('Demand adjustments for Covid'!$F$9="Yes",IF(OR(AND(DN25&gt;='Demand adjustments for Covid'!$F$12,DN25&lt;'Demand adjustments for Covid'!$F$17),DR25=1),DS25+3,DP25),'Demand background (hide)'!DP25)</f>
        <v>15657.95</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15657.95</v>
      </c>
    </row>
    <row r="26" spans="1:128" s="5" customFormat="1" x14ac:dyDescent="0.2">
      <c r="A26" s="5">
        <f t="shared" ca="1" si="3"/>
        <v>0</v>
      </c>
      <c r="B26" s="5">
        <f ca="1">COUNTBLANK(OFFSET(Demand!$I35,0,(COLUMN(A23)-1)*5,1,1))</f>
        <v>0</v>
      </c>
      <c r="C26" s="5">
        <f ca="1">COUNTBLANK(OFFSET(Demand!$I35,0,(COLUMN(B23)-1)*5,1,1))</f>
        <v>0</v>
      </c>
      <c r="D26" s="5">
        <f ca="1">COUNTBLANK(OFFSET(Demand!$I35,0,(COLUMN(C23)-1)*5,1,1))</f>
        <v>0</v>
      </c>
      <c r="E26" s="5">
        <f ca="1">COUNTBLANK(OFFSET(Demand!$I35,0,(COLUMN(D23)-1)*5,1,1))</f>
        <v>0</v>
      </c>
      <c r="F26" s="5">
        <f ca="1">COUNTBLANK(OFFSET(Demand!$I35,0,(COLUMN(E23)-1)*5,1,1))</f>
        <v>0</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6345</v>
      </c>
      <c r="O26" s="5">
        <f ca="1">SUM(OFFSET(Demand!$E35,0,(COLUMN(B23)-1)*5,1,3))*O$2</f>
        <v>5070</v>
      </c>
      <c r="P26" s="5">
        <f ca="1">SUM(OFFSET(Demand!$E35,0,(COLUMN(C23)-1)*5,1,3))*P$2</f>
        <v>1410</v>
      </c>
      <c r="Q26" s="5">
        <f ca="1">SUM(OFFSET(Demand!$E35,0,(COLUMN(D23)-1)*5,1,3))*Q$2</f>
        <v>630</v>
      </c>
      <c r="R26" s="5">
        <f ca="1">SUM(OFFSET(Demand!$E35,0,(COLUMN(E23)-1)*5,1,3))*R$2</f>
        <v>1</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13456</v>
      </c>
      <c r="Y26" s="5">
        <f t="shared" ca="1" si="5"/>
        <v>13456</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13456</v>
      </c>
      <c r="AM26" s="5">
        <f t="shared" ca="1" si="9"/>
        <v>0</v>
      </c>
      <c r="AN26" s="5" t="str">
        <f>IF(Demand!BE35="Yes","Yes","")</f>
        <v/>
      </c>
      <c r="AP26" s="36" t="str">
        <f ca="1">Demand!B35</f>
        <v xml:space="preserve"> </v>
      </c>
      <c r="AQ26" s="5" t="str">
        <f ca="1">IF(TEXT(Demand!D35,"MMM")&lt;&gt;TEXT(Demand!D34,"MMM"),TEXT(Demand!D35,"MMM"),"")</f>
        <v>Sep</v>
      </c>
      <c r="AT26" s="5">
        <f t="shared" ca="1" si="12"/>
        <v>1095</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1</v>
      </c>
      <c r="BR26">
        <f ca="1">IF($AN26="",OFFSET(Demand!$A$13,ROW(B23)-1,4+((QUOTIENT(COLUMN(BR$2)-69,3))*5)+MOD(COLUMN(BR$2),3),1,1),"")</f>
        <v>354</v>
      </c>
      <c r="BS26">
        <f ca="1">IF($AN26="",OFFSET(Demand!$A$13,ROW(C23)-1,4+((QUOTIENT(COLUMN(BS$2)-69,3))*5)+MOD(COLUMN(BS$2),3),1,1),"")</f>
        <v>68</v>
      </c>
      <c r="BT26">
        <f ca="1">IF($AN26="",OFFSET(Demand!$A$13,ROW(D23)-1,4+((QUOTIENT(COLUMN(BT$2)-69,3))*5)+MOD(COLUMN(BT$2),3),1,1),"")</f>
        <v>39</v>
      </c>
      <c r="BU26">
        <f ca="1">IF($AN26="",OFFSET(Demand!$A$13,ROW(E23)-1,4+((QUOTIENT(COLUMN(BU$2)-69,3))*5)+MOD(COLUMN(BU$2),3),1,1),"")</f>
        <v>243</v>
      </c>
      <c r="BV26">
        <f ca="1">IF($AN26="",OFFSET(Demand!$A$13,ROW(F23)-1,4+((QUOTIENT(COLUMN(BV$2)-69,3))*5)+MOD(COLUMN(BV$2),3),1,1),"")</f>
        <v>56</v>
      </c>
      <c r="BW26">
        <f ca="1">IF($AN26="",OFFSET(Demand!$A$13,ROW(G23)-1,4+((QUOTIENT(COLUMN(BW$2)-69,3))*5)+MOD(COLUMN(BW$2),3),1,1),"")</f>
        <v>39</v>
      </c>
      <c r="BX26">
        <f ca="1">IF($AN26="",OFFSET(Demand!$A$13,ROW(H23)-1,4+((QUOTIENT(COLUMN(BX$2)-69,3))*5)+MOD(COLUMN(BX$2),3),1,1),"")</f>
        <v>1</v>
      </c>
      <c r="BY26">
        <f ca="1">IF($AN26="",OFFSET(Demand!$A$13,ROW(I23)-1,4+((QUOTIENT(COLUMN(BY$2)-69,3))*5)+MOD(COLUMN(BY$2),3),1,1),"")</f>
        <v>7</v>
      </c>
      <c r="BZ26">
        <f ca="1">IF($AN26="",OFFSET(Demand!$A$13,ROW(J23)-1,4+((QUOTIENT(COLUMN(BZ$2)-69,3))*5)+MOD(COLUMN(BZ$2),3),1,1),"")</f>
        <v>10</v>
      </c>
      <c r="CA26">
        <f ca="1">IF($AN26="",OFFSET(Demand!$A$13,ROW(K23)-1,4+((QUOTIENT(COLUMN(CA$2)-69,3))*5)+MOD(COLUMN(CA$2),3),1,1),"")</f>
        <v>3</v>
      </c>
      <c r="CB26">
        <f ca="1">IF($AN26="",OFFSET(Demand!$A$13,ROW(L23)-1,4+((QUOTIENT(COLUMN(CB$2)-69,3))*5)+MOD(COLUMN(CB$2),3),1,1),"")</f>
        <v>8</v>
      </c>
      <c r="CC26">
        <f ca="1">IF($AN26="",OFFSET(Demand!$A$13,ROW(M23)-1,4+((QUOTIENT(COLUMN(CC$2)-69,3))*5)+MOD(COLUMN(CC$2),3),1,1),"")</f>
        <v>1</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f ca="1">VLOOKUP(IF($DM26&lt;53,$DM26,52),'Summary Calculations (hide)'!$D$15:$F$67,2,0)</f>
        <v>14765</v>
      </c>
      <c r="DP26" s="5">
        <f ca="1">VLOOKUP(IF($DM26&lt;53,$DM26,52),'Summary Calculations (hide)'!$D$15:$F$67,3,0)</f>
        <v>15657.95</v>
      </c>
      <c r="DQ26" s="5">
        <f ca="1">IF(AND(DN26&gt;='Demand adjustments for Covid'!$F$12,DN26&lt;'Demand adjustments for Covid'!$F$17),'Demand adjustments for Covid'!$F$13,DO26)</f>
        <v>14765</v>
      </c>
      <c r="DR26" s="5">
        <f t="shared" si="7"/>
        <v>1</v>
      </c>
      <c r="DS26" s="5">
        <f ca="1">IF('Demand adjustments for Covid'!$F$9="Yes",IF(DR26=0,DQ26,((SUM(DR$4:DR26)-1)*$EE$8)+'Demand adjustments for Covid'!F$13),'Demand background (hide)'!DO26)</f>
        <v>14765</v>
      </c>
      <c r="DT26" s="5">
        <f ca="1">IF('Demand adjustments for Covid'!$F$9="Yes",IF(OR(AND(DN26&gt;='Demand adjustments for Covid'!$F$12,DN26&lt;'Demand adjustments for Covid'!$F$17),DR26=1),DS26+3,DP26),'Demand background (hide)'!DP26)</f>
        <v>15657.95</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15657.95</v>
      </c>
    </row>
    <row r="27" spans="1:128" s="5" customFormat="1" x14ac:dyDescent="0.2">
      <c r="A27" s="5">
        <f t="shared" ca="1" si="3"/>
        <v>0</v>
      </c>
      <c r="B27" s="5">
        <f ca="1">COUNTBLANK(OFFSET(Demand!$I36,0,(COLUMN(A24)-1)*5,1,1))</f>
        <v>0</v>
      </c>
      <c r="C27" s="5">
        <f ca="1">COUNTBLANK(OFFSET(Demand!$I36,0,(COLUMN(B24)-1)*5,1,1))</f>
        <v>0</v>
      </c>
      <c r="D27" s="5">
        <f ca="1">COUNTBLANK(OFFSET(Demand!$I36,0,(COLUMN(C24)-1)*5,1,1))</f>
        <v>0</v>
      </c>
      <c r="E27" s="5">
        <f ca="1">COUNTBLANK(OFFSET(Demand!$I36,0,(COLUMN(D24)-1)*5,1,1))</f>
        <v>0</v>
      </c>
      <c r="F27" s="5">
        <f ca="1">COUNTBLANK(OFFSET(Demand!$I36,0,(COLUMN(E24)-1)*5,1,1))</f>
        <v>0</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6450</v>
      </c>
      <c r="O27" s="5">
        <f ca="1">SUM(OFFSET(Demand!$E36,0,(COLUMN(B24)-1)*5,1,3))*O$2</f>
        <v>5340</v>
      </c>
      <c r="P27" s="5">
        <f ca="1">SUM(OFFSET(Demand!$E36,0,(COLUMN(C24)-1)*5,1,3))*P$2</f>
        <v>1650</v>
      </c>
      <c r="Q27" s="5">
        <f ca="1">SUM(OFFSET(Demand!$E36,0,(COLUMN(D24)-1)*5,1,3))*Q$2</f>
        <v>570</v>
      </c>
      <c r="R27" s="5">
        <f ca="1">SUM(OFFSET(Demand!$E36,0,(COLUMN(E24)-1)*5,1,3))*R$2</f>
        <v>1</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14011</v>
      </c>
      <c r="Y27" s="5">
        <f t="shared" ca="1" si="5"/>
        <v>14011</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14011</v>
      </c>
      <c r="AM27" s="5">
        <f t="shared" ca="1" si="9"/>
        <v>0</v>
      </c>
      <c r="AN27" s="5" t="str">
        <f>IF(Demand!BE36="Yes","Yes","")</f>
        <v/>
      </c>
      <c r="AP27" s="36" t="str">
        <f ca="1">Demand!B36</f>
        <v xml:space="preserve"> </v>
      </c>
      <c r="AQ27" s="5" t="str">
        <f ca="1">IF(TEXT(Demand!D36,"MMM")&lt;&gt;TEXT(Demand!D35,"MMM"),TEXT(Demand!D36,"MMM"),"")</f>
        <v/>
      </c>
      <c r="AT27" s="5">
        <f t="shared" ca="1" si="12"/>
        <v>555</v>
      </c>
      <c r="AV27" s="5" t="s">
        <v>109</v>
      </c>
      <c r="AW27" s="44" t="str">
        <f ca="1">IFERROR(AW26/1.128,"")</f>
        <v/>
      </c>
      <c r="AX27" s="5" t="str">
        <f ca="1">IFERROR(AX26/1.128,"")</f>
        <v/>
      </c>
      <c r="BQ27">
        <f ca="1">IF($AN27="",OFFSET(Demand!$A$13,ROW(A24)-1,4+((QUOTIENT(COLUMN(BQ$2)-69,3))*5)+MOD(COLUMN(BQ$2),3),1,1),"")</f>
        <v>5</v>
      </c>
      <c r="BR27">
        <f ca="1">IF($AN27="",OFFSET(Demand!$A$13,ROW(B24)-1,4+((QUOTIENT(COLUMN(BR$2)-69,3))*5)+MOD(COLUMN(BR$2),3),1,1),"")</f>
        <v>343</v>
      </c>
      <c r="BS27">
        <f ca="1">IF($AN27="",OFFSET(Demand!$A$13,ROW(C24)-1,4+((QUOTIENT(COLUMN(BS$2)-69,3))*5)+MOD(COLUMN(BS$2),3),1,1),"")</f>
        <v>82</v>
      </c>
      <c r="BT27">
        <f ca="1">IF($AN27="",OFFSET(Demand!$A$13,ROW(D24)-1,4+((QUOTIENT(COLUMN(BT$2)-69,3))*5)+MOD(COLUMN(BT$2),3),1,1),"")</f>
        <v>55</v>
      </c>
      <c r="BU27">
        <f ca="1">IF($AN27="",OFFSET(Demand!$A$13,ROW(E24)-1,4+((QUOTIENT(COLUMN(BU$2)-69,3))*5)+MOD(COLUMN(BU$2),3),1,1),"")</f>
        <v>243</v>
      </c>
      <c r="BV27">
        <f ca="1">IF($AN27="",OFFSET(Demand!$A$13,ROW(F24)-1,4+((QUOTIENT(COLUMN(BV$2)-69,3))*5)+MOD(COLUMN(BV$2),3),1,1),"")</f>
        <v>58</v>
      </c>
      <c r="BW27">
        <f ca="1">IF($AN27="",OFFSET(Demand!$A$13,ROW(G24)-1,4+((QUOTIENT(COLUMN(BW$2)-69,3))*5)+MOD(COLUMN(BW$2),3),1,1),"")</f>
        <v>55</v>
      </c>
      <c r="BX27">
        <f ca="1">IF($AN27="",OFFSET(Demand!$A$13,ROW(H24)-1,4+((QUOTIENT(COLUMN(BX$2)-69,3))*5)+MOD(COLUMN(BX$2),3),1,1),"")</f>
        <v>0</v>
      </c>
      <c r="BY27">
        <f ca="1">IF($AN27="",OFFSET(Demand!$A$13,ROW(I24)-1,4+((QUOTIENT(COLUMN(BY$2)-69,3))*5)+MOD(COLUMN(BY$2),3),1,1),"")</f>
        <v>0</v>
      </c>
      <c r="BZ27">
        <f ca="1">IF($AN27="",OFFSET(Demand!$A$13,ROW(J24)-1,4+((QUOTIENT(COLUMN(BZ$2)-69,3))*5)+MOD(COLUMN(BZ$2),3),1,1),"")</f>
        <v>6</v>
      </c>
      <c r="CA27">
        <f ca="1">IF($AN27="",OFFSET(Demand!$A$13,ROW(K24)-1,4+((QUOTIENT(COLUMN(CA$2)-69,3))*5)+MOD(COLUMN(CA$2),3),1,1),"")</f>
        <v>7</v>
      </c>
      <c r="CB27">
        <f ca="1">IF($AN27="",OFFSET(Demand!$A$13,ROW(L24)-1,4+((QUOTIENT(COLUMN(CB$2)-69,3))*5)+MOD(COLUMN(CB$2),3),1,1),"")</f>
        <v>6</v>
      </c>
      <c r="CC27">
        <f ca="1">IF($AN27="",OFFSET(Demand!$A$13,ROW(M24)-1,4+((QUOTIENT(COLUMN(CC$2)-69,3))*5)+MOD(COLUMN(CC$2),3),1,1),"")</f>
        <v>1</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f ca="1">VLOOKUP(IF($DM27&lt;53,$DM27,52),'Summary Calculations (hide)'!$D$15:$F$67,2,0)</f>
        <v>14765</v>
      </c>
      <c r="DP27" s="5">
        <f ca="1">VLOOKUP(IF($DM27&lt;53,$DM27,52),'Summary Calculations (hide)'!$D$15:$F$67,3,0)</f>
        <v>15657.95</v>
      </c>
      <c r="DQ27" s="5">
        <f ca="1">IF(AND(DN27&gt;='Demand adjustments for Covid'!$F$12,DN27&lt;'Demand adjustments for Covid'!$F$17),'Demand adjustments for Covid'!$F$13,DO27)</f>
        <v>14765</v>
      </c>
      <c r="DR27" s="5">
        <f t="shared" si="7"/>
        <v>1</v>
      </c>
      <c r="DS27" s="5">
        <f ca="1">IF('Demand adjustments for Covid'!$F$9="Yes",IF(DR27=0,DQ27,((SUM(DR$4:DR27)-1)*$EE$8)+'Demand adjustments for Covid'!F$13),'Demand background (hide)'!DO27)</f>
        <v>14765</v>
      </c>
      <c r="DT27" s="5">
        <f ca="1">IF('Demand adjustments for Covid'!$F$9="Yes",IF(OR(AND(DN27&gt;='Demand adjustments for Covid'!$F$12,DN27&lt;'Demand adjustments for Covid'!$F$17),DR27=1),DS27+3,DP27),'Demand background (hide)'!DP27)</f>
        <v>15657.95</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15657.95</v>
      </c>
    </row>
    <row r="28" spans="1:128" s="5" customFormat="1" x14ac:dyDescent="0.2">
      <c r="A28" s="5">
        <f t="shared" ca="1" si="3"/>
        <v>0</v>
      </c>
      <c r="B28" s="5">
        <f ca="1">COUNTBLANK(OFFSET(Demand!$I37,0,(COLUMN(A25)-1)*5,1,1))</f>
        <v>0</v>
      </c>
      <c r="C28" s="5">
        <f ca="1">COUNTBLANK(OFFSET(Demand!$I37,0,(COLUMN(B25)-1)*5,1,1))</f>
        <v>0</v>
      </c>
      <c r="D28" s="5">
        <f ca="1">COUNTBLANK(OFFSET(Demand!$I37,0,(COLUMN(C25)-1)*5,1,1))</f>
        <v>0</v>
      </c>
      <c r="E28" s="5">
        <f ca="1">COUNTBLANK(OFFSET(Demand!$I37,0,(COLUMN(D25)-1)*5,1,1))</f>
        <v>0</v>
      </c>
      <c r="F28" s="5">
        <f ca="1">COUNTBLANK(OFFSET(Demand!$I37,0,(COLUMN(E25)-1)*5,1,1))</f>
        <v>0</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6075</v>
      </c>
      <c r="O28" s="5">
        <f ca="1">SUM(OFFSET(Demand!$E37,0,(COLUMN(B25)-1)*5,1,3))*O$2</f>
        <v>5250</v>
      </c>
      <c r="P28" s="5">
        <f ca="1">SUM(OFFSET(Demand!$E37,0,(COLUMN(C25)-1)*5,1,3))*P$2</f>
        <v>1410</v>
      </c>
      <c r="Q28" s="5">
        <f ca="1">SUM(OFFSET(Demand!$E37,0,(COLUMN(D25)-1)*5,1,3))*Q$2</f>
        <v>810</v>
      </c>
      <c r="R28" s="5">
        <f ca="1">SUM(OFFSET(Demand!$E37,0,(COLUMN(E25)-1)*5,1,3))*R$2</f>
        <v>1</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13546</v>
      </c>
      <c r="Y28" s="5">
        <f t="shared" ca="1" si="5"/>
        <v>13546</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13546</v>
      </c>
      <c r="AM28" s="5">
        <f t="shared" ca="1" si="9"/>
        <v>0</v>
      </c>
      <c r="AN28" s="5" t="str">
        <f>IF(Demand!BE37="Yes","Yes","")</f>
        <v/>
      </c>
      <c r="AP28" s="36" t="str">
        <f ca="1">Demand!B37</f>
        <v xml:space="preserve"> </v>
      </c>
      <c r="AQ28" s="5" t="str">
        <f ca="1">IF(TEXT(Demand!D37,"MMM")&lt;&gt;TEXT(Demand!D36,"MMM"),TEXT(Demand!D37,"MMM"),"")</f>
        <v/>
      </c>
      <c r="AT28" s="5">
        <f t="shared" ca="1" si="12"/>
        <v>465</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3</v>
      </c>
      <c r="BR28">
        <f ca="1">IF($AN28="",OFFSET(Demand!$A$13,ROW(B25)-1,4+((QUOTIENT(COLUMN(BR$2)-69,3))*5)+MOD(COLUMN(BR$2),3),1,1),"")</f>
        <v>334</v>
      </c>
      <c r="BS28">
        <f ca="1">IF($AN28="",OFFSET(Demand!$A$13,ROW(C25)-1,4+((QUOTIENT(COLUMN(BS$2)-69,3))*5)+MOD(COLUMN(BS$2),3),1,1),"")</f>
        <v>68</v>
      </c>
      <c r="BT28">
        <f ca="1">IF($AN28="",OFFSET(Demand!$A$13,ROW(D25)-1,4+((QUOTIENT(COLUMN(BT$2)-69,3))*5)+MOD(COLUMN(BT$2),3),1,1),"")</f>
        <v>45</v>
      </c>
      <c r="BU28">
        <f ca="1">IF($AN28="",OFFSET(Demand!$A$13,ROW(E25)-1,4+((QUOTIENT(COLUMN(BU$2)-69,3))*5)+MOD(COLUMN(BU$2),3),1,1),"")</f>
        <v>253</v>
      </c>
      <c r="BV28">
        <f ca="1">IF($AN28="",OFFSET(Demand!$A$13,ROW(F25)-1,4+((QUOTIENT(COLUMN(BV$2)-69,3))*5)+MOD(COLUMN(BV$2),3),1,1),"")</f>
        <v>52</v>
      </c>
      <c r="BW28">
        <f ca="1">IF($AN28="",OFFSET(Demand!$A$13,ROW(G25)-1,4+((QUOTIENT(COLUMN(BW$2)-69,3))*5)+MOD(COLUMN(BW$2),3),1,1),"")</f>
        <v>45</v>
      </c>
      <c r="BX28">
        <f ca="1">IF($AN28="",OFFSET(Demand!$A$13,ROW(H25)-1,4+((QUOTIENT(COLUMN(BX$2)-69,3))*5)+MOD(COLUMN(BX$2),3),1,1),"")</f>
        <v>0</v>
      </c>
      <c r="BY28">
        <f ca="1">IF($AN28="",OFFSET(Demand!$A$13,ROW(I25)-1,4+((QUOTIENT(COLUMN(BY$2)-69,3))*5)+MOD(COLUMN(BY$2),3),1,1),"")</f>
        <v>2</v>
      </c>
      <c r="BZ28">
        <f ca="1">IF($AN28="",OFFSET(Demand!$A$13,ROW(J25)-1,4+((QUOTIENT(COLUMN(BZ$2)-69,3))*5)+MOD(COLUMN(BZ$2),3),1,1),"")</f>
        <v>12</v>
      </c>
      <c r="CA28">
        <f ca="1">IF($AN28="",OFFSET(Demand!$A$13,ROW(K25)-1,4+((QUOTIENT(COLUMN(CA$2)-69,3))*5)+MOD(COLUMN(CA$2),3),1,1),"")</f>
        <v>11</v>
      </c>
      <c r="CB28">
        <f ca="1">IF($AN28="",OFFSET(Demand!$A$13,ROW(L25)-1,4+((QUOTIENT(COLUMN(CB$2)-69,3))*5)+MOD(COLUMN(CB$2),3),1,1),"")</f>
        <v>4</v>
      </c>
      <c r="CC28">
        <f ca="1">IF($AN28="",OFFSET(Demand!$A$13,ROW(M25)-1,4+((QUOTIENT(COLUMN(CC$2)-69,3))*5)+MOD(COLUMN(CC$2),3),1,1),"")</f>
        <v>0</v>
      </c>
      <c r="CD28">
        <f ca="1">IF($AN28="",OFFSET(Demand!$A$13,ROW(N25)-1,4+((QUOTIENT(COLUMN(CD$2)-69,3))*5)+MOD(COLUMN(CD$2),3),1,1),"")</f>
        <v>1</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f ca="1">VLOOKUP(IF($DM28&lt;53,$DM28,52),'Summary Calculations (hide)'!$D$15:$F$67,2,0)</f>
        <v>14765</v>
      </c>
      <c r="DP28" s="5">
        <f ca="1">VLOOKUP(IF($DM28&lt;53,$DM28,52),'Summary Calculations (hide)'!$D$15:$F$67,3,0)</f>
        <v>15657.95</v>
      </c>
      <c r="DQ28" s="5">
        <f ca="1">IF(AND(DN28&gt;='Demand adjustments for Covid'!$F$12,DN28&lt;'Demand adjustments for Covid'!$F$17),'Demand adjustments for Covid'!$F$13,DO28)</f>
        <v>14765</v>
      </c>
      <c r="DR28" s="5">
        <f t="shared" si="7"/>
        <v>1</v>
      </c>
      <c r="DS28" s="5">
        <f ca="1">IF('Demand adjustments for Covid'!$F$9="Yes",IF(DR28=0,DQ28,((SUM(DR$4:DR28)-1)*$EE$8)+'Demand adjustments for Covid'!F$13),'Demand background (hide)'!DO28)</f>
        <v>14765</v>
      </c>
      <c r="DT28" s="5">
        <f ca="1">IF('Demand adjustments for Covid'!$F$9="Yes",IF(OR(AND(DN28&gt;='Demand adjustments for Covid'!$F$12,DN28&lt;'Demand adjustments for Covid'!$F$17),DR28=1),DS28+3,DP28),'Demand background (hide)'!DP28)</f>
        <v>15657.95</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15657.95</v>
      </c>
    </row>
    <row r="29" spans="1:128" s="5" customFormat="1" x14ac:dyDescent="0.2">
      <c r="A29" s="5">
        <f t="shared" ca="1" si="3"/>
        <v>1</v>
      </c>
      <c r="B29" s="5">
        <f ca="1">COUNTBLANK(OFFSET(Demand!$I38,0,(COLUMN(A26)-1)*5,1,1))</f>
        <v>0</v>
      </c>
      <c r="C29" s="5">
        <f ca="1">COUNTBLANK(OFFSET(Demand!$I38,0,(COLUMN(B26)-1)*5,1,1))</f>
        <v>0</v>
      </c>
      <c r="D29" s="5">
        <f ca="1">COUNTBLANK(OFFSET(Demand!$I38,0,(COLUMN(C26)-1)*5,1,1))</f>
        <v>0</v>
      </c>
      <c r="E29" s="5">
        <f ca="1">COUNTBLANK(OFFSET(Demand!$I38,0,(COLUMN(D26)-1)*5,1,1))</f>
        <v>0</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6510</v>
      </c>
      <c r="O29" s="5">
        <f ca="1">SUM(OFFSET(Demand!$E38,0,(COLUMN(B26)-1)*5,1,3))*O$2</f>
        <v>5205</v>
      </c>
      <c r="P29" s="5">
        <f ca="1">SUM(OFFSET(Demand!$E38,0,(COLUMN(C26)-1)*5,1,3))*P$2</f>
        <v>1650</v>
      </c>
      <c r="Q29" s="5">
        <f ca="1">SUM(OFFSET(Demand!$E38,0,(COLUMN(D26)-1)*5,1,3))*Q$2</f>
        <v>480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13845</v>
      </c>
      <c r="Y29" s="5">
        <f t="shared" ca="1" si="5"/>
        <v>13845</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13845</v>
      </c>
      <c r="AM29" s="5">
        <f t="shared" ca="1" si="9"/>
        <v>0</v>
      </c>
      <c r="AN29" s="5" t="str">
        <f>IF(Demand!BE38="Yes","Yes","")</f>
        <v/>
      </c>
      <c r="AP29" s="36" t="str">
        <f ca="1">Demand!B38</f>
        <v xml:space="preserve"> </v>
      </c>
      <c r="AQ29" s="5" t="str">
        <f ca="1">IF(TEXT(Demand!D38,"MMM")&lt;&gt;TEXT(Demand!D37,"MMM"),TEXT(Demand!D38,"MMM"),"")</f>
        <v/>
      </c>
      <c r="AT29" s="5">
        <f t="shared" ca="1" si="12"/>
        <v>299</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10</v>
      </c>
      <c r="BR29">
        <f ca="1">IF($AN29="",OFFSET(Demand!$A$13,ROW(B26)-1,4+((QUOTIENT(COLUMN(BR$2)-69,3))*5)+MOD(COLUMN(BR$2),3),1,1),"")</f>
        <v>336</v>
      </c>
      <c r="BS29">
        <f ca="1">IF($AN29="",OFFSET(Demand!$A$13,ROW(C26)-1,4+((QUOTIENT(COLUMN(BS$2)-69,3))*5)+MOD(COLUMN(BS$2),3),1,1),"")</f>
        <v>88</v>
      </c>
      <c r="BT29">
        <f ca="1">IF($AN29="",OFFSET(Demand!$A$13,ROW(D26)-1,4+((QUOTIENT(COLUMN(BT$2)-69,3))*5)+MOD(COLUMN(BT$2),3),1,1),"")</f>
        <v>47</v>
      </c>
      <c r="BU29">
        <f ca="1">IF($AN29="",OFFSET(Demand!$A$13,ROW(E26)-1,4+((QUOTIENT(COLUMN(BU$2)-69,3))*5)+MOD(COLUMN(BU$2),3),1,1),"")</f>
        <v>242</v>
      </c>
      <c r="BV29">
        <f ca="1">IF($AN29="",OFFSET(Demand!$A$13,ROW(F26)-1,4+((QUOTIENT(COLUMN(BV$2)-69,3))*5)+MOD(COLUMN(BV$2),3),1,1),"")</f>
        <v>58</v>
      </c>
      <c r="BW29">
        <f ca="1">IF($AN29="",OFFSET(Demand!$A$13,ROW(G26)-1,4+((QUOTIENT(COLUMN(BW$2)-69,3))*5)+MOD(COLUMN(BW$2),3),1,1),"")</f>
        <v>47</v>
      </c>
      <c r="BX29">
        <f ca="1">IF($AN29="",OFFSET(Demand!$A$13,ROW(H26)-1,4+((QUOTIENT(COLUMN(BX$2)-69,3))*5)+MOD(COLUMN(BX$2),3),1,1),"")</f>
        <v>1</v>
      </c>
      <c r="BY29">
        <f ca="1">IF($AN29="",OFFSET(Demand!$A$13,ROW(I26)-1,4+((QUOTIENT(COLUMN(BY$2)-69,3))*5)+MOD(COLUMN(BY$2),3),1,1),"")</f>
        <v>7</v>
      </c>
      <c r="BZ29">
        <f ca="1">IF($AN29="",OFFSET(Demand!$A$13,ROW(J26)-1,4+((QUOTIENT(COLUMN(BZ$2)-69,3))*5)+MOD(COLUMN(BZ$2),3),1,1),"")</f>
        <v>8</v>
      </c>
      <c r="CA29">
        <f ca="1">IF($AN29="",OFFSET(Demand!$A$13,ROW(K26)-1,4+((QUOTIENT(COLUMN(CA$2)-69,3))*5)+MOD(COLUMN(CA$2),3),1,1),"")</f>
        <v>4</v>
      </c>
      <c r="CB29">
        <f ca="1">IF($AN29="",OFFSET(Demand!$A$13,ROW(L26)-1,4+((QUOTIENT(COLUMN(CB$2)-69,3))*5)+MOD(COLUMN(CB$2),3),1,1),"")</f>
        <v>4</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f ca="1">VLOOKUP(IF($DM29&lt;53,$DM29,52),'Summary Calculations (hide)'!$D$15:$F$67,2,0)</f>
        <v>14765</v>
      </c>
      <c r="DP29" s="5">
        <f ca="1">VLOOKUP(IF($DM29&lt;53,$DM29,52),'Summary Calculations (hide)'!$D$15:$F$67,3,0)</f>
        <v>15657.95</v>
      </c>
      <c r="DQ29" s="5">
        <f ca="1">IF(AND(DN29&gt;='Demand adjustments for Covid'!$F$12,DN29&lt;'Demand adjustments for Covid'!$F$17),'Demand adjustments for Covid'!$F$13,DO29)</f>
        <v>14765</v>
      </c>
      <c r="DR29" s="5">
        <f t="shared" si="7"/>
        <v>1</v>
      </c>
      <c r="DS29" s="5">
        <f ca="1">IF('Demand adjustments for Covid'!$F$9="Yes",IF(DR29=0,DQ29,((SUM(DR$4:DR29)-1)*$EE$8)+'Demand adjustments for Covid'!F$13),'Demand background (hide)'!DO29)</f>
        <v>14765</v>
      </c>
      <c r="DT29" s="5">
        <f ca="1">IF('Demand adjustments for Covid'!$F$9="Yes",IF(OR(AND(DN29&gt;='Demand adjustments for Covid'!$F$12,DN29&lt;'Demand adjustments for Covid'!$F$17),DR29=1),DS29+3,DP29),'Demand background (hide)'!DP29)</f>
        <v>15657.95</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15657.95</v>
      </c>
    </row>
    <row r="30" spans="1:128" s="5" customFormat="1" x14ac:dyDescent="0.2">
      <c r="A30" s="5">
        <f t="shared" ca="1" si="3"/>
        <v>1</v>
      </c>
      <c r="B30" s="5">
        <f ca="1">COUNTBLANK(OFFSET(Demand!$I39,0,(COLUMN(A27)-1)*5,1,1))</f>
        <v>0</v>
      </c>
      <c r="C30" s="5">
        <f ca="1">COUNTBLANK(OFFSET(Demand!$I39,0,(COLUMN(B27)-1)*5,1,1))</f>
        <v>0</v>
      </c>
      <c r="D30" s="5">
        <f ca="1">COUNTBLANK(OFFSET(Demand!$I39,0,(COLUMN(C27)-1)*5,1,1))</f>
        <v>0</v>
      </c>
      <c r="E30" s="5">
        <f ca="1">COUNTBLANK(OFFSET(Demand!$I39,0,(COLUMN(D27)-1)*5,1,1))</f>
        <v>0</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6465</v>
      </c>
      <c r="O30" s="5">
        <f ca="1">SUM(OFFSET(Demand!$E39,0,(COLUMN(B27)-1)*5,1,3))*O$2</f>
        <v>5475</v>
      </c>
      <c r="P30" s="5">
        <f ca="1">SUM(OFFSET(Demand!$E39,0,(COLUMN(C27)-1)*5,1,3))*P$2</f>
        <v>2040</v>
      </c>
      <c r="Q30" s="5">
        <f ca="1">SUM(OFFSET(Demand!$E39,0,(COLUMN(D27)-1)*5,1,3))*Q$2</f>
        <v>690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14670</v>
      </c>
      <c r="Y30" s="5">
        <f t="shared" ca="1" si="5"/>
        <v>14670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14670</v>
      </c>
      <c r="AM30" s="5">
        <f t="shared" ca="1" si="9"/>
        <v>0</v>
      </c>
      <c r="AN30" s="5" t="str">
        <f>IF(Demand!BE39="Yes","Yes","")</f>
        <v/>
      </c>
      <c r="AP30" s="36" t="str">
        <f ca="1">Demand!B39</f>
        <v xml:space="preserve"> </v>
      </c>
      <c r="AQ30" s="5" t="str">
        <f ca="1">IF(TEXT(Demand!D39,"MMM")&lt;&gt;TEXT(Demand!D38,"MMM"),TEXT(Demand!D39,"MMM"),"")</f>
        <v>Oct</v>
      </c>
      <c r="AT30" s="5">
        <f t="shared" ca="1" si="12"/>
        <v>825</v>
      </c>
      <c r="BQ30">
        <f ca="1">IF($AN30="",OFFSET(Demand!$A$13,ROW(A27)-1,4+((QUOTIENT(COLUMN(BQ$2)-69,3))*5)+MOD(COLUMN(BQ$2),3),1,1),"")</f>
        <v>7</v>
      </c>
      <c r="BR30">
        <f ca="1">IF($AN30="",OFFSET(Demand!$A$13,ROW(B27)-1,4+((QUOTIENT(COLUMN(BR$2)-69,3))*5)+MOD(COLUMN(BR$2),3),1,1),"")</f>
        <v>347</v>
      </c>
      <c r="BS30">
        <f ca="1">IF($AN30="",OFFSET(Demand!$A$13,ROW(C27)-1,4+((QUOTIENT(COLUMN(BS$2)-69,3))*5)+MOD(COLUMN(BS$2),3),1,1),"")</f>
        <v>77</v>
      </c>
      <c r="BT30">
        <f ca="1">IF($AN30="",OFFSET(Demand!$A$13,ROW(D27)-1,4+((QUOTIENT(COLUMN(BT$2)-69,3))*5)+MOD(COLUMN(BT$2),3),1,1),"")</f>
        <v>65</v>
      </c>
      <c r="BU30">
        <f ca="1">IF($AN30="",OFFSET(Demand!$A$13,ROW(E27)-1,4+((QUOTIENT(COLUMN(BU$2)-69,3))*5)+MOD(COLUMN(BU$2),3),1,1),"")</f>
        <v>245</v>
      </c>
      <c r="BV30">
        <f ca="1">IF($AN30="",OFFSET(Demand!$A$13,ROW(F27)-1,4+((QUOTIENT(COLUMN(BV$2)-69,3))*5)+MOD(COLUMN(BV$2),3),1,1),"")</f>
        <v>55</v>
      </c>
      <c r="BW30">
        <f ca="1">IF($AN30="",OFFSET(Demand!$A$13,ROW(G27)-1,4+((QUOTIENT(COLUMN(BW$2)-69,3))*5)+MOD(COLUMN(BW$2),3),1,1),"")</f>
        <v>65</v>
      </c>
      <c r="BX30">
        <f ca="1">IF($AN30="",OFFSET(Demand!$A$13,ROW(H27)-1,4+((QUOTIENT(COLUMN(BX$2)-69,3))*5)+MOD(COLUMN(BX$2),3),1,1),"")</f>
        <v>0</v>
      </c>
      <c r="BY30">
        <f ca="1">IF($AN30="",OFFSET(Demand!$A$13,ROW(I27)-1,4+((QUOTIENT(COLUMN(BY$2)-69,3))*5)+MOD(COLUMN(BY$2),3),1,1),"")</f>
        <v>3</v>
      </c>
      <c r="BZ30">
        <f ca="1">IF($AN30="",OFFSET(Demand!$A$13,ROW(J27)-1,4+((QUOTIENT(COLUMN(BZ$2)-69,3))*5)+MOD(COLUMN(BZ$2),3),1,1),"")</f>
        <v>11</v>
      </c>
      <c r="CA30">
        <f ca="1">IF($AN30="",OFFSET(Demand!$A$13,ROW(K27)-1,4+((QUOTIENT(COLUMN(CA$2)-69,3))*5)+MOD(COLUMN(CA$2),3),1,1),"")</f>
        <v>6</v>
      </c>
      <c r="CB30">
        <f ca="1">IF($AN30="",OFFSET(Demand!$A$13,ROW(L27)-1,4+((QUOTIENT(COLUMN(CB$2)-69,3))*5)+MOD(COLUMN(CB$2),3),1,1),"")</f>
        <v>6</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f ca="1">VLOOKUP(IF($DM30&lt;53,$DM30,52),'Summary Calculations (hide)'!$D$15:$F$67,2,0)</f>
        <v>14765</v>
      </c>
      <c r="DP30" s="5">
        <f ca="1">VLOOKUP(IF($DM30&lt;53,$DM30,52),'Summary Calculations (hide)'!$D$15:$F$67,3,0)</f>
        <v>15657.95</v>
      </c>
      <c r="DQ30" s="5">
        <f ca="1">IF(AND(DN30&gt;='Demand adjustments for Covid'!$F$12,DN30&lt;'Demand adjustments for Covid'!$F$17),'Demand adjustments for Covid'!$F$13,DO30)</f>
        <v>14765</v>
      </c>
      <c r="DR30" s="5">
        <f t="shared" si="7"/>
        <v>1</v>
      </c>
      <c r="DS30" s="5">
        <f ca="1">IF('Demand adjustments for Covid'!$F$9="Yes",IF(DR30=0,DQ30,((SUM(DR$4:DR30)-1)*$EE$8)+'Demand adjustments for Covid'!F$13),'Demand background (hide)'!DO30)</f>
        <v>14765</v>
      </c>
      <c r="DT30" s="5">
        <f ca="1">IF('Demand adjustments for Covid'!$F$9="Yes",IF(OR(AND(DN30&gt;='Demand adjustments for Covid'!$F$12,DN30&lt;'Demand adjustments for Covid'!$F$17),DR30=1),DS30+3,DP30),'Demand background (hide)'!DP30)</f>
        <v>15657.95</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15657.95</v>
      </c>
    </row>
    <row r="31" spans="1:128" s="5" customFormat="1" x14ac:dyDescent="0.2">
      <c r="A31" s="5">
        <f t="shared" ca="1" si="3"/>
        <v>0</v>
      </c>
      <c r="B31" s="5">
        <f ca="1">COUNTBLANK(OFFSET(Demand!$I40,0,(COLUMN(A28)-1)*5,1,1))</f>
        <v>0</v>
      </c>
      <c r="C31" s="5">
        <f ca="1">COUNTBLANK(OFFSET(Demand!$I40,0,(COLUMN(B28)-1)*5,1,1))</f>
        <v>0</v>
      </c>
      <c r="D31" s="5">
        <f ca="1">COUNTBLANK(OFFSET(Demand!$I40,0,(COLUMN(C28)-1)*5,1,1))</f>
        <v>0</v>
      </c>
      <c r="E31" s="5">
        <f ca="1">COUNTBLANK(OFFSET(Demand!$I40,0,(COLUMN(D28)-1)*5,1,1))</f>
        <v>0</v>
      </c>
      <c r="F31" s="5">
        <f ca="1">COUNTBLANK(OFFSET(Demand!$I40,0,(COLUMN(E28)-1)*5,1,1))</f>
        <v>0</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6540</v>
      </c>
      <c r="O31" s="5">
        <f ca="1">SUM(OFFSET(Demand!$E40,0,(COLUMN(B28)-1)*5,1,3))*O$2</f>
        <v>5385</v>
      </c>
      <c r="P31" s="5">
        <f ca="1">SUM(OFFSET(Demand!$E40,0,(COLUMN(C28)-1)*5,1,3))*P$2</f>
        <v>1770</v>
      </c>
      <c r="Q31" s="5">
        <f ca="1">SUM(OFFSET(Demand!$E40,0,(COLUMN(D28)-1)*5,1,3))*Q$2</f>
        <v>930</v>
      </c>
      <c r="R31" s="5">
        <f ca="1">SUM(OFFSET(Demand!$E40,0,(COLUMN(E28)-1)*5,1,3))*R$2</f>
        <v>3</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14628</v>
      </c>
      <c r="Y31" s="5">
        <f t="shared" ca="1" si="5"/>
        <v>14628</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14628</v>
      </c>
      <c r="AM31" s="5">
        <f t="shared" ca="1" si="9"/>
        <v>0</v>
      </c>
      <c r="AN31" s="5" t="str">
        <f>IF(Demand!BE40="Yes","Yes","")</f>
        <v/>
      </c>
      <c r="AP31" s="36" t="str">
        <f ca="1">Demand!B40</f>
        <v xml:space="preserve"> </v>
      </c>
      <c r="AQ31" s="5" t="str">
        <f ca="1">IF(TEXT(Demand!D40,"MMM")&lt;&gt;TEXT(Demand!D39,"MMM"),TEXT(Demand!D40,"MMM"),"")</f>
        <v/>
      </c>
      <c r="AT31" s="5">
        <f t="shared" ca="1" si="12"/>
        <v>42</v>
      </c>
      <c r="BQ31">
        <f ca="1">IF($AN31="",OFFSET(Demand!$A$13,ROW(A28)-1,4+((QUOTIENT(COLUMN(BQ$2)-69,3))*5)+MOD(COLUMN(BQ$2),3),1,1),"")</f>
        <v>7</v>
      </c>
      <c r="BR31">
        <f ca="1">IF($AN31="",OFFSET(Demand!$A$13,ROW(B28)-1,4+((QUOTIENT(COLUMN(BR$2)-69,3))*5)+MOD(COLUMN(BR$2),3),1,1),"")</f>
        <v>357</v>
      </c>
      <c r="BS31">
        <f ca="1">IF($AN31="",OFFSET(Demand!$A$13,ROW(C28)-1,4+((QUOTIENT(COLUMN(BS$2)-69,3))*5)+MOD(COLUMN(BS$2),3),1,1),"")</f>
        <v>72</v>
      </c>
      <c r="BT31">
        <f ca="1">IF($AN31="",OFFSET(Demand!$A$13,ROW(D28)-1,4+((QUOTIENT(COLUMN(BT$2)-69,3))*5)+MOD(COLUMN(BT$2),3),1,1),"")</f>
        <v>55</v>
      </c>
      <c r="BU31">
        <f ca="1">IF($AN31="",OFFSET(Demand!$A$13,ROW(E28)-1,4+((QUOTIENT(COLUMN(BU$2)-69,3))*5)+MOD(COLUMN(BU$2),3),1,1),"")</f>
        <v>253</v>
      </c>
      <c r="BV31">
        <f ca="1">IF($AN31="",OFFSET(Demand!$A$13,ROW(F28)-1,4+((QUOTIENT(COLUMN(BV$2)-69,3))*5)+MOD(COLUMN(BV$2),3),1,1),"")</f>
        <v>51</v>
      </c>
      <c r="BW31">
        <f ca="1">IF($AN31="",OFFSET(Demand!$A$13,ROW(G28)-1,4+((QUOTIENT(COLUMN(BW$2)-69,3))*5)+MOD(COLUMN(BW$2),3),1,1),"")</f>
        <v>55</v>
      </c>
      <c r="BX31">
        <f ca="1">IF($AN31="",OFFSET(Demand!$A$13,ROW(H28)-1,4+((QUOTIENT(COLUMN(BX$2)-69,3))*5)+MOD(COLUMN(BX$2),3),1,1),"")</f>
        <v>1</v>
      </c>
      <c r="BY31">
        <f ca="1">IF($AN31="",OFFSET(Demand!$A$13,ROW(I28)-1,4+((QUOTIENT(COLUMN(BY$2)-69,3))*5)+MOD(COLUMN(BY$2),3),1,1),"")</f>
        <v>3</v>
      </c>
      <c r="BZ31">
        <f ca="1">IF($AN31="",OFFSET(Demand!$A$13,ROW(J28)-1,4+((QUOTIENT(COLUMN(BZ$2)-69,3))*5)+MOD(COLUMN(BZ$2),3),1,1),"")</f>
        <v>14</v>
      </c>
      <c r="CA31">
        <f ca="1">IF($AN31="",OFFSET(Demand!$A$13,ROW(K28)-1,4+((QUOTIENT(COLUMN(CA$2)-69,3))*5)+MOD(COLUMN(CA$2),3),1,1),"")</f>
        <v>7</v>
      </c>
      <c r="CB31">
        <f ca="1">IF($AN31="",OFFSET(Demand!$A$13,ROW(L28)-1,4+((QUOTIENT(COLUMN(CB$2)-69,3))*5)+MOD(COLUMN(CB$2),3),1,1),"")</f>
        <v>10</v>
      </c>
      <c r="CC31">
        <f ca="1">IF($AN31="",OFFSET(Demand!$A$13,ROW(M28)-1,4+((QUOTIENT(COLUMN(CC$2)-69,3))*5)+MOD(COLUMN(CC$2),3),1,1),"")</f>
        <v>2</v>
      </c>
      <c r="CD31">
        <f ca="1">IF($AN31="",OFFSET(Demand!$A$13,ROW(N28)-1,4+((QUOTIENT(COLUMN(CD$2)-69,3))*5)+MOD(COLUMN(CD$2),3),1,1),"")</f>
        <v>1</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f ca="1">VLOOKUP(IF($DM31&lt;53,$DM31,52),'Summary Calculations (hide)'!$D$15:$F$67,2,0)</f>
        <v>14765</v>
      </c>
      <c r="DP31" s="5">
        <f ca="1">VLOOKUP(IF($DM31&lt;53,$DM31,52),'Summary Calculations (hide)'!$D$15:$F$67,3,0)</f>
        <v>15657.95</v>
      </c>
      <c r="DQ31" s="5">
        <f ca="1">IF(AND(DN31&gt;='Demand adjustments for Covid'!$F$12,DN31&lt;'Demand adjustments for Covid'!$F$17),'Demand adjustments for Covid'!$F$13,DO31)</f>
        <v>14765</v>
      </c>
      <c r="DR31" s="5">
        <f t="shared" si="7"/>
        <v>0</v>
      </c>
      <c r="DS31" s="5">
        <f ca="1">IF('Demand adjustments for Covid'!$F$9="Yes",IF(DR31=0,DQ31,((SUM(DR$4:DR31)-1)*$EE$8)+'Demand adjustments for Covid'!F$13),'Demand background (hide)'!DO31)</f>
        <v>14765</v>
      </c>
      <c r="DT31" s="5">
        <f ca="1">IF('Demand adjustments for Covid'!$F$9="Yes",IF(OR(AND(DN31&gt;='Demand adjustments for Covid'!$F$12,DN31&lt;'Demand adjustments for Covid'!$F$17),DR31=1),DS31+3,DP31),'Demand background (hide)'!DP31)</f>
        <v>15657.95</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16157.95</v>
      </c>
    </row>
    <row r="32" spans="1:128" s="5" customFormat="1" x14ac:dyDescent="0.2">
      <c r="A32" s="5">
        <f t="shared" ca="1" si="3"/>
        <v>0</v>
      </c>
      <c r="B32" s="5">
        <f ca="1">COUNTBLANK(OFFSET(Demand!$I41,0,(COLUMN(A29)-1)*5,1,1))</f>
        <v>0</v>
      </c>
      <c r="C32" s="5">
        <f ca="1">COUNTBLANK(OFFSET(Demand!$I41,0,(COLUMN(B29)-1)*5,1,1))</f>
        <v>0</v>
      </c>
      <c r="D32" s="5">
        <f ca="1">COUNTBLANK(OFFSET(Demand!$I41,0,(COLUMN(C29)-1)*5,1,1))</f>
        <v>0</v>
      </c>
      <c r="E32" s="5">
        <f ca="1">COUNTBLANK(OFFSET(Demand!$I41,0,(COLUMN(D29)-1)*5,1,1))</f>
        <v>0</v>
      </c>
      <c r="F32" s="5">
        <f ca="1">COUNTBLANK(OFFSET(Demand!$I41,0,(COLUMN(E29)-1)*5,1,1))</f>
        <v>0</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6975</v>
      </c>
      <c r="O32" s="5">
        <f ca="1">SUM(OFFSET(Demand!$E41,0,(COLUMN(B29)-1)*5,1,3))*O$2</f>
        <v>5760</v>
      </c>
      <c r="P32" s="5">
        <f ca="1">SUM(OFFSET(Demand!$E41,0,(COLUMN(C29)-1)*5,1,3))*P$2</f>
        <v>2070</v>
      </c>
      <c r="Q32" s="5">
        <f ca="1">SUM(OFFSET(Demand!$E41,0,(COLUMN(D29)-1)*5,1,3))*Q$2</f>
        <v>780</v>
      </c>
      <c r="R32" s="5">
        <f ca="1">SUM(OFFSET(Demand!$E41,0,(COLUMN(E29)-1)*5,1,3))*R$2</f>
        <v>1</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15586</v>
      </c>
      <c r="Y32" s="5">
        <f t="shared" ca="1" si="5"/>
        <v>15586</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15586</v>
      </c>
      <c r="AM32" s="5">
        <f t="shared" ca="1" si="9"/>
        <v>0</v>
      </c>
      <c r="AN32" s="5" t="str">
        <f>IF(Demand!BE41="Yes","Yes","")</f>
        <v/>
      </c>
      <c r="AP32" s="36" t="str">
        <f ca="1">Demand!B41</f>
        <v xml:space="preserve"> </v>
      </c>
      <c r="AQ32" s="5" t="str">
        <f ca="1">IF(TEXT(Demand!D41,"MMM")&lt;&gt;TEXT(Demand!D40,"MMM"),TEXT(Demand!D41,"MMM"),"")</f>
        <v/>
      </c>
      <c r="AT32" s="5">
        <f t="shared" ca="1" si="12"/>
        <v>958</v>
      </c>
      <c r="BQ32">
        <f ca="1">IF($AN32="",OFFSET(Demand!$A$13,ROW(A29)-1,4+((QUOTIENT(COLUMN(BQ$2)-69,3))*5)+MOD(COLUMN(BQ$2),3),1,1),"")</f>
        <v>5</v>
      </c>
      <c r="BR32">
        <f ca="1">IF($AN32="",OFFSET(Demand!$A$13,ROW(B29)-1,4+((QUOTIENT(COLUMN(BR$2)-69,3))*5)+MOD(COLUMN(BR$2),3),1,1),"")</f>
        <v>374</v>
      </c>
      <c r="BS32">
        <f ca="1">IF($AN32="",OFFSET(Demand!$A$13,ROW(C29)-1,4+((QUOTIENT(COLUMN(BS$2)-69,3))*5)+MOD(COLUMN(BS$2),3),1,1),"")</f>
        <v>86</v>
      </c>
      <c r="BT32">
        <f ca="1">IF($AN32="",OFFSET(Demand!$A$13,ROW(D29)-1,4+((QUOTIENT(COLUMN(BT$2)-69,3))*5)+MOD(COLUMN(BT$2),3),1,1),"")</f>
        <v>68</v>
      </c>
      <c r="BU32">
        <f ca="1">IF($AN32="",OFFSET(Demand!$A$13,ROW(E29)-1,4+((QUOTIENT(COLUMN(BU$2)-69,3))*5)+MOD(COLUMN(BU$2),3),1,1),"")</f>
        <v>264</v>
      </c>
      <c r="BV32">
        <f ca="1">IF($AN32="",OFFSET(Demand!$A$13,ROW(F29)-1,4+((QUOTIENT(COLUMN(BV$2)-69,3))*5)+MOD(COLUMN(BV$2),3),1,1),"")</f>
        <v>52</v>
      </c>
      <c r="BW32">
        <f ca="1">IF($AN32="",OFFSET(Demand!$A$13,ROW(G29)-1,4+((QUOTIENT(COLUMN(BW$2)-69,3))*5)+MOD(COLUMN(BW$2),3),1,1),"")</f>
        <v>68</v>
      </c>
      <c r="BX32">
        <f ca="1">IF($AN32="",OFFSET(Demand!$A$13,ROW(H29)-1,4+((QUOTIENT(COLUMN(BX$2)-69,3))*5)+MOD(COLUMN(BX$2),3),1,1),"")</f>
        <v>0</v>
      </c>
      <c r="BY32">
        <f ca="1">IF($AN32="",OFFSET(Demand!$A$13,ROW(I29)-1,4+((QUOTIENT(COLUMN(BY$2)-69,3))*5)+MOD(COLUMN(BY$2),3),1,1),"")</f>
        <v>1</v>
      </c>
      <c r="BZ32">
        <f ca="1">IF($AN32="",OFFSET(Demand!$A$13,ROW(J29)-1,4+((QUOTIENT(COLUMN(BZ$2)-69,3))*5)+MOD(COLUMN(BZ$2),3),1,1),"")</f>
        <v>14</v>
      </c>
      <c r="CA32">
        <f ca="1">IF($AN32="",OFFSET(Demand!$A$13,ROW(K29)-1,4+((QUOTIENT(COLUMN(CA$2)-69,3))*5)+MOD(COLUMN(CA$2),3),1,1),"")</f>
        <v>7</v>
      </c>
      <c r="CB32">
        <f ca="1">IF($AN32="",OFFSET(Demand!$A$13,ROW(L29)-1,4+((QUOTIENT(COLUMN(CB$2)-69,3))*5)+MOD(COLUMN(CB$2),3),1,1),"")</f>
        <v>5</v>
      </c>
      <c r="CC32">
        <f ca="1">IF($AN32="",OFFSET(Demand!$A$13,ROW(M29)-1,4+((QUOTIENT(COLUMN(CC$2)-69,3))*5)+MOD(COLUMN(CC$2),3),1,1),"")</f>
        <v>1</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f ca="1">VLOOKUP(IF($DM32&lt;53,$DM32,52),'Summary Calculations (hide)'!$D$15:$F$67,2,0)</f>
        <v>14765</v>
      </c>
      <c r="DP32" s="5">
        <f ca="1">VLOOKUP(IF($DM32&lt;53,$DM32,52),'Summary Calculations (hide)'!$D$15:$F$67,3,0)</f>
        <v>15657.95</v>
      </c>
      <c r="DQ32" s="5">
        <f ca="1">IF(AND(DN32&gt;='Demand adjustments for Covid'!$F$12,DN32&lt;'Demand adjustments for Covid'!$F$17),'Demand adjustments for Covid'!$F$13,DO32)</f>
        <v>14765</v>
      </c>
      <c r="DR32" s="5">
        <f t="shared" si="7"/>
        <v>0</v>
      </c>
      <c r="DS32" s="5">
        <f ca="1">IF('Demand adjustments for Covid'!$F$9="Yes",IF(DR32=0,DQ32,((SUM(DR$4:DR32)-1)*$EE$8)+'Demand adjustments for Covid'!F$13),'Demand background (hide)'!DO32)</f>
        <v>14765</v>
      </c>
      <c r="DT32" s="5">
        <f ca="1">IF('Demand adjustments for Covid'!$F$9="Yes",IF(OR(AND(DN32&gt;='Demand adjustments for Covid'!$F$12,DN32&lt;'Demand adjustments for Covid'!$F$17),DR32=1),DS32+3,DP32),'Demand background (hide)'!DP32)</f>
        <v>15657.95</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16157.95</v>
      </c>
    </row>
    <row r="33" spans="1:128" s="5" customFormat="1" x14ac:dyDescent="0.2">
      <c r="A33" s="5">
        <f t="shared" ca="1" si="3"/>
        <v>0</v>
      </c>
      <c r="B33" s="5">
        <f ca="1">COUNTBLANK(OFFSET(Demand!$I42,0,(COLUMN(A30)-1)*5,1,1))</f>
        <v>0</v>
      </c>
      <c r="C33" s="5">
        <f ca="1">COUNTBLANK(OFFSET(Demand!$I42,0,(COLUMN(B30)-1)*5,1,1))</f>
        <v>0</v>
      </c>
      <c r="D33" s="5">
        <f ca="1">COUNTBLANK(OFFSET(Demand!$I42,0,(COLUMN(C30)-1)*5,1,1))</f>
        <v>0</v>
      </c>
      <c r="E33" s="5">
        <f ca="1">COUNTBLANK(OFFSET(Demand!$I42,0,(COLUMN(D30)-1)*5,1,1))</f>
        <v>0</v>
      </c>
      <c r="F33" s="5">
        <f ca="1">COUNTBLANK(OFFSET(Demand!$I42,0,(COLUMN(E30)-1)*5,1,1))</f>
        <v>0</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6900</v>
      </c>
      <c r="O33" s="5">
        <f ca="1">SUM(OFFSET(Demand!$E42,0,(COLUMN(B30)-1)*5,1,3))*O$2</f>
        <v>5295</v>
      </c>
      <c r="P33" s="5">
        <f ca="1">SUM(OFFSET(Demand!$E42,0,(COLUMN(C30)-1)*5,1,3))*P$2</f>
        <v>1620</v>
      </c>
      <c r="Q33" s="5">
        <f ca="1">SUM(OFFSET(Demand!$E42,0,(COLUMN(D30)-1)*5,1,3))*Q$2</f>
        <v>630</v>
      </c>
      <c r="R33" s="5">
        <f ca="1">SUM(OFFSET(Demand!$E42,0,(COLUMN(E30)-1)*5,1,3))*R$2</f>
        <v>1</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14446</v>
      </c>
      <c r="Y33" s="5">
        <f t="shared" ca="1" si="5"/>
        <v>14446</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14446</v>
      </c>
      <c r="AM33" s="5">
        <f t="shared" ca="1" si="9"/>
        <v>0</v>
      </c>
      <c r="AN33" s="5" t="str">
        <f>IF(Demand!BE42="Yes","Yes","")</f>
        <v/>
      </c>
      <c r="AP33" s="36" t="str">
        <f ca="1">Demand!B42</f>
        <v xml:space="preserve"> </v>
      </c>
      <c r="AQ33" s="5" t="str">
        <f ca="1">IF(TEXT(Demand!D42,"MMM")&lt;&gt;TEXT(Demand!D41,"MMM"),TEXT(Demand!D42,"MMM"),"")</f>
        <v/>
      </c>
      <c r="AT33" s="5">
        <f t="shared" ca="1" si="12"/>
        <v>1140</v>
      </c>
      <c r="BQ33">
        <f ca="1">IF($AN33="",OFFSET(Demand!$A$13,ROW(A30)-1,4+((QUOTIENT(COLUMN(BQ$2)-69,3))*5)+MOD(COLUMN(BQ$2),3),1,1),"")</f>
        <v>4</v>
      </c>
      <c r="BR33">
        <f ca="1">IF($AN33="",OFFSET(Demand!$A$13,ROW(B30)-1,4+((QUOTIENT(COLUMN(BR$2)-69,3))*5)+MOD(COLUMN(BR$2),3),1,1),"")</f>
        <v>355</v>
      </c>
      <c r="BS33">
        <f ca="1">IF($AN33="",OFFSET(Demand!$A$13,ROW(C30)-1,4+((QUOTIENT(COLUMN(BS$2)-69,3))*5)+MOD(COLUMN(BS$2),3),1,1),"")</f>
        <v>101</v>
      </c>
      <c r="BT33">
        <f ca="1">IF($AN33="",OFFSET(Demand!$A$13,ROW(D30)-1,4+((QUOTIENT(COLUMN(BT$2)-69,3))*5)+MOD(COLUMN(BT$2),3),1,1),"")</f>
        <v>52</v>
      </c>
      <c r="BU33">
        <f ca="1">IF($AN33="",OFFSET(Demand!$A$13,ROW(E30)-1,4+((QUOTIENT(COLUMN(BU$2)-69,3))*5)+MOD(COLUMN(BU$2),3),1,1),"")</f>
        <v>246</v>
      </c>
      <c r="BV33">
        <f ca="1">IF($AN33="",OFFSET(Demand!$A$13,ROW(F30)-1,4+((QUOTIENT(COLUMN(BV$2)-69,3))*5)+MOD(COLUMN(BV$2),3),1,1),"")</f>
        <v>55</v>
      </c>
      <c r="BW33">
        <f ca="1">IF($AN33="",OFFSET(Demand!$A$13,ROW(G30)-1,4+((QUOTIENT(COLUMN(BW$2)-69,3))*5)+MOD(COLUMN(BW$2),3),1,1),"")</f>
        <v>52</v>
      </c>
      <c r="BX33">
        <f ca="1">IF($AN33="",OFFSET(Demand!$A$13,ROW(H30)-1,4+((QUOTIENT(COLUMN(BX$2)-69,3))*5)+MOD(COLUMN(BX$2),3),1,1),"")</f>
        <v>0</v>
      </c>
      <c r="BY33">
        <f ca="1">IF($AN33="",OFFSET(Demand!$A$13,ROW(I30)-1,4+((QUOTIENT(COLUMN(BY$2)-69,3))*5)+MOD(COLUMN(BY$2),3),1,1),"")</f>
        <v>2</v>
      </c>
      <c r="BZ33">
        <f ca="1">IF($AN33="",OFFSET(Demand!$A$13,ROW(J30)-1,4+((QUOTIENT(COLUMN(BZ$2)-69,3))*5)+MOD(COLUMN(BZ$2),3),1,1),"")</f>
        <v>6</v>
      </c>
      <c r="CA33">
        <f ca="1">IF($AN33="",OFFSET(Demand!$A$13,ROW(K30)-1,4+((QUOTIENT(COLUMN(CA$2)-69,3))*5)+MOD(COLUMN(CA$2),3),1,1),"")</f>
        <v>7</v>
      </c>
      <c r="CB33">
        <f ca="1">IF($AN33="",OFFSET(Demand!$A$13,ROW(L30)-1,4+((QUOTIENT(COLUMN(CB$2)-69,3))*5)+MOD(COLUMN(CB$2),3),1,1),"")</f>
        <v>8</v>
      </c>
      <c r="CC33">
        <f ca="1">IF($AN33="",OFFSET(Demand!$A$13,ROW(M30)-1,4+((QUOTIENT(COLUMN(CC$2)-69,3))*5)+MOD(COLUMN(CC$2),3),1,1),"")</f>
        <v>1</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f ca="1">VLOOKUP(IF($DM33&lt;53,$DM33,52),'Summary Calculations (hide)'!$D$15:$F$67,2,0)</f>
        <v>14765</v>
      </c>
      <c r="DP33" s="5">
        <f ca="1">VLOOKUP(IF($DM33&lt;53,$DM33,52),'Summary Calculations (hide)'!$D$15:$F$67,3,0)</f>
        <v>15657.95</v>
      </c>
      <c r="DQ33" s="5">
        <f ca="1">IF(AND(DN33&gt;='Demand adjustments for Covid'!$F$12,DN33&lt;'Demand adjustments for Covid'!$F$17),'Demand adjustments for Covid'!$F$13,DO33)</f>
        <v>14765</v>
      </c>
      <c r="DR33" s="5">
        <f t="shared" si="7"/>
        <v>0</v>
      </c>
      <c r="DS33" s="5">
        <f ca="1">IF('Demand adjustments for Covid'!$F$9="Yes",IF(DR33=0,DQ33,((SUM(DR$4:DR33)-1)*$EE$8)+'Demand adjustments for Covid'!F$13),'Demand background (hide)'!DO33)</f>
        <v>14765</v>
      </c>
      <c r="DT33" s="5">
        <f ca="1">IF('Demand adjustments for Covid'!$F$9="Yes",IF(OR(AND(DN33&gt;='Demand adjustments for Covid'!$F$12,DN33&lt;'Demand adjustments for Covid'!$F$17),DR33=1),DS33+3,DP33),'Demand background (hide)'!DP33)</f>
        <v>15657.95</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16157.95</v>
      </c>
    </row>
    <row r="34" spans="1:128" s="5" customFormat="1" x14ac:dyDescent="0.2">
      <c r="A34" s="5">
        <f t="shared" ca="1" si="3"/>
        <v>0</v>
      </c>
      <c r="B34" s="5">
        <f ca="1">COUNTBLANK(OFFSET(Demand!$I43,0,(COLUMN(A31)-1)*5,1,1))</f>
        <v>0</v>
      </c>
      <c r="C34" s="5">
        <f ca="1">COUNTBLANK(OFFSET(Demand!$I43,0,(COLUMN(B31)-1)*5,1,1))</f>
        <v>0</v>
      </c>
      <c r="D34" s="5">
        <f ca="1">COUNTBLANK(OFFSET(Demand!$I43,0,(COLUMN(C31)-1)*5,1,1))</f>
        <v>0</v>
      </c>
      <c r="E34" s="5">
        <f ca="1">COUNTBLANK(OFFSET(Demand!$I43,0,(COLUMN(D31)-1)*5,1,1))</f>
        <v>0</v>
      </c>
      <c r="F34" s="5">
        <f ca="1">COUNTBLANK(OFFSET(Demand!$I43,0,(COLUMN(E31)-1)*5,1,1))</f>
        <v>0</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6345</v>
      </c>
      <c r="O34" s="5">
        <f ca="1">SUM(OFFSET(Demand!$E43,0,(COLUMN(B31)-1)*5,1,3))*O$2</f>
        <v>5055</v>
      </c>
      <c r="P34" s="5">
        <f ca="1">SUM(OFFSET(Demand!$E43,0,(COLUMN(C31)-1)*5,1,3))*P$2</f>
        <v>1800</v>
      </c>
      <c r="Q34" s="5">
        <f ca="1">SUM(OFFSET(Demand!$E43,0,(COLUMN(D31)-1)*5,1,3))*Q$2</f>
        <v>810</v>
      </c>
      <c r="R34" s="5">
        <f ca="1">SUM(OFFSET(Demand!$E43,0,(COLUMN(E31)-1)*5,1,3))*R$2</f>
        <v>3</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14013</v>
      </c>
      <c r="Y34" s="5">
        <f t="shared" ca="1" si="5"/>
        <v>14013</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14013</v>
      </c>
      <c r="AM34" s="5">
        <f t="shared" ca="1" si="9"/>
        <v>0</v>
      </c>
      <c r="AN34" s="5" t="str">
        <f>IF(Demand!BE43="Yes","Yes","")</f>
        <v/>
      </c>
      <c r="AP34" s="36" t="str">
        <f ca="1">Demand!B43</f>
        <v xml:space="preserve"> </v>
      </c>
      <c r="AQ34" s="5" t="str">
        <f ca="1">IF(TEXT(Demand!D43,"MMM")&lt;&gt;TEXT(Demand!D42,"MMM"),TEXT(Demand!D43,"MMM"),"")</f>
        <v/>
      </c>
      <c r="AT34" s="5">
        <f t="shared" ca="1" si="12"/>
        <v>433</v>
      </c>
      <c r="BQ34">
        <f ca="1">IF($AN34="",OFFSET(Demand!$A$13,ROW(A31)-1,4+((QUOTIENT(COLUMN(BQ$2)-69,3))*5)+MOD(COLUMN(BQ$2),3),1,1),"")</f>
        <v>4</v>
      </c>
      <c r="BR34">
        <f ca="1">IF($AN34="",OFFSET(Demand!$A$13,ROW(B31)-1,4+((QUOTIENT(COLUMN(BR$2)-69,3))*5)+MOD(COLUMN(BR$2),3),1,1),"")</f>
        <v>353</v>
      </c>
      <c r="BS34">
        <f ca="1">IF($AN34="",OFFSET(Demand!$A$13,ROW(C31)-1,4+((QUOTIENT(COLUMN(BS$2)-69,3))*5)+MOD(COLUMN(BS$2),3),1,1),"")</f>
        <v>66</v>
      </c>
      <c r="BT34">
        <f ca="1">IF($AN34="",OFFSET(Demand!$A$13,ROW(D31)-1,4+((QUOTIENT(COLUMN(BT$2)-69,3))*5)+MOD(COLUMN(BT$2),3),1,1),"")</f>
        <v>57</v>
      </c>
      <c r="BU34">
        <f ca="1">IF($AN34="",OFFSET(Demand!$A$13,ROW(E31)-1,4+((QUOTIENT(COLUMN(BU$2)-69,3))*5)+MOD(COLUMN(BU$2),3),1,1),"")</f>
        <v>223</v>
      </c>
      <c r="BV34">
        <f ca="1">IF($AN34="",OFFSET(Demand!$A$13,ROW(F31)-1,4+((QUOTIENT(COLUMN(BV$2)-69,3))*5)+MOD(COLUMN(BV$2),3),1,1),"")</f>
        <v>57</v>
      </c>
      <c r="BW34">
        <f ca="1">IF($AN34="",OFFSET(Demand!$A$13,ROW(G31)-1,4+((QUOTIENT(COLUMN(BW$2)-69,3))*5)+MOD(COLUMN(BW$2),3),1,1),"")</f>
        <v>57</v>
      </c>
      <c r="BX34">
        <f ca="1">IF($AN34="",OFFSET(Demand!$A$13,ROW(H31)-1,4+((QUOTIENT(COLUMN(BX$2)-69,3))*5)+MOD(COLUMN(BX$2),3),1,1),"")</f>
        <v>0</v>
      </c>
      <c r="BY34">
        <f ca="1">IF($AN34="",OFFSET(Demand!$A$13,ROW(I31)-1,4+((QUOTIENT(COLUMN(BY$2)-69,3))*5)+MOD(COLUMN(BY$2),3),1,1),"")</f>
        <v>3</v>
      </c>
      <c r="BZ34">
        <f ca="1">IF($AN34="",OFFSET(Demand!$A$13,ROW(J31)-1,4+((QUOTIENT(COLUMN(BZ$2)-69,3))*5)+MOD(COLUMN(BZ$2),3),1,1),"")</f>
        <v>7</v>
      </c>
      <c r="CA34">
        <f ca="1">IF($AN34="",OFFSET(Demand!$A$13,ROW(K31)-1,4+((QUOTIENT(COLUMN(CA$2)-69,3))*5)+MOD(COLUMN(CA$2),3),1,1),"")</f>
        <v>8</v>
      </c>
      <c r="CB34">
        <f ca="1">IF($AN34="",OFFSET(Demand!$A$13,ROW(L31)-1,4+((QUOTIENT(COLUMN(CB$2)-69,3))*5)+MOD(COLUMN(CB$2),3),1,1),"")</f>
        <v>12</v>
      </c>
      <c r="CC34">
        <f ca="1">IF($AN34="",OFFSET(Demand!$A$13,ROW(M31)-1,4+((QUOTIENT(COLUMN(CC$2)-69,3))*5)+MOD(COLUMN(CC$2),3),1,1),"")</f>
        <v>1</v>
      </c>
      <c r="CD34">
        <f ca="1">IF($AN34="",OFFSET(Demand!$A$13,ROW(N31)-1,4+((QUOTIENT(COLUMN(CD$2)-69,3))*5)+MOD(COLUMN(CD$2),3),1,1),"")</f>
        <v>2</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f ca="1">VLOOKUP(IF($DM34&lt;53,$DM34,52),'Summary Calculations (hide)'!$D$15:$F$67,2,0)</f>
        <v>14765</v>
      </c>
      <c r="DP34" s="5">
        <f ca="1">VLOOKUP(IF($DM34&lt;53,$DM34,52),'Summary Calculations (hide)'!$D$15:$F$67,3,0)</f>
        <v>15657.95</v>
      </c>
      <c r="DQ34" s="5">
        <f ca="1">IF(AND(DN34&gt;='Demand adjustments for Covid'!$F$12,DN34&lt;'Demand adjustments for Covid'!$F$17),'Demand adjustments for Covid'!$F$13,DO34)</f>
        <v>14765</v>
      </c>
      <c r="DR34" s="5">
        <f t="shared" si="7"/>
        <v>0</v>
      </c>
      <c r="DS34" s="5">
        <f ca="1">IF('Demand adjustments for Covid'!$F$9="Yes",IF(DR34=0,DQ34,((SUM(DR$4:DR34)-1)*$EE$8)+'Demand adjustments for Covid'!F$13),'Demand background (hide)'!DO34)</f>
        <v>14765</v>
      </c>
      <c r="DT34" s="5">
        <f ca="1">IF('Demand adjustments for Covid'!$F$9="Yes",IF(OR(AND(DN34&gt;='Demand adjustments for Covid'!$F$12,DN34&lt;'Demand adjustments for Covid'!$F$17),DR34=1),DS34+3,DP34),'Demand background (hide)'!DP34)</f>
        <v>15657.95</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16157.95</v>
      </c>
    </row>
    <row r="35" spans="1:128" s="5" customFormat="1" x14ac:dyDescent="0.2">
      <c r="A35" s="5">
        <f t="shared" ca="1" si="3"/>
        <v>0</v>
      </c>
      <c r="B35" s="5">
        <f ca="1">COUNTBLANK(OFFSET(Demand!$I44,0,(COLUMN(A32)-1)*5,1,1))</f>
        <v>0</v>
      </c>
      <c r="C35" s="5">
        <f ca="1">COUNTBLANK(OFFSET(Demand!$I44,0,(COLUMN(B32)-1)*5,1,1))</f>
        <v>0</v>
      </c>
      <c r="D35" s="5">
        <f ca="1">COUNTBLANK(OFFSET(Demand!$I44,0,(COLUMN(C32)-1)*5,1,1))</f>
        <v>0</v>
      </c>
      <c r="E35" s="5">
        <f ca="1">COUNTBLANK(OFFSET(Demand!$I44,0,(COLUMN(D32)-1)*5,1,1))</f>
        <v>0</v>
      </c>
      <c r="F35" s="5">
        <f ca="1">COUNTBLANK(OFFSET(Demand!$I44,0,(COLUMN(E32)-1)*5,1,1))</f>
        <v>0</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6165</v>
      </c>
      <c r="O35" s="5">
        <f ca="1">SUM(OFFSET(Demand!$E44,0,(COLUMN(B32)-1)*5,1,3))*O$2</f>
        <v>4845</v>
      </c>
      <c r="P35" s="5">
        <f ca="1">SUM(OFFSET(Demand!$E44,0,(COLUMN(C32)-1)*5,1,3))*P$2</f>
        <v>1710</v>
      </c>
      <c r="Q35" s="5">
        <f ca="1">SUM(OFFSET(Demand!$E44,0,(COLUMN(D32)-1)*5,1,3))*Q$2</f>
        <v>390</v>
      </c>
      <c r="R35" s="5">
        <f ca="1">SUM(OFFSET(Demand!$E44,0,(COLUMN(E32)-1)*5,1,3))*R$2</f>
        <v>1</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13111</v>
      </c>
      <c r="Y35" s="5">
        <f t="shared" ca="1" si="5"/>
        <v>13111</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13111</v>
      </c>
      <c r="AM35" s="5">
        <f t="shared" ca="1" si="9"/>
        <v>0</v>
      </c>
      <c r="AN35" s="5" t="str">
        <f>IF(Demand!BE44="Yes","Yes","")</f>
        <v/>
      </c>
      <c r="AP35" s="36" t="str">
        <f ca="1">Demand!B44</f>
        <v xml:space="preserve"> </v>
      </c>
      <c r="AQ35" s="5" t="str">
        <f ca="1">IF(TEXT(Demand!D44,"MMM")&lt;&gt;TEXT(Demand!D43,"MMM"),TEXT(Demand!D44,"MMM"),"")</f>
        <v>Nov</v>
      </c>
      <c r="AT35" s="5">
        <f t="shared" ca="1" si="12"/>
        <v>902</v>
      </c>
      <c r="BQ35">
        <f ca="1">IF($AN35="",OFFSET(Demand!$A$13,ROW(A32)-1,4+((QUOTIENT(COLUMN(BQ$2)-69,3))*5)+MOD(COLUMN(BQ$2),3),1,1),"")</f>
        <v>4</v>
      </c>
      <c r="BR35">
        <f ca="1">IF($AN35="",OFFSET(Demand!$A$13,ROW(B32)-1,4+((QUOTIENT(COLUMN(BR$2)-69,3))*5)+MOD(COLUMN(BR$2),3),1,1),"")</f>
        <v>324</v>
      </c>
      <c r="BS35">
        <f ca="1">IF($AN35="",OFFSET(Demand!$A$13,ROW(C32)-1,4+((QUOTIENT(COLUMN(BS$2)-69,3))*5)+MOD(COLUMN(BS$2),3),1,1),"")</f>
        <v>83</v>
      </c>
      <c r="BT35">
        <f ca="1">IF($AN35="",OFFSET(Demand!$A$13,ROW(D32)-1,4+((QUOTIENT(COLUMN(BT$2)-69,3))*5)+MOD(COLUMN(BT$2),3),1,1),"")</f>
        <v>53</v>
      </c>
      <c r="BU35">
        <f ca="1">IF($AN35="",OFFSET(Demand!$A$13,ROW(E32)-1,4+((QUOTIENT(COLUMN(BU$2)-69,3))*5)+MOD(COLUMN(BU$2),3),1,1),"")</f>
        <v>232</v>
      </c>
      <c r="BV35">
        <f ca="1">IF($AN35="",OFFSET(Demand!$A$13,ROW(F32)-1,4+((QUOTIENT(COLUMN(BV$2)-69,3))*5)+MOD(COLUMN(BV$2),3),1,1),"")</f>
        <v>38</v>
      </c>
      <c r="BW35">
        <f ca="1">IF($AN35="",OFFSET(Demand!$A$13,ROW(G32)-1,4+((QUOTIENT(COLUMN(BW$2)-69,3))*5)+MOD(COLUMN(BW$2),3),1,1),"")</f>
        <v>53</v>
      </c>
      <c r="BX35">
        <f ca="1">IF($AN35="",OFFSET(Demand!$A$13,ROW(H32)-1,4+((QUOTIENT(COLUMN(BX$2)-69,3))*5)+MOD(COLUMN(BX$2),3),1,1),"")</f>
        <v>0</v>
      </c>
      <c r="BY35">
        <f ca="1">IF($AN35="",OFFSET(Demand!$A$13,ROW(I32)-1,4+((QUOTIENT(COLUMN(BY$2)-69,3))*5)+MOD(COLUMN(BY$2),3),1,1),"")</f>
        <v>4</v>
      </c>
      <c r="BZ35">
        <f ca="1">IF($AN35="",OFFSET(Demand!$A$13,ROW(J32)-1,4+((QUOTIENT(COLUMN(BZ$2)-69,3))*5)+MOD(COLUMN(BZ$2),3),1,1),"")</f>
        <v>1</v>
      </c>
      <c r="CA35">
        <f ca="1">IF($AN35="",OFFSET(Demand!$A$13,ROW(K32)-1,4+((QUOTIENT(COLUMN(CA$2)-69,3))*5)+MOD(COLUMN(CA$2),3),1,1),"")</f>
        <v>7</v>
      </c>
      <c r="CB35">
        <f ca="1">IF($AN35="",OFFSET(Demand!$A$13,ROW(L32)-1,4+((QUOTIENT(COLUMN(CB$2)-69,3))*5)+MOD(COLUMN(CB$2),3),1,1),"")</f>
        <v>5</v>
      </c>
      <c r="CC35">
        <f ca="1">IF($AN35="",OFFSET(Demand!$A$13,ROW(M32)-1,4+((QUOTIENT(COLUMN(CC$2)-69,3))*5)+MOD(COLUMN(CC$2),3),1,1),"")</f>
        <v>0</v>
      </c>
      <c r="CD35">
        <f ca="1">IF($AN35="",OFFSET(Demand!$A$13,ROW(N32)-1,4+((QUOTIENT(COLUMN(CD$2)-69,3))*5)+MOD(COLUMN(CD$2),3),1,1),"")</f>
        <v>1</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f ca="1">VLOOKUP(IF($DM35&lt;53,$DM35,52),'Summary Calculations (hide)'!$D$15:$F$67,2,0)</f>
        <v>14765</v>
      </c>
      <c r="DP35" s="5">
        <f ca="1">VLOOKUP(IF($DM35&lt;53,$DM35,52),'Summary Calculations (hide)'!$D$15:$F$67,3,0)</f>
        <v>15657.95</v>
      </c>
      <c r="DQ35" s="5">
        <f ca="1">IF(AND(DN35&gt;='Demand adjustments for Covid'!$F$12,DN35&lt;'Demand adjustments for Covid'!$F$17),'Demand adjustments for Covid'!$F$13,DO35)</f>
        <v>14765</v>
      </c>
      <c r="DR35" s="5">
        <f t="shared" si="7"/>
        <v>0</v>
      </c>
      <c r="DS35" s="5">
        <f ca="1">IF('Demand adjustments for Covid'!$F$9="Yes",IF(DR35=0,DQ35,((SUM(DR$4:DR35)-1)*$EE$8)+'Demand adjustments for Covid'!F$13),'Demand background (hide)'!DO35)</f>
        <v>14765</v>
      </c>
      <c r="DT35" s="5">
        <f ca="1">IF('Demand adjustments for Covid'!$F$9="Yes",IF(OR(AND(DN35&gt;='Demand adjustments for Covid'!$F$12,DN35&lt;'Demand adjustments for Covid'!$F$17),DR35=1),DS35+3,DP35),'Demand background (hide)'!DP35)</f>
        <v>15657.95</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16157.95</v>
      </c>
    </row>
    <row r="36" spans="1:128" s="5" customFormat="1" x14ac:dyDescent="0.2">
      <c r="A36" s="5">
        <f t="shared" ref="A36:A55" ca="1" si="32">SUM(OFFSET(B36,0,0,1,Num_Modalities))</f>
        <v>1</v>
      </c>
      <c r="B36" s="5">
        <f ca="1">COUNTBLANK(OFFSET(Demand!$I45,0,(COLUMN(A33)-1)*5,1,1))</f>
        <v>0</v>
      </c>
      <c r="C36" s="5">
        <f ca="1">COUNTBLANK(OFFSET(Demand!$I45,0,(COLUMN(B33)-1)*5,1,1))</f>
        <v>0</v>
      </c>
      <c r="D36" s="5">
        <f ca="1">COUNTBLANK(OFFSET(Demand!$I45,0,(COLUMN(C33)-1)*5,1,1))</f>
        <v>0</v>
      </c>
      <c r="E36" s="5">
        <f ca="1">COUNTBLANK(OFFSET(Demand!$I45,0,(COLUMN(D33)-1)*5,1,1))</f>
        <v>0</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6930</v>
      </c>
      <c r="O36" s="5">
        <f ca="1">SUM(OFFSET(Demand!$E45,0,(COLUMN(B33)-1)*5,1,3))*O$2</f>
        <v>5310</v>
      </c>
      <c r="P36" s="5">
        <f ca="1">SUM(OFFSET(Demand!$E45,0,(COLUMN(C33)-1)*5,1,3))*P$2</f>
        <v>1530</v>
      </c>
      <c r="Q36" s="5">
        <f ca="1">SUM(OFFSET(Demand!$E45,0,(COLUMN(D33)-1)*5,1,3))*Q$2</f>
        <v>600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14370</v>
      </c>
      <c r="Y36" s="5">
        <f t="shared" ca="1" si="5"/>
        <v>14370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14370</v>
      </c>
      <c r="AM36" s="5">
        <f t="shared" ca="1" si="9"/>
        <v>0</v>
      </c>
      <c r="AN36" s="5" t="str">
        <f>IF(Demand!BE45="Yes","Yes","")</f>
        <v/>
      </c>
      <c r="AP36" s="36" t="str">
        <f ca="1">Demand!B45</f>
        <v xml:space="preserve"> </v>
      </c>
      <c r="AQ36" s="5" t="str">
        <f ca="1">IF(TEXT(Demand!D45,"MMM")&lt;&gt;TEXT(Demand!D44,"MMM"),TEXT(Demand!D45,"MMM"),"")</f>
        <v/>
      </c>
      <c r="AT36" s="5">
        <f t="shared" ca="1" si="12"/>
        <v>1259</v>
      </c>
      <c r="BQ36">
        <f ca="1">IF($AN36="",OFFSET(Demand!$A$13,ROW(A33)-1,4+((QUOTIENT(COLUMN(BQ$2)-69,3))*5)+MOD(COLUMN(BQ$2),3),1,1),"")</f>
        <v>6</v>
      </c>
      <c r="BR36">
        <f ca="1">IF($AN36="",OFFSET(Demand!$A$13,ROW(B33)-1,4+((QUOTIENT(COLUMN(BR$2)-69,3))*5)+MOD(COLUMN(BR$2),3),1,1),"")</f>
        <v>358</v>
      </c>
      <c r="BS36">
        <f ca="1">IF($AN36="",OFFSET(Demand!$A$13,ROW(C33)-1,4+((QUOTIENT(COLUMN(BS$2)-69,3))*5)+MOD(COLUMN(BS$2),3),1,1),"")</f>
        <v>98</v>
      </c>
      <c r="BT36">
        <f ca="1">IF($AN36="",OFFSET(Demand!$A$13,ROW(D33)-1,4+((QUOTIENT(COLUMN(BT$2)-69,3))*5)+MOD(COLUMN(BT$2),3),1,1),"")</f>
        <v>49</v>
      </c>
      <c r="BU36">
        <f ca="1">IF($AN36="",OFFSET(Demand!$A$13,ROW(E33)-1,4+((QUOTIENT(COLUMN(BU$2)-69,3))*5)+MOD(COLUMN(BU$2),3),1,1),"")</f>
        <v>253</v>
      </c>
      <c r="BV36">
        <f ca="1">IF($AN36="",OFFSET(Demand!$A$13,ROW(F33)-1,4+((QUOTIENT(COLUMN(BV$2)-69,3))*5)+MOD(COLUMN(BV$2),3),1,1),"")</f>
        <v>52</v>
      </c>
      <c r="BW36">
        <f ca="1">IF($AN36="",OFFSET(Demand!$A$13,ROW(G33)-1,4+((QUOTIENT(COLUMN(BW$2)-69,3))*5)+MOD(COLUMN(BW$2),3),1,1),"")</f>
        <v>49</v>
      </c>
      <c r="BX36">
        <f ca="1">IF($AN36="",OFFSET(Demand!$A$13,ROW(H33)-1,4+((QUOTIENT(COLUMN(BX$2)-69,3))*5)+MOD(COLUMN(BX$2),3),1,1),"")</f>
        <v>0</v>
      </c>
      <c r="BY36">
        <f ca="1">IF($AN36="",OFFSET(Demand!$A$13,ROW(I33)-1,4+((QUOTIENT(COLUMN(BY$2)-69,3))*5)+MOD(COLUMN(BY$2),3),1,1),"")</f>
        <v>2</v>
      </c>
      <c r="BZ36">
        <f ca="1">IF($AN36="",OFFSET(Demand!$A$13,ROW(J33)-1,4+((QUOTIENT(COLUMN(BZ$2)-69,3))*5)+MOD(COLUMN(BZ$2),3),1,1),"")</f>
        <v>10</v>
      </c>
      <c r="CA36">
        <f ca="1">IF($AN36="",OFFSET(Demand!$A$13,ROW(K33)-1,4+((QUOTIENT(COLUMN(CA$2)-69,3))*5)+MOD(COLUMN(CA$2),3),1,1),"")</f>
        <v>5</v>
      </c>
      <c r="CB36">
        <f ca="1">IF($AN36="",OFFSET(Demand!$A$13,ROW(L33)-1,4+((QUOTIENT(COLUMN(CB$2)-69,3))*5)+MOD(COLUMN(CB$2),3),1,1),"")</f>
        <v>5</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f ca="1">VLOOKUP(IF($DM36&lt;53,$DM36,52),'Summary Calculations (hide)'!$D$15:$F$67,2,0)</f>
        <v>14765</v>
      </c>
      <c r="DP36" s="5">
        <f ca="1">VLOOKUP(IF($DM36&lt;53,$DM36,52),'Summary Calculations (hide)'!$D$15:$F$67,3,0)</f>
        <v>15657.95</v>
      </c>
      <c r="DQ36" s="5">
        <f ca="1">IF(AND(DN36&gt;='Demand adjustments for Covid'!$F$12,DN36&lt;'Demand adjustments for Covid'!$F$17),'Demand adjustments for Covid'!$F$13,DO36)</f>
        <v>14765</v>
      </c>
      <c r="DR36" s="5">
        <f t="shared" ref="DR36:DR55" si="33">IF(AND(ROW(A33)&gt;=$EE$4,ROW(A33)&lt;=$EE$5),1,0)</f>
        <v>0</v>
      </c>
      <c r="DS36" s="5">
        <f ca="1">IF('Demand adjustments for Covid'!$F$9="Yes",IF(DR36=0,DQ36,((SUM(DR$4:DR36)-1)*$EE$8)+'Demand adjustments for Covid'!F$13),'Demand background (hide)'!DO36)</f>
        <v>14765</v>
      </c>
      <c r="DT36" s="5">
        <f ca="1">IF('Demand adjustments for Covid'!$F$9="Yes",IF(OR(AND(DN36&gt;='Demand adjustments for Covid'!$F$12,DN36&lt;'Demand adjustments for Covid'!$F$17),DR36=1),DS36+3,DP36),'Demand background (hide)'!DP36)</f>
        <v>15657.95</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16157.95</v>
      </c>
    </row>
    <row r="37" spans="1:128" s="5" customFormat="1" x14ac:dyDescent="0.2">
      <c r="A37" s="5">
        <f t="shared" ca="1" si="32"/>
        <v>0</v>
      </c>
      <c r="B37" s="5">
        <f ca="1">COUNTBLANK(OFFSET(Demand!$I46,0,(COLUMN(A34)-1)*5,1,1))</f>
        <v>0</v>
      </c>
      <c r="C37" s="5">
        <f ca="1">COUNTBLANK(OFFSET(Demand!$I46,0,(COLUMN(B34)-1)*5,1,1))</f>
        <v>0</v>
      </c>
      <c r="D37" s="5">
        <f ca="1">COUNTBLANK(OFFSET(Demand!$I46,0,(COLUMN(C34)-1)*5,1,1))</f>
        <v>0</v>
      </c>
      <c r="E37" s="5">
        <f ca="1">COUNTBLANK(OFFSET(Demand!$I46,0,(COLUMN(D34)-1)*5,1,1))</f>
        <v>0</v>
      </c>
      <c r="F37" s="5">
        <f ca="1">COUNTBLANK(OFFSET(Demand!$I46,0,(COLUMN(E34)-1)*5,1,1))</f>
        <v>0</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7065</v>
      </c>
      <c r="O37" s="5">
        <f ca="1">SUM(OFFSET(Demand!$E46,0,(COLUMN(B34)-1)*5,1,3))*O$2</f>
        <v>5535</v>
      </c>
      <c r="P37" s="5">
        <f ca="1">SUM(OFFSET(Demand!$E46,0,(COLUMN(C34)-1)*5,1,3))*P$2</f>
        <v>1620</v>
      </c>
      <c r="Q37" s="5">
        <f ca="1">SUM(OFFSET(Demand!$E46,0,(COLUMN(D34)-1)*5,1,3))*Q$2</f>
        <v>600</v>
      </c>
      <c r="R37" s="5">
        <f ca="1">SUM(OFFSET(Demand!$E46,0,(COLUMN(E34)-1)*5,1,3))*R$2</f>
        <v>2</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14822</v>
      </c>
      <c r="Y37" s="5">
        <f t="shared" ca="1" si="5"/>
        <v>14822</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14822</v>
      </c>
      <c r="AM37" s="5">
        <f t="shared" ca="1" si="9"/>
        <v>0</v>
      </c>
      <c r="AN37" s="5" t="str">
        <f>IF(Demand!BE46="Yes","Yes","")</f>
        <v/>
      </c>
      <c r="AP37" s="36" t="str">
        <f ca="1">Demand!B46</f>
        <v xml:space="preserve"> </v>
      </c>
      <c r="AQ37" s="5" t="str">
        <f ca="1">IF(TEXT(Demand!D46,"MMM")&lt;&gt;TEXT(Demand!D45,"MMM"),TEXT(Demand!D46,"MMM"),"")</f>
        <v/>
      </c>
      <c r="AT37" s="5">
        <f t="shared" ca="1" si="12"/>
        <v>452</v>
      </c>
      <c r="BQ37">
        <f ca="1">IF($AN37="",OFFSET(Demand!$A$13,ROW(A34)-1,4+((QUOTIENT(COLUMN(BQ$2)-69,3))*5)+MOD(COLUMN(BQ$2),3),1,1),"")</f>
        <v>11</v>
      </c>
      <c r="BR37">
        <f ca="1">IF($AN37="",OFFSET(Demand!$A$13,ROW(B34)-1,4+((QUOTIENT(COLUMN(BR$2)-69,3))*5)+MOD(COLUMN(BR$2),3),1,1),"")</f>
        <v>369</v>
      </c>
      <c r="BS37">
        <f ca="1">IF($AN37="",OFFSET(Demand!$A$13,ROW(C34)-1,4+((QUOTIENT(COLUMN(BS$2)-69,3))*5)+MOD(COLUMN(BS$2),3),1,1),"")</f>
        <v>91</v>
      </c>
      <c r="BT37">
        <f ca="1">IF($AN37="",OFFSET(Demand!$A$13,ROW(D34)-1,4+((QUOTIENT(COLUMN(BT$2)-69,3))*5)+MOD(COLUMN(BT$2),3),1,1),"")</f>
        <v>49</v>
      </c>
      <c r="BU37">
        <f ca="1">IF($AN37="",OFFSET(Demand!$A$13,ROW(E34)-1,4+((QUOTIENT(COLUMN(BU$2)-69,3))*5)+MOD(COLUMN(BU$2),3),1,1),"")</f>
        <v>256</v>
      </c>
      <c r="BV37">
        <f ca="1">IF($AN37="",OFFSET(Demand!$A$13,ROW(F34)-1,4+((QUOTIENT(COLUMN(BV$2)-69,3))*5)+MOD(COLUMN(BV$2),3),1,1),"")</f>
        <v>64</v>
      </c>
      <c r="BW37">
        <f ca="1">IF($AN37="",OFFSET(Demand!$A$13,ROW(G34)-1,4+((QUOTIENT(COLUMN(BW$2)-69,3))*5)+MOD(COLUMN(BW$2),3),1,1),"")</f>
        <v>49</v>
      </c>
      <c r="BX37">
        <f ca="1">IF($AN37="",OFFSET(Demand!$A$13,ROW(H34)-1,4+((QUOTIENT(COLUMN(BX$2)-69,3))*5)+MOD(COLUMN(BX$2),3),1,1),"")</f>
        <v>1</v>
      </c>
      <c r="BY37">
        <f ca="1">IF($AN37="",OFFSET(Demand!$A$13,ROW(I34)-1,4+((QUOTIENT(COLUMN(BY$2)-69,3))*5)+MOD(COLUMN(BY$2),3),1,1),"")</f>
        <v>4</v>
      </c>
      <c r="BZ37">
        <f ca="1">IF($AN37="",OFFSET(Demand!$A$13,ROW(J34)-1,4+((QUOTIENT(COLUMN(BZ$2)-69,3))*5)+MOD(COLUMN(BZ$2),3),1,1),"")</f>
        <v>7</v>
      </c>
      <c r="CA37">
        <f ca="1">IF($AN37="",OFFSET(Demand!$A$13,ROW(K34)-1,4+((QUOTIENT(COLUMN(CA$2)-69,3))*5)+MOD(COLUMN(CA$2),3),1,1),"")</f>
        <v>0</v>
      </c>
      <c r="CB37">
        <f ca="1">IF($AN37="",OFFSET(Demand!$A$13,ROW(L34)-1,4+((QUOTIENT(COLUMN(CB$2)-69,3))*5)+MOD(COLUMN(CB$2),3),1,1),"")</f>
        <v>13</v>
      </c>
      <c r="CC37">
        <f ca="1">IF($AN37="",OFFSET(Demand!$A$13,ROW(M34)-1,4+((QUOTIENT(COLUMN(CC$2)-69,3))*5)+MOD(COLUMN(CC$2),3),1,1),"")</f>
        <v>2</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f ca="1">VLOOKUP(IF($DM37&lt;53,$DM37,52),'Summary Calculations (hide)'!$D$15:$F$67,2,0)</f>
        <v>14765</v>
      </c>
      <c r="DP37" s="5">
        <f ca="1">VLOOKUP(IF($DM37&lt;53,$DM37,52),'Summary Calculations (hide)'!$D$15:$F$67,3,0)</f>
        <v>15657.95</v>
      </c>
      <c r="DQ37" s="5">
        <f ca="1">IF(AND(DN37&gt;='Demand adjustments for Covid'!$F$12,DN37&lt;'Demand adjustments for Covid'!$F$17),'Demand adjustments for Covid'!$F$13,DO37)</f>
        <v>14765</v>
      </c>
      <c r="DR37" s="5">
        <f t="shared" si="33"/>
        <v>0</v>
      </c>
      <c r="DS37" s="5">
        <f ca="1">IF('Demand adjustments for Covid'!$F$9="Yes",IF(DR37=0,DQ37,((SUM(DR$4:DR37)-1)*$EE$8)+'Demand adjustments for Covid'!F$13),'Demand background (hide)'!DO37)</f>
        <v>14765</v>
      </c>
      <c r="DT37" s="5">
        <f ca="1">IF('Demand adjustments for Covid'!$F$9="Yes",IF(OR(AND(DN37&gt;='Demand adjustments for Covid'!$F$12,DN37&lt;'Demand adjustments for Covid'!$F$17),DR37=1),DS37+3,DP37),'Demand background (hide)'!DP37)</f>
        <v>15657.95</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16157.95</v>
      </c>
    </row>
    <row r="38" spans="1:128" s="5" customFormat="1" x14ac:dyDescent="0.2">
      <c r="A38" s="5">
        <f t="shared" ca="1" si="32"/>
        <v>0</v>
      </c>
      <c r="B38" s="5">
        <f ca="1">COUNTBLANK(OFFSET(Demand!$I47,0,(COLUMN(A35)-1)*5,1,1))</f>
        <v>0</v>
      </c>
      <c r="C38" s="5">
        <f ca="1">COUNTBLANK(OFFSET(Demand!$I47,0,(COLUMN(B35)-1)*5,1,1))</f>
        <v>0</v>
      </c>
      <c r="D38" s="5">
        <f ca="1">COUNTBLANK(OFFSET(Demand!$I47,0,(COLUMN(C35)-1)*5,1,1))</f>
        <v>0</v>
      </c>
      <c r="E38" s="5">
        <f ca="1">COUNTBLANK(OFFSET(Demand!$I47,0,(COLUMN(D35)-1)*5,1,1))</f>
        <v>0</v>
      </c>
      <c r="F38" s="5">
        <f ca="1">COUNTBLANK(OFFSET(Demand!$I47,0,(COLUMN(E35)-1)*5,1,1))</f>
        <v>0</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6105</v>
      </c>
      <c r="O38" s="5">
        <f ca="1">SUM(OFFSET(Demand!$E47,0,(COLUMN(B35)-1)*5,1,3))*O$2</f>
        <v>5340</v>
      </c>
      <c r="P38" s="5">
        <f ca="1">SUM(OFFSET(Demand!$E47,0,(COLUMN(C35)-1)*5,1,3))*P$2</f>
        <v>2280</v>
      </c>
      <c r="Q38" s="5">
        <f ca="1">SUM(OFFSET(Demand!$E47,0,(COLUMN(D35)-1)*5,1,3))*Q$2</f>
        <v>630</v>
      </c>
      <c r="R38" s="5">
        <f ca="1">SUM(OFFSET(Demand!$E47,0,(COLUMN(E35)-1)*5,1,3))*R$2</f>
        <v>2</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14357</v>
      </c>
      <c r="Y38" s="5">
        <f t="shared" ca="1" si="5"/>
        <v>14357</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14357</v>
      </c>
      <c r="AM38" s="5">
        <f t="shared" ca="1" si="9"/>
        <v>0</v>
      </c>
      <c r="AN38" s="5" t="str">
        <f>IF(Demand!BE47="Yes","Yes","")</f>
        <v/>
      </c>
      <c r="AP38" s="36" t="str">
        <f ca="1">Demand!B47</f>
        <v xml:space="preserve"> </v>
      </c>
      <c r="AQ38" s="5" t="str">
        <f ca="1">IF(TEXT(Demand!D47,"MMM")&lt;&gt;TEXT(Demand!D46,"MMM"),TEXT(Demand!D47,"MMM"),"")</f>
        <v/>
      </c>
      <c r="AT38" s="5">
        <f t="shared" ca="1" si="12"/>
        <v>465</v>
      </c>
      <c r="BQ38">
        <f ca="1">IF($AN38="",OFFSET(Demand!$A$13,ROW(A35)-1,4+((QUOTIENT(COLUMN(BQ$2)-69,3))*5)+MOD(COLUMN(BQ$2),3),1,1),"")</f>
        <v>5</v>
      </c>
      <c r="BR38">
        <f ca="1">IF($AN38="",OFFSET(Demand!$A$13,ROW(B35)-1,4+((QUOTIENT(COLUMN(BR$2)-69,3))*5)+MOD(COLUMN(BR$2),3),1,1),"")</f>
        <v>314</v>
      </c>
      <c r="BS38">
        <f ca="1">IF($AN38="",OFFSET(Demand!$A$13,ROW(C35)-1,4+((QUOTIENT(COLUMN(BS$2)-69,3))*5)+MOD(COLUMN(BS$2),3),1,1),"")</f>
        <v>88</v>
      </c>
      <c r="BT38">
        <f ca="1">IF($AN38="",OFFSET(Demand!$A$13,ROW(D35)-1,4+((QUOTIENT(COLUMN(BT$2)-69,3))*5)+MOD(COLUMN(BT$2),3),1,1),"")</f>
        <v>71</v>
      </c>
      <c r="BU38">
        <f ca="1">IF($AN38="",OFFSET(Demand!$A$13,ROW(E35)-1,4+((QUOTIENT(COLUMN(BU$2)-69,3))*5)+MOD(COLUMN(BU$2),3),1,1),"")</f>
        <v>234</v>
      </c>
      <c r="BV38">
        <f ca="1">IF($AN38="",OFFSET(Demand!$A$13,ROW(F35)-1,4+((QUOTIENT(COLUMN(BV$2)-69,3))*5)+MOD(COLUMN(BV$2),3),1,1),"")</f>
        <v>51</v>
      </c>
      <c r="BW38">
        <f ca="1">IF($AN38="",OFFSET(Demand!$A$13,ROW(G35)-1,4+((QUOTIENT(COLUMN(BW$2)-69,3))*5)+MOD(COLUMN(BW$2),3),1,1),"")</f>
        <v>71</v>
      </c>
      <c r="BX38">
        <f ca="1">IF($AN38="",OFFSET(Demand!$A$13,ROW(H35)-1,4+((QUOTIENT(COLUMN(BX$2)-69,3))*5)+MOD(COLUMN(BX$2),3),1,1),"")</f>
        <v>0</v>
      </c>
      <c r="BY38">
        <f ca="1">IF($AN38="",OFFSET(Demand!$A$13,ROW(I35)-1,4+((QUOTIENT(COLUMN(BY$2)-69,3))*5)+MOD(COLUMN(BY$2),3),1,1),"")</f>
        <v>5</v>
      </c>
      <c r="BZ38">
        <f ca="1">IF($AN38="",OFFSET(Demand!$A$13,ROW(J35)-1,4+((QUOTIENT(COLUMN(BZ$2)-69,3))*5)+MOD(COLUMN(BZ$2),3),1,1),"")</f>
        <v>10</v>
      </c>
      <c r="CA38">
        <f ca="1">IF($AN38="",OFFSET(Demand!$A$13,ROW(K35)-1,4+((QUOTIENT(COLUMN(CA$2)-69,3))*5)+MOD(COLUMN(CA$2),3),1,1),"")</f>
        <v>3</v>
      </c>
      <c r="CB38">
        <f ca="1">IF($AN38="",OFFSET(Demand!$A$13,ROW(L35)-1,4+((QUOTIENT(COLUMN(CB$2)-69,3))*5)+MOD(COLUMN(CB$2),3),1,1),"")</f>
        <v>8</v>
      </c>
      <c r="CC38">
        <f ca="1">IF($AN38="",OFFSET(Demand!$A$13,ROW(M35)-1,4+((QUOTIENT(COLUMN(CC$2)-69,3))*5)+MOD(COLUMN(CC$2),3),1,1),"")</f>
        <v>1</v>
      </c>
      <c r="CD38">
        <f ca="1">IF($AN38="",OFFSET(Demand!$A$13,ROW(N35)-1,4+((QUOTIENT(COLUMN(CD$2)-69,3))*5)+MOD(COLUMN(CD$2),3),1,1),"")</f>
        <v>1</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f ca="1">VLOOKUP(IF($DM38&lt;53,$DM38,52),'Summary Calculations (hide)'!$D$15:$F$67,2,0)</f>
        <v>14765</v>
      </c>
      <c r="DP38" s="5">
        <f ca="1">VLOOKUP(IF($DM38&lt;53,$DM38,52),'Summary Calculations (hide)'!$D$15:$F$67,3,0)</f>
        <v>15657.95</v>
      </c>
      <c r="DQ38" s="5">
        <f ca="1">IF(AND(DN38&gt;='Demand adjustments for Covid'!$F$12,DN38&lt;'Demand adjustments for Covid'!$F$17),'Demand adjustments for Covid'!$F$13,DO38)</f>
        <v>14765</v>
      </c>
      <c r="DR38" s="5">
        <f t="shared" si="33"/>
        <v>0</v>
      </c>
      <c r="DS38" s="5">
        <f ca="1">IF('Demand adjustments for Covid'!$F$9="Yes",IF(DR38=0,DQ38,((SUM(DR$4:DR38)-1)*$EE$8)+'Demand adjustments for Covid'!F$13),'Demand background (hide)'!DO38)</f>
        <v>14765</v>
      </c>
      <c r="DT38" s="5">
        <f ca="1">IF('Demand adjustments for Covid'!$F$9="Yes",IF(OR(AND(DN38&gt;='Demand adjustments for Covid'!$F$12,DN38&lt;'Demand adjustments for Covid'!$F$17),DR38=1),DS38+3,DP38),'Demand background (hide)'!DP38)</f>
        <v>15657.95</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16157.95</v>
      </c>
    </row>
    <row r="39" spans="1:128" s="5" customFormat="1" x14ac:dyDescent="0.2">
      <c r="A39" s="5">
        <f t="shared" ca="1" si="32"/>
        <v>0</v>
      </c>
      <c r="B39" s="5">
        <f ca="1">COUNTBLANK(OFFSET(Demand!$I48,0,(COLUMN(A36)-1)*5,1,1))</f>
        <v>0</v>
      </c>
      <c r="C39" s="5">
        <f ca="1">COUNTBLANK(OFFSET(Demand!$I48,0,(COLUMN(B36)-1)*5,1,1))</f>
        <v>0</v>
      </c>
      <c r="D39" s="5">
        <f ca="1">COUNTBLANK(OFFSET(Demand!$I48,0,(COLUMN(C36)-1)*5,1,1))</f>
        <v>0</v>
      </c>
      <c r="E39" s="5">
        <f ca="1">COUNTBLANK(OFFSET(Demand!$I48,0,(COLUMN(D36)-1)*5,1,1))</f>
        <v>0</v>
      </c>
      <c r="F39" s="5">
        <f ca="1">COUNTBLANK(OFFSET(Demand!$I48,0,(COLUMN(E36)-1)*5,1,1))</f>
        <v>0</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6900</v>
      </c>
      <c r="O39" s="5">
        <f ca="1">SUM(OFFSET(Demand!$E48,0,(COLUMN(B36)-1)*5,1,3))*O$2</f>
        <v>5280</v>
      </c>
      <c r="P39" s="5">
        <f ca="1">SUM(OFFSET(Demand!$E48,0,(COLUMN(C36)-1)*5,1,3))*P$2</f>
        <v>1710</v>
      </c>
      <c r="Q39" s="5">
        <f ca="1">SUM(OFFSET(Demand!$E48,0,(COLUMN(D36)-1)*5,1,3))*Q$2</f>
        <v>780</v>
      </c>
      <c r="R39" s="5">
        <f ca="1">SUM(OFFSET(Demand!$E48,0,(COLUMN(E36)-1)*5,1,3))*R$2</f>
        <v>1</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14671</v>
      </c>
      <c r="Y39" s="5">
        <f t="shared" ca="1" si="5"/>
        <v>14671</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14671</v>
      </c>
      <c r="AM39" s="5">
        <f t="shared" ca="1" si="9"/>
        <v>0</v>
      </c>
      <c r="AN39" s="5" t="str">
        <f>IF(Demand!BE48="Yes","Yes","")</f>
        <v/>
      </c>
      <c r="AP39" s="36" t="str">
        <f ca="1">Demand!B48</f>
        <v xml:space="preserve"> </v>
      </c>
      <c r="AQ39" s="5" t="str">
        <f ca="1">IF(TEXT(Demand!D48,"MMM")&lt;&gt;TEXT(Demand!D47,"MMM"),TEXT(Demand!D48,"MMM"),"")</f>
        <v>Dec</v>
      </c>
      <c r="AT39" s="5">
        <f t="shared" ca="1" si="12"/>
        <v>314</v>
      </c>
      <c r="BQ39">
        <f ca="1">IF($AN39="",OFFSET(Demand!$A$13,ROW(A36)-1,4+((QUOTIENT(COLUMN(BQ$2)-69,3))*5)+MOD(COLUMN(BQ$2),3),1,1),"")</f>
        <v>6</v>
      </c>
      <c r="BR39">
        <f ca="1">IF($AN39="",OFFSET(Demand!$A$13,ROW(B36)-1,4+((QUOTIENT(COLUMN(BR$2)-69,3))*5)+MOD(COLUMN(BR$2),3),1,1),"")</f>
        <v>353</v>
      </c>
      <c r="BS39">
        <f ca="1">IF($AN39="",OFFSET(Demand!$A$13,ROW(C36)-1,4+((QUOTIENT(COLUMN(BS$2)-69,3))*5)+MOD(COLUMN(BS$2),3),1,1),"")</f>
        <v>101</v>
      </c>
      <c r="BT39">
        <f ca="1">IF($AN39="",OFFSET(Demand!$A$13,ROW(D36)-1,4+((QUOTIENT(COLUMN(BT$2)-69,3))*5)+MOD(COLUMN(BT$2),3),1,1),"")</f>
        <v>50</v>
      </c>
      <c r="BU39">
        <f ca="1">IF($AN39="",OFFSET(Demand!$A$13,ROW(E36)-1,4+((QUOTIENT(COLUMN(BU$2)-69,3))*5)+MOD(COLUMN(BU$2),3),1,1),"")</f>
        <v>239</v>
      </c>
      <c r="BV39">
        <f ca="1">IF($AN39="",OFFSET(Demand!$A$13,ROW(F36)-1,4+((QUOTIENT(COLUMN(BV$2)-69,3))*5)+MOD(COLUMN(BV$2),3),1,1),"")</f>
        <v>63</v>
      </c>
      <c r="BW39">
        <f ca="1">IF($AN39="",OFFSET(Demand!$A$13,ROW(G36)-1,4+((QUOTIENT(COLUMN(BW$2)-69,3))*5)+MOD(COLUMN(BW$2),3),1,1),"")</f>
        <v>50</v>
      </c>
      <c r="BX39">
        <f ca="1">IF($AN39="",OFFSET(Demand!$A$13,ROW(H36)-1,4+((QUOTIENT(COLUMN(BX$2)-69,3))*5)+MOD(COLUMN(BX$2),3),1,1),"")</f>
        <v>0</v>
      </c>
      <c r="BY39">
        <f ca="1">IF($AN39="",OFFSET(Demand!$A$13,ROW(I36)-1,4+((QUOTIENT(COLUMN(BY$2)-69,3))*5)+MOD(COLUMN(BY$2),3),1,1),"")</f>
        <v>7</v>
      </c>
      <c r="BZ39">
        <f ca="1">IF($AN39="",OFFSET(Demand!$A$13,ROW(J36)-1,4+((QUOTIENT(COLUMN(BZ$2)-69,3))*5)+MOD(COLUMN(BZ$2),3),1,1),"")</f>
        <v>11</v>
      </c>
      <c r="CA39">
        <f ca="1">IF($AN39="",OFFSET(Demand!$A$13,ROW(K36)-1,4+((QUOTIENT(COLUMN(CA$2)-69,3))*5)+MOD(COLUMN(CA$2),3),1,1),"")</f>
        <v>7</v>
      </c>
      <c r="CB39">
        <f ca="1">IF($AN39="",OFFSET(Demand!$A$13,ROW(L36)-1,4+((QUOTIENT(COLUMN(CB$2)-69,3))*5)+MOD(COLUMN(CB$2),3),1,1),"")</f>
        <v>8</v>
      </c>
      <c r="CC39">
        <f ca="1">IF($AN39="",OFFSET(Demand!$A$13,ROW(M36)-1,4+((QUOTIENT(COLUMN(CC$2)-69,3))*5)+MOD(COLUMN(CC$2),3),1,1),"")</f>
        <v>0</v>
      </c>
      <c r="CD39">
        <f ca="1">IF($AN39="",OFFSET(Demand!$A$13,ROW(N36)-1,4+((QUOTIENT(COLUMN(CD$2)-69,3))*5)+MOD(COLUMN(CD$2),3),1,1),"")</f>
        <v>1</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f ca="1">VLOOKUP(IF($DM39&lt;53,$DM39,52),'Summary Calculations (hide)'!$D$15:$F$67,2,0)</f>
        <v>14765</v>
      </c>
      <c r="DP39" s="5">
        <f ca="1">VLOOKUP(IF($DM39&lt;53,$DM39,52),'Summary Calculations (hide)'!$D$15:$F$67,3,0)</f>
        <v>15657.95</v>
      </c>
      <c r="DQ39" s="5">
        <f ca="1">IF(AND(DN39&gt;='Demand adjustments for Covid'!$F$12,DN39&lt;'Demand adjustments for Covid'!$F$17),'Demand adjustments for Covid'!$F$13,DO39)</f>
        <v>14765</v>
      </c>
      <c r="DR39" s="5">
        <f t="shared" si="33"/>
        <v>0</v>
      </c>
      <c r="DS39" s="5">
        <f ca="1">IF('Demand adjustments for Covid'!$F$9="Yes",IF(DR39=0,DQ39,((SUM(DR$4:DR39)-1)*$EE$8)+'Demand adjustments for Covid'!F$13),'Demand background (hide)'!DO39)</f>
        <v>14765</v>
      </c>
      <c r="DT39" s="5">
        <f ca="1">IF('Demand adjustments for Covid'!$F$9="Yes",IF(OR(AND(DN39&gt;='Demand adjustments for Covid'!$F$12,DN39&lt;'Demand adjustments for Covid'!$F$17),DR39=1),DS39+3,DP39),'Demand background (hide)'!DP39)</f>
        <v>15657.95</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16157.95</v>
      </c>
    </row>
    <row r="40" spans="1:128" s="5" customFormat="1" x14ac:dyDescent="0.2">
      <c r="A40" s="5">
        <f t="shared" ca="1" si="32"/>
        <v>0</v>
      </c>
      <c r="B40" s="5">
        <f ca="1">COUNTBLANK(OFFSET(Demand!$I49,0,(COLUMN(A37)-1)*5,1,1))</f>
        <v>0</v>
      </c>
      <c r="C40" s="5">
        <f ca="1">COUNTBLANK(OFFSET(Demand!$I49,0,(COLUMN(B37)-1)*5,1,1))</f>
        <v>0</v>
      </c>
      <c r="D40" s="5">
        <f ca="1">COUNTBLANK(OFFSET(Demand!$I49,0,(COLUMN(C37)-1)*5,1,1))</f>
        <v>0</v>
      </c>
      <c r="E40" s="5">
        <f ca="1">COUNTBLANK(OFFSET(Demand!$I49,0,(COLUMN(D37)-1)*5,1,1))</f>
        <v>0</v>
      </c>
      <c r="F40" s="5">
        <f ca="1">COUNTBLANK(OFFSET(Demand!$I49,0,(COLUMN(E37)-1)*5,1,1))</f>
        <v>0</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6090</v>
      </c>
      <c r="O40" s="5">
        <f ca="1">SUM(OFFSET(Demand!$E49,0,(COLUMN(B37)-1)*5,1,3))*O$2</f>
        <v>5145</v>
      </c>
      <c r="P40" s="5">
        <f ca="1">SUM(OFFSET(Demand!$E49,0,(COLUMN(C37)-1)*5,1,3))*P$2</f>
        <v>1860</v>
      </c>
      <c r="Q40" s="5">
        <f ca="1">SUM(OFFSET(Demand!$E49,0,(COLUMN(D37)-1)*5,1,3))*Q$2</f>
        <v>810</v>
      </c>
      <c r="R40" s="5">
        <f ca="1">SUM(OFFSET(Demand!$E49,0,(COLUMN(E37)-1)*5,1,3))*R$2</f>
        <v>2</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13907</v>
      </c>
      <c r="Y40" s="5">
        <f t="shared" ca="1" si="5"/>
        <v>13907</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13907</v>
      </c>
      <c r="AM40" s="5">
        <f t="shared" ca="1" si="9"/>
        <v>0</v>
      </c>
      <c r="AN40" s="5" t="str">
        <f>IF(Demand!BE49="Yes","Yes","")</f>
        <v/>
      </c>
      <c r="AP40" s="36" t="str">
        <f ca="1">Demand!B49</f>
        <v xml:space="preserve"> </v>
      </c>
      <c r="AQ40" s="5" t="str">
        <f ca="1">IF(TEXT(Demand!D49,"MMM")&lt;&gt;TEXT(Demand!D48,"MMM"),TEXT(Demand!D49,"MMM"),"")</f>
        <v/>
      </c>
      <c r="AT40" s="5">
        <f t="shared" ca="1" si="12"/>
        <v>764</v>
      </c>
      <c r="BQ40">
        <f ca="1">IF($AN40="",OFFSET(Demand!$A$13,ROW(A37)-1,4+((QUOTIENT(COLUMN(BQ$2)-69,3))*5)+MOD(COLUMN(BQ$2),3),1,1),"")</f>
        <v>7</v>
      </c>
      <c r="BR40">
        <f ca="1">IF($AN40="",OFFSET(Demand!$A$13,ROW(B37)-1,4+((QUOTIENT(COLUMN(BR$2)-69,3))*5)+MOD(COLUMN(BR$2),3),1,1),"")</f>
        <v>312</v>
      </c>
      <c r="BS40">
        <f ca="1">IF($AN40="",OFFSET(Demand!$A$13,ROW(C37)-1,4+((QUOTIENT(COLUMN(BS$2)-69,3))*5)+MOD(COLUMN(BS$2),3),1,1),"")</f>
        <v>87</v>
      </c>
      <c r="BT40">
        <f ca="1">IF($AN40="",OFFSET(Demand!$A$13,ROW(D37)-1,4+((QUOTIENT(COLUMN(BT$2)-69,3))*5)+MOD(COLUMN(BT$2),3),1,1),"")</f>
        <v>61</v>
      </c>
      <c r="BU40">
        <f ca="1">IF($AN40="",OFFSET(Demand!$A$13,ROW(E37)-1,4+((QUOTIENT(COLUMN(BU$2)-69,3))*5)+MOD(COLUMN(BU$2),3),1,1),"")</f>
        <v>224</v>
      </c>
      <c r="BV40">
        <f ca="1">IF($AN40="",OFFSET(Demand!$A$13,ROW(F37)-1,4+((QUOTIENT(COLUMN(BV$2)-69,3))*5)+MOD(COLUMN(BV$2),3),1,1),"")</f>
        <v>58</v>
      </c>
      <c r="BW40">
        <f ca="1">IF($AN40="",OFFSET(Demand!$A$13,ROW(G37)-1,4+((QUOTIENT(COLUMN(BW$2)-69,3))*5)+MOD(COLUMN(BW$2),3),1,1),"")</f>
        <v>61</v>
      </c>
      <c r="BX40">
        <f ca="1">IF($AN40="",OFFSET(Demand!$A$13,ROW(H37)-1,4+((QUOTIENT(COLUMN(BX$2)-69,3))*5)+MOD(COLUMN(BX$2),3),1,1),"")</f>
        <v>0</v>
      </c>
      <c r="BY40">
        <f ca="1">IF($AN40="",OFFSET(Demand!$A$13,ROW(I37)-1,4+((QUOTIENT(COLUMN(BY$2)-69,3))*5)+MOD(COLUMN(BY$2),3),1,1),"")</f>
        <v>1</v>
      </c>
      <c r="BZ40">
        <f ca="1">IF($AN40="",OFFSET(Demand!$A$13,ROW(J37)-1,4+((QUOTIENT(COLUMN(BZ$2)-69,3))*5)+MOD(COLUMN(BZ$2),3),1,1),"")</f>
        <v>12</v>
      </c>
      <c r="CA40">
        <f ca="1">IF($AN40="",OFFSET(Demand!$A$13,ROW(K37)-1,4+((QUOTIENT(COLUMN(CA$2)-69,3))*5)+MOD(COLUMN(CA$2),3),1,1),"")</f>
        <v>7</v>
      </c>
      <c r="CB40">
        <f ca="1">IF($AN40="",OFFSET(Demand!$A$13,ROW(L37)-1,4+((QUOTIENT(COLUMN(CB$2)-69,3))*5)+MOD(COLUMN(CB$2),3),1,1),"")</f>
        <v>8</v>
      </c>
      <c r="CC40">
        <f ca="1">IF($AN40="",OFFSET(Demand!$A$13,ROW(M37)-1,4+((QUOTIENT(COLUMN(CC$2)-69,3))*5)+MOD(COLUMN(CC$2),3),1,1),"")</f>
        <v>0</v>
      </c>
      <c r="CD40">
        <f ca="1">IF($AN40="",OFFSET(Demand!$A$13,ROW(N37)-1,4+((QUOTIENT(COLUMN(CD$2)-69,3))*5)+MOD(COLUMN(CD$2),3),1,1),"")</f>
        <v>2</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f ca="1">VLOOKUP(IF($DM40&lt;53,$DM40,52),'Summary Calculations (hide)'!$D$15:$F$67,2,0)</f>
        <v>14765</v>
      </c>
      <c r="DP40" s="5">
        <f ca="1">VLOOKUP(IF($DM40&lt;53,$DM40,52),'Summary Calculations (hide)'!$D$15:$F$67,3,0)</f>
        <v>15657.95</v>
      </c>
      <c r="DQ40" s="5">
        <f ca="1">IF(AND(DN40&gt;='Demand adjustments for Covid'!$F$12,DN40&lt;'Demand adjustments for Covid'!$F$17),'Demand adjustments for Covid'!$F$13,DO40)</f>
        <v>14765</v>
      </c>
      <c r="DR40" s="5">
        <f t="shared" si="33"/>
        <v>0</v>
      </c>
      <c r="DS40" s="5">
        <f ca="1">IF('Demand adjustments for Covid'!$F$9="Yes",IF(DR40=0,DQ40,((SUM(DR$4:DR40)-1)*$EE$8)+'Demand adjustments for Covid'!F$13),'Demand background (hide)'!DO40)</f>
        <v>14765</v>
      </c>
      <c r="DT40" s="5">
        <f ca="1">IF('Demand adjustments for Covid'!$F$9="Yes",IF(OR(AND(DN40&gt;='Demand adjustments for Covid'!$F$12,DN40&lt;'Demand adjustments for Covid'!$F$17),DR40=1),DS40+3,DP40),'Demand background (hide)'!DP40)</f>
        <v>15657.95</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16157.95</v>
      </c>
    </row>
    <row r="41" spans="1:128" s="5" customFormat="1" x14ac:dyDescent="0.2">
      <c r="A41" s="5">
        <f t="shared" ca="1" si="32"/>
        <v>1</v>
      </c>
      <c r="B41" s="5">
        <f ca="1">COUNTBLANK(OFFSET(Demand!$I50,0,(COLUMN(A38)-1)*5,1,1))</f>
        <v>0</v>
      </c>
      <c r="C41" s="5">
        <f ca="1">COUNTBLANK(OFFSET(Demand!$I50,0,(COLUMN(B38)-1)*5,1,1))</f>
        <v>0</v>
      </c>
      <c r="D41" s="5">
        <f ca="1">COUNTBLANK(OFFSET(Demand!$I50,0,(COLUMN(C38)-1)*5,1,1))</f>
        <v>0</v>
      </c>
      <c r="E41" s="5">
        <f ca="1">COUNTBLANK(OFFSET(Demand!$I50,0,(COLUMN(D38)-1)*5,1,1))</f>
        <v>0</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7065</v>
      </c>
      <c r="O41" s="5">
        <f ca="1">SUM(OFFSET(Demand!$E50,0,(COLUMN(B38)-1)*5,1,3))*O$2</f>
        <v>5310</v>
      </c>
      <c r="P41" s="5">
        <f ca="1">SUM(OFFSET(Demand!$E50,0,(COLUMN(C38)-1)*5,1,3))*P$2</f>
        <v>2070</v>
      </c>
      <c r="Q41" s="5">
        <f ca="1">SUM(OFFSET(Demand!$E50,0,(COLUMN(D38)-1)*5,1,3))*Q$2</f>
        <v>840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15285</v>
      </c>
      <c r="Y41" s="5">
        <f t="shared" ca="1" si="5"/>
        <v>15285</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15285</v>
      </c>
      <c r="AM41" s="5">
        <f t="shared" ca="1" si="9"/>
        <v>0</v>
      </c>
      <c r="AN41" s="5" t="str">
        <f>IF(Demand!BE50="Yes","Yes","")</f>
        <v/>
      </c>
      <c r="AP41" s="36" t="str">
        <f ca="1">Demand!B50</f>
        <v xml:space="preserve"> </v>
      </c>
      <c r="AQ41" s="5" t="str">
        <f ca="1">IF(TEXT(Demand!D50,"MMM")&lt;&gt;TEXT(Demand!D49,"MMM"),TEXT(Demand!D50,"MMM"),"")</f>
        <v/>
      </c>
      <c r="AT41" s="5">
        <f t="shared" ca="1" si="12"/>
        <v>1378</v>
      </c>
      <c r="BQ41">
        <f ca="1">IF($AN41="",OFFSET(Demand!$A$13,ROW(A38)-1,4+((QUOTIENT(COLUMN(BQ$2)-69,3))*5)+MOD(COLUMN(BQ$2),3),1,1),"")</f>
        <v>16</v>
      </c>
      <c r="BR41">
        <f ca="1">IF($AN41="",OFFSET(Demand!$A$13,ROW(B38)-1,4+((QUOTIENT(COLUMN(BR$2)-69,3))*5)+MOD(COLUMN(BR$2),3),1,1),"")</f>
        <v>366</v>
      </c>
      <c r="BS41">
        <f ca="1">IF($AN41="",OFFSET(Demand!$A$13,ROW(C38)-1,4+((QUOTIENT(COLUMN(BS$2)-69,3))*5)+MOD(COLUMN(BS$2),3),1,1),"")</f>
        <v>89</v>
      </c>
      <c r="BT41">
        <f ca="1">IF($AN41="",OFFSET(Demand!$A$13,ROW(D38)-1,4+((QUOTIENT(COLUMN(BT$2)-69,3))*5)+MOD(COLUMN(BT$2),3),1,1),"")</f>
        <v>59</v>
      </c>
      <c r="BU41">
        <f ca="1">IF($AN41="",OFFSET(Demand!$A$13,ROW(E38)-1,4+((QUOTIENT(COLUMN(BU$2)-69,3))*5)+MOD(COLUMN(BU$2),3),1,1),"")</f>
        <v>243</v>
      </c>
      <c r="BV41">
        <f ca="1">IF($AN41="",OFFSET(Demand!$A$13,ROW(F38)-1,4+((QUOTIENT(COLUMN(BV$2)-69,3))*5)+MOD(COLUMN(BV$2),3),1,1),"")</f>
        <v>52</v>
      </c>
      <c r="BW41">
        <f ca="1">IF($AN41="",OFFSET(Demand!$A$13,ROW(G38)-1,4+((QUOTIENT(COLUMN(BW$2)-69,3))*5)+MOD(COLUMN(BW$2),3),1,1),"")</f>
        <v>59</v>
      </c>
      <c r="BX41">
        <f ca="1">IF($AN41="",OFFSET(Demand!$A$13,ROW(H38)-1,4+((QUOTIENT(COLUMN(BX$2)-69,3))*5)+MOD(COLUMN(BX$2),3),1,1),"")</f>
        <v>0</v>
      </c>
      <c r="BY41">
        <f ca="1">IF($AN41="",OFFSET(Demand!$A$13,ROW(I38)-1,4+((QUOTIENT(COLUMN(BY$2)-69,3))*5)+MOD(COLUMN(BY$2),3),1,1),"")</f>
        <v>10</v>
      </c>
      <c r="BZ41">
        <f ca="1">IF($AN41="",OFFSET(Demand!$A$13,ROW(J38)-1,4+((QUOTIENT(COLUMN(BZ$2)-69,3))*5)+MOD(COLUMN(BZ$2),3),1,1),"")</f>
        <v>19</v>
      </c>
      <c r="CA41">
        <f ca="1">IF($AN41="",OFFSET(Demand!$A$13,ROW(K38)-1,4+((QUOTIENT(COLUMN(CA$2)-69,3))*5)+MOD(COLUMN(CA$2),3),1,1),"")</f>
        <v>1</v>
      </c>
      <c r="CB41">
        <f ca="1">IF($AN41="",OFFSET(Demand!$A$13,ROW(L38)-1,4+((QUOTIENT(COLUMN(CB$2)-69,3))*5)+MOD(COLUMN(CB$2),3),1,1),"")</f>
        <v>8</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f ca="1">VLOOKUP(IF($DM41&lt;53,$DM41,52),'Summary Calculations (hide)'!$D$15:$F$67,2,0)</f>
        <v>14765</v>
      </c>
      <c r="DP41" s="5">
        <f ca="1">VLOOKUP(IF($DM41&lt;53,$DM41,52),'Summary Calculations (hide)'!$D$15:$F$67,3,0)</f>
        <v>15657.95</v>
      </c>
      <c r="DQ41" s="5">
        <f ca="1">IF(AND(DN41&gt;='Demand adjustments for Covid'!$F$12,DN41&lt;'Demand adjustments for Covid'!$F$17),'Demand adjustments for Covid'!$F$13,DO41)</f>
        <v>14765</v>
      </c>
      <c r="DR41" s="5">
        <f t="shared" si="33"/>
        <v>0</v>
      </c>
      <c r="DS41" s="5">
        <f ca="1">IF('Demand adjustments for Covid'!$F$9="Yes",IF(DR41=0,DQ41,((SUM(DR$4:DR41)-1)*$EE$8)+'Demand adjustments for Covid'!F$13),'Demand background (hide)'!DO41)</f>
        <v>14765</v>
      </c>
      <c r="DT41" s="5">
        <f ca="1">IF('Demand adjustments for Covid'!$F$9="Yes",IF(OR(AND(DN41&gt;='Demand adjustments for Covid'!$F$12,DN41&lt;'Demand adjustments for Covid'!$F$17),DR41=1),DS41+3,DP41),'Demand background (hide)'!DP41)</f>
        <v>15657.95</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15657.95</v>
      </c>
    </row>
    <row r="42" spans="1:128" s="5" customFormat="1" x14ac:dyDescent="0.2">
      <c r="A42" s="5">
        <f t="shared" ca="1" si="32"/>
        <v>1</v>
      </c>
      <c r="B42" s="5">
        <f ca="1">COUNTBLANK(OFFSET(Demand!$I51,0,(COLUMN(A39)-1)*5,1,1))</f>
        <v>0</v>
      </c>
      <c r="C42" s="5">
        <f ca="1">COUNTBLANK(OFFSET(Demand!$I51,0,(COLUMN(B39)-1)*5,1,1))</f>
        <v>0</v>
      </c>
      <c r="D42" s="5">
        <f ca="1">COUNTBLANK(OFFSET(Demand!$I51,0,(COLUMN(C39)-1)*5,1,1))</f>
        <v>0</v>
      </c>
      <c r="E42" s="5">
        <f ca="1">COUNTBLANK(OFFSET(Demand!$I51,0,(COLUMN(D39)-1)*5,1,1))</f>
        <v>0</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6375</v>
      </c>
      <c r="O42" s="5">
        <f ca="1">SUM(OFFSET(Demand!$E51,0,(COLUMN(B39)-1)*5,1,3))*O$2</f>
        <v>5295</v>
      </c>
      <c r="P42" s="5">
        <f ca="1">SUM(OFFSET(Demand!$E51,0,(COLUMN(C39)-1)*5,1,3))*P$2</f>
        <v>1560</v>
      </c>
      <c r="Q42" s="5">
        <f ca="1">SUM(OFFSET(Demand!$E51,0,(COLUMN(D39)-1)*5,1,3))*Q$2</f>
        <v>810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14040</v>
      </c>
      <c r="Y42" s="5">
        <f t="shared" ca="1" si="5"/>
        <v>14040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14040</v>
      </c>
      <c r="AM42" s="5">
        <f t="shared" ca="1" si="9"/>
        <v>0</v>
      </c>
      <c r="AN42" s="5" t="str">
        <f>IF(Demand!BE51="Yes","Yes","")</f>
        <v/>
      </c>
      <c r="AP42" s="36" t="str">
        <f ca="1">Demand!B51</f>
        <v xml:space="preserve"> </v>
      </c>
      <c r="AQ42" s="5" t="str">
        <f ca="1">IF(TEXT(Demand!D51,"MMM")&lt;&gt;TEXT(Demand!D50,"MMM"),TEXT(Demand!D51,"MMM"),"")</f>
        <v/>
      </c>
      <c r="AT42" s="5">
        <f t="shared" ca="1" si="12"/>
        <v>1245</v>
      </c>
      <c r="BQ42">
        <f ca="1">IF($AN42="",OFFSET(Demand!$A$13,ROW(A39)-1,4+((QUOTIENT(COLUMN(BQ$2)-69,3))*5)+MOD(COLUMN(BQ$2),3),1,1),"")</f>
        <v>6</v>
      </c>
      <c r="BR42">
        <f ca="1">IF($AN42="",OFFSET(Demand!$A$13,ROW(B39)-1,4+((QUOTIENT(COLUMN(BR$2)-69,3))*5)+MOD(COLUMN(BR$2),3),1,1),"")</f>
        <v>324</v>
      </c>
      <c r="BS42">
        <f ca="1">IF($AN42="",OFFSET(Demand!$A$13,ROW(C39)-1,4+((QUOTIENT(COLUMN(BS$2)-69,3))*5)+MOD(COLUMN(BS$2),3),1,1),"")</f>
        <v>95</v>
      </c>
      <c r="BT42">
        <f ca="1">IF($AN42="",OFFSET(Demand!$A$13,ROW(D39)-1,4+((QUOTIENT(COLUMN(BT$2)-69,3))*5)+MOD(COLUMN(BT$2),3),1,1),"")</f>
        <v>49</v>
      </c>
      <c r="BU42">
        <f ca="1">IF($AN42="",OFFSET(Demand!$A$13,ROW(E39)-1,4+((QUOTIENT(COLUMN(BU$2)-69,3))*5)+MOD(COLUMN(BU$2),3),1,1),"")</f>
        <v>243</v>
      </c>
      <c r="BV42">
        <f ca="1">IF($AN42="",OFFSET(Demand!$A$13,ROW(F39)-1,4+((QUOTIENT(COLUMN(BV$2)-69,3))*5)+MOD(COLUMN(BV$2),3),1,1),"")</f>
        <v>61</v>
      </c>
      <c r="BW42">
        <f ca="1">IF($AN42="",OFFSET(Demand!$A$13,ROW(G39)-1,4+((QUOTIENT(COLUMN(BW$2)-69,3))*5)+MOD(COLUMN(BW$2),3),1,1),"")</f>
        <v>49</v>
      </c>
      <c r="BX42">
        <f ca="1">IF($AN42="",OFFSET(Demand!$A$13,ROW(H39)-1,4+((QUOTIENT(COLUMN(BX$2)-69,3))*5)+MOD(COLUMN(BX$2),3),1,1),"")</f>
        <v>0</v>
      </c>
      <c r="BY42">
        <f ca="1">IF($AN42="",OFFSET(Demand!$A$13,ROW(I39)-1,4+((QUOTIENT(COLUMN(BY$2)-69,3))*5)+MOD(COLUMN(BY$2),3),1,1),"")</f>
        <v>3</v>
      </c>
      <c r="BZ42">
        <f ca="1">IF($AN42="",OFFSET(Demand!$A$13,ROW(J39)-1,4+((QUOTIENT(COLUMN(BZ$2)-69,3))*5)+MOD(COLUMN(BZ$2),3),1,1),"")</f>
        <v>18</v>
      </c>
      <c r="CA42">
        <f ca="1">IF($AN42="",OFFSET(Demand!$A$13,ROW(K39)-1,4+((QUOTIENT(COLUMN(CA$2)-69,3))*5)+MOD(COLUMN(CA$2),3),1,1),"")</f>
        <v>1</v>
      </c>
      <c r="CB42">
        <f ca="1">IF($AN42="",OFFSET(Demand!$A$13,ROW(L39)-1,4+((QUOTIENT(COLUMN(CB$2)-69,3))*5)+MOD(COLUMN(CB$2),3),1,1),"")</f>
        <v>8</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f ca="1">VLOOKUP(IF($DM42&lt;53,$DM42,52),'Summary Calculations (hide)'!$D$15:$F$67,2,0)</f>
        <v>14765</v>
      </c>
      <c r="DP42" s="5">
        <f ca="1">VLOOKUP(IF($DM42&lt;53,$DM42,52),'Summary Calculations (hide)'!$D$15:$F$67,3,0)</f>
        <v>15657.95</v>
      </c>
      <c r="DQ42" s="5">
        <f ca="1">IF(AND(DN42&gt;='Demand adjustments for Covid'!$F$12,DN42&lt;'Demand adjustments for Covid'!$F$17),'Demand adjustments for Covid'!$F$13,DO42)</f>
        <v>14765</v>
      </c>
      <c r="DR42" s="5">
        <f t="shared" si="33"/>
        <v>0</v>
      </c>
      <c r="DS42" s="5">
        <f ca="1">IF('Demand adjustments for Covid'!$F$9="Yes",IF(DR42=0,DQ42,((SUM(DR$4:DR42)-1)*$EE$8)+'Demand adjustments for Covid'!F$13),'Demand background (hide)'!DO42)</f>
        <v>14765</v>
      </c>
      <c r="DT42" s="5">
        <f ca="1">IF('Demand adjustments for Covid'!$F$9="Yes",IF(OR(AND(DN42&gt;='Demand adjustments for Covid'!$F$12,DN42&lt;'Demand adjustments for Covid'!$F$17),DR42=1),DS42+3,DP42),'Demand background (hide)'!DP42)</f>
        <v>15657.95</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15657.95</v>
      </c>
    </row>
    <row r="43" spans="1:128" s="5" customFormat="1" x14ac:dyDescent="0.2">
      <c r="A43" s="5">
        <f t="shared" ca="1" si="32"/>
        <v>1</v>
      </c>
      <c r="B43" s="5">
        <f ca="1">COUNTBLANK(OFFSET(Demand!$I52,0,(COLUMN(A40)-1)*5,1,1))</f>
        <v>0</v>
      </c>
      <c r="C43" s="5">
        <f ca="1">COUNTBLANK(OFFSET(Demand!$I52,0,(COLUMN(B40)-1)*5,1,1))</f>
        <v>0</v>
      </c>
      <c r="D43" s="5">
        <f ca="1">COUNTBLANK(OFFSET(Demand!$I52,0,(COLUMN(C40)-1)*5,1,1))</f>
        <v>0</v>
      </c>
      <c r="E43" s="5">
        <f ca="1">COUNTBLANK(OFFSET(Demand!$I52,0,(COLUMN(D40)-1)*5,1,1))</f>
        <v>0</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5595</v>
      </c>
      <c r="O43" s="5">
        <f ca="1">SUM(OFFSET(Demand!$E52,0,(COLUMN(B40)-1)*5,1,3))*O$2</f>
        <v>3810</v>
      </c>
      <c r="P43" s="5">
        <f ca="1">SUM(OFFSET(Demand!$E52,0,(COLUMN(C40)-1)*5,1,3))*P$2</f>
        <v>1110</v>
      </c>
      <c r="Q43" s="5">
        <f ca="1">SUM(OFFSET(Demand!$E52,0,(COLUMN(D40)-1)*5,1,3))*Q$2</f>
        <v>330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10845</v>
      </c>
      <c r="Y43" s="5">
        <f t="shared" ca="1" si="5"/>
        <v>10845</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10845</v>
      </c>
      <c r="AM43" s="5">
        <f t="shared" ca="1" si="9"/>
        <v>0</v>
      </c>
      <c r="AN43" s="5" t="str">
        <f>IF(Demand!BE52="Yes","Yes","")</f>
        <v/>
      </c>
      <c r="AP43" s="36" t="str">
        <f ca="1">Demand!B52</f>
        <v xml:space="preserve"> </v>
      </c>
      <c r="AQ43" s="5" t="str">
        <f ca="1">IF(TEXT(Demand!D52,"MMM")&lt;&gt;TEXT(Demand!D51,"MMM"),TEXT(Demand!D52,"MMM"),"")</f>
        <v/>
      </c>
      <c r="AT43" s="5">
        <f t="shared" ca="1" si="12"/>
        <v>3195</v>
      </c>
      <c r="BQ43">
        <f ca="1">IF($AN43="",OFFSET(Demand!$A$13,ROW(A40)-1,4+((QUOTIENT(COLUMN(BQ$2)-69,3))*5)+MOD(COLUMN(BQ$2),3),1,1),"")</f>
        <v>10</v>
      </c>
      <c r="BR43">
        <f ca="1">IF($AN43="",OFFSET(Demand!$A$13,ROW(B40)-1,4+((QUOTIENT(COLUMN(BR$2)-69,3))*5)+MOD(COLUMN(BR$2),3),1,1),"")</f>
        <v>327</v>
      </c>
      <c r="BS43">
        <f ca="1">IF($AN43="",OFFSET(Demand!$A$13,ROW(C40)-1,4+((QUOTIENT(COLUMN(BS$2)-69,3))*5)+MOD(COLUMN(BS$2),3),1,1),"")</f>
        <v>36</v>
      </c>
      <c r="BT43">
        <f ca="1">IF($AN43="",OFFSET(Demand!$A$13,ROW(D40)-1,4+((QUOTIENT(COLUMN(BT$2)-69,3))*5)+MOD(COLUMN(BT$2),3),1,1),"")</f>
        <v>34</v>
      </c>
      <c r="BU43">
        <f ca="1">IF($AN43="",OFFSET(Demand!$A$13,ROW(E40)-1,4+((QUOTIENT(COLUMN(BU$2)-69,3))*5)+MOD(COLUMN(BU$2),3),1,1),"")</f>
        <v>206</v>
      </c>
      <c r="BV43">
        <f ca="1">IF($AN43="",OFFSET(Demand!$A$13,ROW(F40)-1,4+((QUOTIENT(COLUMN(BV$2)-69,3))*5)+MOD(COLUMN(BV$2),3),1,1),"")</f>
        <v>14</v>
      </c>
      <c r="BW43">
        <f ca="1">IF($AN43="",OFFSET(Demand!$A$13,ROW(G40)-1,4+((QUOTIENT(COLUMN(BW$2)-69,3))*5)+MOD(COLUMN(BW$2),3),1,1),"")</f>
        <v>34</v>
      </c>
      <c r="BX43">
        <f ca="1">IF($AN43="",OFFSET(Demand!$A$13,ROW(H40)-1,4+((QUOTIENT(COLUMN(BX$2)-69,3))*5)+MOD(COLUMN(BX$2),3),1,1),"")</f>
        <v>0</v>
      </c>
      <c r="BY43">
        <f ca="1">IF($AN43="",OFFSET(Demand!$A$13,ROW(I40)-1,4+((QUOTIENT(COLUMN(BY$2)-69,3))*5)+MOD(COLUMN(BY$2),3),1,1),"")</f>
        <v>3</v>
      </c>
      <c r="BZ43">
        <f ca="1">IF($AN43="",OFFSET(Demand!$A$13,ROW(J40)-1,4+((QUOTIENT(COLUMN(BZ$2)-69,3))*5)+MOD(COLUMN(BZ$2),3),1,1),"")</f>
        <v>6</v>
      </c>
      <c r="CA43">
        <f ca="1">IF($AN43="",OFFSET(Demand!$A$13,ROW(K40)-1,4+((QUOTIENT(COLUMN(CA$2)-69,3))*5)+MOD(COLUMN(CA$2),3),1,1),"")</f>
        <v>4</v>
      </c>
      <c r="CB43">
        <f ca="1">IF($AN43="",OFFSET(Demand!$A$13,ROW(L40)-1,4+((QUOTIENT(COLUMN(CB$2)-69,3))*5)+MOD(COLUMN(CB$2),3),1,1),"")</f>
        <v>1</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f ca="1">VLOOKUP(IF($DM43&lt;53,$DM43,52),'Summary Calculations (hide)'!$D$15:$F$67,2,0)</f>
        <v>14765</v>
      </c>
      <c r="DP43" s="5">
        <f ca="1">VLOOKUP(IF($DM43&lt;53,$DM43,52),'Summary Calculations (hide)'!$D$15:$F$67,3,0)</f>
        <v>15657.95</v>
      </c>
      <c r="DQ43" s="5">
        <f ca="1">IF(AND(DN43&gt;='Demand adjustments for Covid'!$F$12,DN43&lt;'Demand adjustments for Covid'!$F$17),'Demand adjustments for Covid'!$F$13,DO43)</f>
        <v>14765</v>
      </c>
      <c r="DR43" s="5">
        <f t="shared" si="33"/>
        <v>0</v>
      </c>
      <c r="DS43" s="5">
        <f ca="1">IF('Demand adjustments for Covid'!$F$9="Yes",IF(DR43=0,DQ43,((SUM(DR$4:DR43)-1)*$EE$8)+'Demand adjustments for Covid'!F$13),'Demand background (hide)'!DO43)</f>
        <v>14765</v>
      </c>
      <c r="DT43" s="5">
        <f ca="1">IF('Demand adjustments for Covid'!$F$9="Yes",IF(OR(AND(DN43&gt;='Demand adjustments for Covid'!$F$12,DN43&lt;'Demand adjustments for Covid'!$F$17),DR43=1),DS43+3,DP43),'Demand background (hide)'!DP43)</f>
        <v>15657.95</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15657.95</v>
      </c>
    </row>
    <row r="44" spans="1:128" s="5" customFormat="1" x14ac:dyDescent="0.2">
      <c r="A44" s="5">
        <f t="shared" ca="1" si="32"/>
        <v>0</v>
      </c>
      <c r="B44" s="5">
        <f ca="1">COUNTBLANK(OFFSET(Demand!$I53,0,(COLUMN(A41)-1)*5,1,1))</f>
        <v>0</v>
      </c>
      <c r="C44" s="5">
        <f ca="1">COUNTBLANK(OFFSET(Demand!$I53,0,(COLUMN(B41)-1)*5,1,1))</f>
        <v>0</v>
      </c>
      <c r="D44" s="5">
        <f ca="1">COUNTBLANK(OFFSET(Demand!$I53,0,(COLUMN(C41)-1)*5,1,1))</f>
        <v>0</v>
      </c>
      <c r="E44" s="5">
        <f ca="1">COUNTBLANK(OFFSET(Demand!$I53,0,(COLUMN(D41)-1)*5,1,1))</f>
        <v>0</v>
      </c>
      <c r="F44" s="5">
        <f ca="1">COUNTBLANK(OFFSET(Demand!$I53,0,(COLUMN(E41)-1)*5,1,1))</f>
        <v>0</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6150</v>
      </c>
      <c r="O44" s="5">
        <f ca="1">SUM(OFFSET(Demand!$E53,0,(COLUMN(B41)-1)*5,1,3))*O$2</f>
        <v>3780</v>
      </c>
      <c r="P44" s="5">
        <f ca="1">SUM(OFFSET(Demand!$E53,0,(COLUMN(C41)-1)*5,1,3))*P$2</f>
        <v>870</v>
      </c>
      <c r="Q44" s="5">
        <f ca="1">SUM(OFFSET(Demand!$E53,0,(COLUMN(D41)-1)*5,1,3))*Q$2</f>
        <v>480</v>
      </c>
      <c r="R44" s="5">
        <f ca="1">SUM(OFFSET(Demand!$E53,0,(COLUMN(E41)-1)*5,1,3))*R$2</f>
        <v>2</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11282</v>
      </c>
      <c r="Y44" s="5">
        <f t="shared" ca="1" si="5"/>
        <v>11282</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11282</v>
      </c>
      <c r="AM44" s="5">
        <f t="shared" ca="1" si="9"/>
        <v>0</v>
      </c>
      <c r="AN44" s="5" t="str">
        <f>IF(Demand!BE53="Yes","Yes","")</f>
        <v/>
      </c>
      <c r="AP44" s="36">
        <f ca="1">Demand!B53</f>
        <v>2019</v>
      </c>
      <c r="AQ44" s="5" t="str">
        <f ca="1">IF(TEXT(Demand!D53,"MMM")&lt;&gt;TEXT(Demand!D52,"MMM"),TEXT(Demand!D53,"MMM"),"")</f>
        <v>Jan</v>
      </c>
      <c r="AT44" s="5">
        <f t="shared" ca="1" si="12"/>
        <v>437</v>
      </c>
      <c r="BQ44">
        <f ca="1">IF($AN44="",OFFSET(Demand!$A$13,ROW(A41)-1,4+((QUOTIENT(COLUMN(BQ$2)-69,3))*5)+MOD(COLUMN(BQ$2),3),1,1),"")</f>
        <v>5</v>
      </c>
      <c r="BR44">
        <f ca="1">IF($AN44="",OFFSET(Demand!$A$13,ROW(B41)-1,4+((QUOTIENT(COLUMN(BR$2)-69,3))*5)+MOD(COLUMN(BR$2),3),1,1),"")</f>
        <v>356</v>
      </c>
      <c r="BS44">
        <f ca="1">IF($AN44="",OFFSET(Demand!$A$13,ROW(C41)-1,4+((QUOTIENT(COLUMN(BS$2)-69,3))*5)+MOD(COLUMN(BS$2),3),1,1),"")</f>
        <v>49</v>
      </c>
      <c r="BT44">
        <f ca="1">IF($AN44="",OFFSET(Demand!$A$13,ROW(D41)-1,4+((QUOTIENT(COLUMN(BT$2)-69,3))*5)+MOD(COLUMN(BT$2),3),1,1),"")</f>
        <v>28</v>
      </c>
      <c r="BU44">
        <f ca="1">IF($AN44="",OFFSET(Demand!$A$13,ROW(E41)-1,4+((QUOTIENT(COLUMN(BU$2)-69,3))*5)+MOD(COLUMN(BU$2),3),1,1),"")</f>
        <v>195</v>
      </c>
      <c r="BV44">
        <f ca="1">IF($AN44="",OFFSET(Demand!$A$13,ROW(F41)-1,4+((QUOTIENT(COLUMN(BV$2)-69,3))*5)+MOD(COLUMN(BV$2),3),1,1),"")</f>
        <v>29</v>
      </c>
      <c r="BW44">
        <f ca="1">IF($AN44="",OFFSET(Demand!$A$13,ROW(G41)-1,4+((QUOTIENT(COLUMN(BW$2)-69,3))*5)+MOD(COLUMN(BW$2),3),1,1),"")</f>
        <v>28</v>
      </c>
      <c r="BX44">
        <f ca="1">IF($AN44="",OFFSET(Demand!$A$13,ROW(H41)-1,4+((QUOTIENT(COLUMN(BX$2)-69,3))*5)+MOD(COLUMN(BX$2),3),1,1),"")</f>
        <v>0</v>
      </c>
      <c r="BY44">
        <f ca="1">IF($AN44="",OFFSET(Demand!$A$13,ROW(I41)-1,4+((QUOTIENT(COLUMN(BY$2)-69,3))*5)+MOD(COLUMN(BY$2),3),1,1),"")</f>
        <v>1</v>
      </c>
      <c r="BZ44">
        <f ca="1">IF($AN44="",OFFSET(Demand!$A$13,ROW(J41)-1,4+((QUOTIENT(COLUMN(BZ$2)-69,3))*5)+MOD(COLUMN(BZ$2),3),1,1),"")</f>
        <v>7</v>
      </c>
      <c r="CA44">
        <f ca="1">IF($AN44="",OFFSET(Demand!$A$13,ROW(K41)-1,4+((QUOTIENT(COLUMN(CA$2)-69,3))*5)+MOD(COLUMN(CA$2),3),1,1),"")</f>
        <v>5</v>
      </c>
      <c r="CB44">
        <f ca="1">IF($AN44="",OFFSET(Demand!$A$13,ROW(L41)-1,4+((QUOTIENT(COLUMN(CB$2)-69,3))*5)+MOD(COLUMN(CB$2),3),1,1),"")</f>
        <v>4</v>
      </c>
      <c r="CC44">
        <f ca="1">IF($AN44="",OFFSET(Demand!$A$13,ROW(M41)-1,4+((QUOTIENT(COLUMN(CC$2)-69,3))*5)+MOD(COLUMN(CC$2),3),1,1),"")</f>
        <v>0</v>
      </c>
      <c r="CD44">
        <f ca="1">IF($AN44="",OFFSET(Demand!$A$13,ROW(N41)-1,4+((QUOTIENT(COLUMN(CD$2)-69,3))*5)+MOD(COLUMN(CD$2),3),1,1),"")</f>
        <v>1</v>
      </c>
      <c r="CE44">
        <f ca="1">IF($AN44="",OFFSET(Demand!$A$13,ROW(O41)-1,4+((QUOTIENT(COLUMN(CE$2)-69,3))*5)+MOD(COLUMN(CE$2),3),1,1),"")</f>
        <v>1</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f ca="1">VLOOKUP(IF($DM44&lt;53,$DM44,52),'Summary Calculations (hide)'!$D$15:$F$67,2,0)</f>
        <v>14765</v>
      </c>
      <c r="DP44" s="5">
        <f ca="1">VLOOKUP(IF($DM44&lt;53,$DM44,52),'Summary Calculations (hide)'!$D$15:$F$67,3,0)</f>
        <v>15657.95</v>
      </c>
      <c r="DQ44" s="5">
        <f ca="1">IF(AND(DN44&gt;='Demand adjustments for Covid'!$F$12,DN44&lt;'Demand adjustments for Covid'!$F$17),'Demand adjustments for Covid'!$F$13,DO44)</f>
        <v>14765</v>
      </c>
      <c r="DR44" s="5">
        <f t="shared" si="33"/>
        <v>0</v>
      </c>
      <c r="DS44" s="5">
        <f ca="1">IF('Demand adjustments for Covid'!$F$9="Yes",IF(DR44=0,DQ44,((SUM(DR$4:DR44)-1)*$EE$8)+'Demand adjustments for Covid'!F$13),'Demand background (hide)'!DO44)</f>
        <v>14765</v>
      </c>
      <c r="DT44" s="5">
        <f ca="1">IF('Demand adjustments for Covid'!$F$9="Yes",IF(OR(AND(DN44&gt;='Demand adjustments for Covid'!$F$12,DN44&lt;'Demand adjustments for Covid'!$F$17),DR44=1),DS44+3,DP44),'Demand background (hide)'!DP44)</f>
        <v>15657.95</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15657.95</v>
      </c>
    </row>
    <row r="45" spans="1:128" s="5" customFormat="1" x14ac:dyDescent="0.2">
      <c r="A45" s="5">
        <f t="shared" ca="1" si="32"/>
        <v>1</v>
      </c>
      <c r="B45" s="5">
        <f ca="1">COUNTBLANK(OFFSET(Demand!$I54,0,(COLUMN(A42)-1)*5,1,1))</f>
        <v>0</v>
      </c>
      <c r="C45" s="5">
        <f ca="1">COUNTBLANK(OFFSET(Demand!$I54,0,(COLUMN(B42)-1)*5,1,1))</f>
        <v>0</v>
      </c>
      <c r="D45" s="5">
        <f ca="1">COUNTBLANK(OFFSET(Demand!$I54,0,(COLUMN(C42)-1)*5,1,1))</f>
        <v>0</v>
      </c>
      <c r="E45" s="5">
        <f ca="1">COUNTBLANK(OFFSET(Demand!$I54,0,(COLUMN(D42)-1)*5,1,1))</f>
        <v>0</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6765</v>
      </c>
      <c r="O45" s="5">
        <f ca="1">SUM(OFFSET(Demand!$E54,0,(COLUMN(B42)-1)*5,1,3))*O$2</f>
        <v>5865</v>
      </c>
      <c r="P45" s="5">
        <f ca="1">SUM(OFFSET(Demand!$E54,0,(COLUMN(C42)-1)*5,1,3))*P$2</f>
        <v>1620</v>
      </c>
      <c r="Q45" s="5">
        <f ca="1">SUM(OFFSET(Demand!$E54,0,(COLUMN(D42)-1)*5,1,3))*Q$2</f>
        <v>510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14760</v>
      </c>
      <c r="Y45" s="5">
        <f t="shared" ca="1" si="5"/>
        <v>14760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14760</v>
      </c>
      <c r="AM45" s="5">
        <f t="shared" ca="1" si="9"/>
        <v>0</v>
      </c>
      <c r="AN45" s="5" t="str">
        <f>IF(Demand!BE54="Yes","Yes","")</f>
        <v/>
      </c>
      <c r="AP45" s="36" t="str">
        <f ca="1">Demand!B54</f>
        <v xml:space="preserve"> </v>
      </c>
      <c r="AQ45" s="5" t="str">
        <f ca="1">IF(TEXT(Demand!D54,"MMM")&lt;&gt;TEXT(Demand!D53,"MMM"),TEXT(Demand!D54,"MMM"),"")</f>
        <v/>
      </c>
      <c r="AT45" s="5">
        <f t="shared" ca="1" si="12"/>
        <v>3478</v>
      </c>
      <c r="BQ45">
        <f ca="1">IF($AN45="",OFFSET(Demand!$A$13,ROW(A42)-1,4+((QUOTIENT(COLUMN(BQ$2)-69,3))*5)+MOD(COLUMN(BQ$2),3),1,1),"")</f>
        <v>8</v>
      </c>
      <c r="BR45">
        <f ca="1">IF($AN45="",OFFSET(Demand!$A$13,ROW(B42)-1,4+((QUOTIENT(COLUMN(BR$2)-69,3))*5)+MOD(COLUMN(BR$2),3),1,1),"")</f>
        <v>340</v>
      </c>
      <c r="BS45">
        <f ca="1">IF($AN45="",OFFSET(Demand!$A$13,ROW(C42)-1,4+((QUOTIENT(COLUMN(BS$2)-69,3))*5)+MOD(COLUMN(BS$2),3),1,1),"")</f>
        <v>103</v>
      </c>
      <c r="BT45">
        <f ca="1">IF($AN45="",OFFSET(Demand!$A$13,ROW(D42)-1,4+((QUOTIENT(COLUMN(BT$2)-69,3))*5)+MOD(COLUMN(BT$2),3),1,1),"")</f>
        <v>47</v>
      </c>
      <c r="BU45">
        <f ca="1">IF($AN45="",OFFSET(Demand!$A$13,ROW(E42)-1,4+((QUOTIENT(COLUMN(BU$2)-69,3))*5)+MOD(COLUMN(BU$2),3),1,1),"")</f>
        <v>283</v>
      </c>
      <c r="BV45">
        <f ca="1">IF($AN45="",OFFSET(Demand!$A$13,ROW(F42)-1,4+((QUOTIENT(COLUMN(BV$2)-69,3))*5)+MOD(COLUMN(BV$2),3),1,1),"")</f>
        <v>61</v>
      </c>
      <c r="BW45">
        <f ca="1">IF($AN45="",OFFSET(Demand!$A$13,ROW(G42)-1,4+((QUOTIENT(COLUMN(BW$2)-69,3))*5)+MOD(COLUMN(BW$2),3),1,1),"")</f>
        <v>47</v>
      </c>
      <c r="BX45">
        <f ca="1">IF($AN45="",OFFSET(Demand!$A$13,ROW(H42)-1,4+((QUOTIENT(COLUMN(BX$2)-69,3))*5)+MOD(COLUMN(BX$2),3),1,1),"")</f>
        <v>3</v>
      </c>
      <c r="BY45">
        <f ca="1">IF($AN45="",OFFSET(Demand!$A$13,ROW(I42)-1,4+((QUOTIENT(COLUMN(BY$2)-69,3))*5)+MOD(COLUMN(BY$2),3),1,1),"")</f>
        <v>4</v>
      </c>
      <c r="BZ45">
        <f ca="1">IF($AN45="",OFFSET(Demand!$A$13,ROW(J42)-1,4+((QUOTIENT(COLUMN(BZ$2)-69,3))*5)+MOD(COLUMN(BZ$2),3),1,1),"")</f>
        <v>7</v>
      </c>
      <c r="CA45">
        <f ca="1">IF($AN45="",OFFSET(Demand!$A$13,ROW(K42)-1,4+((QUOTIENT(COLUMN(CA$2)-69,3))*5)+MOD(COLUMN(CA$2),3),1,1),"")</f>
        <v>5</v>
      </c>
      <c r="CB45">
        <f ca="1">IF($AN45="",OFFSET(Demand!$A$13,ROW(L42)-1,4+((QUOTIENT(COLUMN(CB$2)-69,3))*5)+MOD(COLUMN(CB$2),3),1,1),"")</f>
        <v>5</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f ca="1">VLOOKUP(IF($DM45&lt;53,$DM45,52),'Summary Calculations (hide)'!$D$15:$F$67,2,0)</f>
        <v>14765</v>
      </c>
      <c r="DP45" s="5">
        <f ca="1">VLOOKUP(IF($DM45&lt;53,$DM45,52),'Summary Calculations (hide)'!$D$15:$F$67,3,0)</f>
        <v>15657.95</v>
      </c>
      <c r="DQ45" s="5">
        <f ca="1">IF(AND(DN45&gt;='Demand adjustments for Covid'!$F$12,DN45&lt;'Demand adjustments for Covid'!$F$17),'Demand adjustments for Covid'!$F$13,DO45)</f>
        <v>14765</v>
      </c>
      <c r="DR45" s="5">
        <f t="shared" si="33"/>
        <v>0</v>
      </c>
      <c r="DS45" s="5">
        <f ca="1">IF('Demand adjustments for Covid'!$F$9="Yes",IF(DR45=0,DQ45,((SUM(DR$4:DR45)-1)*$EE$8)+'Demand adjustments for Covid'!F$13),'Demand background (hide)'!DO45)</f>
        <v>14765</v>
      </c>
      <c r="DT45" s="5">
        <f ca="1">IF('Demand adjustments for Covid'!$F$9="Yes",IF(OR(AND(DN45&gt;='Demand adjustments for Covid'!$F$12,DN45&lt;'Demand adjustments for Covid'!$F$17),DR45=1),DS45+3,DP45),'Demand background (hide)'!DP45)</f>
        <v>15657.95</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15657.95</v>
      </c>
    </row>
    <row r="46" spans="1:128" s="5" customFormat="1" x14ac:dyDescent="0.2">
      <c r="A46" s="5">
        <f t="shared" ca="1" si="32"/>
        <v>0</v>
      </c>
      <c r="B46" s="5">
        <f ca="1">COUNTBLANK(OFFSET(Demand!$I55,0,(COLUMN(A43)-1)*5,1,1))</f>
        <v>0</v>
      </c>
      <c r="C46" s="5">
        <f ca="1">COUNTBLANK(OFFSET(Demand!$I55,0,(COLUMN(B43)-1)*5,1,1))</f>
        <v>0</v>
      </c>
      <c r="D46" s="5">
        <f ca="1">COUNTBLANK(OFFSET(Demand!$I55,0,(COLUMN(C43)-1)*5,1,1))</f>
        <v>0</v>
      </c>
      <c r="E46" s="5">
        <f ca="1">COUNTBLANK(OFFSET(Demand!$I55,0,(COLUMN(D43)-1)*5,1,1))</f>
        <v>0</v>
      </c>
      <c r="F46" s="5">
        <f ca="1">COUNTBLANK(OFFSET(Demand!$I55,0,(COLUMN(E43)-1)*5,1,1))</f>
        <v>0</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6780</v>
      </c>
      <c r="O46" s="5">
        <f ca="1">SUM(OFFSET(Demand!$E55,0,(COLUMN(B43)-1)*5,1,3))*O$2</f>
        <v>6030</v>
      </c>
      <c r="P46" s="5">
        <f ca="1">SUM(OFFSET(Demand!$E55,0,(COLUMN(C43)-1)*5,1,3))*P$2</f>
        <v>2340</v>
      </c>
      <c r="Q46" s="5">
        <f ca="1">SUM(OFFSET(Demand!$E55,0,(COLUMN(D43)-1)*5,1,3))*Q$2</f>
        <v>840</v>
      </c>
      <c r="R46" s="5">
        <f ca="1">SUM(OFFSET(Demand!$E55,0,(COLUMN(E43)-1)*5,1,3))*R$2</f>
        <v>2</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15992</v>
      </c>
      <c r="Y46" s="5">
        <f t="shared" ca="1" si="5"/>
        <v>15992</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15992</v>
      </c>
      <c r="AM46" s="5">
        <f t="shared" ca="1" si="9"/>
        <v>0</v>
      </c>
      <c r="AN46" s="5" t="str">
        <f>IF(Demand!BE55="Yes","Yes","")</f>
        <v/>
      </c>
      <c r="AP46" s="36" t="str">
        <f ca="1">Demand!B55</f>
        <v xml:space="preserve"> </v>
      </c>
      <c r="AQ46" s="5" t="str">
        <f ca="1">IF(TEXT(Demand!D55,"MMM")&lt;&gt;TEXT(Demand!D54,"MMM"),TEXT(Demand!D55,"MMM"),"")</f>
        <v/>
      </c>
      <c r="AT46" s="5">
        <f t="shared" ca="1" si="12"/>
        <v>1232</v>
      </c>
      <c r="BQ46">
        <f ca="1">IF($AN46="",OFFSET(Demand!$A$13,ROW(A43)-1,4+((QUOTIENT(COLUMN(BQ$2)-69,3))*5)+MOD(COLUMN(BQ$2),3),1,1),"")</f>
        <v>5</v>
      </c>
      <c r="BR46">
        <f ca="1">IF($AN46="",OFFSET(Demand!$A$13,ROW(B43)-1,4+((QUOTIENT(COLUMN(BR$2)-69,3))*5)+MOD(COLUMN(BR$2),3),1,1),"")</f>
        <v>364</v>
      </c>
      <c r="BS46">
        <f ca="1">IF($AN46="",OFFSET(Demand!$A$13,ROW(C43)-1,4+((QUOTIENT(COLUMN(BS$2)-69,3))*5)+MOD(COLUMN(BS$2),3),1,1),"")</f>
        <v>83</v>
      </c>
      <c r="BT46">
        <f ca="1">IF($AN46="",OFFSET(Demand!$A$13,ROW(D43)-1,4+((QUOTIENT(COLUMN(BT$2)-69,3))*5)+MOD(COLUMN(BT$2),3),1,1),"")</f>
        <v>66</v>
      </c>
      <c r="BU46">
        <f ca="1">IF($AN46="",OFFSET(Demand!$A$13,ROW(E43)-1,4+((QUOTIENT(COLUMN(BU$2)-69,3))*5)+MOD(COLUMN(BU$2),3),1,1),"")</f>
        <v>259</v>
      </c>
      <c r="BV46">
        <f ca="1">IF($AN46="",OFFSET(Demand!$A$13,ROW(F43)-1,4+((QUOTIENT(COLUMN(BV$2)-69,3))*5)+MOD(COLUMN(BV$2),3),1,1),"")</f>
        <v>77</v>
      </c>
      <c r="BW46">
        <f ca="1">IF($AN46="",OFFSET(Demand!$A$13,ROW(G43)-1,4+((QUOTIENT(COLUMN(BW$2)-69,3))*5)+MOD(COLUMN(BW$2),3),1,1),"")</f>
        <v>66</v>
      </c>
      <c r="BX46">
        <f ca="1">IF($AN46="",OFFSET(Demand!$A$13,ROW(H43)-1,4+((QUOTIENT(COLUMN(BX$2)-69,3))*5)+MOD(COLUMN(BX$2),3),1,1),"")</f>
        <v>1</v>
      </c>
      <c r="BY46">
        <f ca="1">IF($AN46="",OFFSET(Demand!$A$13,ROW(I43)-1,4+((QUOTIENT(COLUMN(BY$2)-69,3))*5)+MOD(COLUMN(BY$2),3),1,1),"")</f>
        <v>11</v>
      </c>
      <c r="BZ46">
        <f ca="1">IF($AN46="",OFFSET(Demand!$A$13,ROW(J43)-1,4+((QUOTIENT(COLUMN(BZ$2)-69,3))*5)+MOD(COLUMN(BZ$2),3),1,1),"")</f>
        <v>12</v>
      </c>
      <c r="CA46">
        <f ca="1">IF($AN46="",OFFSET(Demand!$A$13,ROW(K43)-1,4+((QUOTIENT(COLUMN(CA$2)-69,3))*5)+MOD(COLUMN(CA$2),3),1,1),"")</f>
        <v>8</v>
      </c>
      <c r="CB46">
        <f ca="1">IF($AN46="",OFFSET(Demand!$A$13,ROW(L43)-1,4+((QUOTIENT(COLUMN(CB$2)-69,3))*5)+MOD(COLUMN(CB$2),3),1,1),"")</f>
        <v>8</v>
      </c>
      <c r="CC46">
        <f ca="1">IF($AN46="",OFFSET(Demand!$A$13,ROW(M43)-1,4+((QUOTIENT(COLUMN(CC$2)-69,3))*5)+MOD(COLUMN(CC$2),3),1,1),"")</f>
        <v>1</v>
      </c>
      <c r="CD46">
        <f ca="1">IF($AN46="",OFFSET(Demand!$A$13,ROW(N43)-1,4+((QUOTIENT(COLUMN(CD$2)-69,3))*5)+MOD(COLUMN(CD$2),3),1,1),"")</f>
        <v>1</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f ca="1">VLOOKUP(IF($DM46&lt;53,$DM46,52),'Summary Calculations (hide)'!$D$15:$F$67,2,0)</f>
        <v>14765</v>
      </c>
      <c r="DP46" s="5">
        <f ca="1">VLOOKUP(IF($DM46&lt;53,$DM46,52),'Summary Calculations (hide)'!$D$15:$F$67,3,0)</f>
        <v>15657.95</v>
      </c>
      <c r="DQ46" s="5">
        <f ca="1">IF(AND(DN46&gt;='Demand adjustments for Covid'!$F$12,DN46&lt;'Demand adjustments for Covid'!$F$17),'Demand adjustments for Covid'!$F$13,DO46)</f>
        <v>14765</v>
      </c>
      <c r="DR46" s="5">
        <f t="shared" si="33"/>
        <v>0</v>
      </c>
      <c r="DS46" s="5">
        <f ca="1">IF('Demand adjustments for Covid'!$F$9="Yes",IF(DR46=0,DQ46,((SUM(DR$4:DR46)-1)*$EE$8)+'Demand adjustments for Covid'!F$13),'Demand background (hide)'!DO46)</f>
        <v>14765</v>
      </c>
      <c r="DT46" s="5">
        <f ca="1">IF('Demand adjustments for Covid'!$F$9="Yes",IF(OR(AND(DN46&gt;='Demand adjustments for Covid'!$F$12,DN46&lt;'Demand adjustments for Covid'!$F$17),DR46=1),DS46+3,DP46),'Demand background (hide)'!DP46)</f>
        <v>15657.95</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15657.95</v>
      </c>
    </row>
    <row r="47" spans="1:128" s="5" customFormat="1" x14ac:dyDescent="0.2">
      <c r="A47" s="5">
        <f t="shared" ca="1" si="32"/>
        <v>0</v>
      </c>
      <c r="B47" s="5">
        <f ca="1">COUNTBLANK(OFFSET(Demand!$I56,0,(COLUMN(A44)-1)*5,1,1))</f>
        <v>0</v>
      </c>
      <c r="C47" s="5">
        <f ca="1">COUNTBLANK(OFFSET(Demand!$I56,0,(COLUMN(B44)-1)*5,1,1))</f>
        <v>0</v>
      </c>
      <c r="D47" s="5">
        <f ca="1">COUNTBLANK(OFFSET(Demand!$I56,0,(COLUMN(C44)-1)*5,1,1))</f>
        <v>0</v>
      </c>
      <c r="E47" s="5">
        <f ca="1">COUNTBLANK(OFFSET(Demand!$I56,0,(COLUMN(D44)-1)*5,1,1))</f>
        <v>0</v>
      </c>
      <c r="F47" s="5">
        <f ca="1">COUNTBLANK(OFFSET(Demand!$I56,0,(COLUMN(E44)-1)*5,1,1))</f>
        <v>0</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7500</v>
      </c>
      <c r="O47" s="5">
        <f ca="1">SUM(OFFSET(Demand!$E56,0,(COLUMN(B44)-1)*5,1,3))*O$2</f>
        <v>5640</v>
      </c>
      <c r="P47" s="5">
        <f ca="1">SUM(OFFSET(Demand!$E56,0,(COLUMN(C44)-1)*5,1,3))*P$2</f>
        <v>2100</v>
      </c>
      <c r="Q47" s="5">
        <f ca="1">SUM(OFFSET(Demand!$E56,0,(COLUMN(D44)-1)*5,1,3))*Q$2</f>
        <v>960</v>
      </c>
      <c r="R47" s="5">
        <f ca="1">SUM(OFFSET(Demand!$E56,0,(COLUMN(E44)-1)*5,1,3))*R$2</f>
        <v>2</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16202</v>
      </c>
      <c r="Y47" s="5">
        <f t="shared" ca="1" si="5"/>
        <v>16202</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16202</v>
      </c>
      <c r="AM47" s="5">
        <f t="shared" ca="1" si="9"/>
        <v>0</v>
      </c>
      <c r="AN47" s="5" t="str">
        <f>IF(Demand!BE56="Yes","Yes","")</f>
        <v/>
      </c>
      <c r="AP47" s="36" t="str">
        <f ca="1">Demand!B56</f>
        <v xml:space="preserve"> </v>
      </c>
      <c r="AQ47" s="5" t="str">
        <f ca="1">IF(TEXT(Demand!D56,"MMM")&lt;&gt;TEXT(Demand!D55,"MMM"),TEXT(Demand!D56,"MMM"),"")</f>
        <v/>
      </c>
      <c r="AT47" s="5">
        <f t="shared" ca="1" si="12"/>
        <v>210</v>
      </c>
      <c r="BQ47">
        <f ca="1">IF($AN47="",OFFSET(Demand!$A$13,ROW(A44)-1,4+((QUOTIENT(COLUMN(BQ$2)-69,3))*5)+MOD(COLUMN(BQ$2),3),1,1),"")</f>
        <v>3</v>
      </c>
      <c r="BR47">
        <f ca="1">IF($AN47="",OFFSET(Demand!$A$13,ROW(B44)-1,4+((QUOTIENT(COLUMN(BR$2)-69,3))*5)+MOD(COLUMN(BR$2),3),1,1),"")</f>
        <v>393</v>
      </c>
      <c r="BS47">
        <f ca="1">IF($AN47="",OFFSET(Demand!$A$13,ROW(C44)-1,4+((QUOTIENT(COLUMN(BS$2)-69,3))*5)+MOD(COLUMN(BS$2),3),1,1),"")</f>
        <v>104</v>
      </c>
      <c r="BT47">
        <f ca="1">IF($AN47="",OFFSET(Demand!$A$13,ROW(D44)-1,4+((QUOTIENT(COLUMN(BT$2)-69,3))*5)+MOD(COLUMN(BT$2),3),1,1),"")</f>
        <v>65</v>
      </c>
      <c r="BU47">
        <f ca="1">IF($AN47="",OFFSET(Demand!$A$13,ROW(E44)-1,4+((QUOTIENT(COLUMN(BU$2)-69,3))*5)+MOD(COLUMN(BU$2),3),1,1),"")</f>
        <v>248</v>
      </c>
      <c r="BV47">
        <f ca="1">IF($AN47="",OFFSET(Demand!$A$13,ROW(F44)-1,4+((QUOTIENT(COLUMN(BV$2)-69,3))*5)+MOD(COLUMN(BV$2),3),1,1),"")</f>
        <v>63</v>
      </c>
      <c r="BW47">
        <f ca="1">IF($AN47="",OFFSET(Demand!$A$13,ROW(G44)-1,4+((QUOTIENT(COLUMN(BW$2)-69,3))*5)+MOD(COLUMN(BW$2),3),1,1),"")</f>
        <v>65</v>
      </c>
      <c r="BX47">
        <f ca="1">IF($AN47="",OFFSET(Demand!$A$13,ROW(H44)-1,4+((QUOTIENT(COLUMN(BX$2)-69,3))*5)+MOD(COLUMN(BX$2),3),1,1),"")</f>
        <v>0</v>
      </c>
      <c r="BY47">
        <f ca="1">IF($AN47="",OFFSET(Demand!$A$13,ROW(I44)-1,4+((QUOTIENT(COLUMN(BY$2)-69,3))*5)+MOD(COLUMN(BY$2),3),1,1),"")</f>
        <v>5</v>
      </c>
      <c r="BZ47">
        <f ca="1">IF($AN47="",OFFSET(Demand!$A$13,ROW(J44)-1,4+((QUOTIENT(COLUMN(BZ$2)-69,3))*5)+MOD(COLUMN(BZ$2),3),1,1),"")</f>
        <v>16</v>
      </c>
      <c r="CA47">
        <f ca="1">IF($AN47="",OFFSET(Demand!$A$13,ROW(K44)-1,4+((QUOTIENT(COLUMN(CA$2)-69,3))*5)+MOD(COLUMN(CA$2),3),1,1),"")</f>
        <v>7</v>
      </c>
      <c r="CB47">
        <f ca="1">IF($AN47="",OFFSET(Demand!$A$13,ROW(L44)-1,4+((QUOTIENT(COLUMN(CB$2)-69,3))*5)+MOD(COLUMN(CB$2),3),1,1),"")</f>
        <v>9</v>
      </c>
      <c r="CC47">
        <f ca="1">IF($AN47="",OFFSET(Demand!$A$13,ROW(M44)-1,4+((QUOTIENT(COLUMN(CC$2)-69,3))*5)+MOD(COLUMN(CC$2),3),1,1),"")</f>
        <v>0</v>
      </c>
      <c r="CD47">
        <f ca="1">IF($AN47="",OFFSET(Demand!$A$13,ROW(N44)-1,4+((QUOTIENT(COLUMN(CD$2)-69,3))*5)+MOD(COLUMN(CD$2),3),1,1),"")</f>
        <v>2</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f ca="1">VLOOKUP(IF($DM47&lt;53,$DM47,52),'Summary Calculations (hide)'!$D$15:$F$67,2,0)</f>
        <v>14765</v>
      </c>
      <c r="DP47" s="5">
        <f ca="1">VLOOKUP(IF($DM47&lt;53,$DM47,52),'Summary Calculations (hide)'!$D$15:$F$67,3,0)</f>
        <v>15657.95</v>
      </c>
      <c r="DQ47" s="5">
        <f ca="1">IF(AND(DN47&gt;='Demand adjustments for Covid'!$F$12,DN47&lt;'Demand adjustments for Covid'!$F$17),'Demand adjustments for Covid'!$F$13,DO47)</f>
        <v>14765</v>
      </c>
      <c r="DR47" s="5">
        <f t="shared" si="33"/>
        <v>0</v>
      </c>
      <c r="DS47" s="5">
        <f ca="1">IF('Demand adjustments for Covid'!$F$9="Yes",IF(DR47=0,DQ47,((SUM(DR$4:DR47)-1)*$EE$8)+'Demand adjustments for Covid'!F$13),'Demand background (hide)'!DO47)</f>
        <v>14765</v>
      </c>
      <c r="DT47" s="5">
        <f ca="1">IF('Demand adjustments for Covid'!$F$9="Yes",IF(OR(AND(DN47&gt;='Demand adjustments for Covid'!$F$12,DN47&lt;'Demand adjustments for Covid'!$F$17),DR47=1),DS47+3,DP47),'Demand background (hide)'!DP47)</f>
        <v>15657.95</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15657.95</v>
      </c>
    </row>
    <row r="48" spans="1:128" s="5" customFormat="1" x14ac:dyDescent="0.2">
      <c r="A48" s="5">
        <f t="shared" ca="1" si="32"/>
        <v>0</v>
      </c>
      <c r="B48" s="5">
        <f ca="1">COUNTBLANK(OFFSET(Demand!$I57,0,(COLUMN(A45)-1)*5,1,1))</f>
        <v>0</v>
      </c>
      <c r="C48" s="5">
        <f ca="1">COUNTBLANK(OFFSET(Demand!$I57,0,(COLUMN(B45)-1)*5,1,1))</f>
        <v>0</v>
      </c>
      <c r="D48" s="5">
        <f ca="1">COUNTBLANK(OFFSET(Demand!$I57,0,(COLUMN(C45)-1)*5,1,1))</f>
        <v>0</v>
      </c>
      <c r="E48" s="5">
        <f ca="1">COUNTBLANK(OFFSET(Demand!$I57,0,(COLUMN(D45)-1)*5,1,1))</f>
        <v>0</v>
      </c>
      <c r="F48" s="5">
        <f ca="1">COUNTBLANK(OFFSET(Demand!$I57,0,(COLUMN(E45)-1)*5,1,1))</f>
        <v>0</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6765</v>
      </c>
      <c r="O48" s="5">
        <f ca="1">SUM(OFFSET(Demand!$E57,0,(COLUMN(B45)-1)*5,1,3))*O$2</f>
        <v>6555</v>
      </c>
      <c r="P48" s="5">
        <f ca="1">SUM(OFFSET(Demand!$E57,0,(COLUMN(C45)-1)*5,1,3))*P$2</f>
        <v>2430</v>
      </c>
      <c r="Q48" s="5">
        <f ca="1">SUM(OFFSET(Demand!$E57,0,(COLUMN(D45)-1)*5,1,3))*Q$2</f>
        <v>720</v>
      </c>
      <c r="R48" s="5">
        <f ca="1">SUM(OFFSET(Demand!$E57,0,(COLUMN(E45)-1)*5,1,3))*R$2</f>
        <v>2</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16472</v>
      </c>
      <c r="Y48" s="5">
        <f t="shared" ca="1" si="5"/>
        <v>16472</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16472</v>
      </c>
      <c r="AM48" s="5">
        <f t="shared" ca="1" si="9"/>
        <v>0</v>
      </c>
      <c r="AN48" s="5" t="str">
        <f>IF(Demand!BE57="Yes","Yes","")</f>
        <v/>
      </c>
      <c r="AP48" s="36" t="str">
        <f ca="1">Demand!B57</f>
        <v xml:space="preserve"> </v>
      </c>
      <c r="AQ48" s="5" t="str">
        <f ca="1">IF(TEXT(Demand!D57,"MMM")&lt;&gt;TEXT(Demand!D56,"MMM"),TEXT(Demand!D57,"MMM"),"")</f>
        <v>Feb</v>
      </c>
      <c r="AT48" s="5">
        <f t="shared" ca="1" si="12"/>
        <v>270</v>
      </c>
      <c r="BQ48">
        <f ca="1">IF($AN48="",OFFSET(Demand!$A$13,ROW(A45)-1,4+((QUOTIENT(COLUMN(BQ$2)-69,3))*5)+MOD(COLUMN(BQ$2),3),1,1),"")</f>
        <v>2</v>
      </c>
      <c r="BR48">
        <f ca="1">IF($AN48="",OFFSET(Demand!$A$13,ROW(B45)-1,4+((QUOTIENT(COLUMN(BR$2)-69,3))*5)+MOD(COLUMN(BR$2),3),1,1),"")</f>
        <v>364</v>
      </c>
      <c r="BS48">
        <f ca="1">IF($AN48="",OFFSET(Demand!$A$13,ROW(C45)-1,4+((QUOTIENT(COLUMN(BS$2)-69,3))*5)+MOD(COLUMN(BS$2),3),1,1),"")</f>
        <v>85</v>
      </c>
      <c r="BT48">
        <f ca="1">IF($AN48="",OFFSET(Demand!$A$13,ROW(D45)-1,4+((QUOTIENT(COLUMN(BT$2)-69,3))*5)+MOD(COLUMN(BT$2),3),1,1),"")</f>
        <v>79</v>
      </c>
      <c r="BU48">
        <f ca="1">IF($AN48="",OFFSET(Demand!$A$13,ROW(E45)-1,4+((QUOTIENT(COLUMN(BU$2)-69,3))*5)+MOD(COLUMN(BU$2),3),1,1),"")</f>
        <v>296</v>
      </c>
      <c r="BV48">
        <f ca="1">IF($AN48="",OFFSET(Demand!$A$13,ROW(F45)-1,4+((QUOTIENT(COLUMN(BV$2)-69,3))*5)+MOD(COLUMN(BV$2),3),1,1),"")</f>
        <v>62</v>
      </c>
      <c r="BW48">
        <f ca="1">IF($AN48="",OFFSET(Demand!$A$13,ROW(G45)-1,4+((QUOTIENT(COLUMN(BW$2)-69,3))*5)+MOD(COLUMN(BW$2),3),1,1),"")</f>
        <v>79</v>
      </c>
      <c r="BX48">
        <f ca="1">IF($AN48="",OFFSET(Demand!$A$13,ROW(H45)-1,4+((QUOTIENT(COLUMN(BX$2)-69,3))*5)+MOD(COLUMN(BX$2),3),1,1),"")</f>
        <v>0</v>
      </c>
      <c r="BY48">
        <f ca="1">IF($AN48="",OFFSET(Demand!$A$13,ROW(I45)-1,4+((QUOTIENT(COLUMN(BY$2)-69,3))*5)+MOD(COLUMN(BY$2),3),1,1),"")</f>
        <v>2</v>
      </c>
      <c r="BZ48">
        <f ca="1">IF($AN48="",OFFSET(Demand!$A$13,ROW(J45)-1,4+((QUOTIENT(COLUMN(BZ$2)-69,3))*5)+MOD(COLUMN(BZ$2),3),1,1),"")</f>
        <v>11</v>
      </c>
      <c r="CA48">
        <f ca="1">IF($AN48="",OFFSET(Demand!$A$13,ROW(K45)-1,4+((QUOTIENT(COLUMN(CA$2)-69,3))*5)+MOD(COLUMN(CA$2),3),1,1),"")</f>
        <v>7</v>
      </c>
      <c r="CB48">
        <f ca="1">IF($AN48="",OFFSET(Demand!$A$13,ROW(L45)-1,4+((QUOTIENT(COLUMN(CB$2)-69,3))*5)+MOD(COLUMN(CB$2),3),1,1),"")</f>
        <v>6</v>
      </c>
      <c r="CC48">
        <f ca="1">IF($AN48="",OFFSET(Demand!$A$13,ROW(M45)-1,4+((QUOTIENT(COLUMN(CC$2)-69,3))*5)+MOD(COLUMN(CC$2),3),1,1),"")</f>
        <v>1</v>
      </c>
      <c r="CD48">
        <f ca="1">IF($AN48="",OFFSET(Demand!$A$13,ROW(N45)-1,4+((QUOTIENT(COLUMN(CD$2)-69,3))*5)+MOD(COLUMN(CD$2),3),1,1),"")</f>
        <v>0</v>
      </c>
      <c r="CE48">
        <f ca="1">IF($AN48="",OFFSET(Demand!$A$13,ROW(O45)-1,4+((QUOTIENT(COLUMN(CE$2)-69,3))*5)+MOD(COLUMN(CE$2),3),1,1),"")</f>
        <v>1</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f ca="1">VLOOKUP(IF($DM48&lt;53,$DM48,52),'Summary Calculations (hide)'!$D$15:$F$67,2,0)</f>
        <v>14765</v>
      </c>
      <c r="DP48" s="5">
        <f ca="1">VLOOKUP(IF($DM48&lt;53,$DM48,52),'Summary Calculations (hide)'!$D$15:$F$67,3,0)</f>
        <v>15657.95</v>
      </c>
      <c r="DQ48" s="5">
        <f ca="1">IF(AND(DN48&gt;='Demand adjustments for Covid'!$F$12,DN48&lt;'Demand adjustments for Covid'!$F$17),'Demand adjustments for Covid'!$F$13,DO48)</f>
        <v>14765</v>
      </c>
      <c r="DR48" s="5">
        <f t="shared" si="33"/>
        <v>0</v>
      </c>
      <c r="DS48" s="5">
        <f ca="1">IF('Demand adjustments for Covid'!$F$9="Yes",IF(DR48=0,DQ48,((SUM(DR$4:DR48)-1)*$EE$8)+'Demand adjustments for Covid'!F$13),'Demand background (hide)'!DO48)</f>
        <v>14765</v>
      </c>
      <c r="DT48" s="5">
        <f ca="1">IF('Demand adjustments for Covid'!$F$9="Yes",IF(OR(AND(DN48&gt;='Demand adjustments for Covid'!$F$12,DN48&lt;'Demand adjustments for Covid'!$F$17),DR48=1),DS48+3,DP48),'Demand background (hide)'!DP48)</f>
        <v>15657.95</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15657.95</v>
      </c>
    </row>
    <row r="49" spans="1:132" s="5" customFormat="1" x14ac:dyDescent="0.2">
      <c r="A49" s="5">
        <f t="shared" ca="1" si="32"/>
        <v>0</v>
      </c>
      <c r="B49" s="5">
        <f ca="1">COUNTBLANK(OFFSET(Demand!$I58,0,(COLUMN(A46)-1)*5,1,1))</f>
        <v>0</v>
      </c>
      <c r="C49" s="5">
        <f ca="1">COUNTBLANK(OFFSET(Demand!$I58,0,(COLUMN(B46)-1)*5,1,1))</f>
        <v>0</v>
      </c>
      <c r="D49" s="5">
        <f ca="1">COUNTBLANK(OFFSET(Demand!$I58,0,(COLUMN(C46)-1)*5,1,1))</f>
        <v>0</v>
      </c>
      <c r="E49" s="5">
        <f ca="1">COUNTBLANK(OFFSET(Demand!$I58,0,(COLUMN(D46)-1)*5,1,1))</f>
        <v>0</v>
      </c>
      <c r="F49" s="5">
        <f ca="1">COUNTBLANK(OFFSET(Demand!$I58,0,(COLUMN(E46)-1)*5,1,1))</f>
        <v>0</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6300</v>
      </c>
      <c r="O49" s="5">
        <f ca="1">SUM(OFFSET(Demand!$E58,0,(COLUMN(B46)-1)*5,1,3))*O$2</f>
        <v>5670</v>
      </c>
      <c r="P49" s="5">
        <f ca="1">SUM(OFFSET(Demand!$E58,0,(COLUMN(C46)-1)*5,1,3))*P$2</f>
        <v>2490</v>
      </c>
      <c r="Q49" s="5">
        <f ca="1">SUM(OFFSET(Demand!$E58,0,(COLUMN(D46)-1)*5,1,3))*Q$2</f>
        <v>630</v>
      </c>
      <c r="R49" s="5">
        <f ca="1">SUM(OFFSET(Demand!$E58,0,(COLUMN(E46)-1)*5,1,3))*R$2</f>
        <v>2</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15092</v>
      </c>
      <c r="Y49" s="5">
        <f t="shared" ca="1" si="5"/>
        <v>15092</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15092</v>
      </c>
      <c r="AM49" s="5">
        <f t="shared" ca="1" si="9"/>
        <v>0</v>
      </c>
      <c r="AN49" s="5" t="str">
        <f>IF(Demand!BE58="Yes","Yes","")</f>
        <v/>
      </c>
      <c r="AP49" s="36" t="str">
        <f ca="1">Demand!B58</f>
        <v xml:space="preserve"> </v>
      </c>
      <c r="AQ49" s="5" t="str">
        <f ca="1">IF(TEXT(Demand!D58,"MMM")&lt;&gt;TEXT(Demand!D57,"MMM"),TEXT(Demand!D58,"MMM"),"")</f>
        <v/>
      </c>
      <c r="AT49" s="5">
        <f t="shared" ca="1" si="12"/>
        <v>1380</v>
      </c>
      <c r="BQ49">
        <f ca="1">IF($AN49="",OFFSET(Demand!$A$13,ROW(A46)-1,4+((QUOTIENT(COLUMN(BQ$2)-69,3))*5)+MOD(COLUMN(BQ$2),3),1,1),"")</f>
        <v>2</v>
      </c>
      <c r="BR49">
        <f ca="1">IF($AN49="",OFFSET(Demand!$A$13,ROW(B46)-1,4+((QUOTIENT(COLUMN(BR$2)-69,3))*5)+MOD(COLUMN(BR$2),3),1,1),"")</f>
        <v>327</v>
      </c>
      <c r="BS49">
        <f ca="1">IF($AN49="",OFFSET(Demand!$A$13,ROW(C46)-1,4+((QUOTIENT(COLUMN(BS$2)-69,3))*5)+MOD(COLUMN(BS$2),3),1,1),"")</f>
        <v>91</v>
      </c>
      <c r="BT49">
        <f ca="1">IF($AN49="",OFFSET(Demand!$A$13,ROW(D46)-1,4+((QUOTIENT(COLUMN(BT$2)-69,3))*5)+MOD(COLUMN(BT$2),3),1,1),"")</f>
        <v>76</v>
      </c>
      <c r="BU49">
        <f ca="1">IF($AN49="",OFFSET(Demand!$A$13,ROW(E46)-1,4+((QUOTIENT(COLUMN(BU$2)-69,3))*5)+MOD(COLUMN(BU$2),3),1,1),"")</f>
        <v>249</v>
      </c>
      <c r="BV49">
        <f ca="1">IF($AN49="",OFFSET(Demand!$A$13,ROW(F46)-1,4+((QUOTIENT(COLUMN(BV$2)-69,3))*5)+MOD(COLUMN(BV$2),3),1,1),"")</f>
        <v>53</v>
      </c>
      <c r="BW49">
        <f ca="1">IF($AN49="",OFFSET(Demand!$A$13,ROW(G46)-1,4+((QUOTIENT(COLUMN(BW$2)-69,3))*5)+MOD(COLUMN(BW$2),3),1,1),"")</f>
        <v>76</v>
      </c>
      <c r="BX49">
        <f ca="1">IF($AN49="",OFFSET(Demand!$A$13,ROW(H46)-1,4+((QUOTIENT(COLUMN(BX$2)-69,3))*5)+MOD(COLUMN(BX$2),3),1,1),"")</f>
        <v>0</v>
      </c>
      <c r="BY49">
        <f ca="1">IF($AN49="",OFFSET(Demand!$A$13,ROW(I46)-1,4+((QUOTIENT(COLUMN(BY$2)-69,3))*5)+MOD(COLUMN(BY$2),3),1,1),"")</f>
        <v>7</v>
      </c>
      <c r="BZ49">
        <f ca="1">IF($AN49="",OFFSET(Demand!$A$13,ROW(J46)-1,4+((QUOTIENT(COLUMN(BZ$2)-69,3))*5)+MOD(COLUMN(BZ$2),3),1,1),"")</f>
        <v>11</v>
      </c>
      <c r="CA49">
        <f ca="1">IF($AN49="",OFFSET(Demand!$A$13,ROW(K46)-1,4+((QUOTIENT(COLUMN(CA$2)-69,3))*5)+MOD(COLUMN(CA$2),3),1,1),"")</f>
        <v>6</v>
      </c>
      <c r="CB49">
        <f ca="1">IF($AN49="",OFFSET(Demand!$A$13,ROW(L46)-1,4+((QUOTIENT(COLUMN(CB$2)-69,3))*5)+MOD(COLUMN(CB$2),3),1,1),"")</f>
        <v>4</v>
      </c>
      <c r="CC49">
        <f ca="1">IF($AN49="",OFFSET(Demand!$A$13,ROW(M46)-1,4+((QUOTIENT(COLUMN(CC$2)-69,3))*5)+MOD(COLUMN(CC$2),3),1,1),"")</f>
        <v>1</v>
      </c>
      <c r="CD49">
        <f ca="1">IF($AN49="",OFFSET(Demand!$A$13,ROW(N46)-1,4+((QUOTIENT(COLUMN(CD$2)-69,3))*5)+MOD(COLUMN(CD$2),3),1,1),"")</f>
        <v>1</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f ca="1">VLOOKUP(IF($DM49&lt;53,$DM49,52),'Summary Calculations (hide)'!$D$15:$F$67,2,0)</f>
        <v>14765</v>
      </c>
      <c r="DP49" s="5">
        <f ca="1">VLOOKUP(IF($DM49&lt;53,$DM49,52),'Summary Calculations (hide)'!$D$15:$F$67,3,0)</f>
        <v>15657.95</v>
      </c>
      <c r="DQ49" s="5">
        <f ca="1">IF(AND(DN49&gt;='Demand adjustments for Covid'!$F$12,DN49&lt;'Demand adjustments for Covid'!$F$17),'Demand adjustments for Covid'!$F$13,DO49)</f>
        <v>14765</v>
      </c>
      <c r="DR49" s="5">
        <f t="shared" si="33"/>
        <v>0</v>
      </c>
      <c r="DS49" s="5">
        <f ca="1">IF('Demand adjustments for Covid'!$F$9="Yes",IF(DR49=0,DQ49,((SUM(DR$4:DR49)-1)*$EE$8)+'Demand adjustments for Covid'!F$13),'Demand background (hide)'!DO49)</f>
        <v>14765</v>
      </c>
      <c r="DT49" s="5">
        <f ca="1">IF('Demand adjustments for Covid'!$F$9="Yes",IF(OR(AND(DN49&gt;='Demand adjustments for Covid'!$F$12,DN49&lt;'Demand adjustments for Covid'!$F$17),DR49=1),DS49+3,DP49),'Demand background (hide)'!DP49)</f>
        <v>15657.95</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15657.95</v>
      </c>
    </row>
    <row r="50" spans="1:132" s="5" customFormat="1" x14ac:dyDescent="0.2">
      <c r="A50" s="5">
        <f t="shared" ca="1" si="32"/>
        <v>0</v>
      </c>
      <c r="B50" s="5">
        <f ca="1">COUNTBLANK(OFFSET(Demand!$I59,0,(COLUMN(A47)-1)*5,1,1))</f>
        <v>0</v>
      </c>
      <c r="C50" s="5">
        <f ca="1">COUNTBLANK(OFFSET(Demand!$I59,0,(COLUMN(B47)-1)*5,1,1))</f>
        <v>0</v>
      </c>
      <c r="D50" s="5">
        <f ca="1">COUNTBLANK(OFFSET(Demand!$I59,0,(COLUMN(C47)-1)*5,1,1))</f>
        <v>0</v>
      </c>
      <c r="E50" s="5">
        <f ca="1">COUNTBLANK(OFFSET(Demand!$I59,0,(COLUMN(D47)-1)*5,1,1))</f>
        <v>0</v>
      </c>
      <c r="F50" s="5">
        <f ca="1">COUNTBLANK(OFFSET(Demand!$I59,0,(COLUMN(E47)-1)*5,1,1))</f>
        <v>0</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6915</v>
      </c>
      <c r="O50" s="5">
        <f ca="1">SUM(OFFSET(Demand!$E59,0,(COLUMN(B47)-1)*5,1,3))*O$2</f>
        <v>5640</v>
      </c>
      <c r="P50" s="5">
        <f ca="1">SUM(OFFSET(Demand!$E59,0,(COLUMN(C47)-1)*5,1,3))*P$2</f>
        <v>2370</v>
      </c>
      <c r="Q50" s="5">
        <f ca="1">SUM(OFFSET(Demand!$E59,0,(COLUMN(D47)-1)*5,1,3))*Q$2</f>
        <v>630</v>
      </c>
      <c r="R50" s="5">
        <f ca="1">SUM(OFFSET(Demand!$E59,0,(COLUMN(E47)-1)*5,1,3))*R$2</f>
        <v>3</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15558</v>
      </c>
      <c r="Y50" s="5">
        <f t="shared" ca="1" si="5"/>
        <v>15558</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15558</v>
      </c>
      <c r="AM50" s="5">
        <f t="shared" ca="1" si="9"/>
        <v>0</v>
      </c>
      <c r="AN50" s="5" t="str">
        <f>IF(Demand!BE59="Yes","Yes","")</f>
        <v/>
      </c>
      <c r="AP50" s="36" t="str">
        <f ca="1">Demand!B59</f>
        <v xml:space="preserve"> </v>
      </c>
      <c r="AQ50" s="5" t="str">
        <f ca="1">IF(TEXT(Demand!D59,"MMM")&lt;&gt;TEXT(Demand!D58,"MMM"),TEXT(Demand!D59,"MMM"),"")</f>
        <v/>
      </c>
      <c r="AT50" s="5">
        <f t="shared" ca="1" si="12"/>
        <v>466</v>
      </c>
      <c r="BQ50">
        <f ca="1">IF($AN50="",OFFSET(Demand!$A$13,ROW(A47)-1,4+((QUOTIENT(COLUMN(BQ$2)-69,3))*5)+MOD(COLUMN(BQ$2),3),1,1),"")</f>
        <v>3</v>
      </c>
      <c r="BR50">
        <f ca="1">IF($AN50="",OFFSET(Demand!$A$13,ROW(B47)-1,4+((QUOTIENT(COLUMN(BR$2)-69,3))*5)+MOD(COLUMN(BR$2),3),1,1),"")</f>
        <v>357</v>
      </c>
      <c r="BS50">
        <f ca="1">IF($AN50="",OFFSET(Demand!$A$13,ROW(C47)-1,4+((QUOTIENT(COLUMN(BS$2)-69,3))*5)+MOD(COLUMN(BS$2),3),1,1),"")</f>
        <v>101</v>
      </c>
      <c r="BT50">
        <f ca="1">IF($AN50="",OFFSET(Demand!$A$13,ROW(D47)-1,4+((QUOTIENT(COLUMN(BT$2)-69,3))*5)+MOD(COLUMN(BT$2),3),1,1),"")</f>
        <v>78</v>
      </c>
      <c r="BU50">
        <f ca="1">IF($AN50="",OFFSET(Demand!$A$13,ROW(E47)-1,4+((QUOTIENT(COLUMN(BU$2)-69,3))*5)+MOD(COLUMN(BU$2),3),1,1),"")</f>
        <v>229</v>
      </c>
      <c r="BV50">
        <f ca="1">IF($AN50="",OFFSET(Demand!$A$13,ROW(F47)-1,4+((QUOTIENT(COLUMN(BV$2)-69,3))*5)+MOD(COLUMN(BV$2),3),1,1),"")</f>
        <v>69</v>
      </c>
      <c r="BW50">
        <f ca="1">IF($AN50="",OFFSET(Demand!$A$13,ROW(G47)-1,4+((QUOTIENT(COLUMN(BW$2)-69,3))*5)+MOD(COLUMN(BW$2),3),1,1),"")</f>
        <v>78</v>
      </c>
      <c r="BX50">
        <f ca="1">IF($AN50="",OFFSET(Demand!$A$13,ROW(H47)-1,4+((QUOTIENT(COLUMN(BX$2)-69,3))*5)+MOD(COLUMN(BX$2),3),1,1),"")</f>
        <v>0</v>
      </c>
      <c r="BY50">
        <f ca="1">IF($AN50="",OFFSET(Demand!$A$13,ROW(I47)-1,4+((QUOTIENT(COLUMN(BY$2)-69,3))*5)+MOD(COLUMN(BY$2),3),1,1),"")</f>
        <v>1</v>
      </c>
      <c r="BZ50">
        <f ca="1">IF($AN50="",OFFSET(Demand!$A$13,ROW(J47)-1,4+((QUOTIENT(COLUMN(BZ$2)-69,3))*5)+MOD(COLUMN(BZ$2),3),1,1),"")</f>
        <v>10</v>
      </c>
      <c r="CA50">
        <f ca="1">IF($AN50="",OFFSET(Demand!$A$13,ROW(K47)-1,4+((QUOTIENT(COLUMN(CA$2)-69,3))*5)+MOD(COLUMN(CA$2),3),1,1),"")</f>
        <v>6</v>
      </c>
      <c r="CB50">
        <f ca="1">IF($AN50="",OFFSET(Demand!$A$13,ROW(L47)-1,4+((QUOTIENT(COLUMN(CB$2)-69,3))*5)+MOD(COLUMN(CB$2),3),1,1),"")</f>
        <v>5</v>
      </c>
      <c r="CC50">
        <f ca="1">IF($AN50="",OFFSET(Demand!$A$13,ROW(M47)-1,4+((QUOTIENT(COLUMN(CC$2)-69,3))*5)+MOD(COLUMN(CC$2),3),1,1),"")</f>
        <v>0</v>
      </c>
      <c r="CD50">
        <f ca="1">IF($AN50="",OFFSET(Demand!$A$13,ROW(N47)-1,4+((QUOTIENT(COLUMN(CD$2)-69,3))*5)+MOD(COLUMN(CD$2),3),1,1),"")</f>
        <v>2</v>
      </c>
      <c r="CE50">
        <f ca="1">IF($AN50="",OFFSET(Demand!$A$13,ROW(O47)-1,4+((QUOTIENT(COLUMN(CE$2)-69,3))*5)+MOD(COLUMN(CE$2),3),1,1),"")</f>
        <v>1</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f ca="1">VLOOKUP(IF($DM50&lt;53,$DM50,52),'Summary Calculations (hide)'!$D$15:$F$67,2,0)</f>
        <v>14765</v>
      </c>
      <c r="DP50" s="5">
        <f ca="1">VLOOKUP(IF($DM50&lt;53,$DM50,52),'Summary Calculations (hide)'!$D$15:$F$67,3,0)</f>
        <v>15657.95</v>
      </c>
      <c r="DQ50" s="5">
        <f ca="1">IF(AND(DN50&gt;='Demand adjustments for Covid'!$F$12,DN50&lt;'Demand adjustments for Covid'!$F$17),'Demand adjustments for Covid'!$F$13,DO50)</f>
        <v>14765</v>
      </c>
      <c r="DR50" s="5">
        <f t="shared" si="33"/>
        <v>0</v>
      </c>
      <c r="DS50" s="5">
        <f ca="1">IF('Demand adjustments for Covid'!$F$9="Yes",IF(DR50=0,DQ50,((SUM(DR$4:DR50)-1)*$EE$8)+'Demand adjustments for Covid'!F$13),'Demand background (hide)'!DO50)</f>
        <v>14765</v>
      </c>
      <c r="DT50" s="5">
        <f ca="1">IF('Demand adjustments for Covid'!$F$9="Yes",IF(OR(AND(DN50&gt;='Demand adjustments for Covid'!$F$12,DN50&lt;'Demand adjustments for Covid'!$F$17),DR50=1),DS50+3,DP50),'Demand background (hide)'!DP50)</f>
        <v>15657.95</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15657.95</v>
      </c>
    </row>
    <row r="51" spans="1:132" s="5" customFormat="1" x14ac:dyDescent="0.2">
      <c r="A51" s="5">
        <f t="shared" ca="1" si="32"/>
        <v>0</v>
      </c>
      <c r="B51" s="5">
        <f ca="1">COUNTBLANK(OFFSET(Demand!$I60,0,(COLUMN(A48)-1)*5,1,1))</f>
        <v>0</v>
      </c>
      <c r="C51" s="5">
        <f ca="1">COUNTBLANK(OFFSET(Demand!$I60,0,(COLUMN(B48)-1)*5,1,1))</f>
        <v>0</v>
      </c>
      <c r="D51" s="5">
        <f ca="1">COUNTBLANK(OFFSET(Demand!$I60,0,(COLUMN(C48)-1)*5,1,1))</f>
        <v>0</v>
      </c>
      <c r="E51" s="5">
        <f ca="1">COUNTBLANK(OFFSET(Demand!$I60,0,(COLUMN(D48)-1)*5,1,1))</f>
        <v>0</v>
      </c>
      <c r="F51" s="5">
        <f ca="1">COUNTBLANK(OFFSET(Demand!$I60,0,(COLUMN(E48)-1)*5,1,1))</f>
        <v>0</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6825</v>
      </c>
      <c r="O51" s="5">
        <f ca="1">SUM(OFFSET(Demand!$E60,0,(COLUMN(B48)-1)*5,1,3))*O$2</f>
        <v>5625</v>
      </c>
      <c r="P51" s="5">
        <f ca="1">SUM(OFFSET(Demand!$E60,0,(COLUMN(C48)-1)*5,1,3))*P$2</f>
        <v>2250</v>
      </c>
      <c r="Q51" s="5">
        <f ca="1">SUM(OFFSET(Demand!$E60,0,(COLUMN(D48)-1)*5,1,3))*Q$2</f>
        <v>660</v>
      </c>
      <c r="R51" s="5">
        <f ca="1">SUM(OFFSET(Demand!$E60,0,(COLUMN(E48)-1)*5,1,3))*R$2</f>
        <v>2</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15362</v>
      </c>
      <c r="Y51" s="5">
        <f t="shared" ca="1" si="5"/>
        <v>15362</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15362</v>
      </c>
      <c r="AM51" s="5">
        <f t="shared" ca="1" si="9"/>
        <v>0</v>
      </c>
      <c r="AN51" s="5" t="str">
        <f>IF(Demand!BE60="Yes","Yes","")</f>
        <v/>
      </c>
      <c r="AP51" s="36" t="str">
        <f ca="1">Demand!B60</f>
        <v xml:space="preserve"> </v>
      </c>
      <c r="AQ51" s="5" t="str">
        <f ca="1">IF(TEXT(Demand!D60,"MMM")&lt;&gt;TEXT(Demand!D59,"MMM"),TEXT(Demand!D60,"MMM"),"")</f>
        <v/>
      </c>
      <c r="AT51" s="5">
        <f t="shared" ca="1" si="12"/>
        <v>196</v>
      </c>
      <c r="BQ51">
        <f ca="1">IF($AN51="",OFFSET(Demand!$A$13,ROW(A48)-1,4+((QUOTIENT(COLUMN(BQ$2)-69,3))*5)+MOD(COLUMN(BQ$2),3),1,1),"")</f>
        <v>4</v>
      </c>
      <c r="BR51">
        <f ca="1">IF($AN51="",OFFSET(Demand!$A$13,ROW(B48)-1,4+((QUOTIENT(COLUMN(BR$2)-69,3))*5)+MOD(COLUMN(BR$2),3),1,1),"")</f>
        <v>375</v>
      </c>
      <c r="BS51">
        <f ca="1">IF($AN51="",OFFSET(Demand!$A$13,ROW(C48)-1,4+((QUOTIENT(COLUMN(BS$2)-69,3))*5)+MOD(COLUMN(BS$2),3),1,1),"")</f>
        <v>76</v>
      </c>
      <c r="BT51">
        <f ca="1">IF($AN51="",OFFSET(Demand!$A$13,ROW(D48)-1,4+((QUOTIENT(COLUMN(BT$2)-69,3))*5)+MOD(COLUMN(BT$2),3),1,1),"")</f>
        <v>58</v>
      </c>
      <c r="BU51">
        <f ca="1">IF($AN51="",OFFSET(Demand!$A$13,ROW(E48)-1,4+((QUOTIENT(COLUMN(BU$2)-69,3))*5)+MOD(COLUMN(BU$2),3),1,1),"")</f>
        <v>253</v>
      </c>
      <c r="BV51">
        <f ca="1">IF($AN51="",OFFSET(Demand!$A$13,ROW(F48)-1,4+((QUOTIENT(COLUMN(BV$2)-69,3))*5)+MOD(COLUMN(BV$2),3),1,1),"")</f>
        <v>64</v>
      </c>
      <c r="BW51">
        <f ca="1">IF($AN51="",OFFSET(Demand!$A$13,ROW(G48)-1,4+((QUOTIENT(COLUMN(BW$2)-69,3))*5)+MOD(COLUMN(BW$2),3),1,1),"")</f>
        <v>58</v>
      </c>
      <c r="BX51">
        <f ca="1">IF($AN51="",OFFSET(Demand!$A$13,ROW(H48)-1,4+((QUOTIENT(COLUMN(BX$2)-69,3))*5)+MOD(COLUMN(BX$2),3),1,1),"")</f>
        <v>0</v>
      </c>
      <c r="BY51">
        <f ca="1">IF($AN51="",OFFSET(Demand!$A$13,ROW(I48)-1,4+((QUOTIENT(COLUMN(BY$2)-69,3))*5)+MOD(COLUMN(BY$2),3),1,1),"")</f>
        <v>17</v>
      </c>
      <c r="BZ51">
        <f ca="1">IF($AN51="",OFFSET(Demand!$A$13,ROW(J48)-1,4+((QUOTIENT(COLUMN(BZ$2)-69,3))*5)+MOD(COLUMN(BZ$2),3),1,1),"")</f>
        <v>6</v>
      </c>
      <c r="CA51">
        <f ca="1">IF($AN51="",OFFSET(Demand!$A$13,ROW(K48)-1,4+((QUOTIENT(COLUMN(CA$2)-69,3))*5)+MOD(COLUMN(CA$2),3),1,1),"")</f>
        <v>4</v>
      </c>
      <c r="CB51">
        <f ca="1">IF($AN51="",OFFSET(Demand!$A$13,ROW(L48)-1,4+((QUOTIENT(COLUMN(CB$2)-69,3))*5)+MOD(COLUMN(CB$2),3),1,1),"")</f>
        <v>12</v>
      </c>
      <c r="CC51">
        <f ca="1">IF($AN51="",OFFSET(Demand!$A$13,ROW(M48)-1,4+((QUOTIENT(COLUMN(CC$2)-69,3))*5)+MOD(COLUMN(CC$2),3),1,1),"")</f>
        <v>1</v>
      </c>
      <c r="CD51">
        <f ca="1">IF($AN51="",OFFSET(Demand!$A$13,ROW(N48)-1,4+((QUOTIENT(COLUMN(CD$2)-69,3))*5)+MOD(COLUMN(CD$2),3),1,1),"")</f>
        <v>1</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f ca="1">VLOOKUP(IF($DM51&lt;53,$DM51,52),'Summary Calculations (hide)'!$D$15:$F$67,2,0)</f>
        <v>14765</v>
      </c>
      <c r="DP51" s="5">
        <f ca="1">VLOOKUP(IF($DM51&lt;53,$DM51,52),'Summary Calculations (hide)'!$D$15:$F$67,3,0)</f>
        <v>15657.95</v>
      </c>
      <c r="DQ51" s="5">
        <f ca="1">IF(AND(DN51&gt;='Demand adjustments for Covid'!$F$12,DN51&lt;'Demand adjustments for Covid'!$F$17),'Demand adjustments for Covid'!$F$13,DO51)</f>
        <v>14765</v>
      </c>
      <c r="DR51" s="5">
        <f t="shared" si="33"/>
        <v>0</v>
      </c>
      <c r="DS51" s="5">
        <f ca="1">IF('Demand adjustments for Covid'!$F$9="Yes",IF(DR51=0,DQ51,((SUM(DR$4:DR51)-1)*$EE$8)+'Demand adjustments for Covid'!F$13),'Demand background (hide)'!DO51)</f>
        <v>14765</v>
      </c>
      <c r="DT51" s="5">
        <f ca="1">IF('Demand adjustments for Covid'!$F$9="Yes",IF(OR(AND(DN51&gt;='Demand adjustments for Covid'!$F$12,DN51&lt;'Demand adjustments for Covid'!$F$17),DR51=1),DS51+3,DP51),'Demand background (hide)'!DP51)</f>
        <v>15657.95</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15657.95</v>
      </c>
    </row>
    <row r="52" spans="1:132" s="5" customFormat="1" x14ac:dyDescent="0.2">
      <c r="A52" s="5">
        <f t="shared" ca="1" si="32"/>
        <v>0</v>
      </c>
      <c r="B52" s="5">
        <f ca="1">COUNTBLANK(OFFSET(Demand!$I61,0,(COLUMN(A49)-1)*5,1,1))</f>
        <v>0</v>
      </c>
      <c r="C52" s="5">
        <f ca="1">COUNTBLANK(OFFSET(Demand!$I61,0,(COLUMN(B49)-1)*5,1,1))</f>
        <v>0</v>
      </c>
      <c r="D52" s="5">
        <f ca="1">COUNTBLANK(OFFSET(Demand!$I61,0,(COLUMN(C49)-1)*5,1,1))</f>
        <v>0</v>
      </c>
      <c r="E52" s="5">
        <f ca="1">COUNTBLANK(OFFSET(Demand!$I61,0,(COLUMN(D49)-1)*5,1,1))</f>
        <v>0</v>
      </c>
      <c r="F52" s="5">
        <f ca="1">COUNTBLANK(OFFSET(Demand!$I61,0,(COLUMN(E49)-1)*5,1,1))</f>
        <v>0</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6855</v>
      </c>
      <c r="O52" s="5">
        <f ca="1">SUM(OFFSET(Demand!$E61,0,(COLUMN(B49)-1)*5,1,3))*O$2</f>
        <v>5490</v>
      </c>
      <c r="P52" s="5">
        <f ca="1">SUM(OFFSET(Demand!$E61,0,(COLUMN(C49)-1)*5,1,3))*P$2</f>
        <v>1710</v>
      </c>
      <c r="Q52" s="5">
        <f ca="1">SUM(OFFSET(Demand!$E61,0,(COLUMN(D49)-1)*5,1,3))*Q$2</f>
        <v>570</v>
      </c>
      <c r="R52" s="5">
        <f ca="1">SUM(OFFSET(Demand!$E61,0,(COLUMN(E49)-1)*5,1,3))*R$2</f>
        <v>3</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14628</v>
      </c>
      <c r="Y52" s="5">
        <f t="shared" ca="1" si="5"/>
        <v>14628</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14628</v>
      </c>
      <c r="AM52" s="5">
        <f t="shared" ca="1" si="9"/>
        <v>0</v>
      </c>
      <c r="AN52" s="5" t="str">
        <f>IF(Demand!BE61="Yes","Yes","")</f>
        <v/>
      </c>
      <c r="AP52" s="36" t="str">
        <f ca="1">Demand!B61</f>
        <v xml:space="preserve"> </v>
      </c>
      <c r="AQ52" s="5" t="str">
        <f ca="1">IF(TEXT(Demand!D61,"MMM")&lt;&gt;TEXT(Demand!D60,"MMM"),TEXT(Demand!D61,"MMM"),"")</f>
        <v>Mar</v>
      </c>
      <c r="AT52" s="5">
        <f t="shared" ca="1" si="12"/>
        <v>734</v>
      </c>
      <c r="BQ52">
        <f ca="1">IF($AN52="",OFFSET(Demand!$A$13,ROW(A49)-1,4+((QUOTIENT(COLUMN(BQ$2)-69,3))*5)+MOD(COLUMN(BQ$2),3),1,1),"")</f>
        <v>7</v>
      </c>
      <c r="BR52">
        <f ca="1">IF($AN52="",OFFSET(Demand!$A$13,ROW(B49)-1,4+((QUOTIENT(COLUMN(BR$2)-69,3))*5)+MOD(COLUMN(BR$2),3),1,1),"")</f>
        <v>370</v>
      </c>
      <c r="BS52">
        <f ca="1">IF($AN52="",OFFSET(Demand!$A$13,ROW(C49)-1,4+((QUOTIENT(COLUMN(BS$2)-69,3))*5)+MOD(COLUMN(BS$2),3),1,1),"")</f>
        <v>80</v>
      </c>
      <c r="BT52">
        <f ca="1">IF($AN52="",OFFSET(Demand!$A$13,ROW(D49)-1,4+((QUOTIENT(COLUMN(BT$2)-69,3))*5)+MOD(COLUMN(BT$2),3),1,1),"")</f>
        <v>55</v>
      </c>
      <c r="BU52">
        <f ca="1">IF($AN52="",OFFSET(Demand!$A$13,ROW(E49)-1,4+((QUOTIENT(COLUMN(BU$2)-69,3))*5)+MOD(COLUMN(BU$2),3),1,1),"")</f>
        <v>243</v>
      </c>
      <c r="BV52">
        <f ca="1">IF($AN52="",OFFSET(Demand!$A$13,ROW(F49)-1,4+((QUOTIENT(COLUMN(BV$2)-69,3))*5)+MOD(COLUMN(BV$2),3),1,1),"")</f>
        <v>68</v>
      </c>
      <c r="BW52">
        <f ca="1">IF($AN52="",OFFSET(Demand!$A$13,ROW(G49)-1,4+((QUOTIENT(COLUMN(BW$2)-69,3))*5)+MOD(COLUMN(BW$2),3),1,1),"")</f>
        <v>55</v>
      </c>
      <c r="BX52">
        <f ca="1">IF($AN52="",OFFSET(Demand!$A$13,ROW(H49)-1,4+((QUOTIENT(COLUMN(BX$2)-69,3))*5)+MOD(COLUMN(BX$2),3),1,1),"")</f>
        <v>0</v>
      </c>
      <c r="BY52">
        <f ca="1">IF($AN52="",OFFSET(Demand!$A$13,ROW(I49)-1,4+((QUOTIENT(COLUMN(BY$2)-69,3))*5)+MOD(COLUMN(BY$2),3),1,1),"")</f>
        <v>2</v>
      </c>
      <c r="BZ52">
        <f ca="1">IF($AN52="",OFFSET(Demand!$A$13,ROW(J49)-1,4+((QUOTIENT(COLUMN(BZ$2)-69,3))*5)+MOD(COLUMN(BZ$2),3),1,1),"")</f>
        <v>6</v>
      </c>
      <c r="CA52">
        <f ca="1">IF($AN52="",OFFSET(Demand!$A$13,ROW(K49)-1,4+((QUOTIENT(COLUMN(CA$2)-69,3))*5)+MOD(COLUMN(CA$2),3),1,1),"")</f>
        <v>6</v>
      </c>
      <c r="CB52">
        <f ca="1">IF($AN52="",OFFSET(Demand!$A$13,ROW(L49)-1,4+((QUOTIENT(COLUMN(CB$2)-69,3))*5)+MOD(COLUMN(CB$2),3),1,1),"")</f>
        <v>7</v>
      </c>
      <c r="CC52">
        <f ca="1">IF($AN52="",OFFSET(Demand!$A$13,ROW(M49)-1,4+((QUOTIENT(COLUMN(CC$2)-69,3))*5)+MOD(COLUMN(CC$2),3),1,1),"")</f>
        <v>1</v>
      </c>
      <c r="CD52">
        <f ca="1">IF($AN52="",OFFSET(Demand!$A$13,ROW(N49)-1,4+((QUOTIENT(COLUMN(CD$2)-69,3))*5)+MOD(COLUMN(CD$2),3),1,1),"")</f>
        <v>2</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f ca="1">VLOOKUP(IF($DM52&lt;53,$DM52,52),'Summary Calculations (hide)'!$D$15:$F$67,2,0)</f>
        <v>14765</v>
      </c>
      <c r="DP52" s="5">
        <f ca="1">VLOOKUP(IF($DM52&lt;53,$DM52,52),'Summary Calculations (hide)'!$D$15:$F$67,3,0)</f>
        <v>15657.95</v>
      </c>
      <c r="DQ52" s="5">
        <f ca="1">IF(AND(DN52&gt;='Demand adjustments for Covid'!$F$12,DN52&lt;'Demand adjustments for Covid'!$F$17),'Demand adjustments for Covid'!$F$13,DO52)</f>
        <v>14765</v>
      </c>
      <c r="DR52" s="5">
        <f t="shared" si="33"/>
        <v>0</v>
      </c>
      <c r="DS52" s="5">
        <f ca="1">IF('Demand adjustments for Covid'!$F$9="Yes",IF(DR52=0,DQ52,((SUM(DR$4:DR52)-1)*$EE$8)+'Demand adjustments for Covid'!F$13),'Demand background (hide)'!DO52)</f>
        <v>14765</v>
      </c>
      <c r="DT52" s="5">
        <f ca="1">IF('Demand adjustments for Covid'!$F$9="Yes",IF(OR(AND(DN52&gt;='Demand adjustments for Covid'!$F$12,DN52&lt;'Demand adjustments for Covid'!$F$17),DR52=1),DS52+3,DP52),'Demand background (hide)'!DP52)</f>
        <v>15657.95</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15657.95</v>
      </c>
    </row>
    <row r="53" spans="1:132" s="5" customFormat="1" x14ac:dyDescent="0.2">
      <c r="A53" s="5">
        <f t="shared" ca="1" si="32"/>
        <v>0</v>
      </c>
      <c r="B53" s="5">
        <f ca="1">COUNTBLANK(OFFSET(Demand!$I62,0,(COLUMN(A50)-1)*5,1,1))</f>
        <v>0</v>
      </c>
      <c r="C53" s="5">
        <f ca="1">COUNTBLANK(OFFSET(Demand!$I62,0,(COLUMN(B50)-1)*5,1,1))</f>
        <v>0</v>
      </c>
      <c r="D53" s="5">
        <f ca="1">COUNTBLANK(OFFSET(Demand!$I62,0,(COLUMN(C50)-1)*5,1,1))</f>
        <v>0</v>
      </c>
      <c r="E53" s="5">
        <f ca="1">COUNTBLANK(OFFSET(Demand!$I62,0,(COLUMN(D50)-1)*5,1,1))</f>
        <v>0</v>
      </c>
      <c r="F53" s="5">
        <f ca="1">COUNTBLANK(OFFSET(Demand!$I62,0,(COLUMN(E50)-1)*5,1,1))</f>
        <v>0</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7680</v>
      </c>
      <c r="O53" s="5">
        <f ca="1">SUM(OFFSET(Demand!$E62,0,(COLUMN(B50)-1)*5,1,3))*O$2</f>
        <v>5820</v>
      </c>
      <c r="P53" s="5">
        <f ca="1">SUM(OFFSET(Demand!$E62,0,(COLUMN(C50)-1)*5,1,3))*P$2</f>
        <v>2670</v>
      </c>
      <c r="Q53" s="5">
        <f ca="1">SUM(OFFSET(Demand!$E62,0,(COLUMN(D50)-1)*5,1,3))*Q$2</f>
        <v>660</v>
      </c>
      <c r="R53" s="5">
        <f ca="1">SUM(OFFSET(Demand!$E62,0,(COLUMN(E50)-1)*5,1,3))*R$2</f>
        <v>3</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16833</v>
      </c>
      <c r="Y53" s="5">
        <f t="shared" ca="1" si="5"/>
        <v>16833</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16833</v>
      </c>
      <c r="AM53" s="5">
        <f t="shared" ca="1" si="9"/>
        <v>0</v>
      </c>
      <c r="AN53" s="5" t="str">
        <f>IF(Demand!BE62="Yes","Yes","")</f>
        <v/>
      </c>
      <c r="AP53" s="36" t="str">
        <f ca="1">Demand!B62</f>
        <v xml:space="preserve"> </v>
      </c>
      <c r="AQ53" s="5" t="str">
        <f ca="1">IF(TEXT(Demand!D62,"MMM")&lt;&gt;TEXT(Demand!D61,"MMM"),TEXT(Demand!D62,"MMM"),"")</f>
        <v/>
      </c>
      <c r="AT53" s="5">
        <f t="shared" ca="1" si="12"/>
        <v>2205</v>
      </c>
      <c r="BQ53">
        <f ca="1">IF($AN53="",OFFSET(Demand!$A$13,ROW(A50)-1,4+((QUOTIENT(COLUMN(BQ$2)-69,3))*5)+MOD(COLUMN(BQ$2),3),1,1),"")</f>
        <v>4</v>
      </c>
      <c r="BR53">
        <f ca="1">IF($AN53="",OFFSET(Demand!$A$13,ROW(B50)-1,4+((QUOTIENT(COLUMN(BR$2)-69,3))*5)+MOD(COLUMN(BR$2),3),1,1),"")</f>
        <v>396</v>
      </c>
      <c r="BS53">
        <f ca="1">IF($AN53="",OFFSET(Demand!$A$13,ROW(C50)-1,4+((QUOTIENT(COLUMN(BS$2)-69,3))*5)+MOD(COLUMN(BS$2),3),1,1),"")</f>
        <v>112</v>
      </c>
      <c r="BT53">
        <f ca="1">IF($AN53="",OFFSET(Demand!$A$13,ROW(D50)-1,4+((QUOTIENT(COLUMN(BT$2)-69,3))*5)+MOD(COLUMN(BT$2),3),1,1),"")</f>
        <v>77</v>
      </c>
      <c r="BU53">
        <f ca="1">IF($AN53="",OFFSET(Demand!$A$13,ROW(E50)-1,4+((QUOTIENT(COLUMN(BU$2)-69,3))*5)+MOD(COLUMN(BU$2),3),1,1),"")</f>
        <v>252</v>
      </c>
      <c r="BV53">
        <f ca="1">IF($AN53="",OFFSET(Demand!$A$13,ROW(F50)-1,4+((QUOTIENT(COLUMN(BV$2)-69,3))*5)+MOD(COLUMN(BV$2),3),1,1),"")</f>
        <v>59</v>
      </c>
      <c r="BW53">
        <f ca="1">IF($AN53="",OFFSET(Demand!$A$13,ROW(G50)-1,4+((QUOTIENT(COLUMN(BW$2)-69,3))*5)+MOD(COLUMN(BW$2),3),1,1),"")</f>
        <v>77</v>
      </c>
      <c r="BX53">
        <f ca="1">IF($AN53="",OFFSET(Demand!$A$13,ROW(H50)-1,4+((QUOTIENT(COLUMN(BX$2)-69,3))*5)+MOD(COLUMN(BX$2),3),1,1),"")</f>
        <v>2</v>
      </c>
      <c r="BY53">
        <f ca="1">IF($AN53="",OFFSET(Demand!$A$13,ROW(I50)-1,4+((QUOTIENT(COLUMN(BY$2)-69,3))*5)+MOD(COLUMN(BY$2),3),1,1),"")</f>
        <v>10</v>
      </c>
      <c r="BZ53">
        <f ca="1">IF($AN53="",OFFSET(Demand!$A$13,ROW(J50)-1,4+((QUOTIENT(COLUMN(BZ$2)-69,3))*5)+MOD(COLUMN(BZ$2),3),1,1),"")</f>
        <v>11</v>
      </c>
      <c r="CA53">
        <f ca="1">IF($AN53="",OFFSET(Demand!$A$13,ROW(K50)-1,4+((QUOTIENT(COLUMN(CA$2)-69,3))*5)+MOD(COLUMN(CA$2),3),1,1),"")</f>
        <v>6</v>
      </c>
      <c r="CB53">
        <f ca="1">IF($AN53="",OFFSET(Demand!$A$13,ROW(L50)-1,4+((QUOTIENT(COLUMN(CB$2)-69,3))*5)+MOD(COLUMN(CB$2),3),1,1),"")</f>
        <v>5</v>
      </c>
      <c r="CC53">
        <f ca="1">IF($AN53="",OFFSET(Demand!$A$13,ROW(M50)-1,4+((QUOTIENT(COLUMN(CC$2)-69,3))*5)+MOD(COLUMN(CC$2),3),1,1),"")</f>
        <v>1</v>
      </c>
      <c r="CD53">
        <f ca="1">IF($AN53="",OFFSET(Demand!$A$13,ROW(N50)-1,4+((QUOTIENT(COLUMN(CD$2)-69,3))*5)+MOD(COLUMN(CD$2),3),1,1),"")</f>
        <v>2</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f ca="1">VLOOKUP(IF($DM53&lt;53,$DM53,52),'Summary Calculations (hide)'!$D$15:$F$67,2,0)</f>
        <v>14765</v>
      </c>
      <c r="DP53" s="5">
        <f ca="1">VLOOKUP(IF($DM53&lt;53,$DM53,52),'Summary Calculations (hide)'!$D$15:$F$67,3,0)</f>
        <v>15657.95</v>
      </c>
      <c r="DQ53" s="5">
        <f ca="1">IF(AND(DN53&gt;='Demand adjustments for Covid'!$F$12,DN53&lt;'Demand adjustments for Covid'!$F$17),'Demand adjustments for Covid'!$F$13,DO53)</f>
        <v>14765</v>
      </c>
      <c r="DR53" s="5">
        <f t="shared" si="33"/>
        <v>0</v>
      </c>
      <c r="DS53" s="5">
        <f ca="1">IF('Demand adjustments for Covid'!$F$9="Yes",IF(DR53=0,DQ53,((SUM(DR$4:DR53)-1)*$EE$8)+'Demand adjustments for Covid'!F$13),'Demand background (hide)'!DO53)</f>
        <v>14765</v>
      </c>
      <c r="DT53" s="5">
        <f ca="1">IF('Demand adjustments for Covid'!$F$9="Yes",IF(OR(AND(DN53&gt;='Demand adjustments for Covid'!$F$12,DN53&lt;'Demand adjustments for Covid'!$F$17),DR53=1),DS53+3,DP53),'Demand background (hide)'!DP53)</f>
        <v>15657.95</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15657.95</v>
      </c>
    </row>
    <row r="54" spans="1:132" s="5" customFormat="1" x14ac:dyDescent="0.2">
      <c r="A54" s="5">
        <f t="shared" ca="1" si="32"/>
        <v>1</v>
      </c>
      <c r="B54" s="5">
        <f ca="1">COUNTBLANK(OFFSET(Demand!$I63,0,(COLUMN(A51)-1)*5,1,1))</f>
        <v>0</v>
      </c>
      <c r="C54" s="5">
        <f ca="1">COUNTBLANK(OFFSET(Demand!$I63,0,(COLUMN(B51)-1)*5,1,1))</f>
        <v>0</v>
      </c>
      <c r="D54" s="5">
        <f ca="1">COUNTBLANK(OFFSET(Demand!$I63,0,(COLUMN(C51)-1)*5,1,1))</f>
        <v>0</v>
      </c>
      <c r="E54" s="5">
        <f ca="1">COUNTBLANK(OFFSET(Demand!$I63,0,(COLUMN(D51)-1)*5,1,1))</f>
        <v>0</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6765</v>
      </c>
      <c r="O54" s="5">
        <f ca="1">SUM(OFFSET(Demand!$E63,0,(COLUMN(B51)-1)*5,1,3))*O$2</f>
        <v>6060</v>
      </c>
      <c r="P54" s="5">
        <f ca="1">SUM(OFFSET(Demand!$E63,0,(COLUMN(C51)-1)*5,1,3))*P$2</f>
        <v>2310</v>
      </c>
      <c r="Q54" s="5">
        <f ca="1">SUM(OFFSET(Demand!$E63,0,(COLUMN(D51)-1)*5,1,3))*Q$2</f>
        <v>900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16035</v>
      </c>
      <c r="Y54" s="5">
        <f t="shared" ca="1" si="5"/>
        <v>16035</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16035</v>
      </c>
      <c r="AM54" s="5">
        <f t="shared" ca="1" si="9"/>
        <v>0</v>
      </c>
      <c r="AN54" s="5" t="str">
        <f>IF(Demand!BE63="Yes","Yes","")</f>
        <v/>
      </c>
      <c r="AP54" s="36" t="str">
        <f ca="1">Demand!B63</f>
        <v xml:space="preserve"> </v>
      </c>
      <c r="AQ54" s="5" t="str">
        <f ca="1">IF(TEXT(Demand!D63,"MMM")&lt;&gt;TEXT(Demand!D62,"MMM"),TEXT(Demand!D63,"MMM"),"")</f>
        <v/>
      </c>
      <c r="AT54" s="5">
        <f t="shared" ca="1" si="12"/>
        <v>798</v>
      </c>
      <c r="BQ54">
        <f ca="1">IF($AN54="",OFFSET(Demand!$A$13,ROW(A51)-1,4+((QUOTIENT(COLUMN(BQ$2)-69,3))*5)+MOD(COLUMN(BQ$2),3),1,1),"")</f>
        <v>9</v>
      </c>
      <c r="BR54">
        <f ca="1">IF($AN54="",OFFSET(Demand!$A$13,ROW(B51)-1,4+((QUOTIENT(COLUMN(BR$2)-69,3))*5)+MOD(COLUMN(BR$2),3),1,1),"")</f>
        <v>351</v>
      </c>
      <c r="BS54">
        <f ca="1">IF($AN54="",OFFSET(Demand!$A$13,ROW(C51)-1,4+((QUOTIENT(COLUMN(BS$2)-69,3))*5)+MOD(COLUMN(BS$2),3),1,1),"")</f>
        <v>91</v>
      </c>
      <c r="BT54">
        <f ca="1">IF($AN54="",OFFSET(Demand!$A$13,ROW(D51)-1,4+((QUOTIENT(COLUMN(BT$2)-69,3))*5)+MOD(COLUMN(BT$2),3),1,1),"")</f>
        <v>71</v>
      </c>
      <c r="BU54">
        <f ca="1">IF($AN54="",OFFSET(Demand!$A$13,ROW(E51)-1,4+((QUOTIENT(COLUMN(BU$2)-69,3))*5)+MOD(COLUMN(BU$2),3),1,1),"")</f>
        <v>275</v>
      </c>
      <c r="BV54">
        <f ca="1">IF($AN54="",OFFSET(Demand!$A$13,ROW(F51)-1,4+((QUOTIENT(COLUMN(BV$2)-69,3))*5)+MOD(COLUMN(BV$2),3),1,1),"")</f>
        <v>58</v>
      </c>
      <c r="BW54">
        <f ca="1">IF($AN54="",OFFSET(Demand!$A$13,ROW(G51)-1,4+((QUOTIENT(COLUMN(BW$2)-69,3))*5)+MOD(COLUMN(BW$2),3),1,1),"")</f>
        <v>71</v>
      </c>
      <c r="BX54">
        <f ca="1">IF($AN54="",OFFSET(Demand!$A$13,ROW(H51)-1,4+((QUOTIENT(COLUMN(BX$2)-69,3))*5)+MOD(COLUMN(BX$2),3),1,1),"")</f>
        <v>0</v>
      </c>
      <c r="BY54">
        <f ca="1">IF($AN54="",OFFSET(Demand!$A$13,ROW(I51)-1,4+((QUOTIENT(COLUMN(BY$2)-69,3))*5)+MOD(COLUMN(BY$2),3),1,1),"")</f>
        <v>6</v>
      </c>
      <c r="BZ54">
        <f ca="1">IF($AN54="",OFFSET(Demand!$A$13,ROW(J51)-1,4+((QUOTIENT(COLUMN(BZ$2)-69,3))*5)+MOD(COLUMN(BZ$2),3),1,1),"")</f>
        <v>18</v>
      </c>
      <c r="CA54">
        <f ca="1">IF($AN54="",OFFSET(Demand!$A$13,ROW(K51)-1,4+((QUOTIENT(COLUMN(CA$2)-69,3))*5)+MOD(COLUMN(CA$2),3),1,1),"")</f>
        <v>4</v>
      </c>
      <c r="CB54">
        <f ca="1">IF($AN54="",OFFSET(Demand!$A$13,ROW(L51)-1,4+((QUOTIENT(COLUMN(CB$2)-69,3))*5)+MOD(COLUMN(CB$2),3),1,1),"")</f>
        <v>8</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f ca="1">VLOOKUP(IF($DM54&lt;53,$DM54,52),'Summary Calculations (hide)'!$D$15:$F$67,2,0)</f>
        <v>14765</v>
      </c>
      <c r="DP54" s="5">
        <f ca="1">VLOOKUP(IF($DM54&lt;53,$DM54,52),'Summary Calculations (hide)'!$D$15:$F$67,3,0)</f>
        <v>15657.95</v>
      </c>
      <c r="DQ54" s="5">
        <f ca="1">IF(AND(DN54&gt;='Demand adjustments for Covid'!$F$12,DN54&lt;'Demand adjustments for Covid'!$F$17),'Demand adjustments for Covid'!$F$13,DO54)</f>
        <v>14765</v>
      </c>
      <c r="DR54" s="5">
        <f t="shared" si="33"/>
        <v>0</v>
      </c>
      <c r="DS54" s="5">
        <f ca="1">IF('Demand adjustments for Covid'!$F$9="Yes",IF(DR54=0,DQ54,((SUM(DR$4:DR54)-1)*$EE$8)+'Demand adjustments for Covid'!F$13),'Demand background (hide)'!DO54)</f>
        <v>14765</v>
      </c>
      <c r="DT54" s="5">
        <f ca="1">IF('Demand adjustments for Covid'!$F$9="Yes",IF(OR(AND(DN54&gt;='Demand adjustments for Covid'!$F$12,DN54&lt;'Demand adjustments for Covid'!$F$17),DR54=1),DS54+3,DP54),'Demand background (hide)'!DP54)</f>
        <v>15657.95</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15657.95</v>
      </c>
    </row>
    <row r="55" spans="1:132" s="5" customFormat="1" x14ac:dyDescent="0.2">
      <c r="A55" s="5">
        <f t="shared" ca="1" si="32"/>
        <v>0</v>
      </c>
      <c r="B55" s="5">
        <f ca="1">COUNTBLANK(OFFSET(Demand!$I64,0,(COLUMN(A52)-1)*5,1,1))</f>
        <v>0</v>
      </c>
      <c r="C55" s="5">
        <f ca="1">COUNTBLANK(OFFSET(Demand!$I64,0,(COLUMN(B52)-1)*5,1,1))</f>
        <v>0</v>
      </c>
      <c r="D55" s="5">
        <f ca="1">COUNTBLANK(OFFSET(Demand!$I64,0,(COLUMN(C52)-1)*5,1,1))</f>
        <v>0</v>
      </c>
      <c r="E55" s="5">
        <f ca="1">COUNTBLANK(OFFSET(Demand!$I64,0,(COLUMN(D52)-1)*5,1,1))</f>
        <v>0</v>
      </c>
      <c r="F55" s="5">
        <f ca="1">COUNTBLANK(OFFSET(Demand!$I64,0,(COLUMN(E52)-1)*5,1,1))</f>
        <v>0</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6735</v>
      </c>
      <c r="O55" s="5">
        <f ca="1">SUM(OFFSET(Demand!$E64,0,(COLUMN(B52)-1)*5,1,3))*O$2</f>
        <v>5460</v>
      </c>
      <c r="P55" s="5">
        <f ca="1">SUM(OFFSET(Demand!$E64,0,(COLUMN(C52)-1)*5,1,3))*P$2</f>
        <v>1980</v>
      </c>
      <c r="Q55" s="5">
        <f ca="1">SUM(OFFSET(Demand!$E64,0,(COLUMN(D52)-1)*5,1,3))*Q$2</f>
        <v>690</v>
      </c>
      <c r="R55" s="5">
        <f ca="1">SUM(OFFSET(Demand!$E64,0,(COLUMN(E52)-1)*5,1,3))*R$2</f>
        <v>2</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14867</v>
      </c>
      <c r="Y55" s="5">
        <f t="shared" ca="1" si="5"/>
        <v>14867</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14867</v>
      </c>
      <c r="AM55" s="5">
        <f t="shared" ca="1" si="9"/>
        <v>0</v>
      </c>
      <c r="AN55" s="5" t="str">
        <f>IF(Demand!BE64="Yes","Yes","")</f>
        <v/>
      </c>
      <c r="AP55" s="36" t="str">
        <f ca="1">Demand!B64</f>
        <v xml:space="preserve"> </v>
      </c>
      <c r="AQ55" s="5" t="str">
        <f ca="1">IF(TEXT(Demand!D64,"MMM")&lt;&gt;TEXT(Demand!D63,"MMM"),TEXT(Demand!D64,"MMM"),"")</f>
        <v/>
      </c>
      <c r="AT55" s="5">
        <f t="shared" ca="1" si="12"/>
        <v>1168</v>
      </c>
      <c r="BQ55">
        <f ca="1">IF($AN55="",OFFSET(Demand!$A$13,ROW(A52)-1,4+((QUOTIENT(COLUMN(BQ$2)-69,3))*5)+MOD(COLUMN(BQ$2),3),1,1),"")</f>
        <v>8</v>
      </c>
      <c r="BR55">
        <f ca="1">IF($AN55="",OFFSET(Demand!$A$13,ROW(B52)-1,4+((QUOTIENT(COLUMN(BR$2)-69,3))*5)+MOD(COLUMN(BR$2),3),1,1),"")</f>
        <v>356</v>
      </c>
      <c r="BS55">
        <f ca="1">IF($AN55="",OFFSET(Demand!$A$13,ROW(C52)-1,4+((QUOTIENT(COLUMN(BS$2)-69,3))*5)+MOD(COLUMN(BS$2),3),1,1),"")</f>
        <v>85</v>
      </c>
      <c r="BT55">
        <f ca="1">IF($AN55="",OFFSET(Demand!$A$13,ROW(D52)-1,4+((QUOTIENT(COLUMN(BT$2)-69,3))*5)+MOD(COLUMN(BT$2),3),1,1),"")</f>
        <v>63</v>
      </c>
      <c r="BU55">
        <f ca="1">IF($AN55="",OFFSET(Demand!$A$13,ROW(E52)-1,4+((QUOTIENT(COLUMN(BU$2)-69,3))*5)+MOD(COLUMN(BU$2),3),1,1),"")</f>
        <v>243</v>
      </c>
      <c r="BV55">
        <f ca="1">IF($AN55="",OFFSET(Demand!$A$13,ROW(F52)-1,4+((QUOTIENT(COLUMN(BV$2)-69,3))*5)+MOD(COLUMN(BV$2),3),1,1),"")</f>
        <v>58</v>
      </c>
      <c r="BW55">
        <f ca="1">IF($AN55="",OFFSET(Demand!$A$13,ROW(G52)-1,4+((QUOTIENT(COLUMN(BW$2)-69,3))*5)+MOD(COLUMN(BW$2),3),1,1),"")</f>
        <v>63</v>
      </c>
      <c r="BX55">
        <f ca="1">IF($AN55="",OFFSET(Demand!$A$13,ROW(H52)-1,4+((QUOTIENT(COLUMN(BX$2)-69,3))*5)+MOD(COLUMN(BX$2),3),1,1),"")</f>
        <v>0</v>
      </c>
      <c r="BY55">
        <f ca="1">IF($AN55="",OFFSET(Demand!$A$13,ROW(I52)-1,4+((QUOTIENT(COLUMN(BY$2)-69,3))*5)+MOD(COLUMN(BY$2),3),1,1),"")</f>
        <v>3</v>
      </c>
      <c r="BZ55">
        <f ca="1">IF($AN55="",OFFSET(Demand!$A$13,ROW(J52)-1,4+((QUOTIENT(COLUMN(BZ$2)-69,3))*5)+MOD(COLUMN(BZ$2),3),1,1),"")</f>
        <v>15</v>
      </c>
      <c r="CA55">
        <f ca="1">IF($AN55="",OFFSET(Demand!$A$13,ROW(K52)-1,4+((QUOTIENT(COLUMN(CA$2)-69,3))*5)+MOD(COLUMN(CA$2),3),1,1),"")</f>
        <v>1</v>
      </c>
      <c r="CB55">
        <f ca="1">IF($AN55="",OFFSET(Demand!$A$13,ROW(L52)-1,4+((QUOTIENT(COLUMN(CB$2)-69,3))*5)+MOD(COLUMN(CB$2),3),1,1),"")</f>
        <v>7</v>
      </c>
      <c r="CC55">
        <f ca="1">IF($AN55="",OFFSET(Demand!$A$13,ROW(M52)-1,4+((QUOTIENT(COLUMN(CC$2)-69,3))*5)+MOD(COLUMN(CC$2),3),1,1),"")</f>
        <v>1</v>
      </c>
      <c r="CD55">
        <f ca="1">IF($AN55="",OFFSET(Demand!$A$13,ROW(N52)-1,4+((QUOTIENT(COLUMN(CD$2)-69,3))*5)+MOD(COLUMN(CD$2),3),1,1),"")</f>
        <v>1</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f ca="1">VLOOKUP(IF($DM55&lt;53,$DM55,52),'Summary Calculations (hide)'!$D$15:$F$67,2,0)</f>
        <v>14765</v>
      </c>
      <c r="DP55" s="5">
        <f ca="1">VLOOKUP(IF($DM55&lt;53,$DM55,52),'Summary Calculations (hide)'!$D$15:$F$67,3,0)</f>
        <v>15657.95</v>
      </c>
      <c r="DQ55" s="5">
        <f ca="1">IF(AND(DN55&gt;='Demand adjustments for Covid'!$F$12,DN55&lt;'Demand adjustments for Covid'!$F$17),'Demand adjustments for Covid'!$F$13,DO55)</f>
        <v>14765</v>
      </c>
      <c r="DR55" s="5">
        <f t="shared" si="33"/>
        <v>0</v>
      </c>
      <c r="DS55" s="5">
        <f ca="1">IF('Demand adjustments for Covid'!$F$9="Yes",IF(DR55=0,DQ55,((SUM(DR$4:DR55)-1)*$EE$8)+'Demand adjustments for Covid'!F$13),'Demand background (hide)'!DO55)</f>
        <v>14765</v>
      </c>
      <c r="DT55" s="5">
        <f ca="1">IF('Demand adjustments for Covid'!$F$9="Yes",IF(OR(AND(DN55&gt;='Demand adjustments for Covid'!$F$12,DN55&lt;'Demand adjustments for Covid'!$F$17),DR55=1),DS55+3,DP55),'Demand background (hide)'!DP55)</f>
        <v>15657.95</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15657.95</v>
      </c>
    </row>
    <row r="56" spans="1:132" x14ac:dyDescent="0.2">
      <c r="A56" s="5">
        <f t="shared" ref="A56:A119" ca="1" si="34">SUM(OFFSET(B56,0,0,1,Num_Modalities))</f>
        <v>0</v>
      </c>
      <c r="B56" s="5">
        <f ca="1">COUNTBLANK(OFFSET(Demand!$I65,0,(COLUMN(A53)-1)*5,1,1))</f>
        <v>0</v>
      </c>
      <c r="C56" s="5">
        <f ca="1">COUNTBLANK(OFFSET(Demand!$I65,0,(COLUMN(B53)-1)*5,1,1))</f>
        <v>0</v>
      </c>
      <c r="D56" s="5">
        <f ca="1">COUNTBLANK(OFFSET(Demand!$I65,0,(COLUMN(C53)-1)*5,1,1))</f>
        <v>0</v>
      </c>
      <c r="E56" s="5">
        <f ca="1">COUNTBLANK(OFFSET(Demand!$I65,0,(COLUMN(D53)-1)*5,1,1))</f>
        <v>0</v>
      </c>
      <c r="F56" s="5">
        <f ca="1">COUNTBLANK(OFFSET(Demand!$I65,0,(COLUMN(E53)-1)*5,1,1))</f>
        <v>0</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7005</v>
      </c>
      <c r="O56" s="5">
        <f ca="1">SUM(OFFSET(Demand!$E65,0,(COLUMN(B53)-1)*5,1,3))*O$2</f>
        <v>5595</v>
      </c>
      <c r="P56" s="5">
        <f ca="1">SUM(OFFSET(Demand!$E65,0,(COLUMN(C53)-1)*5,1,3))*P$2</f>
        <v>870</v>
      </c>
      <c r="Q56" s="5">
        <f ca="1">SUM(OFFSET(Demand!$E65,0,(COLUMN(D53)-1)*5,1,3))*Q$2</f>
        <v>750</v>
      </c>
      <c r="R56" s="5">
        <f ca="1">SUM(OFFSET(Demand!$E65,0,(COLUMN(E53)-1)*5,1,3))*R$2</f>
        <v>1</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14221</v>
      </c>
      <c r="Y56">
        <f t="shared" ca="1" si="5"/>
        <v>14221</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14221</v>
      </c>
      <c r="AM56" s="5">
        <f t="shared" ca="1" si="9"/>
        <v>0</v>
      </c>
      <c r="AN56" s="5" t="str">
        <f>IF(Demand!BE65="Yes","Yes","")</f>
        <v/>
      </c>
      <c r="AP56" s="36" t="str">
        <f ca="1">Demand!B65</f>
        <v xml:space="preserve"> </v>
      </c>
      <c r="AQ56" t="str">
        <f ca="1">IF(TEXT(Demand!D65,"MMM")&lt;&gt;TEXT(Demand!D64,"MMM"),TEXT(Demand!D65,"MMM"),"")</f>
        <v>Apr</v>
      </c>
      <c r="AT56" s="5">
        <f t="shared" ca="1" si="12"/>
        <v>646</v>
      </c>
      <c r="BQ56">
        <f ca="1">IF($AN56="",OFFSET(Demand!$A$13,ROW(A53)-1,4+((QUOTIENT(COLUMN(BQ$2)-69,3))*5)+MOD(COLUMN(BQ$2),3),1,1),"")</f>
        <v>8</v>
      </c>
      <c r="BR56">
        <f ca="1">IF($AN56="",OFFSET(Demand!$A$13,ROW(B53)-1,4+((QUOTIENT(COLUMN(BR$2)-69,3))*5)+MOD(COLUMN(BR$2),3),1,1),"")</f>
        <v>372</v>
      </c>
      <c r="BS56">
        <f ca="1">IF($AN56="",OFFSET(Demand!$A$13,ROW(C53)-1,4+((QUOTIENT(COLUMN(BS$2)-69,3))*5)+MOD(COLUMN(BS$2),3),1,1),"")</f>
        <v>87</v>
      </c>
      <c r="BT56">
        <f ca="1">IF($AN56="",OFFSET(Demand!$A$13,ROW(D53)-1,4+((QUOTIENT(COLUMN(BT$2)-69,3))*5)+MOD(COLUMN(BT$2),3),1,1),"")</f>
        <v>67</v>
      </c>
      <c r="BU56">
        <f ca="1">IF($AN56="",OFFSET(Demand!$A$13,ROW(E53)-1,4+((QUOTIENT(COLUMN(BU$2)-69,3))*5)+MOD(COLUMN(BU$2),3),1,1),"")</f>
        <v>258</v>
      </c>
      <c r="BV56">
        <f ca="1">IF($AN56="",OFFSET(Demand!$A$13,ROW(F53)-1,4+((QUOTIENT(COLUMN(BV$2)-69,3))*5)+MOD(COLUMN(BV$2),3),1,1),"")</f>
        <v>48</v>
      </c>
      <c r="BW56">
        <f ca="1">IF($AN56="",OFFSET(Demand!$A$13,ROW(G53)-1,4+((QUOTIENT(COLUMN(BW$2)-69,3))*5)+MOD(COLUMN(BW$2),3),1,1),"")</f>
        <v>14</v>
      </c>
      <c r="BX56">
        <f ca="1">IF($AN56="",OFFSET(Demand!$A$13,ROW(H53)-1,4+((QUOTIENT(COLUMN(BX$2)-69,3))*5)+MOD(COLUMN(BX$2),3),1,1),"")</f>
        <v>1</v>
      </c>
      <c r="BY56">
        <f ca="1">IF($AN56="",OFFSET(Demand!$A$13,ROW(I53)-1,4+((QUOTIENT(COLUMN(BY$2)-69,3))*5)+MOD(COLUMN(BY$2),3),1,1),"")</f>
        <v>14</v>
      </c>
      <c r="BZ56">
        <f ca="1">IF($AN56="",OFFSET(Demand!$A$13,ROW(J53)-1,4+((QUOTIENT(COLUMN(BZ$2)-69,3))*5)+MOD(COLUMN(BZ$2),3),1,1),"")</f>
        <v>13</v>
      </c>
      <c r="CA56">
        <f ca="1">IF($AN56="",OFFSET(Demand!$A$13,ROW(K53)-1,4+((QUOTIENT(COLUMN(CA$2)-69,3))*5)+MOD(COLUMN(CA$2),3),1,1),"")</f>
        <v>5</v>
      </c>
      <c r="CB56">
        <f ca="1">IF($AN56="",OFFSET(Demand!$A$13,ROW(L53)-1,4+((QUOTIENT(COLUMN(CB$2)-69,3))*5)+MOD(COLUMN(CB$2),3),1,1),"")</f>
        <v>7</v>
      </c>
      <c r="CC56">
        <f ca="1">IF($AN56="",OFFSET(Demand!$A$13,ROW(M53)-1,4+((QUOTIENT(COLUMN(CC$2)-69,3))*5)+MOD(COLUMN(CC$2),3),1,1),"")</f>
        <v>1</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f ca="1">VLOOKUP(IF($DM56&lt;53,$DM56,52),'Summary Calculations (hide)'!$D$15:$F$67,2,0)</f>
        <v>14765</v>
      </c>
      <c r="DP56" s="5">
        <f ca="1">VLOOKUP(IF($DM56&lt;53,$DM56,52),'Summary Calculations (hide)'!$D$15:$F$67,3,0)</f>
        <v>15657.95</v>
      </c>
      <c r="DQ56" s="5">
        <f ca="1">IF(AND(DN56&gt;='Demand adjustments for Covid'!$F$12,DN56&lt;'Demand adjustments for Covid'!$F$17),'Demand adjustments for Covid'!$F$13,DO56)</f>
        <v>14765</v>
      </c>
      <c r="DR56" s="5">
        <f t="shared" ref="DR56" si="35">IF(AND(ROW(A53)&gt;=$EE$4,ROW(A53)&lt;=$EE$5),1,0)</f>
        <v>0</v>
      </c>
      <c r="DS56" s="5">
        <f ca="1">IF('Demand adjustments for Covid'!$F$9="Yes",IF(DR56=0,DQ56,((SUM(DR$4:DR56)-1)*$EE$8)+'Demand adjustments for Covid'!F$13),'Demand background (hide)'!DO56)</f>
        <v>14765</v>
      </c>
      <c r="DT56" s="5">
        <f ca="1">IF('Demand adjustments for Covid'!$F$9="Yes",IF(OR(AND(DN56&gt;='Demand adjustments for Covid'!$F$12,DN56&lt;'Demand adjustments for Covid'!$F$17),DR56=1),DS56+3,DP56),'Demand background (hide)'!DP56)</f>
        <v>15657.95</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15657.95</v>
      </c>
      <c r="DY56" s="5"/>
      <c r="DZ56" s="5"/>
      <c r="EA56" s="5"/>
      <c r="EB56" s="5"/>
    </row>
    <row r="57" spans="1:132" x14ac:dyDescent="0.2">
      <c r="A57" s="5">
        <f t="shared" ca="1" si="34"/>
        <v>0</v>
      </c>
      <c r="B57" s="5">
        <f ca="1">COUNTBLANK(OFFSET(Demand!$I66,0,(COLUMN(A54)-1)*5,1,1))</f>
        <v>0</v>
      </c>
      <c r="C57" s="5">
        <f ca="1">COUNTBLANK(OFFSET(Demand!$I66,0,(COLUMN(B54)-1)*5,1,1))</f>
        <v>0</v>
      </c>
      <c r="D57" s="5">
        <f ca="1">COUNTBLANK(OFFSET(Demand!$I66,0,(COLUMN(C54)-1)*5,1,1))</f>
        <v>0</v>
      </c>
      <c r="E57" s="5">
        <f ca="1">COUNTBLANK(OFFSET(Demand!$I66,0,(COLUMN(D54)-1)*5,1,1))</f>
        <v>0</v>
      </c>
      <c r="F57" s="5">
        <f ca="1">COUNTBLANK(OFFSET(Demand!$I66,0,(COLUMN(E54)-1)*5,1,1))</f>
        <v>0</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6645</v>
      </c>
      <c r="O57" s="5">
        <f ca="1">SUM(OFFSET(Demand!$E66,0,(COLUMN(B54)-1)*5,1,3))*O$2</f>
        <v>5685</v>
      </c>
      <c r="P57" s="5">
        <f ca="1">SUM(OFFSET(Demand!$E66,0,(COLUMN(C54)-1)*5,1,3))*P$2</f>
        <v>300</v>
      </c>
      <c r="Q57" s="5">
        <f ca="1">SUM(OFFSET(Demand!$E66,0,(COLUMN(D54)-1)*5,1,3))*Q$2</f>
        <v>870</v>
      </c>
      <c r="R57" s="5">
        <f ca="1">SUM(OFFSET(Demand!$E66,0,(COLUMN(E54)-1)*5,1,3))*R$2</f>
        <v>1</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13501</v>
      </c>
      <c r="Y57">
        <f t="shared" ca="1" si="5"/>
        <v>13501</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13501</v>
      </c>
      <c r="AM57" s="5">
        <f t="shared" ca="1" si="9"/>
        <v>0</v>
      </c>
      <c r="AN57" s="5" t="str">
        <f>IF(Demand!BE66="Yes","Yes","")</f>
        <v/>
      </c>
      <c r="AP57" s="36" t="str">
        <f ca="1">Demand!B66</f>
        <v xml:space="preserve"> </v>
      </c>
      <c r="AQ57" t="str">
        <f ca="1">IF(TEXT(Demand!D66,"MMM")&lt;&gt;TEXT(Demand!D65,"MMM"),TEXT(Demand!D66,"MMM"),"")</f>
        <v/>
      </c>
      <c r="AT57" s="5">
        <f t="shared" ca="1" si="12"/>
        <v>720</v>
      </c>
      <c r="BQ57">
        <f ca="1">IF($AN57="",OFFSET(Demand!$A$13,ROW(A54)-1,4+((QUOTIENT(COLUMN(BQ$2)-69,3))*5)+MOD(COLUMN(BQ$2),3),1,1),"")</f>
        <v>7</v>
      </c>
      <c r="BR57">
        <f ca="1">IF($AN57="",OFFSET(Demand!$A$13,ROW(B54)-1,4+((QUOTIENT(COLUMN(BR$2)-69,3))*5)+MOD(COLUMN(BR$2),3),1,1),"")</f>
        <v>366</v>
      </c>
      <c r="BS57">
        <f ca="1">IF($AN57="",OFFSET(Demand!$A$13,ROW(C54)-1,4+((QUOTIENT(COLUMN(BS$2)-69,3))*5)+MOD(COLUMN(BS$2),3),1,1),"")</f>
        <v>70</v>
      </c>
      <c r="BT57">
        <f ca="1">IF($AN57="",OFFSET(Demand!$A$13,ROW(D54)-1,4+((QUOTIENT(COLUMN(BT$2)-69,3))*5)+MOD(COLUMN(BT$2),3),1,1),"")</f>
        <v>85</v>
      </c>
      <c r="BU57">
        <f ca="1">IF($AN57="",OFFSET(Demand!$A$13,ROW(E54)-1,4+((QUOTIENT(COLUMN(BU$2)-69,3))*5)+MOD(COLUMN(BU$2),3),1,1),"")</f>
        <v>254</v>
      </c>
      <c r="BV57">
        <f ca="1">IF($AN57="",OFFSET(Demand!$A$13,ROW(F54)-1,4+((QUOTIENT(COLUMN(BV$2)-69,3))*5)+MOD(COLUMN(BV$2),3),1,1),"")</f>
        <v>40</v>
      </c>
      <c r="BW57">
        <f ca="1">IF($AN57="",OFFSET(Demand!$A$13,ROW(G54)-1,4+((QUOTIENT(COLUMN(BW$2)-69,3))*5)+MOD(COLUMN(BW$2),3),1,1),"")</f>
        <v>4</v>
      </c>
      <c r="BX57">
        <f ca="1">IF($AN57="",OFFSET(Demand!$A$13,ROW(H54)-1,4+((QUOTIENT(COLUMN(BX$2)-69,3))*5)+MOD(COLUMN(BX$2),3),1,1),"")</f>
        <v>2</v>
      </c>
      <c r="BY57">
        <f ca="1">IF($AN57="",OFFSET(Demand!$A$13,ROW(I54)-1,4+((QUOTIENT(COLUMN(BY$2)-69,3))*5)+MOD(COLUMN(BY$2),3),1,1),"")</f>
        <v>4</v>
      </c>
      <c r="BZ57">
        <f ca="1">IF($AN57="",OFFSET(Demand!$A$13,ROW(J54)-1,4+((QUOTIENT(COLUMN(BZ$2)-69,3))*5)+MOD(COLUMN(BZ$2),3),1,1),"")</f>
        <v>21</v>
      </c>
      <c r="CA57">
        <f ca="1">IF($AN57="",OFFSET(Demand!$A$13,ROW(K54)-1,4+((QUOTIENT(COLUMN(CA$2)-69,3))*5)+MOD(COLUMN(CA$2),3),1,1),"")</f>
        <v>2</v>
      </c>
      <c r="CB57">
        <f ca="1">IF($AN57="",OFFSET(Demand!$A$13,ROW(L54)-1,4+((QUOTIENT(COLUMN(CB$2)-69,3))*5)+MOD(COLUMN(CB$2),3),1,1),"")</f>
        <v>6</v>
      </c>
      <c r="CC57">
        <f ca="1">IF($AN57="",OFFSET(Demand!$A$13,ROW(M54)-1,4+((QUOTIENT(COLUMN(CC$2)-69,3))*5)+MOD(COLUMN(CC$2),3),1,1),"")</f>
        <v>0</v>
      </c>
      <c r="CD57">
        <f ca="1">IF($AN57="",OFFSET(Demand!$A$13,ROW(N54)-1,4+((QUOTIENT(COLUMN(CD$2)-69,3))*5)+MOD(COLUMN(CD$2),3),1,1),"")</f>
        <v>1</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0</v>
      </c>
      <c r="B58" s="5">
        <f ca="1">COUNTBLANK(OFFSET(Demand!$I67,0,(COLUMN(A55)-1)*5,1,1))</f>
        <v>0</v>
      </c>
      <c r="C58" s="5">
        <f ca="1">COUNTBLANK(OFFSET(Demand!$I67,0,(COLUMN(B55)-1)*5,1,1))</f>
        <v>0</v>
      </c>
      <c r="D58" s="5">
        <f ca="1">COUNTBLANK(OFFSET(Demand!$I67,0,(COLUMN(C55)-1)*5,1,1))</f>
        <v>0</v>
      </c>
      <c r="E58" s="5">
        <f ca="1">COUNTBLANK(OFFSET(Demand!$I67,0,(COLUMN(D55)-1)*5,1,1))</f>
        <v>0</v>
      </c>
      <c r="F58" s="5">
        <f ca="1">COUNTBLANK(OFFSET(Demand!$I67,0,(COLUMN(E55)-1)*5,1,1))</f>
        <v>0</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5970</v>
      </c>
      <c r="O58" s="5">
        <f ca="1">SUM(OFFSET(Demand!$E67,0,(COLUMN(B55)-1)*5,1,3))*O$2</f>
        <v>4770</v>
      </c>
      <c r="P58" s="5">
        <f ca="1">SUM(OFFSET(Demand!$E67,0,(COLUMN(C55)-1)*5,1,3))*P$2</f>
        <v>330</v>
      </c>
      <c r="Q58" s="5">
        <f ca="1">SUM(OFFSET(Demand!$E67,0,(COLUMN(D55)-1)*5,1,3))*Q$2</f>
        <v>630</v>
      </c>
      <c r="R58" s="5">
        <f ca="1">SUM(OFFSET(Demand!$E67,0,(COLUMN(E55)-1)*5,1,3))*R$2</f>
        <v>2</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11702</v>
      </c>
      <c r="Y58">
        <f t="shared" ca="1" si="5"/>
        <v>11702</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11702</v>
      </c>
      <c r="AM58" s="5">
        <f t="shared" ca="1" si="9"/>
        <v>0</v>
      </c>
      <c r="AN58" s="5" t="str">
        <f>IF(Demand!BE67="Yes","Yes","")</f>
        <v/>
      </c>
      <c r="AP58" s="36" t="str">
        <f ca="1">Demand!B67</f>
        <v xml:space="preserve"> </v>
      </c>
      <c r="AQ58" t="str">
        <f ca="1">IF(TEXT(Demand!D67,"MMM")&lt;&gt;TEXT(Demand!D66,"MMM"),TEXT(Demand!D67,"MMM"),"")</f>
        <v/>
      </c>
      <c r="AT58" s="5">
        <f t="shared" ca="1" si="12"/>
        <v>1799</v>
      </c>
      <c r="BQ58">
        <f ca="1">IF($AN58="",OFFSET(Demand!$A$13,ROW(A55)-1,4+((QUOTIENT(COLUMN(BQ$2)-69,3))*5)+MOD(COLUMN(BQ$2),3),1,1),"")</f>
        <v>5</v>
      </c>
      <c r="BR58">
        <f ca="1">IF($AN58="",OFFSET(Demand!$A$13,ROW(B55)-1,4+((QUOTIENT(COLUMN(BR$2)-69,3))*5)+MOD(COLUMN(BR$2),3),1,1),"")</f>
        <v>320</v>
      </c>
      <c r="BS58">
        <f ca="1">IF($AN58="",OFFSET(Demand!$A$13,ROW(C55)-1,4+((QUOTIENT(COLUMN(BS$2)-69,3))*5)+MOD(COLUMN(BS$2),3),1,1),"")</f>
        <v>73</v>
      </c>
      <c r="BT58">
        <f ca="1">IF($AN58="",OFFSET(Demand!$A$13,ROW(D55)-1,4+((QUOTIENT(COLUMN(BT$2)-69,3))*5)+MOD(COLUMN(BT$2),3),1,1),"")</f>
        <v>53</v>
      </c>
      <c r="BU58">
        <f ca="1">IF($AN58="",OFFSET(Demand!$A$13,ROW(E55)-1,4+((QUOTIENT(COLUMN(BU$2)-69,3))*5)+MOD(COLUMN(BU$2),3),1,1),"")</f>
        <v>223</v>
      </c>
      <c r="BV58">
        <f ca="1">IF($AN58="",OFFSET(Demand!$A$13,ROW(F55)-1,4+((QUOTIENT(COLUMN(BV$2)-69,3))*5)+MOD(COLUMN(BV$2),3),1,1),"")</f>
        <v>42</v>
      </c>
      <c r="BW58">
        <f ca="1">IF($AN58="",OFFSET(Demand!$A$13,ROW(G55)-1,4+((QUOTIENT(COLUMN(BW$2)-69,3))*5)+MOD(COLUMN(BW$2),3),1,1),"")</f>
        <v>5</v>
      </c>
      <c r="BX58">
        <f ca="1">IF($AN58="",OFFSET(Demand!$A$13,ROW(H55)-1,4+((QUOTIENT(COLUMN(BX$2)-69,3))*5)+MOD(COLUMN(BX$2),3),1,1),"")</f>
        <v>1</v>
      </c>
      <c r="BY58">
        <f ca="1">IF($AN58="",OFFSET(Demand!$A$13,ROW(I55)-1,4+((QUOTIENT(COLUMN(BY$2)-69,3))*5)+MOD(COLUMN(BY$2),3),1,1),"")</f>
        <v>5</v>
      </c>
      <c r="BZ58">
        <f ca="1">IF($AN58="",OFFSET(Demand!$A$13,ROW(J55)-1,4+((QUOTIENT(COLUMN(BZ$2)-69,3))*5)+MOD(COLUMN(BZ$2),3),1,1),"")</f>
        <v>12</v>
      </c>
      <c r="CA58">
        <f ca="1">IF($AN58="",OFFSET(Demand!$A$13,ROW(K55)-1,4+((QUOTIENT(COLUMN(CA$2)-69,3))*5)+MOD(COLUMN(CA$2),3),1,1),"")</f>
        <v>5</v>
      </c>
      <c r="CB58">
        <f ca="1">IF($AN58="",OFFSET(Demand!$A$13,ROW(L55)-1,4+((QUOTIENT(COLUMN(CB$2)-69,3))*5)+MOD(COLUMN(CB$2),3),1,1),"")</f>
        <v>4</v>
      </c>
      <c r="CC58">
        <f ca="1">IF($AN58="",OFFSET(Demand!$A$13,ROW(M55)-1,4+((QUOTIENT(COLUMN(CC$2)-69,3))*5)+MOD(COLUMN(CC$2),3),1,1),"")</f>
        <v>1</v>
      </c>
      <c r="CD58">
        <f ca="1">IF($AN58="",OFFSET(Demand!$A$13,ROW(N55)-1,4+((QUOTIENT(COLUMN(CD$2)-69,3))*5)+MOD(COLUMN(CD$2),3),1,1),"")</f>
        <v>0</v>
      </c>
      <c r="CE58">
        <f ca="1">IF($AN58="",OFFSET(Demand!$A$13,ROW(O55)-1,4+((QUOTIENT(COLUMN(CE$2)-69,3))*5)+MOD(COLUMN(CE$2),3),1,1),"")</f>
        <v>1</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0</v>
      </c>
      <c r="B59" s="5">
        <f ca="1">COUNTBLANK(OFFSET(Demand!$I68,0,(COLUMN(A56)-1)*5,1,1))</f>
        <v>0</v>
      </c>
      <c r="C59" s="5">
        <f ca="1">COUNTBLANK(OFFSET(Demand!$I68,0,(COLUMN(B56)-1)*5,1,1))</f>
        <v>0</v>
      </c>
      <c r="D59" s="5">
        <f ca="1">COUNTBLANK(OFFSET(Demand!$I68,0,(COLUMN(C56)-1)*5,1,1))</f>
        <v>0</v>
      </c>
      <c r="E59" s="5">
        <f ca="1">COUNTBLANK(OFFSET(Demand!$I68,0,(COLUMN(D56)-1)*5,1,1))</f>
        <v>0</v>
      </c>
      <c r="F59" s="5">
        <f ca="1">COUNTBLANK(OFFSET(Demand!$I68,0,(COLUMN(E56)-1)*5,1,1))</f>
        <v>0</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7470</v>
      </c>
      <c r="O59" s="5">
        <f ca="1">SUM(OFFSET(Demand!$E68,0,(COLUMN(B56)-1)*5,1,3))*O$2</f>
        <v>5760</v>
      </c>
      <c r="P59" s="5">
        <f ca="1">SUM(OFFSET(Demand!$E68,0,(COLUMN(C56)-1)*5,1,3))*P$2</f>
        <v>240</v>
      </c>
      <c r="Q59" s="5">
        <f ca="1">SUM(OFFSET(Demand!$E68,0,(COLUMN(D56)-1)*5,1,3))*Q$2</f>
        <v>510</v>
      </c>
      <c r="R59" s="5">
        <f ca="1">SUM(OFFSET(Demand!$E68,0,(COLUMN(E56)-1)*5,1,3))*R$2</f>
        <v>1</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13981</v>
      </c>
      <c r="Y59">
        <f t="shared" ca="1" si="5"/>
        <v>13981</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13981</v>
      </c>
      <c r="AM59" s="5">
        <f t="shared" ca="1" si="9"/>
        <v>0</v>
      </c>
      <c r="AN59" s="5" t="str">
        <f>IF(Demand!BE68="Yes","Yes","")</f>
        <v/>
      </c>
      <c r="AP59" s="36" t="str">
        <f ca="1">Demand!B68</f>
        <v xml:space="preserve"> </v>
      </c>
      <c r="AQ59" t="str">
        <f ca="1">IF(TEXT(Demand!D68,"MMM")&lt;&gt;TEXT(Demand!D67,"MMM"),TEXT(Demand!D68,"MMM"),"")</f>
        <v/>
      </c>
      <c r="AT59" s="5">
        <f t="shared" ca="1" si="12"/>
        <v>2279</v>
      </c>
      <c r="BQ59">
        <f ca="1">IF($AN59="",OFFSET(Demand!$A$13,ROW(A56)-1,4+((QUOTIENT(COLUMN(BQ$2)-69,3))*5)+MOD(COLUMN(BQ$2),3),1,1),"")</f>
        <v>7</v>
      </c>
      <c r="BR59">
        <f ca="1">IF($AN59="",OFFSET(Demand!$A$13,ROW(B56)-1,4+((QUOTIENT(COLUMN(BR$2)-69,3))*5)+MOD(COLUMN(BR$2),3),1,1),"")</f>
        <v>386</v>
      </c>
      <c r="BS59">
        <f ca="1">IF($AN59="",OFFSET(Demand!$A$13,ROW(C56)-1,4+((QUOTIENT(COLUMN(BS$2)-69,3))*5)+MOD(COLUMN(BS$2),3),1,1),"")</f>
        <v>105</v>
      </c>
      <c r="BT59">
        <f ca="1">IF($AN59="",OFFSET(Demand!$A$13,ROW(D56)-1,4+((QUOTIENT(COLUMN(BT$2)-69,3))*5)+MOD(COLUMN(BT$2),3),1,1),"")</f>
        <v>72</v>
      </c>
      <c r="BU59">
        <f ca="1">IF($AN59="",OFFSET(Demand!$A$13,ROW(E56)-1,4+((QUOTIENT(COLUMN(BU$2)-69,3))*5)+MOD(COLUMN(BU$2),3),1,1),"")</f>
        <v>265</v>
      </c>
      <c r="BV59">
        <f ca="1">IF($AN59="",OFFSET(Demand!$A$13,ROW(F56)-1,4+((QUOTIENT(COLUMN(BV$2)-69,3))*5)+MOD(COLUMN(BV$2),3),1,1),"")</f>
        <v>47</v>
      </c>
      <c r="BW59">
        <f ca="1">IF($AN59="",OFFSET(Demand!$A$13,ROW(G56)-1,4+((QUOTIENT(COLUMN(BW$2)-69,3))*5)+MOD(COLUMN(BW$2),3),1,1),"")</f>
        <v>4</v>
      </c>
      <c r="BX59">
        <f ca="1">IF($AN59="",OFFSET(Demand!$A$13,ROW(H56)-1,4+((QUOTIENT(COLUMN(BX$2)-69,3))*5)+MOD(COLUMN(BX$2),3),1,1),"")</f>
        <v>0</v>
      </c>
      <c r="BY59">
        <f ca="1">IF($AN59="",OFFSET(Demand!$A$13,ROW(I56)-1,4+((QUOTIENT(COLUMN(BY$2)-69,3))*5)+MOD(COLUMN(BY$2),3),1,1),"")</f>
        <v>4</v>
      </c>
      <c r="BZ59">
        <f ca="1">IF($AN59="",OFFSET(Demand!$A$13,ROW(J56)-1,4+((QUOTIENT(COLUMN(BZ$2)-69,3))*5)+MOD(COLUMN(BZ$2),3),1,1),"")</f>
        <v>10</v>
      </c>
      <c r="CA59">
        <f ca="1">IF($AN59="",OFFSET(Demand!$A$13,ROW(K56)-1,4+((QUOTIENT(COLUMN(CA$2)-69,3))*5)+MOD(COLUMN(CA$2),3),1,1),"")</f>
        <v>2</v>
      </c>
      <c r="CB59">
        <f ca="1">IF($AN59="",OFFSET(Demand!$A$13,ROW(L56)-1,4+((QUOTIENT(COLUMN(CB$2)-69,3))*5)+MOD(COLUMN(CB$2),3),1,1),"")</f>
        <v>5</v>
      </c>
      <c r="CC59">
        <f ca="1">IF($AN59="",OFFSET(Demand!$A$13,ROW(M56)-1,4+((QUOTIENT(COLUMN(CC$2)-69,3))*5)+MOD(COLUMN(CC$2),3),1,1),"")</f>
        <v>1</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0</v>
      </c>
      <c r="B60" s="5">
        <f ca="1">COUNTBLANK(OFFSET(Demand!$I69,0,(COLUMN(A57)-1)*5,1,1))</f>
        <v>0</v>
      </c>
      <c r="C60" s="5">
        <f ca="1">COUNTBLANK(OFFSET(Demand!$I69,0,(COLUMN(B57)-1)*5,1,1))</f>
        <v>0</v>
      </c>
      <c r="D60" s="5">
        <f ca="1">COUNTBLANK(OFFSET(Demand!$I69,0,(COLUMN(C57)-1)*5,1,1))</f>
        <v>0</v>
      </c>
      <c r="E60" s="5">
        <f ca="1">COUNTBLANK(OFFSET(Demand!$I69,0,(COLUMN(D57)-1)*5,1,1))</f>
        <v>0</v>
      </c>
      <c r="F60" s="5">
        <f ca="1">COUNTBLANK(OFFSET(Demand!$I69,0,(COLUMN(E57)-1)*5,1,1))</f>
        <v>0</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7005</v>
      </c>
      <c r="O60" s="5">
        <f ca="1">SUM(OFFSET(Demand!$E69,0,(COLUMN(B57)-1)*5,1,3))*O$2</f>
        <v>5565</v>
      </c>
      <c r="P60" s="5">
        <f ca="1">SUM(OFFSET(Demand!$E69,0,(COLUMN(C57)-1)*5,1,3))*P$2</f>
        <v>390</v>
      </c>
      <c r="Q60" s="5">
        <f ca="1">SUM(OFFSET(Demand!$E69,0,(COLUMN(D57)-1)*5,1,3))*Q$2</f>
        <v>840</v>
      </c>
      <c r="R60" s="5">
        <f ca="1">SUM(OFFSET(Demand!$E69,0,(COLUMN(E57)-1)*5,1,3))*R$2</f>
        <v>2</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13802</v>
      </c>
      <c r="Y60">
        <f t="shared" ca="1" si="5"/>
        <v>13802</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13802</v>
      </c>
      <c r="AM60" s="5">
        <f t="shared" ca="1" si="9"/>
        <v>0</v>
      </c>
      <c r="AN60" s="5" t="str">
        <f>IF(Demand!BE69="Yes","Yes","")</f>
        <v/>
      </c>
      <c r="AP60" s="36" t="str">
        <f ca="1">Demand!B69</f>
        <v xml:space="preserve"> </v>
      </c>
      <c r="AQ60" t="str">
        <f ca="1">IF(TEXT(Demand!D69,"MMM")&lt;&gt;TEXT(Demand!D68,"MMM"),TEXT(Demand!D69,"MMM"),"")</f>
        <v/>
      </c>
      <c r="AT60" s="5">
        <f t="shared" ca="1" si="12"/>
        <v>179</v>
      </c>
      <c r="BQ60">
        <f ca="1">IF($AN60="",OFFSET(Demand!$A$13,ROW(A57)-1,4+((QUOTIENT(COLUMN(BQ$2)-69,3))*5)+MOD(COLUMN(BQ$2),3),1,1),"")</f>
        <v>3</v>
      </c>
      <c r="BR60">
        <f ca="1">IF($AN60="",OFFSET(Demand!$A$13,ROW(B57)-1,4+((QUOTIENT(COLUMN(BR$2)-69,3))*5)+MOD(COLUMN(BR$2),3),1,1),"")</f>
        <v>376</v>
      </c>
      <c r="BS60">
        <f ca="1">IF($AN60="",OFFSET(Demand!$A$13,ROW(C57)-1,4+((QUOTIENT(COLUMN(BS$2)-69,3))*5)+MOD(COLUMN(BS$2),3),1,1),"")</f>
        <v>88</v>
      </c>
      <c r="BT60">
        <f ca="1">IF($AN60="",OFFSET(Demand!$A$13,ROW(D57)-1,4+((QUOTIENT(COLUMN(BT$2)-69,3))*5)+MOD(COLUMN(BT$2),3),1,1),"")</f>
        <v>59</v>
      </c>
      <c r="BU60">
        <f ca="1">IF($AN60="",OFFSET(Demand!$A$13,ROW(E57)-1,4+((QUOTIENT(COLUMN(BU$2)-69,3))*5)+MOD(COLUMN(BU$2),3),1,1),"")</f>
        <v>250</v>
      </c>
      <c r="BV60">
        <f ca="1">IF($AN60="",OFFSET(Demand!$A$13,ROW(F57)-1,4+((QUOTIENT(COLUMN(BV$2)-69,3))*5)+MOD(COLUMN(BV$2),3),1,1),"")</f>
        <v>62</v>
      </c>
      <c r="BW60">
        <f ca="1">IF($AN60="",OFFSET(Demand!$A$13,ROW(G57)-1,4+((QUOTIENT(COLUMN(BW$2)-69,3))*5)+MOD(COLUMN(BW$2),3),1,1),"")</f>
        <v>6</v>
      </c>
      <c r="BX60">
        <f ca="1">IF($AN60="",OFFSET(Demand!$A$13,ROW(H57)-1,4+((QUOTIENT(COLUMN(BX$2)-69,3))*5)+MOD(COLUMN(BX$2),3),1,1),"")</f>
        <v>1</v>
      </c>
      <c r="BY60">
        <f ca="1">IF($AN60="",OFFSET(Demand!$A$13,ROW(I57)-1,4+((QUOTIENT(COLUMN(BY$2)-69,3))*5)+MOD(COLUMN(BY$2),3),1,1),"")</f>
        <v>6</v>
      </c>
      <c r="BZ60">
        <f ca="1">IF($AN60="",OFFSET(Demand!$A$13,ROW(J57)-1,4+((QUOTIENT(COLUMN(BZ$2)-69,3))*5)+MOD(COLUMN(BZ$2),3),1,1),"")</f>
        <v>16</v>
      </c>
      <c r="CA60">
        <f ca="1">IF($AN60="",OFFSET(Demand!$A$13,ROW(K57)-1,4+((QUOTIENT(COLUMN(CA$2)-69,3))*5)+MOD(COLUMN(CA$2),3),1,1),"")</f>
        <v>2</v>
      </c>
      <c r="CB60">
        <f ca="1">IF($AN60="",OFFSET(Demand!$A$13,ROW(L57)-1,4+((QUOTIENT(COLUMN(CB$2)-69,3))*5)+MOD(COLUMN(CB$2),3),1,1),"")</f>
        <v>10</v>
      </c>
      <c r="CC60">
        <f ca="1">IF($AN60="",OFFSET(Demand!$A$13,ROW(M57)-1,4+((QUOTIENT(COLUMN(CC$2)-69,3))*5)+MOD(COLUMN(CC$2),3),1,1),"")</f>
        <v>1</v>
      </c>
      <c r="CD60">
        <f ca="1">IF($AN60="",OFFSET(Demand!$A$13,ROW(N57)-1,4+((QUOTIENT(COLUMN(CD$2)-69,3))*5)+MOD(COLUMN(CD$2),3),1,1),"")</f>
        <v>0</v>
      </c>
      <c r="CE60">
        <f ca="1">IF($AN60="",OFFSET(Demand!$A$13,ROW(O57)-1,4+((QUOTIENT(COLUMN(CE$2)-69,3))*5)+MOD(COLUMN(CE$2),3),1,1),"")</f>
        <v>1</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0</v>
      </c>
      <c r="B61" s="5">
        <f ca="1">COUNTBLANK(OFFSET(Demand!$I70,0,(COLUMN(A58)-1)*5,1,1))</f>
        <v>0</v>
      </c>
      <c r="C61" s="5">
        <f ca="1">COUNTBLANK(OFFSET(Demand!$I70,0,(COLUMN(B58)-1)*5,1,1))</f>
        <v>0</v>
      </c>
      <c r="D61" s="5">
        <f ca="1">COUNTBLANK(OFFSET(Demand!$I70,0,(COLUMN(C58)-1)*5,1,1))</f>
        <v>0</v>
      </c>
      <c r="E61" s="5">
        <f ca="1">COUNTBLANK(OFFSET(Demand!$I70,0,(COLUMN(D58)-1)*5,1,1))</f>
        <v>0</v>
      </c>
      <c r="F61" s="5">
        <f ca="1">COUNTBLANK(OFFSET(Demand!$I70,0,(COLUMN(E58)-1)*5,1,1))</f>
        <v>0</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6540</v>
      </c>
      <c r="O61" s="5">
        <f ca="1">SUM(OFFSET(Demand!$E70,0,(COLUMN(B58)-1)*5,1,3))*O$2</f>
        <v>5415</v>
      </c>
      <c r="P61" s="5">
        <f ca="1">SUM(OFFSET(Demand!$E70,0,(COLUMN(C58)-1)*5,1,3))*P$2</f>
        <v>960</v>
      </c>
      <c r="Q61" s="5">
        <f ca="1">SUM(OFFSET(Demand!$E70,0,(COLUMN(D58)-1)*5,1,3))*Q$2</f>
        <v>480</v>
      </c>
      <c r="R61" s="5">
        <f ca="1">SUM(OFFSET(Demand!$E70,0,(COLUMN(E58)-1)*5,1,3))*R$2</f>
        <v>1</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13396</v>
      </c>
      <c r="Y61">
        <f t="shared" ca="1" si="5"/>
        <v>13396</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13396</v>
      </c>
      <c r="AM61" s="5">
        <f t="shared" ca="1" si="9"/>
        <v>0</v>
      </c>
      <c r="AN61" s="5" t="str">
        <f>IF(Demand!BE70="Yes","Yes","")</f>
        <v/>
      </c>
      <c r="AP61" s="36" t="str">
        <f ca="1">Demand!B70</f>
        <v xml:space="preserve"> </v>
      </c>
      <c r="AQ61" t="str">
        <f ca="1">IF(TEXT(Demand!D70,"MMM")&lt;&gt;TEXT(Demand!D69,"MMM"),TEXT(Demand!D70,"MMM"),"")</f>
        <v>May</v>
      </c>
      <c r="AT61" s="5">
        <f t="shared" ca="1" si="12"/>
        <v>406</v>
      </c>
      <c r="BQ61">
        <f ca="1">IF($AN61="",OFFSET(Demand!$A$13,ROW(A58)-1,4+((QUOTIENT(COLUMN(BQ$2)-69,3))*5)+MOD(COLUMN(BQ$2),3),1,1),"")</f>
        <v>2</v>
      </c>
      <c r="BR61">
        <f ca="1">IF($AN61="",OFFSET(Demand!$A$13,ROW(B58)-1,4+((QUOTIENT(COLUMN(BR$2)-69,3))*5)+MOD(COLUMN(BR$2),3),1,1),"")</f>
        <v>356</v>
      </c>
      <c r="BS61">
        <f ca="1">IF($AN61="",OFFSET(Demand!$A$13,ROW(C58)-1,4+((QUOTIENT(COLUMN(BS$2)-69,3))*5)+MOD(COLUMN(BS$2),3),1,1),"")</f>
        <v>78</v>
      </c>
      <c r="BT61">
        <f ca="1">IF($AN61="",OFFSET(Demand!$A$13,ROW(D58)-1,4+((QUOTIENT(COLUMN(BT$2)-69,3))*5)+MOD(COLUMN(BT$2),3),1,1),"")</f>
        <v>65</v>
      </c>
      <c r="BU61">
        <f ca="1">IF($AN61="",OFFSET(Demand!$A$13,ROW(E58)-1,4+((QUOTIENT(COLUMN(BU$2)-69,3))*5)+MOD(COLUMN(BU$2),3),1,1),"")</f>
        <v>255</v>
      </c>
      <c r="BV61">
        <f ca="1">IF($AN61="",OFFSET(Demand!$A$13,ROW(F58)-1,4+((QUOTIENT(COLUMN(BV$2)-69,3))*5)+MOD(COLUMN(BV$2),3),1,1),"")</f>
        <v>41</v>
      </c>
      <c r="BW61">
        <f ca="1">IF($AN61="",OFFSET(Demand!$A$13,ROW(G58)-1,4+((QUOTIENT(COLUMN(BW$2)-69,3))*5)+MOD(COLUMN(BW$2),3),1,1),"")</f>
        <v>16</v>
      </c>
      <c r="BX61">
        <f ca="1">IF($AN61="",OFFSET(Demand!$A$13,ROW(H58)-1,4+((QUOTIENT(COLUMN(BX$2)-69,3))*5)+MOD(COLUMN(BX$2),3),1,1),"")</f>
        <v>0</v>
      </c>
      <c r="BY61">
        <f ca="1">IF($AN61="",OFFSET(Demand!$A$13,ROW(I58)-1,4+((QUOTIENT(COLUMN(BY$2)-69,3))*5)+MOD(COLUMN(BY$2),3),1,1),"")</f>
        <v>16</v>
      </c>
      <c r="BZ61">
        <f ca="1">IF($AN61="",OFFSET(Demand!$A$13,ROW(J58)-1,4+((QUOTIENT(COLUMN(BZ$2)-69,3))*5)+MOD(COLUMN(BZ$2),3),1,1),"")</f>
        <v>9</v>
      </c>
      <c r="CA61">
        <f ca="1">IF($AN61="",OFFSET(Demand!$A$13,ROW(K58)-1,4+((QUOTIENT(COLUMN(CA$2)-69,3))*5)+MOD(COLUMN(CA$2),3),1,1),"")</f>
        <v>2</v>
      </c>
      <c r="CB61">
        <f ca="1">IF($AN61="",OFFSET(Demand!$A$13,ROW(L58)-1,4+((QUOTIENT(COLUMN(CB$2)-69,3))*5)+MOD(COLUMN(CB$2),3),1,1),"")</f>
        <v>5</v>
      </c>
      <c r="CC61">
        <f ca="1">IF($AN61="",OFFSET(Demand!$A$13,ROW(M58)-1,4+((QUOTIENT(COLUMN(CC$2)-69,3))*5)+MOD(COLUMN(CC$2),3),1,1),"")</f>
        <v>1</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1</v>
      </c>
      <c r="B62" s="5">
        <f ca="1">COUNTBLANK(OFFSET(Demand!$I71,0,(COLUMN(A59)-1)*5,1,1))</f>
        <v>0</v>
      </c>
      <c r="C62" s="5">
        <f ca="1">COUNTBLANK(OFFSET(Demand!$I71,0,(COLUMN(B59)-1)*5,1,1))</f>
        <v>0</v>
      </c>
      <c r="D62" s="5">
        <f ca="1">COUNTBLANK(OFFSET(Demand!$I71,0,(COLUMN(C59)-1)*5,1,1))</f>
        <v>0</v>
      </c>
      <c r="E62" s="5">
        <f ca="1">COUNTBLANK(OFFSET(Demand!$I71,0,(COLUMN(D59)-1)*5,1,1))</f>
        <v>0</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7485</v>
      </c>
      <c r="O62" s="5">
        <f ca="1">SUM(OFFSET(Demand!$E71,0,(COLUMN(B59)-1)*5,1,3))*O$2</f>
        <v>5250</v>
      </c>
      <c r="P62" s="5">
        <f ca="1">SUM(OFFSET(Demand!$E71,0,(COLUMN(C59)-1)*5,1,3))*P$2</f>
        <v>360</v>
      </c>
      <c r="Q62" s="5">
        <f ca="1">SUM(OFFSET(Demand!$E71,0,(COLUMN(D59)-1)*5,1,3))*Q$2</f>
        <v>990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14085</v>
      </c>
      <c r="Y62">
        <f t="shared" ca="1" si="5"/>
        <v>14085</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14085</v>
      </c>
      <c r="AM62" s="5">
        <f t="shared" ca="1" si="9"/>
        <v>0</v>
      </c>
      <c r="AN62" s="5" t="str">
        <f>IF(Demand!BE71="Yes","Yes","")</f>
        <v/>
      </c>
      <c r="AP62" s="36" t="str">
        <f ca="1">Demand!B71</f>
        <v xml:space="preserve"> </v>
      </c>
      <c r="AQ62" t="str">
        <f ca="1">IF(TEXT(Demand!D71,"MMM")&lt;&gt;TEXT(Demand!D70,"MMM"),TEXT(Demand!D71,"MMM"),"")</f>
        <v/>
      </c>
      <c r="AT62" s="5">
        <f t="shared" ca="1" si="12"/>
        <v>689</v>
      </c>
      <c r="BQ62">
        <f ca="1">IF($AN62="",OFFSET(Demand!$A$13,ROW(A59)-1,4+((QUOTIENT(COLUMN(BQ$2)-69,3))*5)+MOD(COLUMN(BQ$2),3),1,1),"")</f>
        <v>5</v>
      </c>
      <c r="BR62">
        <f ca="1">IF($AN62="",OFFSET(Demand!$A$13,ROW(B59)-1,4+((QUOTIENT(COLUMN(BR$2)-69,3))*5)+MOD(COLUMN(BR$2),3),1,1),"")</f>
        <v>389</v>
      </c>
      <c r="BS62">
        <f ca="1">IF($AN62="",OFFSET(Demand!$A$13,ROW(C59)-1,4+((QUOTIENT(COLUMN(BS$2)-69,3))*5)+MOD(COLUMN(BS$2),3),1,1),"")</f>
        <v>105</v>
      </c>
      <c r="BT62">
        <f ca="1">IF($AN62="",OFFSET(Demand!$A$13,ROW(D59)-1,4+((QUOTIENT(COLUMN(BT$2)-69,3))*5)+MOD(COLUMN(BT$2),3),1,1),"")</f>
        <v>72</v>
      </c>
      <c r="BU62">
        <f ca="1">IF($AN62="",OFFSET(Demand!$A$13,ROW(E59)-1,4+((QUOTIENT(COLUMN(BU$2)-69,3))*5)+MOD(COLUMN(BU$2),3),1,1),"")</f>
        <v>232</v>
      </c>
      <c r="BV62">
        <f ca="1">IF($AN62="",OFFSET(Demand!$A$13,ROW(F59)-1,4+((QUOTIENT(COLUMN(BV$2)-69,3))*5)+MOD(COLUMN(BV$2),3),1,1),"")</f>
        <v>46</v>
      </c>
      <c r="BW62">
        <f ca="1">IF($AN62="",OFFSET(Demand!$A$13,ROW(G59)-1,4+((QUOTIENT(COLUMN(BW$2)-69,3))*5)+MOD(COLUMN(BW$2),3),1,1),"")</f>
        <v>6</v>
      </c>
      <c r="BX62">
        <f ca="1">IF($AN62="",OFFSET(Demand!$A$13,ROW(H59)-1,4+((QUOTIENT(COLUMN(BX$2)-69,3))*5)+MOD(COLUMN(BX$2),3),1,1),"")</f>
        <v>0</v>
      </c>
      <c r="BY62">
        <f ca="1">IF($AN62="",OFFSET(Demand!$A$13,ROW(I59)-1,4+((QUOTIENT(COLUMN(BY$2)-69,3))*5)+MOD(COLUMN(BY$2),3),1,1),"")</f>
        <v>6</v>
      </c>
      <c r="BZ62">
        <f ca="1">IF($AN62="",OFFSET(Demand!$A$13,ROW(J59)-1,4+((QUOTIENT(COLUMN(BZ$2)-69,3))*5)+MOD(COLUMN(BZ$2),3),1,1),"")</f>
        <v>17</v>
      </c>
      <c r="CA62">
        <f ca="1">IF($AN62="",OFFSET(Demand!$A$13,ROW(K59)-1,4+((QUOTIENT(COLUMN(CA$2)-69,3))*5)+MOD(COLUMN(CA$2),3),1,1),"")</f>
        <v>4</v>
      </c>
      <c r="CB62">
        <f ca="1">IF($AN62="",OFFSET(Demand!$A$13,ROW(L59)-1,4+((QUOTIENT(COLUMN(CB$2)-69,3))*5)+MOD(COLUMN(CB$2),3),1,1),"")</f>
        <v>12</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1</v>
      </c>
      <c r="B63" s="5">
        <f ca="1">COUNTBLANK(OFFSET(Demand!$I72,0,(COLUMN(A60)-1)*5,1,1))</f>
        <v>0</v>
      </c>
      <c r="C63" s="5">
        <f ca="1">COUNTBLANK(OFFSET(Demand!$I72,0,(COLUMN(B60)-1)*5,1,1))</f>
        <v>0</v>
      </c>
      <c r="D63" s="5">
        <f ca="1">COUNTBLANK(OFFSET(Demand!$I72,0,(COLUMN(C60)-1)*5,1,1))</f>
        <v>0</v>
      </c>
      <c r="E63" s="5">
        <f ca="1">COUNTBLANK(OFFSET(Demand!$I72,0,(COLUMN(D60)-1)*5,1,1))</f>
        <v>0</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7365</v>
      </c>
      <c r="O63" s="5">
        <f ca="1">SUM(OFFSET(Demand!$E72,0,(COLUMN(B60)-1)*5,1,3))*O$2</f>
        <v>5595</v>
      </c>
      <c r="P63" s="5">
        <f ca="1">SUM(OFFSET(Demand!$E72,0,(COLUMN(C60)-1)*5,1,3))*P$2</f>
        <v>720</v>
      </c>
      <c r="Q63" s="5">
        <f ca="1">SUM(OFFSET(Demand!$E72,0,(COLUMN(D60)-1)*5,1,3))*Q$2</f>
        <v>570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14250</v>
      </c>
      <c r="Y63">
        <f t="shared" ca="1" si="5"/>
        <v>14250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14250</v>
      </c>
      <c r="AM63" s="5">
        <f t="shared" ca="1" si="9"/>
        <v>0</v>
      </c>
      <c r="AN63" s="5" t="str">
        <f>IF(Demand!BE72="Yes","Yes","")</f>
        <v/>
      </c>
      <c r="AP63" s="36" t="str">
        <f ca="1">Demand!B72</f>
        <v xml:space="preserve"> </v>
      </c>
      <c r="AQ63" t="str">
        <f ca="1">IF(TEXT(Demand!D72,"MMM")&lt;&gt;TEXT(Demand!D71,"MMM"),TEXT(Demand!D72,"MMM"),"")</f>
        <v/>
      </c>
      <c r="AT63" s="5">
        <f t="shared" ca="1" si="12"/>
        <v>165</v>
      </c>
      <c r="BQ63">
        <f ca="1">IF($AN63="",OFFSET(Demand!$A$13,ROW(A60)-1,4+((QUOTIENT(COLUMN(BQ$2)-69,3))*5)+MOD(COLUMN(BQ$2),3),1,1),"")</f>
        <v>8</v>
      </c>
      <c r="BR63">
        <f ca="1">IF($AN63="",OFFSET(Demand!$A$13,ROW(B60)-1,4+((QUOTIENT(COLUMN(BR$2)-69,3))*5)+MOD(COLUMN(BR$2),3),1,1),"")</f>
        <v>386</v>
      </c>
      <c r="BS63">
        <f ca="1">IF($AN63="",OFFSET(Demand!$A$13,ROW(C60)-1,4+((QUOTIENT(COLUMN(BS$2)-69,3))*5)+MOD(COLUMN(BS$2),3),1,1),"")</f>
        <v>97</v>
      </c>
      <c r="BT63">
        <f ca="1">IF($AN63="",OFFSET(Demand!$A$13,ROW(D60)-1,4+((QUOTIENT(COLUMN(BT$2)-69,3))*5)+MOD(COLUMN(BT$2),3),1,1),"")</f>
        <v>60</v>
      </c>
      <c r="BU63">
        <f ca="1">IF($AN63="",OFFSET(Demand!$A$13,ROW(E60)-1,4+((QUOTIENT(COLUMN(BU$2)-69,3))*5)+MOD(COLUMN(BU$2),3),1,1),"")</f>
        <v>269</v>
      </c>
      <c r="BV63">
        <f ca="1">IF($AN63="",OFFSET(Demand!$A$13,ROW(F60)-1,4+((QUOTIENT(COLUMN(BV$2)-69,3))*5)+MOD(COLUMN(BV$2),3),1,1),"")</f>
        <v>44</v>
      </c>
      <c r="BW63">
        <f ca="1">IF($AN63="",OFFSET(Demand!$A$13,ROW(G60)-1,4+((QUOTIENT(COLUMN(BW$2)-69,3))*5)+MOD(COLUMN(BW$2),3),1,1),"")</f>
        <v>12</v>
      </c>
      <c r="BX63">
        <f ca="1">IF($AN63="",OFFSET(Demand!$A$13,ROW(H60)-1,4+((QUOTIENT(COLUMN(BX$2)-69,3))*5)+MOD(COLUMN(BX$2),3),1,1),"")</f>
        <v>0</v>
      </c>
      <c r="BY63">
        <f ca="1">IF($AN63="",OFFSET(Demand!$A$13,ROW(I60)-1,4+((QUOTIENT(COLUMN(BY$2)-69,3))*5)+MOD(COLUMN(BY$2),3),1,1),"")</f>
        <v>12</v>
      </c>
      <c r="BZ63">
        <f ca="1">IF($AN63="",OFFSET(Demand!$A$13,ROW(J60)-1,4+((QUOTIENT(COLUMN(BZ$2)-69,3))*5)+MOD(COLUMN(BZ$2),3),1,1),"")</f>
        <v>11</v>
      </c>
      <c r="CA63">
        <f ca="1">IF($AN63="",OFFSET(Demand!$A$13,ROW(K60)-1,4+((QUOTIENT(COLUMN(CA$2)-69,3))*5)+MOD(COLUMN(CA$2),3),1,1),"")</f>
        <v>4</v>
      </c>
      <c r="CB63">
        <f ca="1">IF($AN63="",OFFSET(Demand!$A$13,ROW(L60)-1,4+((QUOTIENT(COLUMN(CB$2)-69,3))*5)+MOD(COLUMN(CB$2),3),1,1),"")</f>
        <v>4</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1</v>
      </c>
      <c r="B64" s="5">
        <f ca="1">COUNTBLANK(OFFSET(Demand!$I73,0,(COLUMN(A61)-1)*5,1,1))</f>
        <v>0</v>
      </c>
      <c r="C64" s="5">
        <f ca="1">COUNTBLANK(OFFSET(Demand!$I73,0,(COLUMN(B61)-1)*5,1,1))</f>
        <v>0</v>
      </c>
      <c r="D64" s="5">
        <f ca="1">COUNTBLANK(OFFSET(Demand!$I73,0,(COLUMN(C61)-1)*5,1,1))</f>
        <v>0</v>
      </c>
      <c r="E64" s="5">
        <f ca="1">COUNTBLANK(OFFSET(Demand!$I73,0,(COLUMN(D61)-1)*5,1,1))</f>
        <v>0</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6120</v>
      </c>
      <c r="O64" s="5">
        <f ca="1">SUM(OFFSET(Demand!$E73,0,(COLUMN(B61)-1)*5,1,3))*O$2</f>
        <v>4875</v>
      </c>
      <c r="P64" s="5">
        <f ca="1">SUM(OFFSET(Demand!$E73,0,(COLUMN(C61)-1)*5,1,3))*P$2</f>
        <v>540</v>
      </c>
      <c r="Q64" s="5">
        <f ca="1">SUM(OFFSET(Demand!$E73,0,(COLUMN(D61)-1)*5,1,3))*Q$2</f>
        <v>750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12285</v>
      </c>
      <c r="Y64">
        <f t="shared" ca="1" si="5"/>
        <v>12285</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12285</v>
      </c>
      <c r="AM64" s="5">
        <f t="shared" ca="1" si="9"/>
        <v>0</v>
      </c>
      <c r="AN64" s="5" t="str">
        <f>IF(Demand!BE73="Yes","Yes","")</f>
        <v/>
      </c>
      <c r="AP64" s="36" t="str">
        <f ca="1">Demand!B73</f>
        <v xml:space="preserve"> </v>
      </c>
      <c r="AQ64" t="str">
        <f ca="1">IF(TEXT(Demand!D73,"MMM")&lt;&gt;TEXT(Demand!D72,"MMM"),TEXT(Demand!D73,"MMM"),"")</f>
        <v/>
      </c>
      <c r="AT64" s="5">
        <f t="shared" ca="1" si="12"/>
        <v>1965</v>
      </c>
      <c r="BQ64">
        <f ca="1">IF($AN64="",OFFSET(Demand!$A$13,ROW(A61)-1,4+((QUOTIENT(COLUMN(BQ$2)-69,3))*5)+MOD(COLUMN(BQ$2),3),1,1),"")</f>
        <v>4</v>
      </c>
      <c r="BR64">
        <f ca="1">IF($AN64="",OFFSET(Demand!$A$13,ROW(B61)-1,4+((QUOTIENT(COLUMN(BR$2)-69,3))*5)+MOD(COLUMN(BR$2),3),1,1),"")</f>
        <v>334</v>
      </c>
      <c r="BS64">
        <f ca="1">IF($AN64="",OFFSET(Demand!$A$13,ROW(C61)-1,4+((QUOTIENT(COLUMN(BS$2)-69,3))*5)+MOD(COLUMN(BS$2),3),1,1),"")</f>
        <v>70</v>
      </c>
      <c r="BT64">
        <f ca="1">IF($AN64="",OFFSET(Demand!$A$13,ROW(D61)-1,4+((QUOTIENT(COLUMN(BT$2)-69,3))*5)+MOD(COLUMN(BT$2),3),1,1),"")</f>
        <v>57</v>
      </c>
      <c r="BU64">
        <f ca="1">IF($AN64="",OFFSET(Demand!$A$13,ROW(E61)-1,4+((QUOTIENT(COLUMN(BU$2)-69,3))*5)+MOD(COLUMN(BU$2),3),1,1),"")</f>
        <v>214</v>
      </c>
      <c r="BV64">
        <f ca="1">IF($AN64="",OFFSET(Demand!$A$13,ROW(F61)-1,4+((QUOTIENT(COLUMN(BV$2)-69,3))*5)+MOD(COLUMN(BV$2),3),1,1),"")</f>
        <v>54</v>
      </c>
      <c r="BW64">
        <f ca="1">IF($AN64="",OFFSET(Demand!$A$13,ROW(G61)-1,4+((QUOTIENT(COLUMN(BW$2)-69,3))*5)+MOD(COLUMN(BW$2),3),1,1),"")</f>
        <v>7</v>
      </c>
      <c r="BX64">
        <f ca="1">IF($AN64="",OFFSET(Demand!$A$13,ROW(H61)-1,4+((QUOTIENT(COLUMN(BX$2)-69,3))*5)+MOD(COLUMN(BX$2),3),1,1),"")</f>
        <v>4</v>
      </c>
      <c r="BY64">
        <f ca="1">IF($AN64="",OFFSET(Demand!$A$13,ROW(I61)-1,4+((QUOTIENT(COLUMN(BY$2)-69,3))*5)+MOD(COLUMN(BY$2),3),1,1),"")</f>
        <v>7</v>
      </c>
      <c r="BZ64">
        <f ca="1">IF($AN64="",OFFSET(Demand!$A$13,ROW(J61)-1,4+((QUOTIENT(COLUMN(BZ$2)-69,3))*5)+MOD(COLUMN(BZ$2),3),1,1),"")</f>
        <v>17</v>
      </c>
      <c r="CA64">
        <f ca="1">IF($AN64="",OFFSET(Demand!$A$13,ROW(K61)-1,4+((QUOTIENT(COLUMN(CA$2)-69,3))*5)+MOD(COLUMN(CA$2),3),1,1),"")</f>
        <v>3</v>
      </c>
      <c r="CB64">
        <f ca="1">IF($AN64="",OFFSET(Demand!$A$13,ROW(L61)-1,4+((QUOTIENT(COLUMN(CB$2)-69,3))*5)+MOD(COLUMN(CB$2),3),1,1),"")</f>
        <v>5</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0</v>
      </c>
      <c r="B65" s="5">
        <f ca="1">COUNTBLANK(OFFSET(Demand!$I74,0,(COLUMN(A62)-1)*5,1,1))</f>
        <v>0</v>
      </c>
      <c r="C65" s="5">
        <f ca="1">COUNTBLANK(OFFSET(Demand!$I74,0,(COLUMN(B62)-1)*5,1,1))</f>
        <v>0</v>
      </c>
      <c r="D65" s="5">
        <f ca="1">COUNTBLANK(OFFSET(Demand!$I74,0,(COLUMN(C62)-1)*5,1,1))</f>
        <v>0</v>
      </c>
      <c r="E65" s="5">
        <f ca="1">COUNTBLANK(OFFSET(Demand!$I74,0,(COLUMN(D62)-1)*5,1,1))</f>
        <v>0</v>
      </c>
      <c r="F65" s="5">
        <f ca="1">COUNTBLANK(OFFSET(Demand!$I74,0,(COLUMN(E62)-1)*5,1,1))</f>
        <v>0</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6750</v>
      </c>
      <c r="O65" s="5">
        <f ca="1">SUM(OFFSET(Demand!$E74,0,(COLUMN(B62)-1)*5,1,3))*O$2</f>
        <v>5475</v>
      </c>
      <c r="P65" s="5">
        <f ca="1">SUM(OFFSET(Demand!$E74,0,(COLUMN(C62)-1)*5,1,3))*P$2</f>
        <v>810</v>
      </c>
      <c r="Q65" s="5">
        <f ca="1">SUM(OFFSET(Demand!$E74,0,(COLUMN(D62)-1)*5,1,3))*Q$2</f>
        <v>810</v>
      </c>
      <c r="R65" s="5">
        <f ca="1">SUM(OFFSET(Demand!$E74,0,(COLUMN(E62)-1)*5,1,3))*R$2</f>
        <v>1</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13846</v>
      </c>
      <c r="Y65">
        <f t="shared" ca="1" si="5"/>
        <v>13846</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13846</v>
      </c>
      <c r="AM65" s="5">
        <f t="shared" ca="1" si="9"/>
        <v>0</v>
      </c>
      <c r="AN65" s="5" t="str">
        <f>IF(Demand!BE74="Yes","Yes","")</f>
        <v/>
      </c>
      <c r="AP65" s="36" t="str">
        <f ca="1">Demand!B74</f>
        <v xml:space="preserve"> </v>
      </c>
      <c r="AQ65" t="str">
        <f ca="1">IF(TEXT(Demand!D74,"MMM")&lt;&gt;TEXT(Demand!D73,"MMM"),TEXT(Demand!D74,"MMM"),"")</f>
        <v>Jun</v>
      </c>
      <c r="AT65" s="5">
        <f t="shared" ca="1" si="12"/>
        <v>1561</v>
      </c>
      <c r="BQ65">
        <f ca="1">IF($AN65="",OFFSET(Demand!$A$13,ROW(A62)-1,4+((QUOTIENT(COLUMN(BQ$2)-69,3))*5)+MOD(COLUMN(BQ$2),3),1,1),"")</f>
        <v>7</v>
      </c>
      <c r="BR65">
        <f ca="1">IF($AN65="",OFFSET(Demand!$A$13,ROW(B62)-1,4+((QUOTIENT(COLUMN(BR$2)-69,3))*5)+MOD(COLUMN(BR$2),3),1,1),"")</f>
        <v>362</v>
      </c>
      <c r="BS65">
        <f ca="1">IF($AN65="",OFFSET(Demand!$A$13,ROW(C62)-1,4+((QUOTIENT(COLUMN(BS$2)-69,3))*5)+MOD(COLUMN(BS$2),3),1,1),"")</f>
        <v>81</v>
      </c>
      <c r="BT65">
        <f ca="1">IF($AN65="",OFFSET(Demand!$A$13,ROW(D62)-1,4+((QUOTIENT(COLUMN(BT$2)-69,3))*5)+MOD(COLUMN(BT$2),3),1,1),"")</f>
        <v>55</v>
      </c>
      <c r="BU65">
        <f ca="1">IF($AN65="",OFFSET(Demand!$A$13,ROW(E62)-1,4+((QUOTIENT(COLUMN(BU$2)-69,3))*5)+MOD(COLUMN(BU$2),3),1,1),"")</f>
        <v>248</v>
      </c>
      <c r="BV65">
        <f ca="1">IF($AN65="",OFFSET(Demand!$A$13,ROW(F62)-1,4+((QUOTIENT(COLUMN(BV$2)-69,3))*5)+MOD(COLUMN(BV$2),3),1,1),"")</f>
        <v>62</v>
      </c>
      <c r="BW65">
        <f ca="1">IF($AN65="",OFFSET(Demand!$A$13,ROW(G62)-1,4+((QUOTIENT(COLUMN(BW$2)-69,3))*5)+MOD(COLUMN(BW$2),3),1,1),"")</f>
        <v>13</v>
      </c>
      <c r="BX65">
        <f ca="1">IF($AN65="",OFFSET(Demand!$A$13,ROW(H62)-1,4+((QUOTIENT(COLUMN(BX$2)-69,3))*5)+MOD(COLUMN(BX$2),3),1,1),"")</f>
        <v>1</v>
      </c>
      <c r="BY65">
        <f ca="1">IF($AN65="",OFFSET(Demand!$A$13,ROW(I62)-1,4+((QUOTIENT(COLUMN(BY$2)-69,3))*5)+MOD(COLUMN(BY$2),3),1,1),"")</f>
        <v>13</v>
      </c>
      <c r="BZ65">
        <f ca="1">IF($AN65="",OFFSET(Demand!$A$13,ROW(J62)-1,4+((QUOTIENT(COLUMN(BZ$2)-69,3))*5)+MOD(COLUMN(BZ$2),3),1,1),"")</f>
        <v>17</v>
      </c>
      <c r="CA65">
        <f ca="1">IF($AN65="",OFFSET(Demand!$A$13,ROW(K62)-1,4+((QUOTIENT(COLUMN(CA$2)-69,3))*5)+MOD(COLUMN(CA$2),3),1,1),"")</f>
        <v>4</v>
      </c>
      <c r="CB65">
        <f ca="1">IF($AN65="",OFFSET(Demand!$A$13,ROW(L62)-1,4+((QUOTIENT(COLUMN(CB$2)-69,3))*5)+MOD(COLUMN(CB$2),3),1,1),"")</f>
        <v>6</v>
      </c>
      <c r="CC65">
        <f ca="1">IF($AN65="",OFFSET(Demand!$A$13,ROW(M62)-1,4+((QUOTIENT(COLUMN(CC$2)-69,3))*5)+MOD(COLUMN(CC$2),3),1,1),"")</f>
        <v>1</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0</v>
      </c>
      <c r="B66" s="5">
        <f ca="1">COUNTBLANK(OFFSET(Demand!$I75,0,(COLUMN(A63)-1)*5,1,1))</f>
        <v>0</v>
      </c>
      <c r="C66" s="5">
        <f ca="1">COUNTBLANK(OFFSET(Demand!$I75,0,(COLUMN(B63)-1)*5,1,1))</f>
        <v>0</v>
      </c>
      <c r="D66" s="5">
        <f ca="1">COUNTBLANK(OFFSET(Demand!$I75,0,(COLUMN(C63)-1)*5,1,1))</f>
        <v>0</v>
      </c>
      <c r="E66" s="5">
        <f ca="1">COUNTBLANK(OFFSET(Demand!$I75,0,(COLUMN(D63)-1)*5,1,1))</f>
        <v>0</v>
      </c>
      <c r="F66" s="5">
        <f ca="1">COUNTBLANK(OFFSET(Demand!$I75,0,(COLUMN(E63)-1)*5,1,1))</f>
        <v>0</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7035</v>
      </c>
      <c r="O66" s="5">
        <f ca="1">SUM(OFFSET(Demand!$E75,0,(COLUMN(B63)-1)*5,1,3))*O$2</f>
        <v>5325</v>
      </c>
      <c r="P66" s="5">
        <f ca="1">SUM(OFFSET(Demand!$E75,0,(COLUMN(C63)-1)*5,1,3))*P$2</f>
        <v>360</v>
      </c>
      <c r="Q66" s="5">
        <f ca="1">SUM(OFFSET(Demand!$E75,0,(COLUMN(D63)-1)*5,1,3))*Q$2</f>
        <v>810</v>
      </c>
      <c r="R66" s="5">
        <f ca="1">SUM(OFFSET(Demand!$E75,0,(COLUMN(E63)-1)*5,1,3))*R$2</f>
        <v>2</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13532</v>
      </c>
      <c r="Y66">
        <f t="shared" ca="1" si="5"/>
        <v>13532</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13532</v>
      </c>
      <c r="AM66" s="5">
        <f t="shared" ca="1" si="9"/>
        <v>0</v>
      </c>
      <c r="AN66" s="5" t="str">
        <f>IF(Demand!BE75="Yes","Yes","")</f>
        <v/>
      </c>
      <c r="AP66" s="36" t="str">
        <f ca="1">Demand!B75</f>
        <v xml:space="preserve"> </v>
      </c>
      <c r="AQ66" t="str">
        <f ca="1">IF(TEXT(Demand!D75,"MMM")&lt;&gt;TEXT(Demand!D74,"MMM"),TEXT(Demand!D75,"MMM"),"")</f>
        <v/>
      </c>
      <c r="AT66" s="5">
        <f t="shared" ca="1" si="12"/>
        <v>314</v>
      </c>
      <c r="BQ66">
        <f ca="1">IF($AN66="",OFFSET(Demand!$A$13,ROW(A63)-1,4+((QUOTIENT(COLUMN(BQ$2)-69,3))*5)+MOD(COLUMN(BQ$2),3),1,1),"")</f>
        <v>7</v>
      </c>
      <c r="BR66">
        <f ca="1">IF($AN66="",OFFSET(Demand!$A$13,ROW(B63)-1,4+((QUOTIENT(COLUMN(BR$2)-69,3))*5)+MOD(COLUMN(BR$2),3),1,1),"")</f>
        <v>367</v>
      </c>
      <c r="BS66">
        <f ca="1">IF($AN66="",OFFSET(Demand!$A$13,ROW(C63)-1,4+((QUOTIENT(COLUMN(BS$2)-69,3))*5)+MOD(COLUMN(BS$2),3),1,1),"")</f>
        <v>95</v>
      </c>
      <c r="BT66">
        <f ca="1">IF($AN66="",OFFSET(Demand!$A$13,ROW(D63)-1,4+((QUOTIENT(COLUMN(BT$2)-69,3))*5)+MOD(COLUMN(BT$2),3),1,1),"")</f>
        <v>61</v>
      </c>
      <c r="BU66">
        <f ca="1">IF($AN66="",OFFSET(Demand!$A$13,ROW(E63)-1,4+((QUOTIENT(COLUMN(BU$2)-69,3))*5)+MOD(COLUMN(BU$2),3),1,1),"")</f>
        <v>247</v>
      </c>
      <c r="BV66">
        <f ca="1">IF($AN66="",OFFSET(Demand!$A$13,ROW(F63)-1,4+((QUOTIENT(COLUMN(BV$2)-69,3))*5)+MOD(COLUMN(BV$2),3),1,1),"")</f>
        <v>47</v>
      </c>
      <c r="BW66">
        <f ca="1">IF($AN66="",OFFSET(Demand!$A$13,ROW(G63)-1,4+((QUOTIENT(COLUMN(BW$2)-69,3))*5)+MOD(COLUMN(BW$2),3),1,1),"")</f>
        <v>6</v>
      </c>
      <c r="BX66">
        <f ca="1">IF($AN66="",OFFSET(Demand!$A$13,ROW(H63)-1,4+((QUOTIENT(COLUMN(BX$2)-69,3))*5)+MOD(COLUMN(BX$2),3),1,1),"")</f>
        <v>0</v>
      </c>
      <c r="BY66">
        <f ca="1">IF($AN66="",OFFSET(Demand!$A$13,ROW(I63)-1,4+((QUOTIENT(COLUMN(BY$2)-69,3))*5)+MOD(COLUMN(BY$2),3),1,1),"")</f>
        <v>6</v>
      </c>
      <c r="BZ66">
        <f ca="1">IF($AN66="",OFFSET(Demand!$A$13,ROW(J63)-1,4+((QUOTIENT(COLUMN(BZ$2)-69,3))*5)+MOD(COLUMN(BZ$2),3),1,1),"")</f>
        <v>19</v>
      </c>
      <c r="CA66">
        <f ca="1">IF($AN66="",OFFSET(Demand!$A$13,ROW(K63)-1,4+((QUOTIENT(COLUMN(CA$2)-69,3))*5)+MOD(COLUMN(CA$2),3),1,1),"")</f>
        <v>4</v>
      </c>
      <c r="CB66">
        <f ca="1">IF($AN66="",OFFSET(Demand!$A$13,ROW(L63)-1,4+((QUOTIENT(COLUMN(CB$2)-69,3))*5)+MOD(COLUMN(CB$2),3),1,1),"")</f>
        <v>4</v>
      </c>
      <c r="CC66">
        <f ca="1">IF($AN66="",OFFSET(Demand!$A$13,ROW(M63)-1,4+((QUOTIENT(COLUMN(CC$2)-69,3))*5)+MOD(COLUMN(CC$2),3),1,1),"")</f>
        <v>1</v>
      </c>
      <c r="CD66">
        <f ca="1">IF($AN66="",OFFSET(Demand!$A$13,ROW(N63)-1,4+((QUOTIENT(COLUMN(CD$2)-69,3))*5)+MOD(COLUMN(CD$2),3),1,1),"")</f>
        <v>1</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0</v>
      </c>
      <c r="B67" s="5">
        <f ca="1">COUNTBLANK(OFFSET(Demand!$I76,0,(COLUMN(A64)-1)*5,1,1))</f>
        <v>0</v>
      </c>
      <c r="C67" s="5">
        <f ca="1">COUNTBLANK(OFFSET(Demand!$I76,0,(COLUMN(B64)-1)*5,1,1))</f>
        <v>0</v>
      </c>
      <c r="D67" s="5">
        <f ca="1">COUNTBLANK(OFFSET(Demand!$I76,0,(COLUMN(C64)-1)*5,1,1))</f>
        <v>0</v>
      </c>
      <c r="E67" s="5">
        <f ca="1">COUNTBLANK(OFFSET(Demand!$I76,0,(COLUMN(D64)-1)*5,1,1))</f>
        <v>0</v>
      </c>
      <c r="F67" s="5">
        <f ca="1">COUNTBLANK(OFFSET(Demand!$I76,0,(COLUMN(E64)-1)*5,1,1))</f>
        <v>0</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7365</v>
      </c>
      <c r="O67" s="5">
        <f ca="1">SUM(OFFSET(Demand!$E76,0,(COLUMN(B64)-1)*5,1,3))*O$2</f>
        <v>5385</v>
      </c>
      <c r="P67" s="5">
        <f ca="1">SUM(OFFSET(Demand!$E76,0,(COLUMN(C64)-1)*5,1,3))*P$2</f>
        <v>720</v>
      </c>
      <c r="Q67" s="5">
        <f ca="1">SUM(OFFSET(Demand!$E76,0,(COLUMN(D64)-1)*5,1,3))*Q$2</f>
        <v>1110</v>
      </c>
      <c r="R67" s="5">
        <f ca="1">SUM(OFFSET(Demand!$E76,0,(COLUMN(E64)-1)*5,1,3))*R$2</f>
        <v>4</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14584</v>
      </c>
      <c r="Y67">
        <f t="shared" ca="1" si="5"/>
        <v>14584</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14584</v>
      </c>
      <c r="AM67" s="5">
        <f t="shared" ca="1" si="9"/>
        <v>0</v>
      </c>
      <c r="AN67" s="5" t="str">
        <f>IF(Demand!BE76="Yes","Yes","")</f>
        <v/>
      </c>
      <c r="AP67" s="36" t="str">
        <f ca="1">Demand!B76</f>
        <v xml:space="preserve"> </v>
      </c>
      <c r="AQ67" t="str">
        <f ca="1">IF(TEXT(Demand!D76,"MMM")&lt;&gt;TEXT(Demand!D75,"MMM"),TEXT(Demand!D76,"MMM"),"")</f>
        <v/>
      </c>
      <c r="AT67" s="5">
        <f t="shared" ca="1" si="12"/>
        <v>1052</v>
      </c>
      <c r="BQ67">
        <f ca="1">IF($AN67="",OFFSET(Demand!$A$13,ROW(A64)-1,4+((QUOTIENT(COLUMN(BQ$2)-69,3))*5)+MOD(COLUMN(BQ$2),3),1,1),"")</f>
        <v>14</v>
      </c>
      <c r="BR67">
        <f ca="1">IF($AN67="",OFFSET(Demand!$A$13,ROW(B64)-1,4+((QUOTIENT(COLUMN(BR$2)-69,3))*5)+MOD(COLUMN(BR$2),3),1,1),"")</f>
        <v>380</v>
      </c>
      <c r="BS67">
        <f ca="1">IF($AN67="",OFFSET(Demand!$A$13,ROW(C64)-1,4+((QUOTIENT(COLUMN(BS$2)-69,3))*5)+MOD(COLUMN(BS$2),3),1,1),"")</f>
        <v>97</v>
      </c>
      <c r="BT67">
        <f ca="1">IF($AN67="",OFFSET(Demand!$A$13,ROW(D64)-1,4+((QUOTIENT(COLUMN(BT$2)-69,3))*5)+MOD(COLUMN(BT$2),3),1,1),"")</f>
        <v>61</v>
      </c>
      <c r="BU67">
        <f ca="1">IF($AN67="",OFFSET(Demand!$A$13,ROW(E64)-1,4+((QUOTIENT(COLUMN(BU$2)-69,3))*5)+MOD(COLUMN(BU$2),3),1,1),"")</f>
        <v>240</v>
      </c>
      <c r="BV67">
        <f ca="1">IF($AN67="",OFFSET(Demand!$A$13,ROW(F64)-1,4+((QUOTIENT(COLUMN(BV$2)-69,3))*5)+MOD(COLUMN(BV$2),3),1,1),"")</f>
        <v>58</v>
      </c>
      <c r="BW67">
        <f ca="1">IF($AN67="",OFFSET(Demand!$A$13,ROW(G64)-1,4+((QUOTIENT(COLUMN(BW$2)-69,3))*5)+MOD(COLUMN(BW$2),3),1,1),"")</f>
        <v>11</v>
      </c>
      <c r="BX67">
        <f ca="1">IF($AN67="",OFFSET(Demand!$A$13,ROW(H64)-1,4+((QUOTIENT(COLUMN(BX$2)-69,3))*5)+MOD(COLUMN(BX$2),3),1,1),"")</f>
        <v>2</v>
      </c>
      <c r="BY67">
        <f ca="1">IF($AN67="",OFFSET(Demand!$A$13,ROW(I64)-1,4+((QUOTIENT(COLUMN(BY$2)-69,3))*5)+MOD(COLUMN(BY$2),3),1,1),"")</f>
        <v>11</v>
      </c>
      <c r="BZ67">
        <f ca="1">IF($AN67="",OFFSET(Demand!$A$13,ROW(J64)-1,4+((QUOTIENT(COLUMN(BZ$2)-69,3))*5)+MOD(COLUMN(BZ$2),3),1,1),"")</f>
        <v>25</v>
      </c>
      <c r="CA67">
        <f ca="1">IF($AN67="",OFFSET(Demand!$A$13,ROW(K64)-1,4+((QUOTIENT(COLUMN(CA$2)-69,3))*5)+MOD(COLUMN(CA$2),3),1,1),"")</f>
        <v>6</v>
      </c>
      <c r="CB67">
        <f ca="1">IF($AN67="",OFFSET(Demand!$A$13,ROW(L64)-1,4+((QUOTIENT(COLUMN(CB$2)-69,3))*5)+MOD(COLUMN(CB$2),3),1,1),"")</f>
        <v>6</v>
      </c>
      <c r="CC67">
        <f ca="1">IF($AN67="",OFFSET(Demand!$A$13,ROW(M64)-1,4+((QUOTIENT(COLUMN(CC$2)-69,3))*5)+MOD(COLUMN(CC$2),3),1,1),"")</f>
        <v>3</v>
      </c>
      <c r="CD67">
        <f ca="1">IF($AN67="",OFFSET(Demand!$A$13,ROW(N64)-1,4+((QUOTIENT(COLUMN(CD$2)-69,3))*5)+MOD(COLUMN(CD$2),3),1,1),"")</f>
        <v>1</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0</v>
      </c>
      <c r="B68" s="5">
        <f ca="1">COUNTBLANK(OFFSET(Demand!$I77,0,(COLUMN(A65)-1)*5,1,1))</f>
        <v>0</v>
      </c>
      <c r="C68" s="5">
        <f ca="1">COUNTBLANK(OFFSET(Demand!$I77,0,(COLUMN(B65)-1)*5,1,1))</f>
        <v>0</v>
      </c>
      <c r="D68" s="5">
        <f ca="1">COUNTBLANK(OFFSET(Demand!$I77,0,(COLUMN(C65)-1)*5,1,1))</f>
        <v>0</v>
      </c>
      <c r="E68" s="5">
        <f ca="1">COUNTBLANK(OFFSET(Demand!$I77,0,(COLUMN(D65)-1)*5,1,1))</f>
        <v>0</v>
      </c>
      <c r="F68" s="5">
        <f ca="1">COUNTBLANK(OFFSET(Demand!$I77,0,(COLUMN(E65)-1)*5,1,1))</f>
        <v>0</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7170</v>
      </c>
      <c r="O68" s="5">
        <f ca="1">SUM(OFFSET(Demand!$E77,0,(COLUMN(B65)-1)*5,1,3))*O$2</f>
        <v>5955</v>
      </c>
      <c r="P68" s="5">
        <f ca="1">SUM(OFFSET(Demand!$E77,0,(COLUMN(C65)-1)*5,1,3))*P$2</f>
        <v>690</v>
      </c>
      <c r="Q68" s="5">
        <f ca="1">SUM(OFFSET(Demand!$E77,0,(COLUMN(D65)-1)*5,1,3))*Q$2</f>
        <v>510</v>
      </c>
      <c r="R68" s="5">
        <f ca="1">SUM(OFFSET(Demand!$E77,0,(COLUMN(E65)-1)*5,1,3))*R$2</f>
        <v>3</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14328</v>
      </c>
      <c r="Y68">
        <f t="shared" ref="Y68:Y131" ca="1" si="38">SUM(OFFSET(N68,0,0,1,Num_Modalities))</f>
        <v>14328</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14328</v>
      </c>
      <c r="AM68" s="5">
        <f t="shared" ca="1" si="9"/>
        <v>0</v>
      </c>
      <c r="AN68" s="5" t="str">
        <f>IF(Demand!BE77="Yes","Yes","")</f>
        <v/>
      </c>
      <c r="AP68" s="36" t="str">
        <f ca="1">Demand!B77</f>
        <v xml:space="preserve"> </v>
      </c>
      <c r="AQ68" t="str">
        <f ca="1">IF(TEXT(Demand!D77,"MMM")&lt;&gt;TEXT(Demand!D76,"MMM"),TEXT(Demand!D77,"MMM"),"")</f>
        <v/>
      </c>
      <c r="AT68" s="5">
        <f t="shared" ca="1" si="12"/>
        <v>256</v>
      </c>
      <c r="BQ68">
        <f ca="1">IF($AN68="",OFFSET(Demand!$A$13,ROW(A65)-1,4+((QUOTIENT(COLUMN(BQ$2)-69,3))*5)+MOD(COLUMN(BQ$2),3),1,1),"")</f>
        <v>6</v>
      </c>
      <c r="BR68">
        <f ca="1">IF($AN68="",OFFSET(Demand!$A$13,ROW(B65)-1,4+((QUOTIENT(COLUMN(BR$2)-69,3))*5)+MOD(COLUMN(BR$2),3),1,1),"")</f>
        <v>384</v>
      </c>
      <c r="BS68">
        <f ca="1">IF($AN68="",OFFSET(Demand!$A$13,ROW(C65)-1,4+((QUOTIENT(COLUMN(BS$2)-69,3))*5)+MOD(COLUMN(BS$2),3),1,1),"")</f>
        <v>88</v>
      </c>
      <c r="BT68">
        <f ca="1">IF($AN68="",OFFSET(Demand!$A$13,ROW(D65)-1,4+((QUOTIENT(COLUMN(BT$2)-69,3))*5)+MOD(COLUMN(BT$2),3),1,1),"")</f>
        <v>60</v>
      </c>
      <c r="BU68">
        <f ca="1">IF($AN68="",OFFSET(Demand!$A$13,ROW(E65)-1,4+((QUOTIENT(COLUMN(BU$2)-69,3))*5)+MOD(COLUMN(BU$2),3),1,1),"")</f>
        <v>263</v>
      </c>
      <c r="BV68">
        <f ca="1">IF($AN68="",OFFSET(Demand!$A$13,ROW(F65)-1,4+((QUOTIENT(COLUMN(BV$2)-69,3))*5)+MOD(COLUMN(BV$2),3),1,1),"")</f>
        <v>74</v>
      </c>
      <c r="BW68">
        <f ca="1">IF($AN68="",OFFSET(Demand!$A$13,ROW(G65)-1,4+((QUOTIENT(COLUMN(BW$2)-69,3))*5)+MOD(COLUMN(BW$2),3),1,1),"")</f>
        <v>11</v>
      </c>
      <c r="BX68">
        <f ca="1">IF($AN68="",OFFSET(Demand!$A$13,ROW(H65)-1,4+((QUOTIENT(COLUMN(BX$2)-69,3))*5)+MOD(COLUMN(BX$2),3),1,1),"")</f>
        <v>1</v>
      </c>
      <c r="BY68">
        <f ca="1">IF($AN68="",OFFSET(Demand!$A$13,ROW(I65)-1,4+((QUOTIENT(COLUMN(BY$2)-69,3))*5)+MOD(COLUMN(BY$2),3),1,1),"")</f>
        <v>11</v>
      </c>
      <c r="BZ68">
        <f ca="1">IF($AN68="",OFFSET(Demand!$A$13,ROW(J65)-1,4+((QUOTIENT(COLUMN(BZ$2)-69,3))*5)+MOD(COLUMN(BZ$2),3),1,1),"")</f>
        <v>8</v>
      </c>
      <c r="CA68">
        <f ca="1">IF($AN68="",OFFSET(Demand!$A$13,ROW(K65)-1,4+((QUOTIENT(COLUMN(CA$2)-69,3))*5)+MOD(COLUMN(CA$2),3),1,1),"")</f>
        <v>5</v>
      </c>
      <c r="CB68">
        <f ca="1">IF($AN68="",OFFSET(Demand!$A$13,ROW(L65)-1,4+((QUOTIENT(COLUMN(CB$2)-69,3))*5)+MOD(COLUMN(CB$2),3),1,1),"")</f>
        <v>4</v>
      </c>
      <c r="CC68">
        <f ca="1">IF($AN68="",OFFSET(Demand!$A$13,ROW(M65)-1,4+((QUOTIENT(COLUMN(CC$2)-69,3))*5)+MOD(COLUMN(CC$2),3),1,1),"")</f>
        <v>1</v>
      </c>
      <c r="CD68">
        <f ca="1">IF($AN68="",OFFSET(Demand!$A$13,ROW(N65)-1,4+((QUOTIENT(COLUMN(CD$2)-69,3))*5)+MOD(COLUMN(CD$2),3),1,1),"")</f>
        <v>2</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0</v>
      </c>
      <c r="B69" s="5">
        <f ca="1">COUNTBLANK(OFFSET(Demand!$I78,0,(COLUMN(A66)-1)*5,1,1))</f>
        <v>0</v>
      </c>
      <c r="C69" s="5">
        <f ca="1">COUNTBLANK(OFFSET(Demand!$I78,0,(COLUMN(B66)-1)*5,1,1))</f>
        <v>0</v>
      </c>
      <c r="D69" s="5">
        <f ca="1">COUNTBLANK(OFFSET(Demand!$I78,0,(COLUMN(C66)-1)*5,1,1))</f>
        <v>0</v>
      </c>
      <c r="E69" s="5">
        <f ca="1">COUNTBLANK(OFFSET(Demand!$I78,0,(COLUMN(D66)-1)*5,1,1))</f>
        <v>0</v>
      </c>
      <c r="F69" s="5">
        <f ca="1">COUNTBLANK(OFFSET(Demand!$I78,0,(COLUMN(E66)-1)*5,1,1))</f>
        <v>0</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7140</v>
      </c>
      <c r="O69" s="5">
        <f ca="1">SUM(OFFSET(Demand!$E78,0,(COLUMN(B66)-1)*5,1,3))*O$2</f>
        <v>5295</v>
      </c>
      <c r="P69" s="5">
        <f ca="1">SUM(OFFSET(Demand!$E78,0,(COLUMN(C66)-1)*5,1,3))*P$2</f>
        <v>840</v>
      </c>
      <c r="Q69" s="5">
        <f ca="1">SUM(OFFSET(Demand!$E78,0,(COLUMN(D66)-1)*5,1,3))*Q$2</f>
        <v>600</v>
      </c>
      <c r="R69" s="5">
        <f ca="1">SUM(OFFSET(Demand!$E78,0,(COLUMN(E66)-1)*5,1,3))*R$2</f>
        <v>2</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13877</v>
      </c>
      <c r="Y69">
        <f t="shared" ca="1" si="38"/>
        <v>13877</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13877</v>
      </c>
      <c r="AM69" s="5">
        <f t="shared" ref="AM69:AM132" ca="1" si="41">IF(AN69&lt;&gt;"","",AJ69)</f>
        <v>0</v>
      </c>
      <c r="AN69" s="5" t="str">
        <f>IF(Demand!BE78="Yes","Yes","")</f>
        <v/>
      </c>
      <c r="AP69" s="36" t="str">
        <f ca="1">Demand!B78</f>
        <v xml:space="preserve"> </v>
      </c>
      <c r="AQ69" t="str">
        <f ca="1">IF(TEXT(Demand!D78,"MMM")&lt;&gt;TEXT(Demand!D77,"MMM"),TEXT(Demand!D78,"MMM"),"")</f>
        <v>Jul</v>
      </c>
      <c r="AT69" s="5">
        <f t="shared" ca="1" si="12"/>
        <v>451</v>
      </c>
      <c r="BQ69">
        <f ca="1">IF($AN69="",OFFSET(Demand!$A$13,ROW(A66)-1,4+((QUOTIENT(COLUMN(BQ$2)-69,3))*5)+MOD(COLUMN(BQ$2),3),1,1),"")</f>
        <v>7</v>
      </c>
      <c r="BR69">
        <f ca="1">IF($AN69="",OFFSET(Demand!$A$13,ROW(B66)-1,4+((QUOTIENT(COLUMN(BR$2)-69,3))*5)+MOD(COLUMN(BR$2),3),1,1),"")</f>
        <v>383</v>
      </c>
      <c r="BS69">
        <f ca="1">IF($AN69="",OFFSET(Demand!$A$13,ROW(C66)-1,4+((QUOTIENT(COLUMN(BS$2)-69,3))*5)+MOD(COLUMN(BS$2),3),1,1),"")</f>
        <v>86</v>
      </c>
      <c r="BT69">
        <f ca="1">IF($AN69="",OFFSET(Demand!$A$13,ROW(D66)-1,4+((QUOTIENT(COLUMN(BT$2)-69,3))*5)+MOD(COLUMN(BT$2),3),1,1),"")</f>
        <v>66</v>
      </c>
      <c r="BU69">
        <f ca="1">IF($AN69="",OFFSET(Demand!$A$13,ROW(E66)-1,4+((QUOTIENT(COLUMN(BU$2)-69,3))*5)+MOD(COLUMN(BU$2),3),1,1),"")</f>
        <v>240</v>
      </c>
      <c r="BV69">
        <f ca="1">IF($AN69="",OFFSET(Demand!$A$13,ROW(F66)-1,4+((QUOTIENT(COLUMN(BV$2)-69,3))*5)+MOD(COLUMN(BV$2),3),1,1),"")</f>
        <v>47</v>
      </c>
      <c r="BW69">
        <f ca="1">IF($AN69="",OFFSET(Demand!$A$13,ROW(G66)-1,4+((QUOTIENT(COLUMN(BW$2)-69,3))*5)+MOD(COLUMN(BW$2),3),1,1),"")</f>
        <v>12</v>
      </c>
      <c r="BX69">
        <f ca="1">IF($AN69="",OFFSET(Demand!$A$13,ROW(H66)-1,4+((QUOTIENT(COLUMN(BX$2)-69,3))*5)+MOD(COLUMN(BX$2),3),1,1),"")</f>
        <v>4</v>
      </c>
      <c r="BY69">
        <f ca="1">IF($AN69="",OFFSET(Demand!$A$13,ROW(I66)-1,4+((QUOTIENT(COLUMN(BY$2)-69,3))*5)+MOD(COLUMN(BY$2),3),1,1),"")</f>
        <v>12</v>
      </c>
      <c r="BZ69">
        <f ca="1">IF($AN69="",OFFSET(Demand!$A$13,ROW(J66)-1,4+((QUOTIENT(COLUMN(BZ$2)-69,3))*5)+MOD(COLUMN(BZ$2),3),1,1),"")</f>
        <v>8</v>
      </c>
      <c r="CA69">
        <f ca="1">IF($AN69="",OFFSET(Demand!$A$13,ROW(K66)-1,4+((QUOTIENT(COLUMN(CA$2)-69,3))*5)+MOD(COLUMN(CA$2),3),1,1),"")</f>
        <v>3</v>
      </c>
      <c r="CB69">
        <f ca="1">IF($AN69="",OFFSET(Demand!$A$13,ROW(L66)-1,4+((QUOTIENT(COLUMN(CB$2)-69,3))*5)+MOD(COLUMN(CB$2),3),1,1),"")</f>
        <v>9</v>
      </c>
      <c r="CC69">
        <f ca="1">IF($AN69="",OFFSET(Demand!$A$13,ROW(M66)-1,4+((QUOTIENT(COLUMN(CC$2)-69,3))*5)+MOD(COLUMN(CC$2),3),1,1),"")</f>
        <v>1</v>
      </c>
      <c r="CD69">
        <f ca="1">IF($AN69="",OFFSET(Demand!$A$13,ROW(N66)-1,4+((QUOTIENT(COLUMN(CD$2)-69,3))*5)+MOD(COLUMN(CD$2),3),1,1),"")</f>
        <v>1</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0</v>
      </c>
      <c r="B70" s="5">
        <f ca="1">COUNTBLANK(OFFSET(Demand!$I79,0,(COLUMN(A67)-1)*5,1,1))</f>
        <v>0</v>
      </c>
      <c r="C70" s="5">
        <f ca="1">COUNTBLANK(OFFSET(Demand!$I79,0,(COLUMN(B67)-1)*5,1,1))</f>
        <v>0</v>
      </c>
      <c r="D70" s="5">
        <f ca="1">COUNTBLANK(OFFSET(Demand!$I79,0,(COLUMN(C67)-1)*5,1,1))</f>
        <v>0</v>
      </c>
      <c r="E70" s="5">
        <f ca="1">COUNTBLANK(OFFSET(Demand!$I79,0,(COLUMN(D67)-1)*5,1,1))</f>
        <v>0</v>
      </c>
      <c r="F70" s="5">
        <f ca="1">COUNTBLANK(OFFSET(Demand!$I79,0,(COLUMN(E67)-1)*5,1,1))</f>
        <v>0</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6720</v>
      </c>
      <c r="O70" s="5">
        <f ca="1">SUM(OFFSET(Demand!$E79,0,(COLUMN(B67)-1)*5,1,3))*O$2</f>
        <v>5595</v>
      </c>
      <c r="P70" s="5">
        <f ca="1">SUM(OFFSET(Demand!$E79,0,(COLUMN(C67)-1)*5,1,3))*P$2</f>
        <v>660</v>
      </c>
      <c r="Q70" s="5">
        <f ca="1">SUM(OFFSET(Demand!$E79,0,(COLUMN(D67)-1)*5,1,3))*Q$2</f>
        <v>630</v>
      </c>
      <c r="R70" s="5">
        <f ca="1">SUM(OFFSET(Demand!$E79,0,(COLUMN(E67)-1)*5,1,3))*R$2</f>
        <v>2</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13607</v>
      </c>
      <c r="Y70">
        <f t="shared" ca="1" si="38"/>
        <v>13607</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13607</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270</v>
      </c>
      <c r="BQ70">
        <f ca="1">IF($AN70="",OFFSET(Demand!$A$13,ROW(A67)-1,4+((QUOTIENT(COLUMN(BQ$2)-69,3))*5)+MOD(COLUMN(BQ$2),3),1,1),"")</f>
        <v>13</v>
      </c>
      <c r="BR70">
        <f ca="1">IF($AN70="",OFFSET(Demand!$A$13,ROW(B67)-1,4+((QUOTIENT(COLUMN(BR$2)-69,3))*5)+MOD(COLUMN(BR$2),3),1,1),"")</f>
        <v>366</v>
      </c>
      <c r="BS70">
        <f ca="1">IF($AN70="",OFFSET(Demand!$A$13,ROW(C67)-1,4+((QUOTIENT(COLUMN(BS$2)-69,3))*5)+MOD(COLUMN(BS$2),3),1,1),"")</f>
        <v>69</v>
      </c>
      <c r="BT70">
        <f ca="1">IF($AN70="",OFFSET(Demand!$A$13,ROW(D67)-1,4+((QUOTIENT(COLUMN(BT$2)-69,3))*5)+MOD(COLUMN(BT$2),3),1,1),"")</f>
        <v>55</v>
      </c>
      <c r="BU70">
        <f ca="1">IF($AN70="",OFFSET(Demand!$A$13,ROW(E67)-1,4+((QUOTIENT(COLUMN(BU$2)-69,3))*5)+MOD(COLUMN(BU$2),3),1,1),"")</f>
        <v>267</v>
      </c>
      <c r="BV70">
        <f ca="1">IF($AN70="",OFFSET(Demand!$A$13,ROW(F67)-1,4+((QUOTIENT(COLUMN(BV$2)-69,3))*5)+MOD(COLUMN(BV$2),3),1,1),"")</f>
        <v>51</v>
      </c>
      <c r="BW70">
        <f ca="1">IF($AN70="",OFFSET(Demand!$A$13,ROW(G67)-1,4+((QUOTIENT(COLUMN(BW$2)-69,3))*5)+MOD(COLUMN(BW$2),3),1,1),"")</f>
        <v>10</v>
      </c>
      <c r="BX70">
        <f ca="1">IF($AN70="",OFFSET(Demand!$A$13,ROW(H67)-1,4+((QUOTIENT(COLUMN(BX$2)-69,3))*5)+MOD(COLUMN(BX$2),3),1,1),"")</f>
        <v>2</v>
      </c>
      <c r="BY70">
        <f ca="1">IF($AN70="",OFFSET(Demand!$A$13,ROW(I67)-1,4+((QUOTIENT(COLUMN(BY$2)-69,3))*5)+MOD(COLUMN(BY$2),3),1,1),"")</f>
        <v>10</v>
      </c>
      <c r="BZ70">
        <f ca="1">IF($AN70="",OFFSET(Demand!$A$13,ROW(J67)-1,4+((QUOTIENT(COLUMN(BZ$2)-69,3))*5)+MOD(COLUMN(BZ$2),3),1,1),"")</f>
        <v>10</v>
      </c>
      <c r="CA70">
        <f ca="1">IF($AN70="",OFFSET(Demand!$A$13,ROW(K67)-1,4+((QUOTIENT(COLUMN(CA$2)-69,3))*5)+MOD(COLUMN(CA$2),3),1,1),"")</f>
        <v>5</v>
      </c>
      <c r="CB70">
        <f ca="1">IF($AN70="",OFFSET(Demand!$A$13,ROW(L67)-1,4+((QUOTIENT(COLUMN(CB$2)-69,3))*5)+MOD(COLUMN(CB$2),3),1,1),"")</f>
        <v>6</v>
      </c>
      <c r="CC70">
        <f ca="1">IF($AN70="",OFFSET(Demand!$A$13,ROW(M67)-1,4+((QUOTIENT(COLUMN(CC$2)-69,3))*5)+MOD(COLUMN(CC$2),3),1,1),"")</f>
        <v>2</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0</v>
      </c>
      <c r="B71" s="5">
        <f ca="1">COUNTBLANK(OFFSET(Demand!$I80,0,(COLUMN(A68)-1)*5,1,1))</f>
        <v>0</v>
      </c>
      <c r="C71" s="5">
        <f ca="1">COUNTBLANK(OFFSET(Demand!$I80,0,(COLUMN(B68)-1)*5,1,1))</f>
        <v>0</v>
      </c>
      <c r="D71" s="5">
        <f ca="1">COUNTBLANK(OFFSET(Demand!$I80,0,(COLUMN(C68)-1)*5,1,1))</f>
        <v>0</v>
      </c>
      <c r="E71" s="5">
        <f ca="1">COUNTBLANK(OFFSET(Demand!$I80,0,(COLUMN(D68)-1)*5,1,1))</f>
        <v>0</v>
      </c>
      <c r="F71" s="5">
        <f ca="1">COUNTBLANK(OFFSET(Demand!$I80,0,(COLUMN(E68)-1)*5,1,1))</f>
        <v>0</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6675</v>
      </c>
      <c r="O71" s="5">
        <f ca="1">SUM(OFFSET(Demand!$E80,0,(COLUMN(B68)-1)*5,1,3))*O$2</f>
        <v>6090</v>
      </c>
      <c r="P71" s="5">
        <f ca="1">SUM(OFFSET(Demand!$E80,0,(COLUMN(C68)-1)*5,1,3))*P$2</f>
        <v>960</v>
      </c>
      <c r="Q71" s="5">
        <f ca="1">SUM(OFFSET(Demand!$E80,0,(COLUMN(D68)-1)*5,1,3))*Q$2</f>
        <v>510</v>
      </c>
      <c r="R71" s="5">
        <f ca="1">SUM(OFFSET(Demand!$E80,0,(COLUMN(E68)-1)*5,1,3))*R$2</f>
        <v>1</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14236</v>
      </c>
      <c r="Y71">
        <f t="shared" ca="1" si="38"/>
        <v>14236</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14236</v>
      </c>
      <c r="AM71" s="5">
        <f t="shared" ca="1" si="41"/>
        <v>0</v>
      </c>
      <c r="AN71" s="5" t="str">
        <f>IF(Demand!BE80="Yes","Yes","")</f>
        <v/>
      </c>
      <c r="AP71" s="36" t="str">
        <f ca="1">Demand!B80</f>
        <v xml:space="preserve"> </v>
      </c>
      <c r="AQ71" t="str">
        <f ca="1">IF(TEXT(Demand!D80,"MMM")&lt;&gt;TEXT(Demand!D79,"MMM"),TEXT(Demand!D80,"MMM"),"")</f>
        <v/>
      </c>
      <c r="AT71" s="5">
        <f t="shared" ca="1" si="42"/>
        <v>629</v>
      </c>
      <c r="BQ71">
        <f ca="1">IF($AN71="",OFFSET(Demand!$A$13,ROW(A68)-1,4+((QUOTIENT(COLUMN(BQ$2)-69,3))*5)+MOD(COLUMN(BQ$2),3),1,1),"")</f>
        <v>8</v>
      </c>
      <c r="BR71">
        <f ca="1">IF($AN71="",OFFSET(Demand!$A$13,ROW(B68)-1,4+((QUOTIENT(COLUMN(BR$2)-69,3))*5)+MOD(COLUMN(BR$2),3),1,1),"")</f>
        <v>359</v>
      </c>
      <c r="BS71">
        <f ca="1">IF($AN71="",OFFSET(Demand!$A$13,ROW(C68)-1,4+((QUOTIENT(COLUMN(BS$2)-69,3))*5)+MOD(COLUMN(BS$2),3),1,1),"")</f>
        <v>78</v>
      </c>
      <c r="BT71">
        <f ca="1">IF($AN71="",OFFSET(Demand!$A$13,ROW(D68)-1,4+((QUOTIENT(COLUMN(BT$2)-69,3))*5)+MOD(COLUMN(BT$2),3),1,1),"")</f>
        <v>61</v>
      </c>
      <c r="BU71">
        <f ca="1">IF($AN71="",OFFSET(Demand!$A$13,ROW(E68)-1,4+((QUOTIENT(COLUMN(BU$2)-69,3))*5)+MOD(COLUMN(BU$2),3),1,1),"")</f>
        <v>282</v>
      </c>
      <c r="BV71">
        <f ca="1">IF($AN71="",OFFSET(Demand!$A$13,ROW(F68)-1,4+((QUOTIENT(COLUMN(BV$2)-69,3))*5)+MOD(COLUMN(BV$2),3),1,1),"")</f>
        <v>63</v>
      </c>
      <c r="BW71">
        <f ca="1">IF($AN71="",OFFSET(Demand!$A$13,ROW(G68)-1,4+((QUOTIENT(COLUMN(BW$2)-69,3))*5)+MOD(COLUMN(BW$2),3),1,1),"")</f>
        <v>15</v>
      </c>
      <c r="BX71">
        <f ca="1">IF($AN71="",OFFSET(Demand!$A$13,ROW(H68)-1,4+((QUOTIENT(COLUMN(BX$2)-69,3))*5)+MOD(COLUMN(BX$2),3),1,1),"")</f>
        <v>2</v>
      </c>
      <c r="BY71">
        <f ca="1">IF($AN71="",OFFSET(Demand!$A$13,ROW(I68)-1,4+((QUOTIENT(COLUMN(BY$2)-69,3))*5)+MOD(COLUMN(BY$2),3),1,1),"")</f>
        <v>15</v>
      </c>
      <c r="BZ71">
        <f ca="1">IF($AN71="",OFFSET(Demand!$A$13,ROW(J68)-1,4+((QUOTIENT(COLUMN(BZ$2)-69,3))*5)+MOD(COLUMN(BZ$2),3),1,1),"")</f>
        <v>9</v>
      </c>
      <c r="CA71">
        <f ca="1">IF($AN71="",OFFSET(Demand!$A$13,ROW(K68)-1,4+((QUOTIENT(COLUMN(CA$2)-69,3))*5)+MOD(COLUMN(CA$2),3),1,1),"")</f>
        <v>2</v>
      </c>
      <c r="CB71">
        <f ca="1">IF($AN71="",OFFSET(Demand!$A$13,ROW(L68)-1,4+((QUOTIENT(COLUMN(CB$2)-69,3))*5)+MOD(COLUMN(CB$2),3),1,1),"")</f>
        <v>6</v>
      </c>
      <c r="CC71">
        <f ca="1">IF($AN71="",OFFSET(Demand!$A$13,ROW(M68)-1,4+((QUOTIENT(COLUMN(CC$2)-69,3))*5)+MOD(COLUMN(CC$2),3),1,1),"")</f>
        <v>1</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0</v>
      </c>
      <c r="B72" s="5">
        <f ca="1">COUNTBLANK(OFFSET(Demand!$I81,0,(COLUMN(A69)-1)*5,1,1))</f>
        <v>0</v>
      </c>
      <c r="C72" s="5">
        <f ca="1">COUNTBLANK(OFFSET(Demand!$I81,0,(COLUMN(B69)-1)*5,1,1))</f>
        <v>0</v>
      </c>
      <c r="D72" s="5">
        <f ca="1">COUNTBLANK(OFFSET(Demand!$I81,0,(COLUMN(C69)-1)*5,1,1))</f>
        <v>0</v>
      </c>
      <c r="E72" s="5">
        <f ca="1">COUNTBLANK(OFFSET(Demand!$I81,0,(COLUMN(D69)-1)*5,1,1))</f>
        <v>0</v>
      </c>
      <c r="F72" s="5">
        <f ca="1">COUNTBLANK(OFFSET(Demand!$I81,0,(COLUMN(E69)-1)*5,1,1))</f>
        <v>0</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6825</v>
      </c>
      <c r="O72" s="5">
        <f ca="1">SUM(OFFSET(Demand!$E81,0,(COLUMN(B69)-1)*5,1,3))*O$2</f>
        <v>5550</v>
      </c>
      <c r="P72" s="5">
        <f ca="1">SUM(OFFSET(Demand!$E81,0,(COLUMN(C69)-1)*5,1,3))*P$2</f>
        <v>720</v>
      </c>
      <c r="Q72" s="5">
        <f ca="1">SUM(OFFSET(Demand!$E81,0,(COLUMN(D69)-1)*5,1,3))*Q$2</f>
        <v>690</v>
      </c>
      <c r="R72" s="5">
        <f ca="1">SUM(OFFSET(Demand!$E81,0,(COLUMN(E69)-1)*5,1,3))*R$2</f>
        <v>4</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13789</v>
      </c>
      <c r="Y72">
        <f t="shared" ca="1" si="38"/>
        <v>13789</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13789</v>
      </c>
      <c r="AM72" s="5">
        <f t="shared" ca="1" si="41"/>
        <v>0</v>
      </c>
      <c r="AN72" s="5" t="str">
        <f>IF(Demand!BE81="Yes","Yes","")</f>
        <v/>
      </c>
      <c r="AP72" s="36" t="str">
        <f ca="1">Demand!B81</f>
        <v xml:space="preserve"> </v>
      </c>
      <c r="AQ72" t="str">
        <f ca="1">IF(TEXT(Demand!D81,"MMM")&lt;&gt;TEXT(Demand!D80,"MMM"),TEXT(Demand!D81,"MMM"),"")</f>
        <v/>
      </c>
      <c r="AT72" s="5">
        <f t="shared" ca="1" si="42"/>
        <v>447</v>
      </c>
      <c r="BQ72">
        <f ca="1">IF($AN72="",OFFSET(Demand!$A$13,ROW(A69)-1,4+((QUOTIENT(COLUMN(BQ$2)-69,3))*5)+MOD(COLUMN(BQ$2),3),1,1),"")</f>
        <v>1</v>
      </c>
      <c r="BR72">
        <f ca="1">IF($AN72="",OFFSET(Demand!$A$13,ROW(B69)-1,4+((QUOTIENT(COLUMN(BR$2)-69,3))*5)+MOD(COLUMN(BR$2),3),1,1),"")</f>
        <v>358</v>
      </c>
      <c r="BS72">
        <f ca="1">IF($AN72="",OFFSET(Demand!$A$13,ROW(C69)-1,4+((QUOTIENT(COLUMN(BS$2)-69,3))*5)+MOD(COLUMN(BS$2),3),1,1),"")</f>
        <v>96</v>
      </c>
      <c r="BT72">
        <f ca="1">IF($AN72="",OFFSET(Demand!$A$13,ROW(D69)-1,4+((QUOTIENT(COLUMN(BT$2)-69,3))*5)+MOD(COLUMN(BT$2),3),1,1),"")</f>
        <v>57</v>
      </c>
      <c r="BU72">
        <f ca="1">IF($AN72="",OFFSET(Demand!$A$13,ROW(E69)-1,4+((QUOTIENT(COLUMN(BU$2)-69,3))*5)+MOD(COLUMN(BU$2),3),1,1),"")</f>
        <v>255</v>
      </c>
      <c r="BV72">
        <f ca="1">IF($AN72="",OFFSET(Demand!$A$13,ROW(F69)-1,4+((QUOTIENT(COLUMN(BV$2)-69,3))*5)+MOD(COLUMN(BV$2),3),1,1),"")</f>
        <v>58</v>
      </c>
      <c r="BW72">
        <f ca="1">IF($AN72="",OFFSET(Demand!$A$13,ROW(G69)-1,4+((QUOTIENT(COLUMN(BW$2)-69,3))*5)+MOD(COLUMN(BW$2),3),1,1),"")</f>
        <v>12</v>
      </c>
      <c r="BX72">
        <f ca="1">IF($AN72="",OFFSET(Demand!$A$13,ROW(H69)-1,4+((QUOTIENT(COLUMN(BX$2)-69,3))*5)+MOD(COLUMN(BX$2),3),1,1),"")</f>
        <v>0</v>
      </c>
      <c r="BY72">
        <f ca="1">IF($AN72="",OFFSET(Demand!$A$13,ROW(I69)-1,4+((QUOTIENT(COLUMN(BY$2)-69,3))*5)+MOD(COLUMN(BY$2),3),1,1),"")</f>
        <v>12</v>
      </c>
      <c r="BZ72">
        <f ca="1">IF($AN72="",OFFSET(Demand!$A$13,ROW(J69)-1,4+((QUOTIENT(COLUMN(BZ$2)-69,3))*5)+MOD(COLUMN(BZ$2),3),1,1),"")</f>
        <v>13</v>
      </c>
      <c r="CA72">
        <f ca="1">IF($AN72="",OFFSET(Demand!$A$13,ROW(K69)-1,4+((QUOTIENT(COLUMN(CA$2)-69,3))*5)+MOD(COLUMN(CA$2),3),1,1),"")</f>
        <v>2</v>
      </c>
      <c r="CB72">
        <f ca="1">IF($AN72="",OFFSET(Demand!$A$13,ROW(L69)-1,4+((QUOTIENT(COLUMN(CB$2)-69,3))*5)+MOD(COLUMN(CB$2),3),1,1),"")</f>
        <v>8</v>
      </c>
      <c r="CC72">
        <f ca="1">IF($AN72="",OFFSET(Demand!$A$13,ROW(M69)-1,4+((QUOTIENT(COLUMN(CC$2)-69,3))*5)+MOD(COLUMN(CC$2),3),1,1),"")</f>
        <v>4</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0</v>
      </c>
      <c r="B73" s="5">
        <f ca="1">COUNTBLANK(OFFSET(Demand!$I82,0,(COLUMN(A70)-1)*5,1,1))</f>
        <v>0</v>
      </c>
      <c r="C73" s="5">
        <f ca="1">COUNTBLANK(OFFSET(Demand!$I82,0,(COLUMN(B70)-1)*5,1,1))</f>
        <v>0</v>
      </c>
      <c r="D73" s="5">
        <f ca="1">COUNTBLANK(OFFSET(Demand!$I82,0,(COLUMN(C70)-1)*5,1,1))</f>
        <v>0</v>
      </c>
      <c r="E73" s="5">
        <f ca="1">COUNTBLANK(OFFSET(Demand!$I82,0,(COLUMN(D70)-1)*5,1,1))</f>
        <v>0</v>
      </c>
      <c r="F73" s="5">
        <f ca="1">COUNTBLANK(OFFSET(Demand!$I82,0,(COLUMN(E70)-1)*5,1,1))</f>
        <v>0</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7020</v>
      </c>
      <c r="O73" s="5">
        <f ca="1">SUM(OFFSET(Demand!$E82,0,(COLUMN(B70)-1)*5,1,3))*O$2</f>
        <v>5760</v>
      </c>
      <c r="P73" s="5">
        <f ca="1">SUM(OFFSET(Demand!$E82,0,(COLUMN(C70)-1)*5,1,3))*P$2</f>
        <v>300</v>
      </c>
      <c r="Q73" s="5">
        <f ca="1">SUM(OFFSET(Demand!$E82,0,(COLUMN(D70)-1)*5,1,3))*Q$2</f>
        <v>810</v>
      </c>
      <c r="R73" s="5">
        <f ca="1">SUM(OFFSET(Demand!$E82,0,(COLUMN(E70)-1)*5,1,3))*R$2</f>
        <v>1</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13891</v>
      </c>
      <c r="Y73">
        <f t="shared" ca="1" si="38"/>
        <v>13891</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13891</v>
      </c>
      <c r="AM73" s="5">
        <f t="shared" ca="1" si="41"/>
        <v>0</v>
      </c>
      <c r="AN73" s="5" t="str">
        <f>IF(Demand!BE82="Yes","Yes","")</f>
        <v/>
      </c>
      <c r="AP73" s="36" t="str">
        <f ca="1">Demand!B82</f>
        <v xml:space="preserve"> </v>
      </c>
      <c r="AQ73" t="str">
        <f ca="1">IF(TEXT(Demand!D82,"MMM")&lt;&gt;TEXT(Demand!D81,"MMM"),TEXT(Demand!D82,"MMM"),"")</f>
        <v/>
      </c>
      <c r="AT73" s="5">
        <f t="shared" ca="1" si="42"/>
        <v>102</v>
      </c>
      <c r="BQ73">
        <f ca="1">IF($AN73="",OFFSET(Demand!$A$13,ROW(A70)-1,4+((QUOTIENT(COLUMN(BQ$2)-69,3))*5)+MOD(COLUMN(BQ$2),3),1,1),"")</f>
        <v>8</v>
      </c>
      <c r="BR73">
        <f ca="1">IF($AN73="",OFFSET(Demand!$A$13,ROW(B70)-1,4+((QUOTIENT(COLUMN(BR$2)-69,3))*5)+MOD(COLUMN(BR$2),3),1,1),"")</f>
        <v>365</v>
      </c>
      <c r="BS73">
        <f ca="1">IF($AN73="",OFFSET(Demand!$A$13,ROW(C70)-1,4+((QUOTIENT(COLUMN(BS$2)-69,3))*5)+MOD(COLUMN(BS$2),3),1,1),"")</f>
        <v>95</v>
      </c>
      <c r="BT73">
        <f ca="1">IF($AN73="",OFFSET(Demand!$A$13,ROW(D70)-1,4+((QUOTIENT(COLUMN(BT$2)-69,3))*5)+MOD(COLUMN(BT$2),3),1,1),"")</f>
        <v>56</v>
      </c>
      <c r="BU73">
        <f ca="1">IF($AN73="",OFFSET(Demand!$A$13,ROW(E70)-1,4+((QUOTIENT(COLUMN(BU$2)-69,3))*5)+MOD(COLUMN(BU$2),3),1,1),"")</f>
        <v>266</v>
      </c>
      <c r="BV73">
        <f ca="1">IF($AN73="",OFFSET(Demand!$A$13,ROW(F70)-1,4+((QUOTIENT(COLUMN(BV$2)-69,3))*5)+MOD(COLUMN(BV$2),3),1,1),"")</f>
        <v>62</v>
      </c>
      <c r="BW73">
        <f ca="1">IF($AN73="",OFFSET(Demand!$A$13,ROW(G70)-1,4+((QUOTIENT(COLUMN(BW$2)-69,3))*5)+MOD(COLUMN(BW$2),3),1,1),"")</f>
        <v>5</v>
      </c>
      <c r="BX73">
        <f ca="1">IF($AN73="",OFFSET(Demand!$A$13,ROW(H70)-1,4+((QUOTIENT(COLUMN(BX$2)-69,3))*5)+MOD(COLUMN(BX$2),3),1,1),"")</f>
        <v>0</v>
      </c>
      <c r="BY73">
        <f ca="1">IF($AN73="",OFFSET(Demand!$A$13,ROW(I70)-1,4+((QUOTIENT(COLUMN(BY$2)-69,3))*5)+MOD(COLUMN(BY$2),3),1,1),"")</f>
        <v>5</v>
      </c>
      <c r="BZ73">
        <f ca="1">IF($AN73="",OFFSET(Demand!$A$13,ROW(J70)-1,4+((QUOTIENT(COLUMN(BZ$2)-69,3))*5)+MOD(COLUMN(BZ$2),3),1,1),"")</f>
        <v>21</v>
      </c>
      <c r="CA73">
        <f ca="1">IF($AN73="",OFFSET(Demand!$A$13,ROW(K70)-1,4+((QUOTIENT(COLUMN(CA$2)-69,3))*5)+MOD(COLUMN(CA$2),3),1,1),"")</f>
        <v>3</v>
      </c>
      <c r="CB73">
        <f ca="1">IF($AN73="",OFFSET(Demand!$A$13,ROW(L70)-1,4+((QUOTIENT(COLUMN(CB$2)-69,3))*5)+MOD(COLUMN(CB$2),3),1,1),"")</f>
        <v>3</v>
      </c>
      <c r="CC73">
        <f ca="1">IF($AN73="",OFFSET(Demand!$A$13,ROW(M70)-1,4+((QUOTIENT(COLUMN(CC$2)-69,3))*5)+MOD(COLUMN(CC$2),3),1,1),"")</f>
        <v>1</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0</v>
      </c>
      <c r="B74" s="5">
        <f ca="1">COUNTBLANK(OFFSET(Demand!$I83,0,(COLUMN(A71)-1)*5,1,1))</f>
        <v>0</v>
      </c>
      <c r="C74" s="5">
        <f ca="1">COUNTBLANK(OFFSET(Demand!$I83,0,(COLUMN(B71)-1)*5,1,1))</f>
        <v>0</v>
      </c>
      <c r="D74" s="5">
        <f ca="1">COUNTBLANK(OFFSET(Demand!$I83,0,(COLUMN(C71)-1)*5,1,1))</f>
        <v>0</v>
      </c>
      <c r="E74" s="5">
        <f ca="1">COUNTBLANK(OFFSET(Demand!$I83,0,(COLUMN(D71)-1)*5,1,1))</f>
        <v>0</v>
      </c>
      <c r="F74" s="5">
        <f ca="1">COUNTBLANK(OFFSET(Demand!$I83,0,(COLUMN(E71)-1)*5,1,1))</f>
        <v>0</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6705</v>
      </c>
      <c r="O74" s="5">
        <f ca="1">SUM(OFFSET(Demand!$E83,0,(COLUMN(B71)-1)*5,1,3))*O$2</f>
        <v>5805</v>
      </c>
      <c r="P74" s="5">
        <f ca="1">SUM(OFFSET(Demand!$E83,0,(COLUMN(C71)-1)*5,1,3))*P$2</f>
        <v>600</v>
      </c>
      <c r="Q74" s="5">
        <f ca="1">SUM(OFFSET(Demand!$E83,0,(COLUMN(D71)-1)*5,1,3))*Q$2</f>
        <v>510</v>
      </c>
      <c r="R74" s="5">
        <f ca="1">SUM(OFFSET(Demand!$E83,0,(COLUMN(E71)-1)*5,1,3))*R$2</f>
        <v>1</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13621</v>
      </c>
      <c r="Y74">
        <f t="shared" ca="1" si="38"/>
        <v>13621</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13621</v>
      </c>
      <c r="AM74" s="5">
        <f t="shared" ca="1" si="41"/>
        <v>0</v>
      </c>
      <c r="AN74" s="5" t="str">
        <f>IF(Demand!BE83="Yes","Yes","")</f>
        <v/>
      </c>
      <c r="AP74" s="36" t="str">
        <f ca="1">Demand!B83</f>
        <v xml:space="preserve"> </v>
      </c>
      <c r="AQ74" t="str">
        <f ca="1">IF(TEXT(Demand!D83,"MMM")&lt;&gt;TEXT(Demand!D82,"MMM"),TEXT(Demand!D83,"MMM"),"")</f>
        <v>Aug</v>
      </c>
      <c r="AT74" s="5">
        <f t="shared" ca="1" si="42"/>
        <v>270</v>
      </c>
      <c r="BQ74">
        <f ca="1">IF($AN74="",OFFSET(Demand!$A$13,ROW(A71)-1,4+((QUOTIENT(COLUMN(BQ$2)-69,3))*5)+MOD(COLUMN(BQ$2),3),1,1),"")</f>
        <v>8</v>
      </c>
      <c r="BR74">
        <f ca="1">IF($AN74="",OFFSET(Demand!$A$13,ROW(B71)-1,4+((QUOTIENT(COLUMN(BR$2)-69,3))*5)+MOD(COLUMN(BR$2),3),1,1),"")</f>
        <v>376</v>
      </c>
      <c r="BS74">
        <f ca="1">IF($AN74="",OFFSET(Demand!$A$13,ROW(C71)-1,4+((QUOTIENT(COLUMN(BS$2)-69,3))*5)+MOD(COLUMN(BS$2),3),1,1),"")</f>
        <v>63</v>
      </c>
      <c r="BT74">
        <f ca="1">IF($AN74="",OFFSET(Demand!$A$13,ROW(D71)-1,4+((QUOTIENT(COLUMN(BT$2)-69,3))*5)+MOD(COLUMN(BT$2),3),1,1),"")</f>
        <v>52</v>
      </c>
      <c r="BU74">
        <f ca="1">IF($AN74="",OFFSET(Demand!$A$13,ROW(E71)-1,4+((QUOTIENT(COLUMN(BU$2)-69,3))*5)+MOD(COLUMN(BU$2),3),1,1),"")</f>
        <v>280</v>
      </c>
      <c r="BV74">
        <f ca="1">IF($AN74="",OFFSET(Demand!$A$13,ROW(F71)-1,4+((QUOTIENT(COLUMN(BV$2)-69,3))*5)+MOD(COLUMN(BV$2),3),1,1),"")</f>
        <v>55</v>
      </c>
      <c r="BW74">
        <f ca="1">IF($AN74="",OFFSET(Demand!$A$13,ROW(G71)-1,4+((QUOTIENT(COLUMN(BW$2)-69,3))*5)+MOD(COLUMN(BW$2),3),1,1),"")</f>
        <v>10</v>
      </c>
      <c r="BX74">
        <f ca="1">IF($AN74="",OFFSET(Demand!$A$13,ROW(H71)-1,4+((QUOTIENT(COLUMN(BX$2)-69,3))*5)+MOD(COLUMN(BX$2),3),1,1),"")</f>
        <v>0</v>
      </c>
      <c r="BY74">
        <f ca="1">IF($AN74="",OFFSET(Demand!$A$13,ROW(I71)-1,4+((QUOTIENT(COLUMN(BY$2)-69,3))*5)+MOD(COLUMN(BY$2),3),1,1),"")</f>
        <v>10</v>
      </c>
      <c r="BZ74">
        <f ca="1">IF($AN74="",OFFSET(Demand!$A$13,ROW(J71)-1,4+((QUOTIENT(COLUMN(BZ$2)-69,3))*5)+MOD(COLUMN(BZ$2),3),1,1),"")</f>
        <v>6</v>
      </c>
      <c r="CA74">
        <f ca="1">IF($AN74="",OFFSET(Demand!$A$13,ROW(K71)-1,4+((QUOTIENT(COLUMN(CA$2)-69,3))*5)+MOD(COLUMN(CA$2),3),1,1),"")</f>
        <v>6</v>
      </c>
      <c r="CB74">
        <f ca="1">IF($AN74="",OFFSET(Demand!$A$13,ROW(L71)-1,4+((QUOTIENT(COLUMN(CB$2)-69,3))*5)+MOD(COLUMN(CB$2),3),1,1),"")</f>
        <v>5</v>
      </c>
      <c r="CC74">
        <f ca="1">IF($AN74="",OFFSET(Demand!$A$13,ROW(M71)-1,4+((QUOTIENT(COLUMN(CC$2)-69,3))*5)+MOD(COLUMN(CC$2),3),1,1),"")</f>
        <v>0</v>
      </c>
      <c r="CD74">
        <f ca="1">IF($AN74="",OFFSET(Demand!$A$13,ROW(N71)-1,4+((QUOTIENT(COLUMN(CD$2)-69,3))*5)+MOD(COLUMN(CD$2),3),1,1),"")</f>
        <v>1</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0</v>
      </c>
      <c r="B75" s="5">
        <f ca="1">COUNTBLANK(OFFSET(Demand!$I84,0,(COLUMN(A72)-1)*5,1,1))</f>
        <v>0</v>
      </c>
      <c r="C75" s="5">
        <f ca="1">COUNTBLANK(OFFSET(Demand!$I84,0,(COLUMN(B72)-1)*5,1,1))</f>
        <v>0</v>
      </c>
      <c r="D75" s="5">
        <f ca="1">COUNTBLANK(OFFSET(Demand!$I84,0,(COLUMN(C72)-1)*5,1,1))</f>
        <v>0</v>
      </c>
      <c r="E75" s="5">
        <f ca="1">COUNTBLANK(OFFSET(Demand!$I84,0,(COLUMN(D72)-1)*5,1,1))</f>
        <v>0</v>
      </c>
      <c r="F75" s="5">
        <f ca="1">COUNTBLANK(OFFSET(Demand!$I84,0,(COLUMN(E72)-1)*5,1,1))</f>
        <v>0</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7155</v>
      </c>
      <c r="O75" s="5">
        <f ca="1">SUM(OFFSET(Demand!$E84,0,(COLUMN(B72)-1)*5,1,3))*O$2</f>
        <v>5370</v>
      </c>
      <c r="P75" s="5">
        <f ca="1">SUM(OFFSET(Demand!$E84,0,(COLUMN(C72)-1)*5,1,3))*P$2</f>
        <v>900</v>
      </c>
      <c r="Q75" s="5">
        <f ca="1">SUM(OFFSET(Demand!$E84,0,(COLUMN(D72)-1)*5,1,3))*Q$2</f>
        <v>720</v>
      </c>
      <c r="R75" s="5">
        <f ca="1">SUM(OFFSET(Demand!$E84,0,(COLUMN(E72)-1)*5,1,3))*R$2</f>
        <v>1</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14146</v>
      </c>
      <c r="Y75">
        <f t="shared" ca="1" si="38"/>
        <v>14146</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14146</v>
      </c>
      <c r="AM75" s="5">
        <f t="shared" ca="1" si="41"/>
        <v>0</v>
      </c>
      <c r="AN75" s="5" t="str">
        <f>IF(Demand!BE84="Yes","Yes","")</f>
        <v/>
      </c>
      <c r="AP75" s="36" t="str">
        <f ca="1">Demand!B84</f>
        <v xml:space="preserve"> </v>
      </c>
      <c r="AQ75" t="str">
        <f ca="1">IF(TEXT(Demand!D84,"MMM")&lt;&gt;TEXT(Demand!D83,"MMM"),TEXT(Demand!D84,"MMM"),"")</f>
        <v/>
      </c>
      <c r="AT75" s="5">
        <f t="shared" ca="1" si="42"/>
        <v>525</v>
      </c>
      <c r="BQ75">
        <f ca="1">IF($AN75="",OFFSET(Demand!$A$13,ROW(A72)-1,4+((QUOTIENT(COLUMN(BQ$2)-69,3))*5)+MOD(COLUMN(BQ$2),3),1,1),"")</f>
        <v>4</v>
      </c>
      <c r="BR75">
        <f ca="1">IF($AN75="",OFFSET(Demand!$A$13,ROW(B72)-1,4+((QUOTIENT(COLUMN(BR$2)-69,3))*5)+MOD(COLUMN(BR$2),3),1,1),"")</f>
        <v>366</v>
      </c>
      <c r="BS75">
        <f ca="1">IF($AN75="",OFFSET(Demand!$A$13,ROW(C72)-1,4+((QUOTIENT(COLUMN(BS$2)-69,3))*5)+MOD(COLUMN(BS$2),3),1,1),"")</f>
        <v>107</v>
      </c>
      <c r="BT75">
        <f ca="1">IF($AN75="",OFFSET(Demand!$A$13,ROW(D72)-1,4+((QUOTIENT(COLUMN(BT$2)-69,3))*5)+MOD(COLUMN(BT$2),3),1,1),"")</f>
        <v>63</v>
      </c>
      <c r="BU75">
        <f ca="1">IF($AN75="",OFFSET(Demand!$A$13,ROW(E72)-1,4+((QUOTIENT(COLUMN(BU$2)-69,3))*5)+MOD(COLUMN(BU$2),3),1,1),"")</f>
        <v>242</v>
      </c>
      <c r="BV75">
        <f ca="1">IF($AN75="",OFFSET(Demand!$A$13,ROW(F72)-1,4+((QUOTIENT(COLUMN(BV$2)-69,3))*5)+MOD(COLUMN(BV$2),3),1,1),"")</f>
        <v>53</v>
      </c>
      <c r="BW75">
        <f ca="1">IF($AN75="",OFFSET(Demand!$A$13,ROW(G72)-1,4+((QUOTIENT(COLUMN(BW$2)-69,3))*5)+MOD(COLUMN(BW$2),3),1,1),"")</f>
        <v>15</v>
      </c>
      <c r="BX75">
        <f ca="1">IF($AN75="",OFFSET(Demand!$A$13,ROW(H72)-1,4+((QUOTIENT(COLUMN(BX$2)-69,3))*5)+MOD(COLUMN(BX$2),3),1,1),"")</f>
        <v>0</v>
      </c>
      <c r="BY75">
        <f ca="1">IF($AN75="",OFFSET(Demand!$A$13,ROW(I72)-1,4+((QUOTIENT(COLUMN(BY$2)-69,3))*5)+MOD(COLUMN(BY$2),3),1,1),"")</f>
        <v>15</v>
      </c>
      <c r="BZ75">
        <f ca="1">IF($AN75="",OFFSET(Demand!$A$13,ROW(J72)-1,4+((QUOTIENT(COLUMN(BZ$2)-69,3))*5)+MOD(COLUMN(BZ$2),3),1,1),"")</f>
        <v>16</v>
      </c>
      <c r="CA75">
        <f ca="1">IF($AN75="",OFFSET(Demand!$A$13,ROW(K72)-1,4+((QUOTIENT(COLUMN(CA$2)-69,3))*5)+MOD(COLUMN(CA$2),3),1,1),"")</f>
        <v>3</v>
      </c>
      <c r="CB75">
        <f ca="1">IF($AN75="",OFFSET(Demand!$A$13,ROW(L72)-1,4+((QUOTIENT(COLUMN(CB$2)-69,3))*5)+MOD(COLUMN(CB$2),3),1,1),"")</f>
        <v>5</v>
      </c>
      <c r="CC75">
        <f ca="1">IF($AN75="",OFFSET(Demand!$A$13,ROW(M72)-1,4+((QUOTIENT(COLUMN(CC$2)-69,3))*5)+MOD(COLUMN(CC$2),3),1,1),"")</f>
        <v>1</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0</v>
      </c>
      <c r="B76" s="5">
        <f ca="1">COUNTBLANK(OFFSET(Demand!$I85,0,(COLUMN(A73)-1)*5,1,1))</f>
        <v>0</v>
      </c>
      <c r="C76" s="5">
        <f ca="1">COUNTBLANK(OFFSET(Demand!$I85,0,(COLUMN(B73)-1)*5,1,1))</f>
        <v>0</v>
      </c>
      <c r="D76" s="5">
        <f ca="1">COUNTBLANK(OFFSET(Demand!$I85,0,(COLUMN(C73)-1)*5,1,1))</f>
        <v>0</v>
      </c>
      <c r="E76" s="5">
        <f ca="1">COUNTBLANK(OFFSET(Demand!$I85,0,(COLUMN(D73)-1)*5,1,1))</f>
        <v>0</v>
      </c>
      <c r="F76" s="5">
        <f ca="1">COUNTBLANK(OFFSET(Demand!$I85,0,(COLUMN(E73)-1)*5,1,1))</f>
        <v>0</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7530</v>
      </c>
      <c r="O76" s="5">
        <f ca="1">SUM(OFFSET(Demand!$E85,0,(COLUMN(B73)-1)*5,1,3))*O$2</f>
        <v>5385</v>
      </c>
      <c r="P76" s="5">
        <f ca="1">SUM(OFFSET(Demand!$E85,0,(COLUMN(C73)-1)*5,1,3))*P$2</f>
        <v>840</v>
      </c>
      <c r="Q76" s="5">
        <f ca="1">SUM(OFFSET(Demand!$E85,0,(COLUMN(D73)-1)*5,1,3))*Q$2</f>
        <v>540</v>
      </c>
      <c r="R76" s="5">
        <f ca="1">SUM(OFFSET(Demand!$E85,0,(COLUMN(E73)-1)*5,1,3))*R$2</f>
        <v>2</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14297</v>
      </c>
      <c r="Y76">
        <f t="shared" ca="1" si="38"/>
        <v>14297</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14297</v>
      </c>
      <c r="AM76" s="5">
        <f t="shared" ca="1" si="41"/>
        <v>0</v>
      </c>
      <c r="AN76" s="5" t="str">
        <f>IF(Demand!BE85="Yes","Yes","")</f>
        <v/>
      </c>
      <c r="AP76" s="36" t="str">
        <f ca="1">Demand!B85</f>
        <v xml:space="preserve"> </v>
      </c>
      <c r="AQ76" t="str">
        <f ca="1">IF(TEXT(Demand!D85,"MMM")&lt;&gt;TEXT(Demand!D84,"MMM"),TEXT(Demand!D85,"MMM"),"")</f>
        <v/>
      </c>
      <c r="AT76" s="5">
        <f t="shared" ca="1" si="42"/>
        <v>151</v>
      </c>
      <c r="BQ76">
        <f ca="1">IF($AN76="",OFFSET(Demand!$A$13,ROW(A73)-1,4+((QUOTIENT(COLUMN(BQ$2)-69,3))*5)+MOD(COLUMN(BQ$2),3),1,1),"")</f>
        <v>7</v>
      </c>
      <c r="BR76">
        <f ca="1">IF($AN76="",OFFSET(Demand!$A$13,ROW(B73)-1,4+((QUOTIENT(COLUMN(BR$2)-69,3))*5)+MOD(COLUMN(BR$2),3),1,1),"")</f>
        <v>422</v>
      </c>
      <c r="BS76">
        <f ca="1">IF($AN76="",OFFSET(Demand!$A$13,ROW(C73)-1,4+((QUOTIENT(COLUMN(BS$2)-69,3))*5)+MOD(COLUMN(BS$2),3),1,1),"")</f>
        <v>73</v>
      </c>
      <c r="BT76">
        <f ca="1">IF($AN76="",OFFSET(Demand!$A$13,ROW(D73)-1,4+((QUOTIENT(COLUMN(BT$2)-69,3))*5)+MOD(COLUMN(BT$2),3),1,1),"")</f>
        <v>46</v>
      </c>
      <c r="BU76">
        <f ca="1">IF($AN76="",OFFSET(Demand!$A$13,ROW(E73)-1,4+((QUOTIENT(COLUMN(BU$2)-69,3))*5)+MOD(COLUMN(BU$2),3),1,1),"")</f>
        <v>260</v>
      </c>
      <c r="BV76">
        <f ca="1">IF($AN76="",OFFSET(Demand!$A$13,ROW(F73)-1,4+((QUOTIENT(COLUMN(BV$2)-69,3))*5)+MOD(COLUMN(BV$2),3),1,1),"")</f>
        <v>53</v>
      </c>
      <c r="BW76">
        <f ca="1">IF($AN76="",OFFSET(Demand!$A$13,ROW(G73)-1,4+((QUOTIENT(COLUMN(BW$2)-69,3))*5)+MOD(COLUMN(BW$2),3),1,1),"")</f>
        <v>14</v>
      </c>
      <c r="BX76">
        <f ca="1">IF($AN76="",OFFSET(Demand!$A$13,ROW(H73)-1,4+((QUOTIENT(COLUMN(BX$2)-69,3))*5)+MOD(COLUMN(BX$2),3),1,1),"")</f>
        <v>0</v>
      </c>
      <c r="BY76">
        <f ca="1">IF($AN76="",OFFSET(Demand!$A$13,ROW(I73)-1,4+((QUOTIENT(COLUMN(BY$2)-69,3))*5)+MOD(COLUMN(BY$2),3),1,1),"")</f>
        <v>14</v>
      </c>
      <c r="BZ76">
        <f ca="1">IF($AN76="",OFFSET(Demand!$A$13,ROW(J73)-1,4+((QUOTIENT(COLUMN(BZ$2)-69,3))*5)+MOD(COLUMN(BZ$2),3),1,1),"")</f>
        <v>14</v>
      </c>
      <c r="CA76">
        <f ca="1">IF($AN76="",OFFSET(Demand!$A$13,ROW(K73)-1,4+((QUOTIENT(COLUMN(CA$2)-69,3))*5)+MOD(COLUMN(CA$2),3),1,1),"")</f>
        <v>2</v>
      </c>
      <c r="CB76">
        <f ca="1">IF($AN76="",OFFSET(Demand!$A$13,ROW(L73)-1,4+((QUOTIENT(COLUMN(CB$2)-69,3))*5)+MOD(COLUMN(CB$2),3),1,1),"")</f>
        <v>2</v>
      </c>
      <c r="CC76">
        <f ca="1">IF($AN76="",OFFSET(Demand!$A$13,ROW(M73)-1,4+((QUOTIENT(COLUMN(CC$2)-69,3))*5)+MOD(COLUMN(CC$2),3),1,1),"")</f>
        <v>1</v>
      </c>
      <c r="CD76">
        <f ca="1">IF($AN76="",OFFSET(Demand!$A$13,ROW(N73)-1,4+((QUOTIENT(COLUMN(CD$2)-69,3))*5)+MOD(COLUMN(CD$2),3),1,1),"")</f>
        <v>1</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1</v>
      </c>
      <c r="B77" s="5">
        <f ca="1">COUNTBLANK(OFFSET(Demand!$I86,0,(COLUMN(A74)-1)*5,1,1))</f>
        <v>0</v>
      </c>
      <c r="C77" s="5">
        <f ca="1">COUNTBLANK(OFFSET(Demand!$I86,0,(COLUMN(B74)-1)*5,1,1))</f>
        <v>0</v>
      </c>
      <c r="D77" s="5">
        <f ca="1">COUNTBLANK(OFFSET(Demand!$I86,0,(COLUMN(C74)-1)*5,1,1))</f>
        <v>0</v>
      </c>
      <c r="E77" s="5">
        <f ca="1">COUNTBLANK(OFFSET(Demand!$I86,0,(COLUMN(D74)-1)*5,1,1))</f>
        <v>0</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6255</v>
      </c>
      <c r="O77" s="5">
        <f ca="1">SUM(OFFSET(Demand!$E86,0,(COLUMN(B74)-1)*5,1,3))*O$2</f>
        <v>5205</v>
      </c>
      <c r="P77" s="5">
        <f ca="1">SUM(OFFSET(Demand!$E86,0,(COLUMN(C74)-1)*5,1,3))*P$2</f>
        <v>780</v>
      </c>
      <c r="Q77" s="5">
        <f ca="1">SUM(OFFSET(Demand!$E86,0,(COLUMN(D74)-1)*5,1,3))*Q$2</f>
        <v>630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12870</v>
      </c>
      <c r="Y77">
        <f t="shared" ca="1" si="38"/>
        <v>12870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12870</v>
      </c>
      <c r="AM77" s="5">
        <f t="shared" ca="1" si="41"/>
        <v>0</v>
      </c>
      <c r="AN77" s="5" t="str">
        <f>IF(Demand!BE86="Yes","Yes","")</f>
        <v/>
      </c>
      <c r="AP77" s="36" t="str">
        <f ca="1">Demand!B86</f>
        <v xml:space="preserve"> </v>
      </c>
      <c r="AQ77" t="str">
        <f ca="1">IF(TEXT(Demand!D86,"MMM")&lt;&gt;TEXT(Demand!D85,"MMM"),TEXT(Demand!D86,"MMM"),"")</f>
        <v/>
      </c>
      <c r="AT77" s="5">
        <f t="shared" ca="1" si="42"/>
        <v>1427</v>
      </c>
      <c r="BQ77">
        <f ca="1">IF($AN77="",OFFSET(Demand!$A$13,ROW(A74)-1,4+((QUOTIENT(COLUMN(BQ$2)-69,3))*5)+MOD(COLUMN(BQ$2),3),1,1),"")</f>
        <v>5</v>
      </c>
      <c r="BR77">
        <f ca="1">IF($AN77="",OFFSET(Demand!$A$13,ROW(B74)-1,4+((QUOTIENT(COLUMN(BR$2)-69,3))*5)+MOD(COLUMN(BR$2),3),1,1),"")</f>
        <v>349</v>
      </c>
      <c r="BS77">
        <f ca="1">IF($AN77="",OFFSET(Demand!$A$13,ROW(C74)-1,4+((QUOTIENT(COLUMN(BS$2)-69,3))*5)+MOD(COLUMN(BS$2),3),1,1),"")</f>
        <v>63</v>
      </c>
      <c r="BT77">
        <f ca="1">IF($AN77="",OFFSET(Demand!$A$13,ROW(D74)-1,4+((QUOTIENT(COLUMN(BT$2)-69,3))*5)+MOD(COLUMN(BT$2),3),1,1),"")</f>
        <v>67</v>
      </c>
      <c r="BU77">
        <f ca="1">IF($AN77="",OFFSET(Demand!$A$13,ROW(E74)-1,4+((QUOTIENT(COLUMN(BU$2)-69,3))*5)+MOD(COLUMN(BU$2),3),1,1),"")</f>
        <v>232</v>
      </c>
      <c r="BV77">
        <f ca="1">IF($AN77="",OFFSET(Demand!$A$13,ROW(F74)-1,4+((QUOTIENT(COLUMN(BV$2)-69,3))*5)+MOD(COLUMN(BV$2),3),1,1),"")</f>
        <v>48</v>
      </c>
      <c r="BW77">
        <f ca="1">IF($AN77="",OFFSET(Demand!$A$13,ROW(G74)-1,4+((QUOTIENT(COLUMN(BW$2)-69,3))*5)+MOD(COLUMN(BW$2),3),1,1),"")</f>
        <v>13</v>
      </c>
      <c r="BX77">
        <f ca="1">IF($AN77="",OFFSET(Demand!$A$13,ROW(H74)-1,4+((QUOTIENT(COLUMN(BX$2)-69,3))*5)+MOD(COLUMN(BX$2),3),1,1),"")</f>
        <v>0</v>
      </c>
      <c r="BY77">
        <f ca="1">IF($AN77="",OFFSET(Demand!$A$13,ROW(I74)-1,4+((QUOTIENT(COLUMN(BY$2)-69,3))*5)+MOD(COLUMN(BY$2),3),1,1),"")</f>
        <v>13</v>
      </c>
      <c r="BZ77">
        <f ca="1">IF($AN77="",OFFSET(Demand!$A$13,ROW(J74)-1,4+((QUOTIENT(COLUMN(BZ$2)-69,3))*5)+MOD(COLUMN(BZ$2),3),1,1),"")</f>
        <v>17</v>
      </c>
      <c r="CA77">
        <f ca="1">IF($AN77="",OFFSET(Demand!$A$13,ROW(K74)-1,4+((QUOTIENT(COLUMN(CA$2)-69,3))*5)+MOD(COLUMN(CA$2),3),1,1),"")</f>
        <v>3</v>
      </c>
      <c r="CB77">
        <f ca="1">IF($AN77="",OFFSET(Demand!$A$13,ROW(L74)-1,4+((QUOTIENT(COLUMN(CB$2)-69,3))*5)+MOD(COLUMN(CB$2),3),1,1),"")</f>
        <v>1</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1</v>
      </c>
      <c r="B78" s="5">
        <f ca="1">COUNTBLANK(OFFSET(Demand!$I87,0,(COLUMN(A75)-1)*5,1,1))</f>
        <v>0</v>
      </c>
      <c r="C78" s="5">
        <f ca="1">COUNTBLANK(OFFSET(Demand!$I87,0,(COLUMN(B75)-1)*5,1,1))</f>
        <v>0</v>
      </c>
      <c r="D78" s="5">
        <f ca="1">COUNTBLANK(OFFSET(Demand!$I87,0,(COLUMN(C75)-1)*5,1,1))</f>
        <v>0</v>
      </c>
      <c r="E78" s="5">
        <f ca="1">COUNTBLANK(OFFSET(Demand!$I87,0,(COLUMN(D75)-1)*5,1,1))</f>
        <v>0</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7560</v>
      </c>
      <c r="O78" s="5">
        <f ca="1">SUM(OFFSET(Demand!$E87,0,(COLUMN(B75)-1)*5,1,3))*O$2</f>
        <v>5400</v>
      </c>
      <c r="P78" s="5">
        <f ca="1">SUM(OFFSET(Demand!$E87,0,(COLUMN(C75)-1)*5,1,3))*P$2</f>
        <v>360</v>
      </c>
      <c r="Q78" s="5">
        <f ca="1">SUM(OFFSET(Demand!$E87,0,(COLUMN(D75)-1)*5,1,3))*Q$2</f>
        <v>900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14220</v>
      </c>
      <c r="Y78">
        <f t="shared" ca="1" si="38"/>
        <v>14220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14220</v>
      </c>
      <c r="AM78" s="5">
        <f t="shared" ca="1" si="41"/>
        <v>0</v>
      </c>
      <c r="AN78" s="5" t="str">
        <f>IF(Demand!BE87="Yes","Yes","")</f>
        <v/>
      </c>
      <c r="AP78" s="36" t="str">
        <f ca="1">Demand!B87</f>
        <v xml:space="preserve"> </v>
      </c>
      <c r="AQ78" t="str">
        <f ca="1">IF(TEXT(Demand!D87,"MMM")&lt;&gt;TEXT(Demand!D86,"MMM"),TEXT(Demand!D87,"MMM"),"")</f>
        <v>Sep</v>
      </c>
      <c r="AT78" s="5">
        <f t="shared" ca="1" si="42"/>
        <v>1350</v>
      </c>
      <c r="BQ78">
        <f ca="1">IF($AN78="",OFFSET(Demand!$A$13,ROW(A75)-1,4+((QUOTIENT(COLUMN(BQ$2)-69,3))*5)+MOD(COLUMN(BQ$2),3),1,1),"")</f>
        <v>4</v>
      </c>
      <c r="BR78">
        <f ca="1">IF($AN78="",OFFSET(Demand!$A$13,ROW(B75)-1,4+((QUOTIENT(COLUMN(BR$2)-69,3))*5)+MOD(COLUMN(BR$2),3),1,1),"")</f>
        <v>419</v>
      </c>
      <c r="BS78">
        <f ca="1">IF($AN78="",OFFSET(Demand!$A$13,ROW(C75)-1,4+((QUOTIENT(COLUMN(BS$2)-69,3))*5)+MOD(COLUMN(BS$2),3),1,1),"")</f>
        <v>81</v>
      </c>
      <c r="BT78">
        <f ca="1">IF($AN78="",OFFSET(Demand!$A$13,ROW(D75)-1,4+((QUOTIENT(COLUMN(BT$2)-69,3))*5)+MOD(COLUMN(BT$2),3),1,1),"")</f>
        <v>83</v>
      </c>
      <c r="BU78">
        <f ca="1">IF($AN78="",OFFSET(Demand!$A$13,ROW(E75)-1,4+((QUOTIENT(COLUMN(BU$2)-69,3))*5)+MOD(COLUMN(BU$2),3),1,1),"")</f>
        <v>239</v>
      </c>
      <c r="BV78">
        <f ca="1">IF($AN78="",OFFSET(Demand!$A$13,ROW(F75)-1,4+((QUOTIENT(COLUMN(BV$2)-69,3))*5)+MOD(COLUMN(BV$2),3),1,1),"")</f>
        <v>38</v>
      </c>
      <c r="BW78">
        <f ca="1">IF($AN78="",OFFSET(Demand!$A$13,ROW(G75)-1,4+((QUOTIENT(COLUMN(BW$2)-69,3))*5)+MOD(COLUMN(BW$2),3),1,1),"")</f>
        <v>6</v>
      </c>
      <c r="BX78">
        <f ca="1">IF($AN78="",OFFSET(Demand!$A$13,ROW(H75)-1,4+((QUOTIENT(COLUMN(BX$2)-69,3))*5)+MOD(COLUMN(BX$2),3),1,1),"")</f>
        <v>0</v>
      </c>
      <c r="BY78">
        <f ca="1">IF($AN78="",OFFSET(Demand!$A$13,ROW(I75)-1,4+((QUOTIENT(COLUMN(BY$2)-69,3))*5)+MOD(COLUMN(BY$2),3),1,1),"")</f>
        <v>6</v>
      </c>
      <c r="BZ78">
        <f ca="1">IF($AN78="",OFFSET(Demand!$A$13,ROW(J75)-1,4+((QUOTIENT(COLUMN(BZ$2)-69,3))*5)+MOD(COLUMN(BZ$2),3),1,1),"")</f>
        <v>17</v>
      </c>
      <c r="CA78">
        <f ca="1">IF($AN78="",OFFSET(Demand!$A$13,ROW(K75)-1,4+((QUOTIENT(COLUMN(CA$2)-69,3))*5)+MOD(COLUMN(CA$2),3),1,1),"")</f>
        <v>7</v>
      </c>
      <c r="CB78">
        <f ca="1">IF($AN78="",OFFSET(Demand!$A$13,ROW(L75)-1,4+((QUOTIENT(COLUMN(CB$2)-69,3))*5)+MOD(COLUMN(CB$2),3),1,1),"")</f>
        <v>6</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0</v>
      </c>
      <c r="B79" s="5">
        <f ca="1">COUNTBLANK(OFFSET(Demand!$I88,0,(COLUMN(A76)-1)*5,1,1))</f>
        <v>0</v>
      </c>
      <c r="C79" s="5">
        <f ca="1">COUNTBLANK(OFFSET(Demand!$I88,0,(COLUMN(B76)-1)*5,1,1))</f>
        <v>0</v>
      </c>
      <c r="D79" s="5">
        <f ca="1">COUNTBLANK(OFFSET(Demand!$I88,0,(COLUMN(C76)-1)*5,1,1))</f>
        <v>0</v>
      </c>
      <c r="E79" s="5">
        <f ca="1">COUNTBLANK(OFFSET(Demand!$I88,0,(COLUMN(D76)-1)*5,1,1))</f>
        <v>0</v>
      </c>
      <c r="F79" s="5">
        <f ca="1">COUNTBLANK(OFFSET(Demand!$I88,0,(COLUMN(E76)-1)*5,1,1))</f>
        <v>0</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7350</v>
      </c>
      <c r="O79" s="5">
        <f ca="1">SUM(OFFSET(Demand!$E88,0,(COLUMN(B76)-1)*5,1,3))*O$2</f>
        <v>6165</v>
      </c>
      <c r="P79" s="5">
        <f ca="1">SUM(OFFSET(Demand!$E88,0,(COLUMN(C76)-1)*5,1,3))*P$2</f>
        <v>480</v>
      </c>
      <c r="Q79" s="5">
        <f ca="1">SUM(OFFSET(Demand!$E88,0,(COLUMN(D76)-1)*5,1,3))*Q$2</f>
        <v>750</v>
      </c>
      <c r="R79" s="5">
        <f ca="1">SUM(OFFSET(Demand!$E88,0,(COLUMN(E76)-1)*5,1,3))*R$2</f>
        <v>2</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14747</v>
      </c>
      <c r="Y79">
        <f t="shared" ca="1" si="38"/>
        <v>14747</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14747</v>
      </c>
      <c r="AM79" s="5">
        <f t="shared" ca="1" si="41"/>
        <v>0</v>
      </c>
      <c r="AN79" s="5" t="str">
        <f>IF(Demand!BE88="Yes","Yes","")</f>
        <v/>
      </c>
      <c r="AP79" s="36" t="str">
        <f ca="1">Demand!B88</f>
        <v xml:space="preserve"> </v>
      </c>
      <c r="AQ79" t="str">
        <f ca="1">IF(TEXT(Demand!D88,"MMM")&lt;&gt;TEXT(Demand!D87,"MMM"),TEXT(Demand!D88,"MMM"),"")</f>
        <v/>
      </c>
      <c r="AT79" s="5">
        <f t="shared" ca="1" si="42"/>
        <v>527</v>
      </c>
      <c r="BQ79">
        <f ca="1">IF($AN79="",OFFSET(Demand!$A$13,ROW(A76)-1,4+((QUOTIENT(COLUMN(BQ$2)-69,3))*5)+MOD(COLUMN(BQ$2),3),1,1),"")</f>
        <v>14</v>
      </c>
      <c r="BR79">
        <f ca="1">IF($AN79="",OFFSET(Demand!$A$13,ROW(B76)-1,4+((QUOTIENT(COLUMN(BR$2)-69,3))*5)+MOD(COLUMN(BR$2),3),1,1),"")</f>
        <v>401</v>
      </c>
      <c r="BS79">
        <f ca="1">IF($AN79="",OFFSET(Demand!$A$13,ROW(C76)-1,4+((QUOTIENT(COLUMN(BS$2)-69,3))*5)+MOD(COLUMN(BS$2),3),1,1),"")</f>
        <v>75</v>
      </c>
      <c r="BT79">
        <f ca="1">IF($AN79="",OFFSET(Demand!$A$13,ROW(D76)-1,4+((QUOTIENT(COLUMN(BT$2)-69,3))*5)+MOD(COLUMN(BT$2),3),1,1),"")</f>
        <v>62</v>
      </c>
      <c r="BU79">
        <f ca="1">IF($AN79="",OFFSET(Demand!$A$13,ROW(E76)-1,4+((QUOTIENT(COLUMN(BU$2)-69,3))*5)+MOD(COLUMN(BU$2),3),1,1),"")</f>
        <v>289</v>
      </c>
      <c r="BV79">
        <f ca="1">IF($AN79="",OFFSET(Demand!$A$13,ROW(F76)-1,4+((QUOTIENT(COLUMN(BV$2)-69,3))*5)+MOD(COLUMN(BV$2),3),1,1),"")</f>
        <v>60</v>
      </c>
      <c r="BW79">
        <f ca="1">IF($AN79="",OFFSET(Demand!$A$13,ROW(G76)-1,4+((QUOTIENT(COLUMN(BW$2)-69,3))*5)+MOD(COLUMN(BW$2),3),1,1),"")</f>
        <v>8</v>
      </c>
      <c r="BX79">
        <f ca="1">IF($AN79="",OFFSET(Demand!$A$13,ROW(H76)-1,4+((QUOTIENT(COLUMN(BX$2)-69,3))*5)+MOD(COLUMN(BX$2),3),1,1),"")</f>
        <v>0</v>
      </c>
      <c r="BY79">
        <f ca="1">IF($AN79="",OFFSET(Demand!$A$13,ROW(I76)-1,4+((QUOTIENT(COLUMN(BY$2)-69,3))*5)+MOD(COLUMN(BY$2),3),1,1),"")</f>
        <v>8</v>
      </c>
      <c r="BZ79">
        <f ca="1">IF($AN79="",OFFSET(Demand!$A$13,ROW(J76)-1,4+((QUOTIENT(COLUMN(BZ$2)-69,3))*5)+MOD(COLUMN(BZ$2),3),1,1),"")</f>
        <v>17</v>
      </c>
      <c r="CA79">
        <f ca="1">IF($AN79="",OFFSET(Demand!$A$13,ROW(K76)-1,4+((QUOTIENT(COLUMN(CA$2)-69,3))*5)+MOD(COLUMN(CA$2),3),1,1),"")</f>
        <v>2</v>
      </c>
      <c r="CB79">
        <f ca="1">IF($AN79="",OFFSET(Demand!$A$13,ROW(L76)-1,4+((QUOTIENT(COLUMN(CB$2)-69,3))*5)+MOD(COLUMN(CB$2),3),1,1),"")</f>
        <v>6</v>
      </c>
      <c r="CC79">
        <f ca="1">IF($AN79="",OFFSET(Demand!$A$13,ROW(M76)-1,4+((QUOTIENT(COLUMN(CC$2)-69,3))*5)+MOD(COLUMN(CC$2),3),1,1),"")</f>
        <v>2</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0</v>
      </c>
      <c r="B80" s="5">
        <f ca="1">COUNTBLANK(OFFSET(Demand!$I89,0,(COLUMN(A77)-1)*5,1,1))</f>
        <v>0</v>
      </c>
      <c r="C80" s="5">
        <f ca="1">COUNTBLANK(OFFSET(Demand!$I89,0,(COLUMN(B77)-1)*5,1,1))</f>
        <v>0</v>
      </c>
      <c r="D80" s="5">
        <f ca="1">COUNTBLANK(OFFSET(Demand!$I89,0,(COLUMN(C77)-1)*5,1,1))</f>
        <v>0</v>
      </c>
      <c r="E80" s="5">
        <f ca="1">COUNTBLANK(OFFSET(Demand!$I89,0,(COLUMN(D77)-1)*5,1,1))</f>
        <v>0</v>
      </c>
      <c r="F80" s="5">
        <f ca="1">COUNTBLANK(OFFSET(Demand!$I89,0,(COLUMN(E77)-1)*5,1,1))</f>
        <v>0</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7485</v>
      </c>
      <c r="O80" s="5">
        <f ca="1">SUM(OFFSET(Demand!$E89,0,(COLUMN(B77)-1)*5,1,3))*O$2</f>
        <v>5520</v>
      </c>
      <c r="P80" s="5">
        <f ca="1">SUM(OFFSET(Demand!$E89,0,(COLUMN(C77)-1)*5,1,3))*P$2</f>
        <v>420</v>
      </c>
      <c r="Q80" s="5">
        <f ca="1">SUM(OFFSET(Demand!$E89,0,(COLUMN(D77)-1)*5,1,3))*Q$2</f>
        <v>690</v>
      </c>
      <c r="R80" s="5">
        <f ca="1">SUM(OFFSET(Demand!$E89,0,(COLUMN(E77)-1)*5,1,3))*R$2</f>
        <v>1</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14116</v>
      </c>
      <c r="Y80">
        <f t="shared" ca="1" si="38"/>
        <v>14116</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14116</v>
      </c>
      <c r="AM80" s="5">
        <f t="shared" ca="1" si="41"/>
        <v>0</v>
      </c>
      <c r="AN80" s="5" t="str">
        <f>IF(Demand!BE89="Yes","Yes","")</f>
        <v/>
      </c>
      <c r="AP80" s="36" t="str">
        <f ca="1">Demand!B89</f>
        <v xml:space="preserve"> </v>
      </c>
      <c r="AQ80" t="str">
        <f ca="1">IF(TEXT(Demand!D89,"MMM")&lt;&gt;TEXT(Demand!D88,"MMM"),TEXT(Demand!D89,"MMM"),"")</f>
        <v/>
      </c>
      <c r="AT80" s="5">
        <f t="shared" ca="1" si="42"/>
        <v>631</v>
      </c>
      <c r="BQ80">
        <f ca="1">IF($AN80="",OFFSET(Demand!$A$13,ROW(A77)-1,4+((QUOTIENT(COLUMN(BQ$2)-69,3))*5)+MOD(COLUMN(BQ$2),3),1,1),"")</f>
        <v>5</v>
      </c>
      <c r="BR80">
        <f ca="1">IF($AN80="",OFFSET(Demand!$A$13,ROW(B77)-1,4+((QUOTIENT(COLUMN(BR$2)-69,3))*5)+MOD(COLUMN(BR$2),3),1,1),"")</f>
        <v>402</v>
      </c>
      <c r="BS80">
        <f ca="1">IF($AN80="",OFFSET(Demand!$A$13,ROW(C77)-1,4+((QUOTIENT(COLUMN(BS$2)-69,3))*5)+MOD(COLUMN(BS$2),3),1,1),"")</f>
        <v>92</v>
      </c>
      <c r="BT80">
        <f ca="1">IF($AN80="",OFFSET(Demand!$A$13,ROW(D77)-1,4+((QUOTIENT(COLUMN(BT$2)-69,3))*5)+MOD(COLUMN(BT$2),3),1,1),"")</f>
        <v>50</v>
      </c>
      <c r="BU80">
        <f ca="1">IF($AN80="",OFFSET(Demand!$A$13,ROW(E77)-1,4+((QUOTIENT(COLUMN(BU$2)-69,3))*5)+MOD(COLUMN(BU$2),3),1,1),"")</f>
        <v>260</v>
      </c>
      <c r="BV80">
        <f ca="1">IF($AN80="",OFFSET(Demand!$A$13,ROW(F77)-1,4+((QUOTIENT(COLUMN(BV$2)-69,3))*5)+MOD(COLUMN(BV$2),3),1,1),"")</f>
        <v>58</v>
      </c>
      <c r="BW80">
        <f ca="1">IF($AN80="",OFFSET(Demand!$A$13,ROW(G77)-1,4+((QUOTIENT(COLUMN(BW$2)-69,3))*5)+MOD(COLUMN(BW$2),3),1,1),"")</f>
        <v>7</v>
      </c>
      <c r="BX80">
        <f ca="1">IF($AN80="",OFFSET(Demand!$A$13,ROW(H77)-1,4+((QUOTIENT(COLUMN(BX$2)-69,3))*5)+MOD(COLUMN(BX$2),3),1,1),"")</f>
        <v>0</v>
      </c>
      <c r="BY80">
        <f ca="1">IF($AN80="",OFFSET(Demand!$A$13,ROW(I77)-1,4+((QUOTIENT(COLUMN(BY$2)-69,3))*5)+MOD(COLUMN(BY$2),3),1,1),"")</f>
        <v>7</v>
      </c>
      <c r="BZ80">
        <f ca="1">IF($AN80="",OFFSET(Demand!$A$13,ROW(J77)-1,4+((QUOTIENT(COLUMN(BZ$2)-69,3))*5)+MOD(COLUMN(BZ$2),3),1,1),"")</f>
        <v>19</v>
      </c>
      <c r="CA80">
        <f ca="1">IF($AN80="",OFFSET(Demand!$A$13,ROW(K77)-1,4+((QUOTIENT(COLUMN(CA$2)-69,3))*5)+MOD(COLUMN(CA$2),3),1,1),"")</f>
        <v>3</v>
      </c>
      <c r="CB80">
        <f ca="1">IF($AN80="",OFFSET(Demand!$A$13,ROW(L77)-1,4+((QUOTIENT(COLUMN(CB$2)-69,3))*5)+MOD(COLUMN(CB$2),3),1,1),"")</f>
        <v>1</v>
      </c>
      <c r="CC80">
        <f ca="1">IF($AN80="",OFFSET(Demand!$A$13,ROW(M77)-1,4+((QUOTIENT(COLUMN(CC$2)-69,3))*5)+MOD(COLUMN(CC$2),3),1,1),"")</f>
        <v>1</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0</v>
      </c>
      <c r="B81" s="5">
        <f ca="1">COUNTBLANK(OFFSET(Demand!$I90,0,(COLUMN(A78)-1)*5,1,1))</f>
        <v>0</v>
      </c>
      <c r="C81" s="5">
        <f ca="1">COUNTBLANK(OFFSET(Demand!$I90,0,(COLUMN(B78)-1)*5,1,1))</f>
        <v>0</v>
      </c>
      <c r="D81" s="5">
        <f ca="1">COUNTBLANK(OFFSET(Demand!$I90,0,(COLUMN(C78)-1)*5,1,1))</f>
        <v>0</v>
      </c>
      <c r="E81" s="5">
        <f ca="1">COUNTBLANK(OFFSET(Demand!$I90,0,(COLUMN(D78)-1)*5,1,1))</f>
        <v>0</v>
      </c>
      <c r="F81" s="5">
        <f ca="1">COUNTBLANK(OFFSET(Demand!$I90,0,(COLUMN(E78)-1)*5,1,1))</f>
        <v>0</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7590</v>
      </c>
      <c r="O81" s="5">
        <f ca="1">SUM(OFFSET(Demand!$E90,0,(COLUMN(B78)-1)*5,1,3))*O$2</f>
        <v>6240</v>
      </c>
      <c r="P81" s="5">
        <f ca="1">SUM(OFFSET(Demand!$E90,0,(COLUMN(C78)-1)*5,1,3))*P$2</f>
        <v>1020</v>
      </c>
      <c r="Q81" s="5">
        <f ca="1">SUM(OFFSET(Demand!$E90,0,(COLUMN(D78)-1)*5,1,3))*Q$2</f>
        <v>780</v>
      </c>
      <c r="R81" s="5">
        <f ca="1">SUM(OFFSET(Demand!$E90,0,(COLUMN(E78)-1)*5,1,3))*R$2</f>
        <v>1</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15631</v>
      </c>
      <c r="Y81">
        <f t="shared" ca="1" si="38"/>
        <v>15631</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15631</v>
      </c>
      <c r="AM81" s="5">
        <f t="shared" ca="1" si="41"/>
        <v>0</v>
      </c>
      <c r="AN81" s="5" t="str">
        <f>IF(Demand!BE90="Yes","Yes","")</f>
        <v/>
      </c>
      <c r="AP81" s="36" t="str">
        <f ca="1">Demand!B90</f>
        <v xml:space="preserve"> </v>
      </c>
      <c r="AQ81" t="str">
        <f ca="1">IF(TEXT(Demand!D90,"MMM")&lt;&gt;TEXT(Demand!D89,"MMM"),TEXT(Demand!D90,"MMM"),"")</f>
        <v/>
      </c>
      <c r="AT81" s="5">
        <f t="shared" ca="1" si="42"/>
        <v>1515</v>
      </c>
      <c r="BQ81">
        <f ca="1">IF($AN81="",OFFSET(Demand!$A$13,ROW(A78)-1,4+((QUOTIENT(COLUMN(BQ$2)-69,3))*5)+MOD(COLUMN(BQ$2),3),1,1),"")</f>
        <v>6</v>
      </c>
      <c r="BR81">
        <f ca="1">IF($AN81="",OFFSET(Demand!$A$13,ROW(B78)-1,4+((QUOTIENT(COLUMN(BR$2)-69,3))*5)+MOD(COLUMN(BR$2),3),1,1),"")</f>
        <v>416</v>
      </c>
      <c r="BS81">
        <f ca="1">IF($AN81="",OFFSET(Demand!$A$13,ROW(C78)-1,4+((QUOTIENT(COLUMN(BS$2)-69,3))*5)+MOD(COLUMN(BS$2),3),1,1),"")</f>
        <v>84</v>
      </c>
      <c r="BT81">
        <f ca="1">IF($AN81="",OFFSET(Demand!$A$13,ROW(D78)-1,4+((QUOTIENT(COLUMN(BT$2)-69,3))*5)+MOD(COLUMN(BT$2),3),1,1),"")</f>
        <v>65</v>
      </c>
      <c r="BU81">
        <f ca="1">IF($AN81="",OFFSET(Demand!$A$13,ROW(E78)-1,4+((QUOTIENT(COLUMN(BU$2)-69,3))*5)+MOD(COLUMN(BU$2),3),1,1),"")</f>
        <v>270</v>
      </c>
      <c r="BV81">
        <f ca="1">IF($AN81="",OFFSET(Demand!$A$13,ROW(F78)-1,4+((QUOTIENT(COLUMN(BV$2)-69,3))*5)+MOD(COLUMN(BV$2),3),1,1),"")</f>
        <v>81</v>
      </c>
      <c r="BW81">
        <f ca="1">IF($AN81="",OFFSET(Demand!$A$13,ROW(G78)-1,4+((QUOTIENT(COLUMN(BW$2)-69,3))*5)+MOD(COLUMN(BW$2),3),1,1),"")</f>
        <v>17</v>
      </c>
      <c r="BX81">
        <f ca="1">IF($AN81="",OFFSET(Demand!$A$13,ROW(H78)-1,4+((QUOTIENT(COLUMN(BX$2)-69,3))*5)+MOD(COLUMN(BX$2),3),1,1),"")</f>
        <v>0</v>
      </c>
      <c r="BY81">
        <f ca="1">IF($AN81="",OFFSET(Demand!$A$13,ROW(I78)-1,4+((QUOTIENT(COLUMN(BY$2)-69,3))*5)+MOD(COLUMN(BY$2),3),1,1),"")</f>
        <v>17</v>
      </c>
      <c r="BZ81">
        <f ca="1">IF($AN81="",OFFSET(Demand!$A$13,ROW(J78)-1,4+((QUOTIENT(COLUMN(BZ$2)-69,3))*5)+MOD(COLUMN(BZ$2),3),1,1),"")</f>
        <v>13</v>
      </c>
      <c r="CA81">
        <f ca="1">IF($AN81="",OFFSET(Demand!$A$13,ROW(K78)-1,4+((QUOTIENT(COLUMN(CA$2)-69,3))*5)+MOD(COLUMN(CA$2),3),1,1),"")</f>
        <v>4</v>
      </c>
      <c r="CB81">
        <f ca="1">IF($AN81="",OFFSET(Demand!$A$13,ROW(L78)-1,4+((QUOTIENT(COLUMN(CB$2)-69,3))*5)+MOD(COLUMN(CB$2),3),1,1),"")</f>
        <v>9</v>
      </c>
      <c r="CC81">
        <f ca="1">IF($AN81="",OFFSET(Demand!$A$13,ROW(M78)-1,4+((QUOTIENT(COLUMN(CC$2)-69,3))*5)+MOD(COLUMN(CC$2),3),1,1),"")</f>
        <v>0</v>
      </c>
      <c r="CD81">
        <f ca="1">IF($AN81="",OFFSET(Demand!$A$13,ROW(N78)-1,4+((QUOTIENT(COLUMN(CD$2)-69,3))*5)+MOD(COLUMN(CD$2),3),1,1),"")</f>
        <v>1</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1</v>
      </c>
      <c r="B82" s="5">
        <f ca="1">COUNTBLANK(OFFSET(Demand!$I91,0,(COLUMN(A79)-1)*5,1,1))</f>
        <v>0</v>
      </c>
      <c r="C82" s="5">
        <f ca="1">COUNTBLANK(OFFSET(Demand!$I91,0,(COLUMN(B79)-1)*5,1,1))</f>
        <v>0</v>
      </c>
      <c r="D82" s="5">
        <f ca="1">COUNTBLANK(OFFSET(Demand!$I91,0,(COLUMN(C79)-1)*5,1,1))</f>
        <v>0</v>
      </c>
      <c r="E82" s="5">
        <f ca="1">COUNTBLANK(OFFSET(Demand!$I91,0,(COLUMN(D79)-1)*5,1,1))</f>
        <v>0</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7215</v>
      </c>
      <c r="O82" s="5">
        <f ca="1">SUM(OFFSET(Demand!$E91,0,(COLUMN(B79)-1)*5,1,3))*O$2</f>
        <v>5355</v>
      </c>
      <c r="P82" s="5">
        <f ca="1">SUM(OFFSET(Demand!$E91,0,(COLUMN(C79)-1)*5,1,3))*P$2</f>
        <v>540</v>
      </c>
      <c r="Q82" s="5">
        <f ca="1">SUM(OFFSET(Demand!$E91,0,(COLUMN(D79)-1)*5,1,3))*Q$2</f>
        <v>840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13950</v>
      </c>
      <c r="Y82">
        <f t="shared" ca="1" si="38"/>
        <v>13950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13950</v>
      </c>
      <c r="AM82" s="5">
        <f t="shared" ca="1" si="41"/>
        <v>0</v>
      </c>
      <c r="AN82" s="5" t="str">
        <f>IF(Demand!BE91="Yes","Yes","")</f>
        <v/>
      </c>
      <c r="AP82" s="36" t="str">
        <f ca="1">Demand!B91</f>
        <v xml:space="preserve"> </v>
      </c>
      <c r="AQ82" t="str">
        <f ca="1">IF(TEXT(Demand!D91,"MMM")&lt;&gt;TEXT(Demand!D90,"MMM"),TEXT(Demand!D91,"MMM"),"")</f>
        <v/>
      </c>
      <c r="AT82" s="5">
        <f t="shared" ca="1" si="42"/>
        <v>1681</v>
      </c>
      <c r="BQ82">
        <f ca="1">IF($AN82="",OFFSET(Demand!$A$13,ROW(A79)-1,4+((QUOTIENT(COLUMN(BQ$2)-69,3))*5)+MOD(COLUMN(BQ$2),3),1,1),"")</f>
        <v>5</v>
      </c>
      <c r="BR82">
        <f ca="1">IF($AN82="",OFFSET(Demand!$A$13,ROW(B79)-1,4+((QUOTIENT(COLUMN(BR$2)-69,3))*5)+MOD(COLUMN(BR$2),3),1,1),"")</f>
        <v>392</v>
      </c>
      <c r="BS82">
        <f ca="1">IF($AN82="",OFFSET(Demand!$A$13,ROW(C79)-1,4+((QUOTIENT(COLUMN(BS$2)-69,3))*5)+MOD(COLUMN(BS$2),3),1,1),"")</f>
        <v>84</v>
      </c>
      <c r="BT82">
        <f ca="1">IF($AN82="",OFFSET(Demand!$A$13,ROW(D79)-1,4+((QUOTIENT(COLUMN(BT$2)-69,3))*5)+MOD(COLUMN(BT$2),3),1,1),"")</f>
        <v>67</v>
      </c>
      <c r="BU82">
        <f ca="1">IF($AN82="",OFFSET(Demand!$A$13,ROW(E79)-1,4+((QUOTIENT(COLUMN(BU$2)-69,3))*5)+MOD(COLUMN(BU$2),3),1,1),"")</f>
        <v>217</v>
      </c>
      <c r="BV82">
        <f ca="1">IF($AN82="",OFFSET(Demand!$A$13,ROW(F79)-1,4+((QUOTIENT(COLUMN(BV$2)-69,3))*5)+MOD(COLUMN(BV$2),3),1,1),"")</f>
        <v>73</v>
      </c>
      <c r="BW82">
        <f ca="1">IF($AN82="",OFFSET(Demand!$A$13,ROW(G79)-1,4+((QUOTIENT(COLUMN(BW$2)-69,3))*5)+MOD(COLUMN(BW$2),3),1,1),"")</f>
        <v>9</v>
      </c>
      <c r="BX82">
        <f ca="1">IF($AN82="",OFFSET(Demand!$A$13,ROW(H79)-1,4+((QUOTIENT(COLUMN(BX$2)-69,3))*5)+MOD(COLUMN(BX$2),3),1,1),"")</f>
        <v>0</v>
      </c>
      <c r="BY82">
        <f ca="1">IF($AN82="",OFFSET(Demand!$A$13,ROW(I79)-1,4+((QUOTIENT(COLUMN(BY$2)-69,3))*5)+MOD(COLUMN(BY$2),3),1,1),"")</f>
        <v>9</v>
      </c>
      <c r="BZ82">
        <f ca="1">IF($AN82="",OFFSET(Demand!$A$13,ROW(J79)-1,4+((QUOTIENT(COLUMN(BZ$2)-69,3))*5)+MOD(COLUMN(BZ$2),3),1,1),"")</f>
        <v>22</v>
      </c>
      <c r="CA82">
        <f ca="1">IF($AN82="",OFFSET(Demand!$A$13,ROW(K79)-1,4+((QUOTIENT(COLUMN(CA$2)-69,3))*5)+MOD(COLUMN(CA$2),3),1,1),"")</f>
        <v>3</v>
      </c>
      <c r="CB82">
        <f ca="1">IF($AN82="",OFFSET(Demand!$A$13,ROW(L79)-1,4+((QUOTIENT(COLUMN(CB$2)-69,3))*5)+MOD(COLUMN(CB$2),3),1,1),"")</f>
        <v>3</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1</v>
      </c>
      <c r="B83" s="5">
        <f ca="1">COUNTBLANK(OFFSET(Demand!$I92,0,(COLUMN(A80)-1)*5,1,1))</f>
        <v>0</v>
      </c>
      <c r="C83" s="5">
        <f ca="1">COUNTBLANK(OFFSET(Demand!$I92,0,(COLUMN(B80)-1)*5,1,1))</f>
        <v>0</v>
      </c>
      <c r="D83" s="5">
        <f ca="1">COUNTBLANK(OFFSET(Demand!$I92,0,(COLUMN(C80)-1)*5,1,1))</f>
        <v>0</v>
      </c>
      <c r="E83" s="5">
        <f ca="1">COUNTBLANK(OFFSET(Demand!$I92,0,(COLUMN(D80)-1)*5,1,1))</f>
        <v>0</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7395</v>
      </c>
      <c r="O83" s="5">
        <f ca="1">SUM(OFFSET(Demand!$E92,0,(COLUMN(B80)-1)*5,1,3))*O$2</f>
        <v>5805</v>
      </c>
      <c r="P83" s="5">
        <f ca="1">SUM(OFFSET(Demand!$E92,0,(COLUMN(C80)-1)*5,1,3))*P$2</f>
        <v>1320</v>
      </c>
      <c r="Q83" s="5">
        <f ca="1">SUM(OFFSET(Demand!$E92,0,(COLUMN(D80)-1)*5,1,3))*Q$2</f>
        <v>870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15390</v>
      </c>
      <c r="Y83">
        <f t="shared" ca="1" si="38"/>
        <v>15390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15390</v>
      </c>
      <c r="AM83" s="5">
        <f t="shared" ca="1" si="41"/>
        <v>0</v>
      </c>
      <c r="AN83" s="5" t="str">
        <f>IF(Demand!BE92="Yes","Yes","")</f>
        <v/>
      </c>
      <c r="AP83" s="36" t="str">
        <f ca="1">Demand!B92</f>
        <v xml:space="preserve"> </v>
      </c>
      <c r="AQ83" t="str">
        <f ca="1">IF(TEXT(Demand!D92,"MMM")&lt;&gt;TEXT(Demand!D91,"MMM"),TEXT(Demand!D92,"MMM"),"")</f>
        <v>Oct</v>
      </c>
      <c r="AT83" s="5">
        <f t="shared" ca="1" si="42"/>
        <v>1440</v>
      </c>
      <c r="BQ83">
        <f ca="1">IF($AN83="",OFFSET(Demand!$A$13,ROW(A80)-1,4+((QUOTIENT(COLUMN(BQ$2)-69,3))*5)+MOD(COLUMN(BQ$2),3),1,1),"")</f>
        <v>7</v>
      </c>
      <c r="BR83">
        <f ca="1">IF($AN83="",OFFSET(Demand!$A$13,ROW(B80)-1,4+((QUOTIENT(COLUMN(BR$2)-69,3))*5)+MOD(COLUMN(BR$2),3),1,1),"")</f>
        <v>388</v>
      </c>
      <c r="BS83">
        <f ca="1">IF($AN83="",OFFSET(Demand!$A$13,ROW(C80)-1,4+((QUOTIENT(COLUMN(BS$2)-69,3))*5)+MOD(COLUMN(BS$2),3),1,1),"")</f>
        <v>98</v>
      </c>
      <c r="BT83">
        <f ca="1">IF($AN83="",OFFSET(Demand!$A$13,ROW(D80)-1,4+((QUOTIENT(COLUMN(BT$2)-69,3))*5)+MOD(COLUMN(BT$2),3),1,1),"")</f>
        <v>67</v>
      </c>
      <c r="BU83">
        <f ca="1">IF($AN83="",OFFSET(Demand!$A$13,ROW(E80)-1,4+((QUOTIENT(COLUMN(BU$2)-69,3))*5)+MOD(COLUMN(BU$2),3),1,1),"")</f>
        <v>253</v>
      </c>
      <c r="BV83">
        <f ca="1">IF($AN83="",OFFSET(Demand!$A$13,ROW(F80)-1,4+((QUOTIENT(COLUMN(BV$2)-69,3))*5)+MOD(COLUMN(BV$2),3),1,1),"")</f>
        <v>67</v>
      </c>
      <c r="BW83">
        <f ca="1">IF($AN83="",OFFSET(Demand!$A$13,ROW(G80)-1,4+((QUOTIENT(COLUMN(BW$2)-69,3))*5)+MOD(COLUMN(BW$2),3),1,1),"")</f>
        <v>21</v>
      </c>
      <c r="BX83">
        <f ca="1">IF($AN83="",OFFSET(Demand!$A$13,ROW(H80)-1,4+((QUOTIENT(COLUMN(BX$2)-69,3))*5)+MOD(COLUMN(BX$2),3),1,1),"")</f>
        <v>2</v>
      </c>
      <c r="BY83">
        <f ca="1">IF($AN83="",OFFSET(Demand!$A$13,ROW(I80)-1,4+((QUOTIENT(COLUMN(BY$2)-69,3))*5)+MOD(COLUMN(BY$2),3),1,1),"")</f>
        <v>21</v>
      </c>
      <c r="BZ83">
        <f ca="1">IF($AN83="",OFFSET(Demand!$A$13,ROW(J80)-1,4+((QUOTIENT(COLUMN(BZ$2)-69,3))*5)+MOD(COLUMN(BZ$2),3),1,1),"")</f>
        <v>19</v>
      </c>
      <c r="CA83">
        <f ca="1">IF($AN83="",OFFSET(Demand!$A$13,ROW(K80)-1,4+((QUOTIENT(COLUMN(CA$2)-69,3))*5)+MOD(COLUMN(CA$2),3),1,1),"")</f>
        <v>7</v>
      </c>
      <c r="CB83">
        <f ca="1">IF($AN83="",OFFSET(Demand!$A$13,ROW(L80)-1,4+((QUOTIENT(COLUMN(CB$2)-69,3))*5)+MOD(COLUMN(CB$2),3),1,1),"")</f>
        <v>3</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0</v>
      </c>
      <c r="B84" s="5">
        <f ca="1">COUNTBLANK(OFFSET(Demand!$I93,0,(COLUMN(A81)-1)*5,1,1))</f>
        <v>0</v>
      </c>
      <c r="C84" s="5">
        <f ca="1">COUNTBLANK(OFFSET(Demand!$I93,0,(COLUMN(B81)-1)*5,1,1))</f>
        <v>0</v>
      </c>
      <c r="D84" s="5">
        <f ca="1">COUNTBLANK(OFFSET(Demand!$I93,0,(COLUMN(C81)-1)*5,1,1))</f>
        <v>0</v>
      </c>
      <c r="E84" s="5">
        <f ca="1">COUNTBLANK(OFFSET(Demand!$I93,0,(COLUMN(D81)-1)*5,1,1))</f>
        <v>0</v>
      </c>
      <c r="F84" s="5">
        <f ca="1">COUNTBLANK(OFFSET(Demand!$I93,0,(COLUMN(E81)-1)*5,1,1))</f>
        <v>0</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7800</v>
      </c>
      <c r="O84" s="5">
        <f ca="1">SUM(OFFSET(Demand!$E93,0,(COLUMN(B81)-1)*5,1,3))*O$2</f>
        <v>5775</v>
      </c>
      <c r="P84" s="5">
        <f ca="1">SUM(OFFSET(Demand!$E93,0,(COLUMN(C81)-1)*5,1,3))*P$2</f>
        <v>360</v>
      </c>
      <c r="Q84" s="5">
        <f ca="1">SUM(OFFSET(Demand!$E93,0,(COLUMN(D81)-1)*5,1,3))*Q$2</f>
        <v>930</v>
      </c>
      <c r="R84" s="5">
        <f ca="1">SUM(OFFSET(Demand!$E93,0,(COLUMN(E81)-1)*5,1,3))*R$2</f>
        <v>3</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14868</v>
      </c>
      <c r="Y84">
        <f t="shared" ca="1" si="38"/>
        <v>14868</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14868</v>
      </c>
      <c r="AM84" s="5">
        <f t="shared" ca="1" si="41"/>
        <v>0</v>
      </c>
      <c r="AN84" s="5" t="str">
        <f>IF(Demand!BE93="Yes","Yes","")</f>
        <v/>
      </c>
      <c r="AP84" s="36" t="str">
        <f ca="1">Demand!B93</f>
        <v xml:space="preserve"> </v>
      </c>
      <c r="AQ84" t="str">
        <f ca="1">IF(TEXT(Demand!D93,"MMM")&lt;&gt;TEXT(Demand!D92,"MMM"),TEXT(Demand!D93,"MMM"),"")</f>
        <v/>
      </c>
      <c r="AT84" s="5">
        <f t="shared" ca="1" si="42"/>
        <v>522</v>
      </c>
      <c r="BQ84">
        <f ca="1">IF($AN84="",OFFSET(Demand!$A$13,ROW(A81)-1,4+((QUOTIENT(COLUMN(BQ$2)-69,3))*5)+MOD(COLUMN(BQ$2),3),1,1),"")</f>
        <v>7</v>
      </c>
      <c r="BR84">
        <f ca="1">IF($AN84="",OFFSET(Demand!$A$13,ROW(B81)-1,4+((QUOTIENT(COLUMN(BR$2)-69,3))*5)+MOD(COLUMN(BR$2),3),1,1),"")</f>
        <v>411</v>
      </c>
      <c r="BS84">
        <f ca="1">IF($AN84="",OFFSET(Demand!$A$13,ROW(C81)-1,4+((QUOTIENT(COLUMN(BS$2)-69,3))*5)+MOD(COLUMN(BS$2),3),1,1),"")</f>
        <v>102</v>
      </c>
      <c r="BT84">
        <f ca="1">IF($AN84="",OFFSET(Demand!$A$13,ROW(D81)-1,4+((QUOTIENT(COLUMN(BT$2)-69,3))*5)+MOD(COLUMN(BT$2),3),1,1),"")</f>
        <v>67</v>
      </c>
      <c r="BU84">
        <f ca="1">IF($AN84="",OFFSET(Demand!$A$13,ROW(E81)-1,4+((QUOTIENT(COLUMN(BU$2)-69,3))*5)+MOD(COLUMN(BU$2),3),1,1),"")</f>
        <v>249</v>
      </c>
      <c r="BV84">
        <f ca="1">IF($AN84="",OFFSET(Demand!$A$13,ROW(F81)-1,4+((QUOTIENT(COLUMN(BV$2)-69,3))*5)+MOD(COLUMN(BV$2),3),1,1),"")</f>
        <v>69</v>
      </c>
      <c r="BW84">
        <f ca="1">IF($AN84="",OFFSET(Demand!$A$13,ROW(G81)-1,4+((QUOTIENT(COLUMN(BW$2)-69,3))*5)+MOD(COLUMN(BW$2),3),1,1),"")</f>
        <v>6</v>
      </c>
      <c r="BX84">
        <f ca="1">IF($AN84="",OFFSET(Demand!$A$13,ROW(H81)-1,4+((QUOTIENT(COLUMN(BX$2)-69,3))*5)+MOD(COLUMN(BX$2),3),1,1),"")</f>
        <v>0</v>
      </c>
      <c r="BY84">
        <f ca="1">IF($AN84="",OFFSET(Demand!$A$13,ROW(I81)-1,4+((QUOTIENT(COLUMN(BY$2)-69,3))*5)+MOD(COLUMN(BY$2),3),1,1),"")</f>
        <v>6</v>
      </c>
      <c r="BZ84">
        <f ca="1">IF($AN84="",OFFSET(Demand!$A$13,ROW(J81)-1,4+((QUOTIENT(COLUMN(BZ$2)-69,3))*5)+MOD(COLUMN(BZ$2),3),1,1),"")</f>
        <v>14</v>
      </c>
      <c r="CA84">
        <f ca="1">IF($AN84="",OFFSET(Demand!$A$13,ROW(K81)-1,4+((QUOTIENT(COLUMN(CA$2)-69,3))*5)+MOD(COLUMN(CA$2),3),1,1),"")</f>
        <v>8</v>
      </c>
      <c r="CB84">
        <f ca="1">IF($AN84="",OFFSET(Demand!$A$13,ROW(L81)-1,4+((QUOTIENT(COLUMN(CB$2)-69,3))*5)+MOD(COLUMN(CB$2),3),1,1),"")</f>
        <v>9</v>
      </c>
      <c r="CC84">
        <f ca="1">IF($AN84="",OFFSET(Demand!$A$13,ROW(M81)-1,4+((QUOTIENT(COLUMN(CC$2)-69,3))*5)+MOD(COLUMN(CC$2),3),1,1),"")</f>
        <v>2</v>
      </c>
      <c r="CD84">
        <f ca="1">IF($AN84="",OFFSET(Demand!$A$13,ROW(N81)-1,4+((QUOTIENT(COLUMN(CD$2)-69,3))*5)+MOD(COLUMN(CD$2),3),1,1),"")</f>
        <v>1</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0</v>
      </c>
      <c r="B85" s="5">
        <f ca="1">COUNTBLANK(OFFSET(Demand!$I94,0,(COLUMN(A82)-1)*5,1,1))</f>
        <v>0</v>
      </c>
      <c r="C85" s="5">
        <f ca="1">COUNTBLANK(OFFSET(Demand!$I94,0,(COLUMN(B82)-1)*5,1,1))</f>
        <v>0</v>
      </c>
      <c r="D85" s="5">
        <f ca="1">COUNTBLANK(OFFSET(Demand!$I94,0,(COLUMN(C82)-1)*5,1,1))</f>
        <v>0</v>
      </c>
      <c r="E85" s="5">
        <f ca="1">COUNTBLANK(OFFSET(Demand!$I94,0,(COLUMN(D82)-1)*5,1,1))</f>
        <v>0</v>
      </c>
      <c r="F85" s="5">
        <f ca="1">COUNTBLANK(OFFSET(Demand!$I94,0,(COLUMN(E82)-1)*5,1,1))</f>
        <v>0</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7125</v>
      </c>
      <c r="O85" s="5">
        <f ca="1">SUM(OFFSET(Demand!$E94,0,(COLUMN(B82)-1)*5,1,3))*O$2</f>
        <v>5685</v>
      </c>
      <c r="P85" s="5">
        <f ca="1">SUM(OFFSET(Demand!$E94,0,(COLUMN(C82)-1)*5,1,3))*P$2</f>
        <v>780</v>
      </c>
      <c r="Q85" s="5">
        <f ca="1">SUM(OFFSET(Demand!$E94,0,(COLUMN(D82)-1)*5,1,3))*Q$2</f>
        <v>870</v>
      </c>
      <c r="R85" s="5">
        <f ca="1">SUM(OFFSET(Demand!$E94,0,(COLUMN(E82)-1)*5,1,3))*R$2</f>
        <v>1</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14461</v>
      </c>
      <c r="Y85">
        <f t="shared" ca="1" si="38"/>
        <v>14461</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14461</v>
      </c>
      <c r="AM85" s="5">
        <f t="shared" ca="1" si="41"/>
        <v>0</v>
      </c>
      <c r="AN85" s="5" t="str">
        <f>IF(Demand!BE94="Yes","Yes","")</f>
        <v/>
      </c>
      <c r="AP85" s="36" t="str">
        <f ca="1">Demand!B94</f>
        <v xml:space="preserve"> </v>
      </c>
      <c r="AQ85" t="str">
        <f ca="1">IF(TEXT(Demand!D94,"MMM")&lt;&gt;TEXT(Demand!D93,"MMM"),TEXT(Demand!D94,"MMM"),"")</f>
        <v/>
      </c>
      <c r="AT85" s="5">
        <f t="shared" ca="1" si="42"/>
        <v>407</v>
      </c>
      <c r="BQ85">
        <f ca="1">IF($AN85="",OFFSET(Demand!$A$13,ROW(A82)-1,4+((QUOTIENT(COLUMN(BQ$2)-69,3))*5)+MOD(COLUMN(BQ$2),3),1,1),"")</f>
        <v>10</v>
      </c>
      <c r="BR85">
        <f ca="1">IF($AN85="",OFFSET(Demand!$A$13,ROW(B82)-1,4+((QUOTIENT(COLUMN(BR$2)-69,3))*5)+MOD(COLUMN(BR$2),3),1,1),"")</f>
        <v>387</v>
      </c>
      <c r="BS85">
        <f ca="1">IF($AN85="",OFFSET(Demand!$A$13,ROW(C82)-1,4+((QUOTIENT(COLUMN(BS$2)-69,3))*5)+MOD(COLUMN(BS$2),3),1,1),"")</f>
        <v>78</v>
      </c>
      <c r="BT85">
        <f ca="1">IF($AN85="",OFFSET(Demand!$A$13,ROW(D82)-1,4+((QUOTIENT(COLUMN(BT$2)-69,3))*5)+MOD(COLUMN(BT$2),3),1,1),"")</f>
        <v>71</v>
      </c>
      <c r="BU85">
        <f ca="1">IF($AN85="",OFFSET(Demand!$A$13,ROW(E82)-1,4+((QUOTIENT(COLUMN(BU$2)-69,3))*5)+MOD(COLUMN(BU$2),3),1,1),"")</f>
        <v>248</v>
      </c>
      <c r="BV85">
        <f ca="1">IF($AN85="",OFFSET(Demand!$A$13,ROW(F82)-1,4+((QUOTIENT(COLUMN(BV$2)-69,3))*5)+MOD(COLUMN(BV$2),3),1,1),"")</f>
        <v>60</v>
      </c>
      <c r="BW85">
        <f ca="1">IF($AN85="",OFFSET(Demand!$A$13,ROW(G82)-1,4+((QUOTIENT(COLUMN(BW$2)-69,3))*5)+MOD(COLUMN(BW$2),3),1,1),"")</f>
        <v>13</v>
      </c>
      <c r="BX85">
        <f ca="1">IF($AN85="",OFFSET(Demand!$A$13,ROW(H82)-1,4+((QUOTIENT(COLUMN(BX$2)-69,3))*5)+MOD(COLUMN(BX$2),3),1,1),"")</f>
        <v>0</v>
      </c>
      <c r="BY85">
        <f ca="1">IF($AN85="",OFFSET(Demand!$A$13,ROW(I82)-1,4+((QUOTIENT(COLUMN(BY$2)-69,3))*5)+MOD(COLUMN(BY$2),3),1,1),"")</f>
        <v>13</v>
      </c>
      <c r="BZ85">
        <f ca="1">IF($AN85="",OFFSET(Demand!$A$13,ROW(J82)-1,4+((QUOTIENT(COLUMN(BZ$2)-69,3))*5)+MOD(COLUMN(BZ$2),3),1,1),"")</f>
        <v>16</v>
      </c>
      <c r="CA85">
        <f ca="1">IF($AN85="",OFFSET(Demand!$A$13,ROW(K82)-1,4+((QUOTIENT(COLUMN(CA$2)-69,3))*5)+MOD(COLUMN(CA$2),3),1,1),"")</f>
        <v>3</v>
      </c>
      <c r="CB85">
        <f ca="1">IF($AN85="",OFFSET(Demand!$A$13,ROW(L82)-1,4+((QUOTIENT(COLUMN(CB$2)-69,3))*5)+MOD(COLUMN(CB$2),3),1,1),"")</f>
        <v>10</v>
      </c>
      <c r="CC85">
        <f ca="1">IF($AN85="",OFFSET(Demand!$A$13,ROW(M82)-1,4+((QUOTIENT(COLUMN(CC$2)-69,3))*5)+MOD(COLUMN(CC$2),3),1,1),"")</f>
        <v>1</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1</v>
      </c>
      <c r="B86" s="5">
        <f ca="1">COUNTBLANK(OFFSET(Demand!$I95,0,(COLUMN(A83)-1)*5,1,1))</f>
        <v>0</v>
      </c>
      <c r="C86" s="5">
        <f ca="1">COUNTBLANK(OFFSET(Demand!$I95,0,(COLUMN(B83)-1)*5,1,1))</f>
        <v>0</v>
      </c>
      <c r="D86" s="5">
        <f ca="1">COUNTBLANK(OFFSET(Demand!$I95,0,(COLUMN(C83)-1)*5,1,1))</f>
        <v>0</v>
      </c>
      <c r="E86" s="5">
        <f ca="1">COUNTBLANK(OFFSET(Demand!$I95,0,(COLUMN(D83)-1)*5,1,1))</f>
        <v>0</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7110</v>
      </c>
      <c r="O86" s="5">
        <f ca="1">SUM(OFFSET(Demand!$E95,0,(COLUMN(B83)-1)*5,1,3))*O$2</f>
        <v>6345</v>
      </c>
      <c r="P86" s="5">
        <f ca="1">SUM(OFFSET(Demand!$E95,0,(COLUMN(C83)-1)*5,1,3))*P$2</f>
        <v>240</v>
      </c>
      <c r="Q86" s="5">
        <f ca="1">SUM(OFFSET(Demand!$E95,0,(COLUMN(D83)-1)*5,1,3))*Q$2</f>
        <v>840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14535</v>
      </c>
      <c r="Y86">
        <f t="shared" ca="1" si="38"/>
        <v>14535</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14535</v>
      </c>
      <c r="AM86" s="5">
        <f t="shared" ca="1" si="41"/>
        <v>0</v>
      </c>
      <c r="AN86" s="5" t="str">
        <f>IF(Demand!BE95="Yes","Yes","")</f>
        <v/>
      </c>
      <c r="AP86" s="36" t="str">
        <f ca="1">Demand!B95</f>
        <v xml:space="preserve"> </v>
      </c>
      <c r="AQ86" t="str">
        <f ca="1">IF(TEXT(Demand!D95,"MMM")&lt;&gt;TEXT(Demand!D94,"MMM"),TEXT(Demand!D95,"MMM"),"")</f>
        <v/>
      </c>
      <c r="AT86" s="5">
        <f t="shared" ca="1" si="42"/>
        <v>74</v>
      </c>
      <c r="BQ86">
        <f ca="1">IF($AN86="",OFFSET(Demand!$A$13,ROW(A83)-1,4+((QUOTIENT(COLUMN(BQ$2)-69,3))*5)+MOD(COLUMN(BQ$2),3),1,1),"")</f>
        <v>11</v>
      </c>
      <c r="BR86">
        <f ca="1">IF($AN86="",OFFSET(Demand!$A$13,ROW(B83)-1,4+((QUOTIENT(COLUMN(BR$2)-69,3))*5)+MOD(COLUMN(BR$2),3),1,1),"")</f>
        <v>379</v>
      </c>
      <c r="BS86">
        <f ca="1">IF($AN86="",OFFSET(Demand!$A$13,ROW(C83)-1,4+((QUOTIENT(COLUMN(BS$2)-69,3))*5)+MOD(COLUMN(BS$2),3),1,1),"")</f>
        <v>84</v>
      </c>
      <c r="BT86">
        <f ca="1">IF($AN86="",OFFSET(Demand!$A$13,ROW(D83)-1,4+((QUOTIENT(COLUMN(BT$2)-69,3))*5)+MOD(COLUMN(BT$2),3),1,1),"")</f>
        <v>72</v>
      </c>
      <c r="BU86">
        <f ca="1">IF($AN86="",OFFSET(Demand!$A$13,ROW(E83)-1,4+((QUOTIENT(COLUMN(BU$2)-69,3))*5)+MOD(COLUMN(BU$2),3),1,1),"")</f>
        <v>284</v>
      </c>
      <c r="BV86">
        <f ca="1">IF($AN86="",OFFSET(Demand!$A$13,ROW(F83)-1,4+((QUOTIENT(COLUMN(BV$2)-69,3))*5)+MOD(COLUMN(BV$2),3),1,1),"")</f>
        <v>67</v>
      </c>
      <c r="BW86">
        <f ca="1">IF($AN86="",OFFSET(Demand!$A$13,ROW(G83)-1,4+((QUOTIENT(COLUMN(BW$2)-69,3))*5)+MOD(COLUMN(BW$2),3),1,1),"")</f>
        <v>4</v>
      </c>
      <c r="BX86">
        <f ca="1">IF($AN86="",OFFSET(Demand!$A$13,ROW(H83)-1,4+((QUOTIENT(COLUMN(BX$2)-69,3))*5)+MOD(COLUMN(BX$2),3),1,1),"")</f>
        <v>0</v>
      </c>
      <c r="BY86">
        <f ca="1">IF($AN86="",OFFSET(Demand!$A$13,ROW(I83)-1,4+((QUOTIENT(COLUMN(BY$2)-69,3))*5)+MOD(COLUMN(BY$2),3),1,1),"")</f>
        <v>4</v>
      </c>
      <c r="BZ86">
        <f ca="1">IF($AN86="",OFFSET(Demand!$A$13,ROW(J83)-1,4+((QUOTIENT(COLUMN(BZ$2)-69,3))*5)+MOD(COLUMN(BZ$2),3),1,1),"")</f>
        <v>16</v>
      </c>
      <c r="CA86">
        <f ca="1">IF($AN86="",OFFSET(Demand!$A$13,ROW(K83)-1,4+((QUOTIENT(COLUMN(CA$2)-69,3))*5)+MOD(COLUMN(CA$2),3),1,1),"")</f>
        <v>3</v>
      </c>
      <c r="CB86">
        <f ca="1">IF($AN86="",OFFSET(Demand!$A$13,ROW(L83)-1,4+((QUOTIENT(COLUMN(CB$2)-69,3))*5)+MOD(COLUMN(CB$2),3),1,1),"")</f>
        <v>9</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0</v>
      </c>
      <c r="B87" s="5">
        <f ca="1">COUNTBLANK(OFFSET(Demand!$I96,0,(COLUMN(A84)-1)*5,1,1))</f>
        <v>0</v>
      </c>
      <c r="C87" s="5">
        <f ca="1">COUNTBLANK(OFFSET(Demand!$I96,0,(COLUMN(B84)-1)*5,1,1))</f>
        <v>0</v>
      </c>
      <c r="D87" s="5">
        <f ca="1">COUNTBLANK(OFFSET(Demand!$I96,0,(COLUMN(C84)-1)*5,1,1))</f>
        <v>0</v>
      </c>
      <c r="E87" s="5">
        <f ca="1">COUNTBLANK(OFFSET(Demand!$I96,0,(COLUMN(D84)-1)*5,1,1))</f>
        <v>0</v>
      </c>
      <c r="F87" s="5">
        <f ca="1">COUNTBLANK(OFFSET(Demand!$I96,0,(COLUMN(E84)-1)*5,1,1))</f>
        <v>0</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7275</v>
      </c>
      <c r="O87" s="5">
        <f ca="1">SUM(OFFSET(Demand!$E96,0,(COLUMN(B84)-1)*5,1,3))*O$2</f>
        <v>5640</v>
      </c>
      <c r="P87" s="5">
        <f ca="1">SUM(OFFSET(Demand!$E96,0,(COLUMN(C84)-1)*5,1,3))*P$2</f>
        <v>540</v>
      </c>
      <c r="Q87" s="5">
        <f ca="1">SUM(OFFSET(Demand!$E96,0,(COLUMN(D84)-1)*5,1,3))*Q$2</f>
        <v>690</v>
      </c>
      <c r="R87" s="5">
        <f ca="1">SUM(OFFSET(Demand!$E96,0,(COLUMN(E84)-1)*5,1,3))*R$2</f>
        <v>3</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14148</v>
      </c>
      <c r="Y87">
        <f t="shared" ca="1" si="38"/>
        <v>14148</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14148</v>
      </c>
      <c r="AM87" s="5">
        <f t="shared" ca="1" si="41"/>
        <v>0</v>
      </c>
      <c r="AN87" s="5" t="str">
        <f>IF(Demand!BE96="Yes","Yes","")</f>
        <v/>
      </c>
      <c r="AP87" s="36" t="str">
        <f ca="1">Demand!B96</f>
        <v xml:space="preserve"> </v>
      </c>
      <c r="AQ87" t="str">
        <f ca="1">IF(TEXT(Demand!D96,"MMM")&lt;&gt;TEXT(Demand!D95,"MMM"),TEXT(Demand!D96,"MMM"),"")</f>
        <v>Nov</v>
      </c>
      <c r="AT87" s="5">
        <f t="shared" ca="1" si="42"/>
        <v>387</v>
      </c>
      <c r="BQ87">
        <f ca="1">IF($AN87="",OFFSET(Demand!$A$13,ROW(A84)-1,4+((QUOTIENT(COLUMN(BQ$2)-69,3))*5)+MOD(COLUMN(BQ$2),3),1,1),"")</f>
        <v>5</v>
      </c>
      <c r="BR87">
        <f ca="1">IF($AN87="",OFFSET(Demand!$A$13,ROW(B84)-1,4+((QUOTIENT(COLUMN(BR$2)-69,3))*5)+MOD(COLUMN(BR$2),3),1,1),"")</f>
        <v>392</v>
      </c>
      <c r="BS87">
        <f ca="1">IF($AN87="",OFFSET(Demand!$A$13,ROW(C84)-1,4+((QUOTIENT(COLUMN(BS$2)-69,3))*5)+MOD(COLUMN(BS$2),3),1,1),"")</f>
        <v>88</v>
      </c>
      <c r="BT87">
        <f ca="1">IF($AN87="",OFFSET(Demand!$A$13,ROW(D84)-1,4+((QUOTIENT(COLUMN(BT$2)-69,3))*5)+MOD(COLUMN(BT$2),3),1,1),"")</f>
        <v>70</v>
      </c>
      <c r="BU87">
        <f ca="1">IF($AN87="",OFFSET(Demand!$A$13,ROW(E84)-1,4+((QUOTIENT(COLUMN(BU$2)-69,3))*5)+MOD(COLUMN(BU$2),3),1,1),"")</f>
        <v>259</v>
      </c>
      <c r="BV87">
        <f ca="1">IF($AN87="",OFFSET(Demand!$A$13,ROW(F84)-1,4+((QUOTIENT(COLUMN(BV$2)-69,3))*5)+MOD(COLUMN(BV$2),3),1,1),"")</f>
        <v>47</v>
      </c>
      <c r="BW87">
        <f ca="1">IF($AN87="",OFFSET(Demand!$A$13,ROW(G84)-1,4+((QUOTIENT(COLUMN(BW$2)-69,3))*5)+MOD(COLUMN(BW$2),3),1,1),"")</f>
        <v>9</v>
      </c>
      <c r="BX87">
        <f ca="1">IF($AN87="",OFFSET(Demand!$A$13,ROW(H84)-1,4+((QUOTIENT(COLUMN(BX$2)-69,3))*5)+MOD(COLUMN(BX$2),3),1,1),"")</f>
        <v>0</v>
      </c>
      <c r="BY87">
        <f ca="1">IF($AN87="",OFFSET(Demand!$A$13,ROW(I84)-1,4+((QUOTIENT(COLUMN(BY$2)-69,3))*5)+MOD(COLUMN(BY$2),3),1,1),"")</f>
        <v>9</v>
      </c>
      <c r="BZ87">
        <f ca="1">IF($AN87="",OFFSET(Demand!$A$13,ROW(J84)-1,4+((QUOTIENT(COLUMN(BZ$2)-69,3))*5)+MOD(COLUMN(BZ$2),3),1,1),"")</f>
        <v>15</v>
      </c>
      <c r="CA87">
        <f ca="1">IF($AN87="",OFFSET(Demand!$A$13,ROW(K84)-1,4+((QUOTIENT(COLUMN(CA$2)-69,3))*5)+MOD(COLUMN(CA$2),3),1,1),"")</f>
        <v>3</v>
      </c>
      <c r="CB87">
        <f ca="1">IF($AN87="",OFFSET(Demand!$A$13,ROW(L84)-1,4+((QUOTIENT(COLUMN(CB$2)-69,3))*5)+MOD(COLUMN(CB$2),3),1,1),"")</f>
        <v>5</v>
      </c>
      <c r="CC87">
        <f ca="1">IF($AN87="",OFFSET(Demand!$A$13,ROW(M84)-1,4+((QUOTIENT(COLUMN(CC$2)-69,3))*5)+MOD(COLUMN(CC$2),3),1,1),"")</f>
        <v>2</v>
      </c>
      <c r="CD87">
        <f ca="1">IF($AN87="",OFFSET(Demand!$A$13,ROW(N84)-1,4+((QUOTIENT(COLUMN(CD$2)-69,3))*5)+MOD(COLUMN(CD$2),3),1,1),"")</f>
        <v>1</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1</v>
      </c>
      <c r="B88" s="5">
        <f ca="1">COUNTBLANK(OFFSET(Demand!$I97,0,(COLUMN(A85)-1)*5,1,1))</f>
        <v>0</v>
      </c>
      <c r="C88" s="5">
        <f ca="1">COUNTBLANK(OFFSET(Demand!$I97,0,(COLUMN(B85)-1)*5,1,1))</f>
        <v>0</v>
      </c>
      <c r="D88" s="5">
        <f ca="1">COUNTBLANK(OFFSET(Demand!$I97,0,(COLUMN(C85)-1)*5,1,1))</f>
        <v>0</v>
      </c>
      <c r="E88" s="5">
        <f ca="1">COUNTBLANK(OFFSET(Demand!$I97,0,(COLUMN(D85)-1)*5,1,1))</f>
        <v>0</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7875</v>
      </c>
      <c r="O88" s="5">
        <f ca="1">SUM(OFFSET(Demand!$E97,0,(COLUMN(B85)-1)*5,1,3))*O$2</f>
        <v>6210</v>
      </c>
      <c r="P88" s="5">
        <f ca="1">SUM(OFFSET(Demand!$E97,0,(COLUMN(C85)-1)*5,1,3))*P$2</f>
        <v>690</v>
      </c>
      <c r="Q88" s="5">
        <f ca="1">SUM(OFFSET(Demand!$E97,0,(COLUMN(D85)-1)*5,1,3))*Q$2</f>
        <v>750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15525</v>
      </c>
      <c r="Y88">
        <f t="shared" ca="1" si="38"/>
        <v>15525</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15525</v>
      </c>
      <c r="AM88" s="5">
        <f t="shared" ca="1" si="41"/>
        <v>0</v>
      </c>
      <c r="AN88" s="5" t="str">
        <f>IF(Demand!BE97="Yes","Yes","")</f>
        <v/>
      </c>
      <c r="AP88" s="36" t="str">
        <f ca="1">Demand!B97</f>
        <v xml:space="preserve"> </v>
      </c>
      <c r="AQ88" t="str">
        <f ca="1">IF(TEXT(Demand!D97,"MMM")&lt;&gt;TEXT(Demand!D96,"MMM"),TEXT(Demand!D97,"MMM"),"")</f>
        <v/>
      </c>
      <c r="AT88" s="5">
        <f t="shared" ca="1" si="42"/>
        <v>1377</v>
      </c>
      <c r="BQ88">
        <f ca="1">IF($AN88="",OFFSET(Demand!$A$13,ROW(A85)-1,4+((QUOTIENT(COLUMN(BQ$2)-69,3))*5)+MOD(COLUMN(BQ$2),3),1,1),"")</f>
        <v>7</v>
      </c>
      <c r="BR88">
        <f ca="1">IF($AN88="",OFFSET(Demand!$A$13,ROW(B85)-1,4+((QUOTIENT(COLUMN(BR$2)-69,3))*5)+MOD(COLUMN(BR$2),3),1,1),"")</f>
        <v>421</v>
      </c>
      <c r="BS88">
        <f ca="1">IF($AN88="",OFFSET(Demand!$A$13,ROW(C85)-1,4+((QUOTIENT(COLUMN(BS$2)-69,3))*5)+MOD(COLUMN(BS$2),3),1,1),"")</f>
        <v>97</v>
      </c>
      <c r="BT88">
        <f ca="1">IF($AN88="",OFFSET(Demand!$A$13,ROW(D85)-1,4+((QUOTIENT(COLUMN(BT$2)-69,3))*5)+MOD(COLUMN(BT$2),3),1,1),"")</f>
        <v>69</v>
      </c>
      <c r="BU88">
        <f ca="1">IF($AN88="",OFFSET(Demand!$A$13,ROW(E85)-1,4+((QUOTIENT(COLUMN(BU$2)-69,3))*5)+MOD(COLUMN(BU$2),3),1,1),"")</f>
        <v>284</v>
      </c>
      <c r="BV88">
        <f ca="1">IF($AN88="",OFFSET(Demand!$A$13,ROW(F85)-1,4+((QUOTIENT(COLUMN(BV$2)-69,3))*5)+MOD(COLUMN(BV$2),3),1,1),"")</f>
        <v>61</v>
      </c>
      <c r="BW88">
        <f ca="1">IF($AN88="",OFFSET(Demand!$A$13,ROW(G85)-1,4+((QUOTIENT(COLUMN(BW$2)-69,3))*5)+MOD(COLUMN(BW$2),3),1,1),"")</f>
        <v>11</v>
      </c>
      <c r="BX88">
        <f ca="1">IF($AN88="",OFFSET(Demand!$A$13,ROW(H85)-1,4+((QUOTIENT(COLUMN(BX$2)-69,3))*5)+MOD(COLUMN(BX$2),3),1,1),"")</f>
        <v>1</v>
      </c>
      <c r="BY88">
        <f ca="1">IF($AN88="",OFFSET(Demand!$A$13,ROW(I85)-1,4+((QUOTIENT(COLUMN(BY$2)-69,3))*5)+MOD(COLUMN(BY$2),3),1,1),"")</f>
        <v>11</v>
      </c>
      <c r="BZ88">
        <f ca="1">IF($AN88="",OFFSET(Demand!$A$13,ROW(J85)-1,4+((QUOTIENT(COLUMN(BZ$2)-69,3))*5)+MOD(COLUMN(BZ$2),3),1,1),"")</f>
        <v>16</v>
      </c>
      <c r="CA88">
        <f ca="1">IF($AN88="",OFFSET(Demand!$A$13,ROW(K85)-1,4+((QUOTIENT(COLUMN(CA$2)-69,3))*5)+MOD(COLUMN(CA$2),3),1,1),"")</f>
        <v>6</v>
      </c>
      <c r="CB88">
        <f ca="1">IF($AN88="",OFFSET(Demand!$A$13,ROW(L85)-1,4+((QUOTIENT(COLUMN(CB$2)-69,3))*5)+MOD(COLUMN(CB$2),3),1,1),"")</f>
        <v>3</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0</v>
      </c>
      <c r="B89" s="5">
        <f ca="1">COUNTBLANK(OFFSET(Demand!$I98,0,(COLUMN(A86)-1)*5,1,1))</f>
        <v>0</v>
      </c>
      <c r="C89" s="5">
        <f ca="1">COUNTBLANK(OFFSET(Demand!$I98,0,(COLUMN(B86)-1)*5,1,1))</f>
        <v>0</v>
      </c>
      <c r="D89" s="5">
        <f ca="1">COUNTBLANK(OFFSET(Demand!$I98,0,(COLUMN(C86)-1)*5,1,1))</f>
        <v>0</v>
      </c>
      <c r="E89" s="5">
        <f ca="1">COUNTBLANK(OFFSET(Demand!$I98,0,(COLUMN(D86)-1)*5,1,1))</f>
        <v>0</v>
      </c>
      <c r="F89" s="5">
        <f ca="1">COUNTBLANK(OFFSET(Demand!$I98,0,(COLUMN(E86)-1)*5,1,1))</f>
        <v>0</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8220</v>
      </c>
      <c r="O89" s="5">
        <f ca="1">SUM(OFFSET(Demand!$E98,0,(COLUMN(B86)-1)*5,1,3))*O$2</f>
        <v>6240</v>
      </c>
      <c r="P89" s="5">
        <f ca="1">SUM(OFFSET(Demand!$E98,0,(COLUMN(C86)-1)*5,1,3))*P$2</f>
        <v>1320</v>
      </c>
      <c r="Q89" s="5">
        <f ca="1">SUM(OFFSET(Demand!$E98,0,(COLUMN(D86)-1)*5,1,3))*Q$2</f>
        <v>810</v>
      </c>
      <c r="R89" s="5">
        <f ca="1">SUM(OFFSET(Demand!$E98,0,(COLUMN(E86)-1)*5,1,3))*R$2</f>
        <v>2</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16592</v>
      </c>
      <c r="Y89">
        <f t="shared" ca="1" si="38"/>
        <v>16592</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16592</v>
      </c>
      <c r="AM89" s="5">
        <f t="shared" ca="1" si="41"/>
        <v>0</v>
      </c>
      <c r="AN89" s="5" t="str">
        <f>IF(Demand!BE98="Yes","Yes","")</f>
        <v/>
      </c>
      <c r="AP89" s="36" t="str">
        <f ca="1">Demand!B98</f>
        <v xml:space="preserve"> </v>
      </c>
      <c r="AQ89" t="str">
        <f ca="1">IF(TEXT(Demand!D98,"MMM")&lt;&gt;TEXT(Demand!D97,"MMM"),TEXT(Demand!D98,"MMM"),"")</f>
        <v/>
      </c>
      <c r="AT89" s="5">
        <f t="shared" ca="1" si="42"/>
        <v>1067</v>
      </c>
      <c r="BQ89">
        <f ca="1">IF($AN89="",OFFSET(Demand!$A$13,ROW(A86)-1,4+((QUOTIENT(COLUMN(BQ$2)-69,3))*5)+MOD(COLUMN(BQ$2),3),1,1),"")</f>
        <v>5</v>
      </c>
      <c r="BR89">
        <f ca="1">IF($AN89="",OFFSET(Demand!$A$13,ROW(B86)-1,4+((QUOTIENT(COLUMN(BR$2)-69,3))*5)+MOD(COLUMN(BR$2),3),1,1),"")</f>
        <v>424</v>
      </c>
      <c r="BS89">
        <f ca="1">IF($AN89="",OFFSET(Demand!$A$13,ROW(C86)-1,4+((QUOTIENT(COLUMN(BS$2)-69,3))*5)+MOD(COLUMN(BS$2),3),1,1),"")</f>
        <v>119</v>
      </c>
      <c r="BT89">
        <f ca="1">IF($AN89="",OFFSET(Demand!$A$13,ROW(D86)-1,4+((QUOTIENT(COLUMN(BT$2)-69,3))*5)+MOD(COLUMN(BT$2),3),1,1),"")</f>
        <v>66</v>
      </c>
      <c r="BU89">
        <f ca="1">IF($AN89="",OFFSET(Demand!$A$13,ROW(E86)-1,4+((QUOTIENT(COLUMN(BU$2)-69,3))*5)+MOD(COLUMN(BU$2),3),1,1),"")</f>
        <v>269</v>
      </c>
      <c r="BV89">
        <f ca="1">IF($AN89="",OFFSET(Demand!$A$13,ROW(F86)-1,4+((QUOTIENT(COLUMN(BV$2)-69,3))*5)+MOD(COLUMN(BV$2),3),1,1),"")</f>
        <v>81</v>
      </c>
      <c r="BW89">
        <f ca="1">IF($AN89="",OFFSET(Demand!$A$13,ROW(G86)-1,4+((QUOTIENT(COLUMN(BW$2)-69,3))*5)+MOD(COLUMN(BW$2),3),1,1),"")</f>
        <v>21</v>
      </c>
      <c r="BX89">
        <f ca="1">IF($AN89="",OFFSET(Demand!$A$13,ROW(H86)-1,4+((QUOTIENT(COLUMN(BX$2)-69,3))*5)+MOD(COLUMN(BX$2),3),1,1),"")</f>
        <v>2</v>
      </c>
      <c r="BY89">
        <f ca="1">IF($AN89="",OFFSET(Demand!$A$13,ROW(I86)-1,4+((QUOTIENT(COLUMN(BY$2)-69,3))*5)+MOD(COLUMN(BY$2),3),1,1),"")</f>
        <v>21</v>
      </c>
      <c r="BZ89">
        <f ca="1">IF($AN89="",OFFSET(Demand!$A$13,ROW(J86)-1,4+((QUOTIENT(COLUMN(BZ$2)-69,3))*5)+MOD(COLUMN(BZ$2),3),1,1),"")</f>
        <v>13</v>
      </c>
      <c r="CA89">
        <f ca="1">IF($AN89="",OFFSET(Demand!$A$13,ROW(K86)-1,4+((QUOTIENT(COLUMN(CA$2)-69,3))*5)+MOD(COLUMN(CA$2),3),1,1),"")</f>
        <v>3</v>
      </c>
      <c r="CB89">
        <f ca="1">IF($AN89="",OFFSET(Demand!$A$13,ROW(L86)-1,4+((QUOTIENT(COLUMN(CB$2)-69,3))*5)+MOD(COLUMN(CB$2),3),1,1),"")</f>
        <v>11</v>
      </c>
      <c r="CC89">
        <f ca="1">IF($AN89="",OFFSET(Demand!$A$13,ROW(M86)-1,4+((QUOTIENT(COLUMN(CC$2)-69,3))*5)+MOD(COLUMN(CC$2),3),1,1),"")</f>
        <v>1</v>
      </c>
      <c r="CD89">
        <f ca="1">IF($AN89="",OFFSET(Demand!$A$13,ROW(N86)-1,4+((QUOTIENT(COLUMN(CD$2)-69,3))*5)+MOD(COLUMN(CD$2),3),1,1),"")</f>
        <v>1</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0</v>
      </c>
      <c r="B90" s="5">
        <f ca="1">COUNTBLANK(OFFSET(Demand!$I99,0,(COLUMN(A87)-1)*5,1,1))</f>
        <v>0</v>
      </c>
      <c r="C90" s="5">
        <f ca="1">COUNTBLANK(OFFSET(Demand!$I99,0,(COLUMN(B87)-1)*5,1,1))</f>
        <v>0</v>
      </c>
      <c r="D90" s="5">
        <f ca="1">COUNTBLANK(OFFSET(Demand!$I99,0,(COLUMN(C87)-1)*5,1,1))</f>
        <v>0</v>
      </c>
      <c r="E90" s="5">
        <f ca="1">COUNTBLANK(OFFSET(Demand!$I99,0,(COLUMN(D87)-1)*5,1,1))</f>
        <v>0</v>
      </c>
      <c r="F90" s="5">
        <f ca="1">COUNTBLANK(OFFSET(Demand!$I99,0,(COLUMN(E87)-1)*5,1,1))</f>
        <v>0</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6615</v>
      </c>
      <c r="O90" s="5">
        <f ca="1">SUM(OFFSET(Demand!$E99,0,(COLUMN(B87)-1)*5,1,3))*O$2</f>
        <v>5655</v>
      </c>
      <c r="P90" s="5">
        <f ca="1">SUM(OFFSET(Demand!$E99,0,(COLUMN(C87)-1)*5,1,3))*P$2</f>
        <v>750</v>
      </c>
      <c r="Q90" s="5">
        <f ca="1">SUM(OFFSET(Demand!$E99,0,(COLUMN(D87)-1)*5,1,3))*Q$2</f>
        <v>990</v>
      </c>
      <c r="R90" s="5">
        <f ca="1">SUM(OFFSET(Demand!$E99,0,(COLUMN(E87)-1)*5,1,3))*R$2</f>
        <v>1</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14011</v>
      </c>
      <c r="Y90">
        <f t="shared" ca="1" si="38"/>
        <v>14011</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14011</v>
      </c>
      <c r="AM90" s="5">
        <f t="shared" ca="1" si="41"/>
        <v>0</v>
      </c>
      <c r="AN90" s="5" t="str">
        <f>IF(Demand!BE99="Yes","Yes","")</f>
        <v/>
      </c>
      <c r="AP90" s="36" t="str">
        <f ca="1">Demand!B99</f>
        <v xml:space="preserve"> </v>
      </c>
      <c r="AQ90" t="str">
        <f ca="1">IF(TEXT(Demand!D99,"MMM")&lt;&gt;TEXT(Demand!D98,"MMM"),TEXT(Demand!D99,"MMM"),"")</f>
        <v/>
      </c>
      <c r="AT90" s="5">
        <f t="shared" ca="1" si="42"/>
        <v>2581</v>
      </c>
      <c r="BQ90">
        <f ca="1">IF($AN90="",OFFSET(Demand!$A$13,ROW(A87)-1,4+((QUOTIENT(COLUMN(BQ$2)-69,3))*5)+MOD(COLUMN(BQ$2),3),1,1),"")</f>
        <v>5</v>
      </c>
      <c r="BR90">
        <f ca="1">IF($AN90="",OFFSET(Demand!$A$13,ROW(B87)-1,4+((QUOTIENT(COLUMN(BR$2)-69,3))*5)+MOD(COLUMN(BR$2),3),1,1),"")</f>
        <v>367</v>
      </c>
      <c r="BS90">
        <f ca="1">IF($AN90="",OFFSET(Demand!$A$13,ROW(C87)-1,4+((QUOTIENT(COLUMN(BS$2)-69,3))*5)+MOD(COLUMN(BS$2),3),1,1),"")</f>
        <v>69</v>
      </c>
      <c r="BT90">
        <f ca="1">IF($AN90="",OFFSET(Demand!$A$13,ROW(D87)-1,4+((QUOTIENT(COLUMN(BT$2)-69,3))*5)+MOD(COLUMN(BT$2),3),1,1),"")</f>
        <v>63</v>
      </c>
      <c r="BU90">
        <f ca="1">IF($AN90="",OFFSET(Demand!$A$13,ROW(E87)-1,4+((QUOTIENT(COLUMN(BU$2)-69,3))*5)+MOD(COLUMN(BU$2),3),1,1),"")</f>
        <v>275</v>
      </c>
      <c r="BV90">
        <f ca="1">IF($AN90="",OFFSET(Demand!$A$13,ROW(F87)-1,4+((QUOTIENT(COLUMN(BV$2)-69,3))*5)+MOD(COLUMN(BV$2),3),1,1),"")</f>
        <v>39</v>
      </c>
      <c r="BW90">
        <f ca="1">IF($AN90="",OFFSET(Demand!$A$13,ROW(G87)-1,4+((QUOTIENT(COLUMN(BW$2)-69,3))*5)+MOD(COLUMN(BW$2),3),1,1),"")</f>
        <v>12</v>
      </c>
      <c r="BX90">
        <f ca="1">IF($AN90="",OFFSET(Demand!$A$13,ROW(H87)-1,4+((QUOTIENT(COLUMN(BX$2)-69,3))*5)+MOD(COLUMN(BX$2),3),1,1),"")</f>
        <v>1</v>
      </c>
      <c r="BY90">
        <f ca="1">IF($AN90="",OFFSET(Demand!$A$13,ROW(I87)-1,4+((QUOTIENT(COLUMN(BY$2)-69,3))*5)+MOD(COLUMN(BY$2),3),1,1),"")</f>
        <v>12</v>
      </c>
      <c r="BZ90">
        <f ca="1">IF($AN90="",OFFSET(Demand!$A$13,ROW(J87)-1,4+((QUOTIENT(COLUMN(BZ$2)-69,3))*5)+MOD(COLUMN(BZ$2),3),1,1),"")</f>
        <v>18</v>
      </c>
      <c r="CA90">
        <f ca="1">IF($AN90="",OFFSET(Demand!$A$13,ROW(K87)-1,4+((QUOTIENT(COLUMN(CA$2)-69,3))*5)+MOD(COLUMN(CA$2),3),1,1),"")</f>
        <v>4</v>
      </c>
      <c r="CB90">
        <f ca="1">IF($AN90="",OFFSET(Demand!$A$13,ROW(L87)-1,4+((QUOTIENT(COLUMN(CB$2)-69,3))*5)+MOD(COLUMN(CB$2),3),1,1),"")</f>
        <v>11</v>
      </c>
      <c r="CC90">
        <f ca="1">IF($AN90="",OFFSET(Demand!$A$13,ROW(M87)-1,4+((QUOTIENT(COLUMN(CC$2)-69,3))*5)+MOD(COLUMN(CC$2),3),1,1),"")</f>
        <v>1</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1</v>
      </c>
      <c r="B91" s="5">
        <f ca="1">COUNTBLANK(OFFSET(Demand!$I100,0,(COLUMN(A88)-1)*5,1,1))</f>
        <v>0</v>
      </c>
      <c r="C91" s="5">
        <f ca="1">COUNTBLANK(OFFSET(Demand!$I100,0,(COLUMN(B88)-1)*5,1,1))</f>
        <v>0</v>
      </c>
      <c r="D91" s="5">
        <f ca="1">COUNTBLANK(OFFSET(Demand!$I100,0,(COLUMN(C88)-1)*5,1,1))</f>
        <v>0</v>
      </c>
      <c r="E91" s="5">
        <f ca="1">COUNTBLANK(OFFSET(Demand!$I100,0,(COLUMN(D88)-1)*5,1,1))</f>
        <v>0</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7425</v>
      </c>
      <c r="O91" s="5">
        <f ca="1">SUM(OFFSET(Demand!$E100,0,(COLUMN(B88)-1)*5,1,3))*O$2</f>
        <v>5955</v>
      </c>
      <c r="P91" s="5">
        <f ca="1">SUM(OFFSET(Demand!$E100,0,(COLUMN(C88)-1)*5,1,3))*P$2</f>
        <v>180</v>
      </c>
      <c r="Q91" s="5">
        <f ca="1">SUM(OFFSET(Demand!$E100,0,(COLUMN(D88)-1)*5,1,3))*Q$2</f>
        <v>810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14370</v>
      </c>
      <c r="Y91">
        <f t="shared" ca="1" si="38"/>
        <v>14370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14370</v>
      </c>
      <c r="AM91" s="5">
        <f t="shared" ca="1" si="41"/>
        <v>0</v>
      </c>
      <c r="AN91" s="5" t="str">
        <f>IF(Demand!BE100="Yes","Yes","")</f>
        <v/>
      </c>
      <c r="AP91" s="36" t="str">
        <f ca="1">Demand!B100</f>
        <v xml:space="preserve"> </v>
      </c>
      <c r="AQ91" t="str">
        <f ca="1">IF(TEXT(Demand!D100,"MMM")&lt;&gt;TEXT(Demand!D99,"MMM"),TEXT(Demand!D100,"MMM"),"")</f>
        <v>Dec</v>
      </c>
      <c r="AT91" s="5">
        <f t="shared" ca="1" si="42"/>
        <v>359</v>
      </c>
      <c r="BQ91">
        <f ca="1">IF($AN91="",OFFSET(Demand!$A$13,ROW(A88)-1,4+((QUOTIENT(COLUMN(BQ$2)-69,3))*5)+MOD(COLUMN(BQ$2),3),1,1),"")</f>
        <v>10</v>
      </c>
      <c r="BR91">
        <f ca="1">IF($AN91="",OFFSET(Demand!$A$13,ROW(B88)-1,4+((QUOTIENT(COLUMN(BR$2)-69,3))*5)+MOD(COLUMN(BR$2),3),1,1),"")</f>
        <v>400</v>
      </c>
      <c r="BS91">
        <f ca="1">IF($AN91="",OFFSET(Demand!$A$13,ROW(C88)-1,4+((QUOTIENT(COLUMN(BS$2)-69,3))*5)+MOD(COLUMN(BS$2),3),1,1),"")</f>
        <v>85</v>
      </c>
      <c r="BT91">
        <f ca="1">IF($AN91="",OFFSET(Demand!$A$13,ROW(D88)-1,4+((QUOTIENT(COLUMN(BT$2)-69,3))*5)+MOD(COLUMN(BT$2),3),1,1),"")</f>
        <v>81</v>
      </c>
      <c r="BU91">
        <f ca="1">IF($AN91="",OFFSET(Demand!$A$13,ROW(E88)-1,4+((QUOTIENT(COLUMN(BU$2)-69,3))*5)+MOD(COLUMN(BU$2),3),1,1),"")</f>
        <v>243</v>
      </c>
      <c r="BV91">
        <f ca="1">IF($AN91="",OFFSET(Demand!$A$13,ROW(F88)-1,4+((QUOTIENT(COLUMN(BV$2)-69,3))*5)+MOD(COLUMN(BV$2),3),1,1),"")</f>
        <v>73</v>
      </c>
      <c r="BW91">
        <f ca="1">IF($AN91="",OFFSET(Demand!$A$13,ROW(G88)-1,4+((QUOTIENT(COLUMN(BW$2)-69,3))*5)+MOD(COLUMN(BW$2),3),1,1),"")</f>
        <v>3</v>
      </c>
      <c r="BX91">
        <f ca="1">IF($AN91="",OFFSET(Demand!$A$13,ROW(H88)-1,4+((QUOTIENT(COLUMN(BX$2)-69,3))*5)+MOD(COLUMN(BX$2),3),1,1),"")</f>
        <v>0</v>
      </c>
      <c r="BY91">
        <f ca="1">IF($AN91="",OFFSET(Demand!$A$13,ROW(I88)-1,4+((QUOTIENT(COLUMN(BY$2)-69,3))*5)+MOD(COLUMN(BY$2),3),1,1),"")</f>
        <v>3</v>
      </c>
      <c r="BZ91">
        <f ca="1">IF($AN91="",OFFSET(Demand!$A$13,ROW(J88)-1,4+((QUOTIENT(COLUMN(BZ$2)-69,3))*5)+MOD(COLUMN(BZ$2),3),1,1),"")</f>
        <v>18</v>
      </c>
      <c r="CA91">
        <f ca="1">IF($AN91="",OFFSET(Demand!$A$13,ROW(K88)-1,4+((QUOTIENT(COLUMN(CA$2)-69,3))*5)+MOD(COLUMN(CA$2),3),1,1),"")</f>
        <v>1</v>
      </c>
      <c r="CB91">
        <f ca="1">IF($AN91="",OFFSET(Demand!$A$13,ROW(L88)-1,4+((QUOTIENT(COLUMN(CB$2)-69,3))*5)+MOD(COLUMN(CB$2),3),1,1),"")</f>
        <v>8</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1</v>
      </c>
      <c r="B92" s="5">
        <f ca="1">COUNTBLANK(OFFSET(Demand!$I101,0,(COLUMN(A89)-1)*5,1,1))</f>
        <v>0</v>
      </c>
      <c r="C92" s="5">
        <f ca="1">COUNTBLANK(OFFSET(Demand!$I101,0,(COLUMN(B89)-1)*5,1,1))</f>
        <v>0</v>
      </c>
      <c r="D92" s="5">
        <f ca="1">COUNTBLANK(OFFSET(Demand!$I101,0,(COLUMN(C89)-1)*5,1,1))</f>
        <v>0</v>
      </c>
      <c r="E92" s="5">
        <f ca="1">COUNTBLANK(OFFSET(Demand!$I101,0,(COLUMN(D89)-1)*5,1,1))</f>
        <v>0</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7890</v>
      </c>
      <c r="O92" s="5">
        <f ca="1">SUM(OFFSET(Demand!$E101,0,(COLUMN(B89)-1)*5,1,3))*O$2</f>
        <v>5760</v>
      </c>
      <c r="P92" s="5">
        <f ca="1">SUM(OFFSET(Demand!$E101,0,(COLUMN(C89)-1)*5,1,3))*P$2</f>
        <v>720</v>
      </c>
      <c r="Q92" s="5">
        <f ca="1">SUM(OFFSET(Demand!$E101,0,(COLUMN(D89)-1)*5,1,3))*Q$2</f>
        <v>930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15300</v>
      </c>
      <c r="Y92">
        <f t="shared" ca="1" si="38"/>
        <v>15300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15300</v>
      </c>
      <c r="AM92" s="5">
        <f t="shared" ca="1" si="41"/>
        <v>0</v>
      </c>
      <c r="AN92" s="5" t="str">
        <f>IF(Demand!BE101="Yes","Yes","")</f>
        <v/>
      </c>
      <c r="AP92" s="36" t="str">
        <f ca="1">Demand!B101</f>
        <v xml:space="preserve"> </v>
      </c>
      <c r="AQ92" t="str">
        <f ca="1">IF(TEXT(Demand!D101,"MMM")&lt;&gt;TEXT(Demand!D100,"MMM"),TEXT(Demand!D101,"MMM"),"")</f>
        <v/>
      </c>
      <c r="AT92" s="5">
        <f t="shared" ca="1" si="42"/>
        <v>930</v>
      </c>
      <c r="BQ92">
        <f ca="1">IF($AN92="",OFFSET(Demand!$A$13,ROW(A89)-1,4+((QUOTIENT(COLUMN(BQ$2)-69,3))*5)+MOD(COLUMN(BQ$2),3),1,1),"")</f>
        <v>4</v>
      </c>
      <c r="BR92">
        <f ca="1">IF($AN92="",OFFSET(Demand!$A$13,ROW(B89)-1,4+((QUOTIENT(COLUMN(BR$2)-69,3))*5)+MOD(COLUMN(BR$2),3),1,1),"")</f>
        <v>418</v>
      </c>
      <c r="BS92">
        <f ca="1">IF($AN92="",OFFSET(Demand!$A$13,ROW(C89)-1,4+((QUOTIENT(COLUMN(BS$2)-69,3))*5)+MOD(COLUMN(BS$2),3),1,1),"")</f>
        <v>104</v>
      </c>
      <c r="BT92">
        <f ca="1">IF($AN92="",OFFSET(Demand!$A$13,ROW(D89)-1,4+((QUOTIENT(COLUMN(BT$2)-69,3))*5)+MOD(COLUMN(BT$2),3),1,1),"")</f>
        <v>50</v>
      </c>
      <c r="BU92">
        <f ca="1">IF($AN92="",OFFSET(Demand!$A$13,ROW(E89)-1,4+((QUOTIENT(COLUMN(BU$2)-69,3))*5)+MOD(COLUMN(BU$2),3),1,1),"")</f>
        <v>268</v>
      </c>
      <c r="BV92">
        <f ca="1">IF($AN92="",OFFSET(Demand!$A$13,ROW(F89)-1,4+((QUOTIENT(COLUMN(BV$2)-69,3))*5)+MOD(COLUMN(BV$2),3),1,1),"")</f>
        <v>66</v>
      </c>
      <c r="BW92">
        <f ca="1">IF($AN92="",OFFSET(Demand!$A$13,ROW(G89)-1,4+((QUOTIENT(COLUMN(BW$2)-69,3))*5)+MOD(COLUMN(BW$2),3),1,1),"")</f>
        <v>12</v>
      </c>
      <c r="BX92">
        <f ca="1">IF($AN92="",OFFSET(Demand!$A$13,ROW(H89)-1,4+((QUOTIENT(COLUMN(BX$2)-69,3))*5)+MOD(COLUMN(BX$2),3),1,1),"")</f>
        <v>0</v>
      </c>
      <c r="BY92">
        <f ca="1">IF($AN92="",OFFSET(Demand!$A$13,ROW(I89)-1,4+((QUOTIENT(COLUMN(BY$2)-69,3))*5)+MOD(COLUMN(BY$2),3),1,1),"")</f>
        <v>12</v>
      </c>
      <c r="BZ92">
        <f ca="1">IF($AN92="",OFFSET(Demand!$A$13,ROW(J89)-1,4+((QUOTIENT(COLUMN(BZ$2)-69,3))*5)+MOD(COLUMN(BZ$2),3),1,1),"")</f>
        <v>18</v>
      </c>
      <c r="CA92">
        <f ca="1">IF($AN92="",OFFSET(Demand!$A$13,ROW(K89)-1,4+((QUOTIENT(COLUMN(CA$2)-69,3))*5)+MOD(COLUMN(CA$2),3),1,1),"")</f>
        <v>4</v>
      </c>
      <c r="CB92">
        <f ca="1">IF($AN92="",OFFSET(Demand!$A$13,ROW(L89)-1,4+((QUOTIENT(COLUMN(CB$2)-69,3))*5)+MOD(COLUMN(CB$2),3),1,1),"")</f>
        <v>9</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0</v>
      </c>
      <c r="B93" s="5">
        <f ca="1">COUNTBLANK(OFFSET(Demand!$I102,0,(COLUMN(A90)-1)*5,1,1))</f>
        <v>0</v>
      </c>
      <c r="C93" s="5">
        <f ca="1">COUNTBLANK(OFFSET(Demand!$I102,0,(COLUMN(B90)-1)*5,1,1))</f>
        <v>0</v>
      </c>
      <c r="D93" s="5">
        <f ca="1">COUNTBLANK(OFFSET(Demand!$I102,0,(COLUMN(C90)-1)*5,1,1))</f>
        <v>0</v>
      </c>
      <c r="E93" s="5">
        <f ca="1">COUNTBLANK(OFFSET(Demand!$I102,0,(COLUMN(D90)-1)*5,1,1))</f>
        <v>0</v>
      </c>
      <c r="F93" s="5">
        <f ca="1">COUNTBLANK(OFFSET(Demand!$I102,0,(COLUMN(E90)-1)*5,1,1))</f>
        <v>0</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7770</v>
      </c>
      <c r="O93" s="5">
        <f ca="1">SUM(OFFSET(Demand!$E102,0,(COLUMN(B90)-1)*5,1,3))*O$2</f>
        <v>6270</v>
      </c>
      <c r="P93" s="5">
        <f ca="1">SUM(OFFSET(Demand!$E102,0,(COLUMN(C90)-1)*5,1,3))*P$2</f>
        <v>660</v>
      </c>
      <c r="Q93" s="5">
        <f ca="1">SUM(OFFSET(Demand!$E102,0,(COLUMN(D90)-1)*5,1,3))*Q$2</f>
        <v>720</v>
      </c>
      <c r="R93" s="5">
        <f ca="1">SUM(OFFSET(Demand!$E102,0,(COLUMN(E90)-1)*5,1,3))*R$2</f>
        <v>2</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15422</v>
      </c>
      <c r="Y93">
        <f t="shared" ca="1" si="38"/>
        <v>15422</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15422</v>
      </c>
      <c r="AM93" s="5">
        <f t="shared" ca="1" si="41"/>
        <v>0</v>
      </c>
      <c r="AN93" s="5" t="str">
        <f>IF(Demand!BE102="Yes","Yes","")</f>
        <v/>
      </c>
      <c r="AP93" s="36" t="str">
        <f ca="1">Demand!B102</f>
        <v xml:space="preserve"> </v>
      </c>
      <c r="AQ93" t="str">
        <f ca="1">IF(TEXT(Demand!D102,"MMM")&lt;&gt;TEXT(Demand!D101,"MMM"),TEXT(Demand!D102,"MMM"),"")</f>
        <v/>
      </c>
      <c r="AT93" s="5">
        <f t="shared" ca="1" si="42"/>
        <v>122</v>
      </c>
      <c r="BQ93">
        <f ca="1">IF($AN93="",OFFSET(Demand!$A$13,ROW(A90)-1,4+((QUOTIENT(COLUMN(BQ$2)-69,3))*5)+MOD(COLUMN(BQ$2),3),1,1),"")</f>
        <v>10</v>
      </c>
      <c r="BR93">
        <f ca="1">IF($AN93="",OFFSET(Demand!$A$13,ROW(B90)-1,4+((QUOTIENT(COLUMN(BR$2)-69,3))*5)+MOD(COLUMN(BR$2),3),1,1),"")</f>
        <v>423</v>
      </c>
      <c r="BS93">
        <f ca="1">IF($AN93="",OFFSET(Demand!$A$13,ROW(C90)-1,4+((QUOTIENT(COLUMN(BS$2)-69,3))*5)+MOD(COLUMN(BS$2),3),1,1),"")</f>
        <v>85</v>
      </c>
      <c r="BT93">
        <f ca="1">IF($AN93="",OFFSET(Demand!$A$13,ROW(D90)-1,4+((QUOTIENT(COLUMN(BT$2)-69,3))*5)+MOD(COLUMN(BT$2),3),1,1),"")</f>
        <v>74</v>
      </c>
      <c r="BU93">
        <f ca="1">IF($AN93="",OFFSET(Demand!$A$13,ROW(E90)-1,4+((QUOTIENT(COLUMN(BU$2)-69,3))*5)+MOD(COLUMN(BU$2),3),1,1),"")</f>
        <v>265</v>
      </c>
      <c r="BV93">
        <f ca="1">IF($AN93="",OFFSET(Demand!$A$13,ROW(F90)-1,4+((QUOTIENT(COLUMN(BV$2)-69,3))*5)+MOD(COLUMN(BV$2),3),1,1),"")</f>
        <v>79</v>
      </c>
      <c r="BW93">
        <f ca="1">IF($AN93="",OFFSET(Demand!$A$13,ROW(G90)-1,4+((QUOTIENT(COLUMN(BW$2)-69,3))*5)+MOD(COLUMN(BW$2),3),1,1),"")</f>
        <v>11</v>
      </c>
      <c r="BX93">
        <f ca="1">IF($AN93="",OFFSET(Demand!$A$13,ROW(H90)-1,4+((QUOTIENT(COLUMN(BX$2)-69,3))*5)+MOD(COLUMN(BX$2),3),1,1),"")</f>
        <v>0</v>
      </c>
      <c r="BY93">
        <f ca="1">IF($AN93="",OFFSET(Demand!$A$13,ROW(I90)-1,4+((QUOTIENT(COLUMN(BY$2)-69,3))*5)+MOD(COLUMN(BY$2),3),1,1),"")</f>
        <v>11</v>
      </c>
      <c r="BZ93">
        <f ca="1">IF($AN93="",OFFSET(Demand!$A$13,ROW(J90)-1,4+((QUOTIENT(COLUMN(BZ$2)-69,3))*5)+MOD(COLUMN(BZ$2),3),1,1),"")</f>
        <v>9</v>
      </c>
      <c r="CA93">
        <f ca="1">IF($AN93="",OFFSET(Demand!$A$13,ROW(K90)-1,4+((QUOTIENT(COLUMN(CA$2)-69,3))*5)+MOD(COLUMN(CA$2),3),1,1),"")</f>
        <v>4</v>
      </c>
      <c r="CB93">
        <f ca="1">IF($AN93="",OFFSET(Demand!$A$13,ROW(L90)-1,4+((QUOTIENT(COLUMN(CB$2)-69,3))*5)+MOD(COLUMN(CB$2),3),1,1),"")</f>
        <v>11</v>
      </c>
      <c r="CC93">
        <f ca="1">IF($AN93="",OFFSET(Demand!$A$13,ROW(M90)-1,4+((QUOTIENT(COLUMN(CC$2)-69,3))*5)+MOD(COLUMN(CC$2),3),1,1),"")</f>
        <v>2</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1</v>
      </c>
      <c r="B94" s="5">
        <f ca="1">COUNTBLANK(OFFSET(Demand!$I103,0,(COLUMN(A91)-1)*5,1,1))</f>
        <v>0</v>
      </c>
      <c r="C94" s="5">
        <f ca="1">COUNTBLANK(OFFSET(Demand!$I103,0,(COLUMN(B91)-1)*5,1,1))</f>
        <v>0</v>
      </c>
      <c r="D94" s="5">
        <f ca="1">COUNTBLANK(OFFSET(Demand!$I103,0,(COLUMN(C91)-1)*5,1,1))</f>
        <v>1</v>
      </c>
      <c r="E94" s="5">
        <f ca="1">COUNTBLANK(OFFSET(Demand!$I103,0,(COLUMN(D91)-1)*5,1,1))</f>
        <v>0</v>
      </c>
      <c r="F94" s="5">
        <f ca="1">COUNTBLANK(OFFSET(Demand!$I103,0,(COLUMN(E91)-1)*5,1,1))</f>
        <v>0</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6435</v>
      </c>
      <c r="O94" s="5">
        <f ca="1">SUM(OFFSET(Demand!$E103,0,(COLUMN(B91)-1)*5,1,3))*O$2</f>
        <v>3525</v>
      </c>
      <c r="P94" s="5">
        <f ca="1">SUM(OFFSET(Demand!$E103,0,(COLUMN(C91)-1)*5,1,3))*P$2</f>
        <v>0</v>
      </c>
      <c r="Q94" s="5">
        <f ca="1">SUM(OFFSET(Demand!$E103,0,(COLUMN(D91)-1)*5,1,3))*Q$2</f>
        <v>390</v>
      </c>
      <c r="R94" s="5">
        <f ca="1">SUM(OFFSET(Demand!$E103,0,(COLUMN(E91)-1)*5,1,3))*R$2</f>
        <v>1</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10351</v>
      </c>
      <c r="Y94">
        <f t="shared" ca="1" si="38"/>
        <v>10351</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10351</v>
      </c>
      <c r="AM94" s="5">
        <f t="shared" ca="1" si="41"/>
        <v>0</v>
      </c>
      <c r="AN94" s="5" t="str">
        <f>IF(Demand!BE103="Yes","Yes","")</f>
        <v/>
      </c>
      <c r="AP94" s="36" t="str">
        <f ca="1">Demand!B103</f>
        <v xml:space="preserve"> </v>
      </c>
      <c r="AQ94" t="str">
        <f ca="1">IF(TEXT(Demand!D103,"MMM")&lt;&gt;TEXT(Demand!D102,"MMM"),TEXT(Demand!D103,"MMM"),"")</f>
        <v/>
      </c>
      <c r="AT94" s="5">
        <f t="shared" ca="1" si="42"/>
        <v>5071</v>
      </c>
      <c r="BQ94">
        <f ca="1">IF($AN94="",OFFSET(Demand!$A$13,ROW(A91)-1,4+((QUOTIENT(COLUMN(BQ$2)-69,3))*5)+MOD(COLUMN(BQ$2),3),1,1),"")</f>
        <v>2</v>
      </c>
      <c r="BR94">
        <f ca="1">IF($AN94="",OFFSET(Demand!$A$13,ROW(B91)-1,4+((QUOTIENT(COLUMN(BR$2)-69,3))*5)+MOD(COLUMN(BR$2),3),1,1),"")</f>
        <v>383</v>
      </c>
      <c r="BS94">
        <f ca="1">IF($AN94="",OFFSET(Demand!$A$13,ROW(C91)-1,4+((QUOTIENT(COLUMN(BS$2)-69,3))*5)+MOD(COLUMN(BS$2),3),1,1),"")</f>
        <v>44</v>
      </c>
      <c r="BT94">
        <f ca="1">IF($AN94="",OFFSET(Demand!$A$13,ROW(D91)-1,4+((QUOTIENT(COLUMN(BT$2)-69,3))*5)+MOD(COLUMN(BT$2),3),1,1),"")</f>
        <v>28</v>
      </c>
      <c r="BU94">
        <f ca="1">IF($AN94="",OFFSET(Demand!$A$13,ROW(E91)-1,4+((QUOTIENT(COLUMN(BU$2)-69,3))*5)+MOD(COLUMN(BU$2),3),1,1),"")</f>
        <v>189</v>
      </c>
      <c r="BV94">
        <f ca="1">IF($AN94="",OFFSET(Demand!$A$13,ROW(F91)-1,4+((QUOTIENT(COLUMN(BV$2)-69,3))*5)+MOD(COLUMN(BV$2),3),1,1),"")</f>
        <v>18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9</v>
      </c>
      <c r="CA94">
        <f ca="1">IF($AN94="",OFFSET(Demand!$A$13,ROW(K91)-1,4+((QUOTIENT(COLUMN(CA$2)-69,3))*5)+MOD(COLUMN(CA$2),3),1,1),"")</f>
        <v>4</v>
      </c>
      <c r="CB94">
        <f ca="1">IF($AN94="",OFFSET(Demand!$A$13,ROW(L91)-1,4+((QUOTIENT(COLUMN(CB$2)-69,3))*5)+MOD(COLUMN(CB$2),3),1,1),"")</f>
        <v>0</v>
      </c>
      <c r="CC94">
        <f ca="1">IF($AN94="",OFFSET(Demand!$A$13,ROW(M91)-1,4+((QUOTIENT(COLUMN(CC$2)-69,3))*5)+MOD(COLUMN(CC$2),3),1,1),"")</f>
        <v>1</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0</v>
      </c>
      <c r="B95" s="5">
        <f ca="1">COUNTBLANK(OFFSET(Demand!$I104,0,(COLUMN(A92)-1)*5,1,1))</f>
        <v>0</v>
      </c>
      <c r="C95" s="5">
        <f ca="1">COUNTBLANK(OFFSET(Demand!$I104,0,(COLUMN(B92)-1)*5,1,1))</f>
        <v>0</v>
      </c>
      <c r="D95" s="5">
        <f ca="1">COUNTBLANK(OFFSET(Demand!$I104,0,(COLUMN(C92)-1)*5,1,1))</f>
        <v>0</v>
      </c>
      <c r="E95" s="5">
        <f ca="1">COUNTBLANK(OFFSET(Demand!$I104,0,(COLUMN(D92)-1)*5,1,1))</f>
        <v>0</v>
      </c>
      <c r="F95" s="5">
        <f ca="1">COUNTBLANK(OFFSET(Demand!$I104,0,(COLUMN(E92)-1)*5,1,1))</f>
        <v>0</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6825</v>
      </c>
      <c r="O95" s="5">
        <f ca="1">SUM(OFFSET(Demand!$E104,0,(COLUMN(B92)-1)*5,1,3))*O$2</f>
        <v>5295</v>
      </c>
      <c r="P95" s="5">
        <f ca="1">SUM(OFFSET(Demand!$E104,0,(COLUMN(C92)-1)*5,1,3))*P$2</f>
        <v>540</v>
      </c>
      <c r="Q95" s="5">
        <f ca="1">SUM(OFFSET(Demand!$E104,0,(COLUMN(D92)-1)*5,1,3))*Q$2</f>
        <v>600</v>
      </c>
      <c r="R95" s="5">
        <f ca="1">SUM(OFFSET(Demand!$E104,0,(COLUMN(E92)-1)*5,1,3))*R$2</f>
        <v>1</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13261</v>
      </c>
      <c r="Y95">
        <f t="shared" ca="1" si="38"/>
        <v>13261</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13261</v>
      </c>
      <c r="AM95" s="5">
        <f t="shared" ca="1" si="41"/>
        <v>0</v>
      </c>
      <c r="AN95" s="5" t="str">
        <f>IF(Demand!BE104="Yes","Yes","")</f>
        <v/>
      </c>
      <c r="AP95" s="36" t="str">
        <f ca="1">Demand!B104</f>
        <v xml:space="preserve"> </v>
      </c>
      <c r="AQ95" t="str">
        <f ca="1">IF(TEXT(Demand!D104,"MMM")&lt;&gt;TEXT(Demand!D103,"MMM"),TEXT(Demand!D104,"MMM"),"")</f>
        <v/>
      </c>
      <c r="AT95" s="5">
        <f t="shared" ca="1" si="42"/>
        <v>2910</v>
      </c>
      <c r="BQ95">
        <f ca="1">IF($AN95="",OFFSET(Demand!$A$13,ROW(A92)-1,4+((QUOTIENT(COLUMN(BQ$2)-69,3))*5)+MOD(COLUMN(BQ$2),3),1,1),"")</f>
        <v>4</v>
      </c>
      <c r="BR95">
        <f ca="1">IF($AN95="",OFFSET(Demand!$A$13,ROW(B92)-1,4+((QUOTIENT(COLUMN(BR$2)-69,3))*5)+MOD(COLUMN(BR$2),3),1,1),"")</f>
        <v>390</v>
      </c>
      <c r="BS95">
        <f ca="1">IF($AN95="",OFFSET(Demand!$A$13,ROW(C92)-1,4+((QUOTIENT(COLUMN(BS$2)-69,3))*5)+MOD(COLUMN(BS$2),3),1,1),"")</f>
        <v>61</v>
      </c>
      <c r="BT95">
        <f ca="1">IF($AN95="",OFFSET(Demand!$A$13,ROW(D92)-1,4+((QUOTIENT(COLUMN(BT$2)-69,3))*5)+MOD(COLUMN(BT$2),3),1,1),"")</f>
        <v>50</v>
      </c>
      <c r="BU95">
        <f ca="1">IF($AN95="",OFFSET(Demand!$A$13,ROW(E92)-1,4+((QUOTIENT(COLUMN(BU$2)-69,3))*5)+MOD(COLUMN(BU$2),3),1,1),"")</f>
        <v>278</v>
      </c>
      <c r="BV95">
        <f ca="1">IF($AN95="",OFFSET(Demand!$A$13,ROW(F92)-1,4+((QUOTIENT(COLUMN(BV$2)-69,3))*5)+MOD(COLUMN(BV$2),3),1,1),"")</f>
        <v>25</v>
      </c>
      <c r="BW95">
        <f ca="1">IF($AN95="",OFFSET(Demand!$A$13,ROW(G92)-1,4+((QUOTIENT(COLUMN(BW$2)-69,3))*5)+MOD(COLUMN(BW$2),3),1,1),"")</f>
        <v>8</v>
      </c>
      <c r="BX95">
        <f ca="1">IF($AN95="",OFFSET(Demand!$A$13,ROW(H92)-1,4+((QUOTIENT(COLUMN(BX$2)-69,3))*5)+MOD(COLUMN(BX$2),3),1,1),"")</f>
        <v>2</v>
      </c>
      <c r="BY95">
        <f ca="1">IF($AN95="",OFFSET(Demand!$A$13,ROW(I92)-1,4+((QUOTIENT(COLUMN(BY$2)-69,3))*5)+MOD(COLUMN(BY$2),3),1,1),"")</f>
        <v>8</v>
      </c>
      <c r="BZ95">
        <f ca="1">IF($AN95="",OFFSET(Demand!$A$13,ROW(J92)-1,4+((QUOTIENT(COLUMN(BZ$2)-69,3))*5)+MOD(COLUMN(BZ$2),3),1,1),"")</f>
        <v>10</v>
      </c>
      <c r="CA95">
        <f ca="1">IF($AN95="",OFFSET(Demand!$A$13,ROW(K92)-1,4+((QUOTIENT(COLUMN(CA$2)-69,3))*5)+MOD(COLUMN(CA$2),3),1,1),"")</f>
        <v>3</v>
      </c>
      <c r="CB95">
        <f ca="1">IF($AN95="",OFFSET(Demand!$A$13,ROW(L92)-1,4+((QUOTIENT(COLUMN(CB$2)-69,3))*5)+MOD(COLUMN(CB$2),3),1,1),"")</f>
        <v>7</v>
      </c>
      <c r="CC95">
        <f ca="1">IF($AN95="",OFFSET(Demand!$A$13,ROW(M92)-1,4+((QUOTIENT(COLUMN(CC$2)-69,3))*5)+MOD(COLUMN(CC$2),3),1,1),"")</f>
        <v>1</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0</v>
      </c>
      <c r="B96" s="5">
        <f ca="1">COUNTBLANK(OFFSET(Demand!$I105,0,(COLUMN(A93)-1)*5,1,1))</f>
        <v>0</v>
      </c>
      <c r="C96" s="5">
        <f ca="1">COUNTBLANK(OFFSET(Demand!$I105,0,(COLUMN(B93)-1)*5,1,1))</f>
        <v>0</v>
      </c>
      <c r="D96" s="5">
        <f ca="1">COUNTBLANK(OFFSET(Demand!$I105,0,(COLUMN(C93)-1)*5,1,1))</f>
        <v>0</v>
      </c>
      <c r="E96" s="5">
        <f ca="1">COUNTBLANK(OFFSET(Demand!$I105,0,(COLUMN(D93)-1)*5,1,1))</f>
        <v>0</v>
      </c>
      <c r="F96" s="5">
        <f ca="1">COUNTBLANK(OFFSET(Demand!$I105,0,(COLUMN(E93)-1)*5,1,1))</f>
        <v>0</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7290</v>
      </c>
      <c r="O96" s="5">
        <f ca="1">SUM(OFFSET(Demand!$E105,0,(COLUMN(B93)-1)*5,1,3))*O$2</f>
        <v>6735</v>
      </c>
      <c r="P96" s="5">
        <f ca="1">SUM(OFFSET(Demand!$E105,0,(COLUMN(C93)-1)*5,1,3))*P$2</f>
        <v>900</v>
      </c>
      <c r="Q96" s="5">
        <f ca="1">SUM(OFFSET(Demand!$E105,0,(COLUMN(D93)-1)*5,1,3))*Q$2</f>
        <v>780</v>
      </c>
      <c r="R96" s="5">
        <f ca="1">SUM(OFFSET(Demand!$E105,0,(COLUMN(E93)-1)*5,1,3))*R$2</f>
        <v>3</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15708</v>
      </c>
      <c r="Y96">
        <f t="shared" ca="1" si="38"/>
        <v>15708</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15708</v>
      </c>
      <c r="AM96" s="5">
        <f t="shared" ca="1" si="41"/>
        <v>0</v>
      </c>
      <c r="AN96" s="5" t="str">
        <f>IF(Demand!BE105="Yes","Yes","")</f>
        <v/>
      </c>
      <c r="AP96" s="36">
        <f ca="1">Demand!B105</f>
        <v>2020</v>
      </c>
      <c r="AQ96" t="str">
        <f ca="1">IF(TEXT(Demand!D105,"MMM")&lt;&gt;TEXT(Demand!D104,"MMM"),TEXT(Demand!D105,"MMM"),"")</f>
        <v>Jan</v>
      </c>
      <c r="AT96" s="5">
        <f t="shared" ca="1" si="42"/>
        <v>2447</v>
      </c>
      <c r="BQ96">
        <f ca="1">IF($AN96="",OFFSET(Demand!$A$13,ROW(A93)-1,4+((QUOTIENT(COLUMN(BQ$2)-69,3))*5)+MOD(COLUMN(BQ$2),3),1,1),"")</f>
        <v>10</v>
      </c>
      <c r="BR96">
        <f ca="1">IF($AN96="",OFFSET(Demand!$A$13,ROW(B93)-1,4+((QUOTIENT(COLUMN(BR$2)-69,3))*5)+MOD(COLUMN(BR$2),3),1,1),"")</f>
        <v>388</v>
      </c>
      <c r="BS96">
        <f ca="1">IF($AN96="",OFFSET(Demand!$A$13,ROW(C93)-1,4+((QUOTIENT(COLUMN(BS$2)-69,3))*5)+MOD(COLUMN(BS$2),3),1,1),"")</f>
        <v>88</v>
      </c>
      <c r="BT96">
        <f ca="1">IF($AN96="",OFFSET(Demand!$A$13,ROW(D93)-1,4+((QUOTIENT(COLUMN(BT$2)-69,3))*5)+MOD(COLUMN(BT$2),3),1,1),"")</f>
        <v>91</v>
      </c>
      <c r="BU96">
        <f ca="1">IF($AN96="",OFFSET(Demand!$A$13,ROW(E93)-1,4+((QUOTIENT(COLUMN(BU$2)-69,3))*5)+MOD(COLUMN(BU$2),3),1,1),"")</f>
        <v>299</v>
      </c>
      <c r="BV96">
        <f ca="1">IF($AN96="",OFFSET(Demand!$A$13,ROW(F93)-1,4+((QUOTIENT(COLUMN(BV$2)-69,3))*5)+MOD(COLUMN(BV$2),3),1,1),"")</f>
        <v>59</v>
      </c>
      <c r="BW96">
        <f ca="1">IF($AN96="",OFFSET(Demand!$A$13,ROW(G93)-1,4+((QUOTIENT(COLUMN(BW$2)-69,3))*5)+MOD(COLUMN(BW$2),3),1,1),"")</f>
        <v>15</v>
      </c>
      <c r="BX96">
        <f ca="1">IF($AN96="",OFFSET(Demand!$A$13,ROW(H93)-1,4+((QUOTIENT(COLUMN(BX$2)-69,3))*5)+MOD(COLUMN(BX$2),3),1,1),"")</f>
        <v>0</v>
      </c>
      <c r="BY96">
        <f ca="1">IF($AN96="",OFFSET(Demand!$A$13,ROW(I93)-1,4+((QUOTIENT(COLUMN(BY$2)-69,3))*5)+MOD(COLUMN(BY$2),3),1,1),"")</f>
        <v>15</v>
      </c>
      <c r="BZ96">
        <f ca="1">IF($AN96="",OFFSET(Demand!$A$13,ROW(J93)-1,4+((QUOTIENT(COLUMN(BZ$2)-69,3))*5)+MOD(COLUMN(BZ$2),3),1,1),"")</f>
        <v>16</v>
      </c>
      <c r="CA96">
        <f ca="1">IF($AN96="",OFFSET(Demand!$A$13,ROW(K93)-1,4+((QUOTIENT(COLUMN(CA$2)-69,3))*5)+MOD(COLUMN(CA$2),3),1,1),"")</f>
        <v>1</v>
      </c>
      <c r="CB96">
        <f ca="1">IF($AN96="",OFFSET(Demand!$A$13,ROW(L93)-1,4+((QUOTIENT(COLUMN(CB$2)-69,3))*5)+MOD(COLUMN(CB$2),3),1,1),"")</f>
        <v>9</v>
      </c>
      <c r="CC96">
        <f ca="1">IF($AN96="",OFFSET(Demand!$A$13,ROW(M93)-1,4+((QUOTIENT(COLUMN(CC$2)-69,3))*5)+MOD(COLUMN(CC$2),3),1,1),"")</f>
        <v>2</v>
      </c>
      <c r="CD96">
        <f ca="1">IF($AN96="",OFFSET(Demand!$A$13,ROW(N93)-1,4+((QUOTIENT(COLUMN(CD$2)-69,3))*5)+MOD(COLUMN(CD$2),3),1,1),"")</f>
        <v>0</v>
      </c>
      <c r="CE96">
        <f ca="1">IF($AN96="",OFFSET(Demand!$A$13,ROW(O93)-1,4+((QUOTIENT(COLUMN(CE$2)-69,3))*5)+MOD(COLUMN(CE$2),3),1,1),"")</f>
        <v>1</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0</v>
      </c>
      <c r="B97" s="5">
        <f ca="1">COUNTBLANK(OFFSET(Demand!$I106,0,(COLUMN(A94)-1)*5,1,1))</f>
        <v>0</v>
      </c>
      <c r="C97" s="5">
        <f ca="1">COUNTBLANK(OFFSET(Demand!$I106,0,(COLUMN(B94)-1)*5,1,1))</f>
        <v>0</v>
      </c>
      <c r="D97" s="5">
        <f ca="1">COUNTBLANK(OFFSET(Demand!$I106,0,(COLUMN(C94)-1)*5,1,1))</f>
        <v>0</v>
      </c>
      <c r="E97" s="5">
        <f ca="1">COUNTBLANK(OFFSET(Demand!$I106,0,(COLUMN(D94)-1)*5,1,1))</f>
        <v>0</v>
      </c>
      <c r="F97" s="5">
        <f ca="1">COUNTBLANK(OFFSET(Demand!$I106,0,(COLUMN(E94)-1)*5,1,1))</f>
        <v>0</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8265</v>
      </c>
      <c r="O97" s="5">
        <f ca="1">SUM(OFFSET(Demand!$E106,0,(COLUMN(B94)-1)*5,1,3))*O$2</f>
        <v>5955</v>
      </c>
      <c r="P97" s="5">
        <f ca="1">SUM(OFFSET(Demand!$E106,0,(COLUMN(C94)-1)*5,1,3))*P$2</f>
        <v>660</v>
      </c>
      <c r="Q97" s="5">
        <f ca="1">SUM(OFFSET(Demand!$E106,0,(COLUMN(D94)-1)*5,1,3))*Q$2</f>
        <v>840</v>
      </c>
      <c r="R97" s="5">
        <f ca="1">SUM(OFFSET(Demand!$E106,0,(COLUMN(E94)-1)*5,1,3))*R$2</f>
        <v>4</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15724</v>
      </c>
      <c r="Y97">
        <f t="shared" ca="1" si="38"/>
        <v>15724</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15724</v>
      </c>
      <c r="AM97" s="5">
        <f t="shared" ca="1" si="41"/>
        <v>0</v>
      </c>
      <c r="AN97" s="5" t="str">
        <f>IF(Demand!BE106="Yes","Yes","")</f>
        <v/>
      </c>
      <c r="AP97" s="36" t="str">
        <f ca="1">Demand!B106</f>
        <v xml:space="preserve"> </v>
      </c>
      <c r="AQ97" t="str">
        <f ca="1">IF(TEXT(Demand!D106,"MMM")&lt;&gt;TEXT(Demand!D105,"MMM"),TEXT(Demand!D106,"MMM"),"")</f>
        <v/>
      </c>
      <c r="AT97" s="5">
        <f t="shared" ca="1" si="42"/>
        <v>16</v>
      </c>
      <c r="BQ97">
        <f ca="1">IF($AN97="",OFFSET(Demand!$A$13,ROW(A94)-1,4+((QUOTIENT(COLUMN(BQ$2)-69,3))*5)+MOD(COLUMN(BQ$2),3),1,1),"")</f>
        <v>18</v>
      </c>
      <c r="BR97">
        <f ca="1">IF($AN97="",OFFSET(Demand!$A$13,ROW(B94)-1,4+((QUOTIENT(COLUMN(BR$2)-69,3))*5)+MOD(COLUMN(BR$2),3),1,1),"")</f>
        <v>414</v>
      </c>
      <c r="BS97">
        <f ca="1">IF($AN97="",OFFSET(Demand!$A$13,ROW(C94)-1,4+((QUOTIENT(COLUMN(BS$2)-69,3))*5)+MOD(COLUMN(BS$2),3),1,1),"")</f>
        <v>119</v>
      </c>
      <c r="BT97">
        <f ca="1">IF($AN97="",OFFSET(Demand!$A$13,ROW(D94)-1,4+((QUOTIENT(COLUMN(BT$2)-69,3))*5)+MOD(COLUMN(BT$2),3),1,1),"")</f>
        <v>77</v>
      </c>
      <c r="BU97">
        <f ca="1">IF($AN97="",OFFSET(Demand!$A$13,ROW(E94)-1,4+((QUOTIENT(COLUMN(BU$2)-69,3))*5)+MOD(COLUMN(BU$2),3),1,1),"")</f>
        <v>250</v>
      </c>
      <c r="BV97">
        <f ca="1">IF($AN97="",OFFSET(Demand!$A$13,ROW(F94)-1,4+((QUOTIENT(COLUMN(BV$2)-69,3))*5)+MOD(COLUMN(BV$2),3),1,1),"")</f>
        <v>70</v>
      </c>
      <c r="BW97">
        <f ca="1">IF($AN97="",OFFSET(Demand!$A$13,ROW(G94)-1,4+((QUOTIENT(COLUMN(BW$2)-69,3))*5)+MOD(COLUMN(BW$2),3),1,1),"")</f>
        <v>10</v>
      </c>
      <c r="BX97">
        <f ca="1">IF($AN97="",OFFSET(Demand!$A$13,ROW(H94)-1,4+((QUOTIENT(COLUMN(BX$2)-69,3))*5)+MOD(COLUMN(BX$2),3),1,1),"")</f>
        <v>2</v>
      </c>
      <c r="BY97">
        <f ca="1">IF($AN97="",OFFSET(Demand!$A$13,ROW(I94)-1,4+((QUOTIENT(COLUMN(BY$2)-69,3))*5)+MOD(COLUMN(BY$2),3),1,1),"")</f>
        <v>10</v>
      </c>
      <c r="BZ97">
        <f ca="1">IF($AN97="",OFFSET(Demand!$A$13,ROW(J94)-1,4+((QUOTIENT(COLUMN(BZ$2)-69,3))*5)+MOD(COLUMN(BZ$2),3),1,1),"")</f>
        <v>18</v>
      </c>
      <c r="CA97">
        <f ca="1">IF($AN97="",OFFSET(Demand!$A$13,ROW(K94)-1,4+((QUOTIENT(COLUMN(CA$2)-69,3))*5)+MOD(COLUMN(CA$2),3),1,1),"")</f>
        <v>4</v>
      </c>
      <c r="CB97">
        <f ca="1">IF($AN97="",OFFSET(Demand!$A$13,ROW(L94)-1,4+((QUOTIENT(COLUMN(CB$2)-69,3))*5)+MOD(COLUMN(CB$2),3),1,1),"")</f>
        <v>6</v>
      </c>
      <c r="CC97">
        <f ca="1">IF($AN97="",OFFSET(Demand!$A$13,ROW(M94)-1,4+((QUOTIENT(COLUMN(CC$2)-69,3))*5)+MOD(COLUMN(CC$2),3),1,1),"")</f>
        <v>2</v>
      </c>
      <c r="CD97">
        <f ca="1">IF($AN97="",OFFSET(Demand!$A$13,ROW(N94)-1,4+((QUOTIENT(COLUMN(CD$2)-69,3))*5)+MOD(COLUMN(CD$2),3),1,1),"")</f>
        <v>2</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0</v>
      </c>
      <c r="B98" s="5">
        <f ca="1">COUNTBLANK(OFFSET(Demand!$I107,0,(COLUMN(A95)-1)*5,1,1))</f>
        <v>0</v>
      </c>
      <c r="C98" s="5">
        <f ca="1">COUNTBLANK(OFFSET(Demand!$I107,0,(COLUMN(B95)-1)*5,1,1))</f>
        <v>0</v>
      </c>
      <c r="D98" s="5">
        <f ca="1">COUNTBLANK(OFFSET(Demand!$I107,0,(COLUMN(C95)-1)*5,1,1))</f>
        <v>0</v>
      </c>
      <c r="E98" s="5">
        <f ca="1">COUNTBLANK(OFFSET(Demand!$I107,0,(COLUMN(D95)-1)*5,1,1))</f>
        <v>0</v>
      </c>
      <c r="F98" s="5">
        <f ca="1">COUNTBLANK(OFFSET(Demand!$I107,0,(COLUMN(E95)-1)*5,1,1))</f>
        <v>0</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8520</v>
      </c>
      <c r="O98" s="5">
        <f ca="1">SUM(OFFSET(Demand!$E107,0,(COLUMN(B95)-1)*5,1,3))*O$2</f>
        <v>7095</v>
      </c>
      <c r="P98" s="5">
        <f ca="1">SUM(OFFSET(Demand!$E107,0,(COLUMN(C95)-1)*5,1,3))*P$2</f>
        <v>1560</v>
      </c>
      <c r="Q98" s="5">
        <f ca="1">SUM(OFFSET(Demand!$E107,0,(COLUMN(D95)-1)*5,1,3))*Q$2</f>
        <v>840</v>
      </c>
      <c r="R98" s="5">
        <f ca="1">SUM(OFFSET(Demand!$E107,0,(COLUMN(E95)-1)*5,1,3))*R$2</f>
        <v>1</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18016</v>
      </c>
      <c r="Y98">
        <f t="shared" ca="1" si="38"/>
        <v>18016</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18016</v>
      </c>
      <c r="AM98" s="5">
        <f t="shared" ca="1" si="41"/>
        <v>0</v>
      </c>
      <c r="AN98" s="5" t="str">
        <f>IF(Demand!BE107="Yes","Yes","")</f>
        <v/>
      </c>
      <c r="AP98" s="36" t="str">
        <f ca="1">Demand!B107</f>
        <v xml:space="preserve"> </v>
      </c>
      <c r="AQ98" t="str">
        <f ca="1">IF(TEXT(Demand!D107,"MMM")&lt;&gt;TEXT(Demand!D106,"MMM"),TEXT(Demand!D107,"MMM"),"")</f>
        <v/>
      </c>
      <c r="AT98" s="5">
        <f t="shared" ca="1" si="42"/>
        <v>2292</v>
      </c>
      <c r="BQ98">
        <f ca="1">IF($AN98="",OFFSET(Demand!$A$13,ROW(A95)-1,4+((QUOTIENT(COLUMN(BQ$2)-69,3))*5)+MOD(COLUMN(BQ$2),3),1,1),"")</f>
        <v>7</v>
      </c>
      <c r="BR98">
        <f ca="1">IF($AN98="",OFFSET(Demand!$A$13,ROW(B95)-1,4+((QUOTIENT(COLUMN(BR$2)-69,3))*5)+MOD(COLUMN(BR$2),3),1,1),"")</f>
        <v>446</v>
      </c>
      <c r="BS98">
        <f ca="1">IF($AN98="",OFFSET(Demand!$A$13,ROW(C95)-1,4+((QUOTIENT(COLUMN(BS$2)-69,3))*5)+MOD(COLUMN(BS$2),3),1,1),"")</f>
        <v>115</v>
      </c>
      <c r="BT98">
        <f ca="1">IF($AN98="",OFFSET(Demand!$A$13,ROW(D95)-1,4+((QUOTIENT(COLUMN(BT$2)-69,3))*5)+MOD(COLUMN(BT$2),3),1,1),"")</f>
        <v>102</v>
      </c>
      <c r="BU98">
        <f ca="1">IF($AN98="",OFFSET(Demand!$A$13,ROW(E95)-1,4+((QUOTIENT(COLUMN(BU$2)-69,3))*5)+MOD(COLUMN(BU$2),3),1,1),"")</f>
        <v>300</v>
      </c>
      <c r="BV98">
        <f ca="1">IF($AN98="",OFFSET(Demand!$A$13,ROW(F95)-1,4+((QUOTIENT(COLUMN(BV$2)-69,3))*5)+MOD(COLUMN(BV$2),3),1,1),"")</f>
        <v>71</v>
      </c>
      <c r="BW98">
        <f ca="1">IF($AN98="",OFFSET(Demand!$A$13,ROW(G95)-1,4+((QUOTIENT(COLUMN(BW$2)-69,3))*5)+MOD(COLUMN(BW$2),3),1,1),"")</f>
        <v>25</v>
      </c>
      <c r="BX98">
        <f ca="1">IF($AN98="",OFFSET(Demand!$A$13,ROW(H95)-1,4+((QUOTIENT(COLUMN(BX$2)-69,3))*5)+MOD(COLUMN(BX$2),3),1,1),"")</f>
        <v>2</v>
      </c>
      <c r="BY98">
        <f ca="1">IF($AN98="",OFFSET(Demand!$A$13,ROW(I95)-1,4+((QUOTIENT(COLUMN(BY$2)-69,3))*5)+MOD(COLUMN(BY$2),3),1,1),"")</f>
        <v>25</v>
      </c>
      <c r="BZ98">
        <f ca="1">IF($AN98="",OFFSET(Demand!$A$13,ROW(J95)-1,4+((QUOTIENT(COLUMN(BZ$2)-69,3))*5)+MOD(COLUMN(BZ$2),3),1,1),"")</f>
        <v>17</v>
      </c>
      <c r="CA98">
        <f ca="1">IF($AN98="",OFFSET(Demand!$A$13,ROW(K95)-1,4+((QUOTIENT(COLUMN(CA$2)-69,3))*5)+MOD(COLUMN(CA$2),3),1,1),"")</f>
        <v>6</v>
      </c>
      <c r="CB98">
        <f ca="1">IF($AN98="",OFFSET(Demand!$A$13,ROW(L95)-1,4+((QUOTIENT(COLUMN(CB$2)-69,3))*5)+MOD(COLUMN(CB$2),3),1,1),"")</f>
        <v>5</v>
      </c>
      <c r="CC98">
        <f ca="1">IF($AN98="",OFFSET(Demand!$A$13,ROW(M95)-1,4+((QUOTIENT(COLUMN(CC$2)-69,3))*5)+MOD(COLUMN(CC$2),3),1,1),"")</f>
        <v>1</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0</v>
      </c>
      <c r="B99" s="5">
        <f ca="1">COUNTBLANK(OFFSET(Demand!$I108,0,(COLUMN(A96)-1)*5,1,1))</f>
        <v>0</v>
      </c>
      <c r="C99" s="5">
        <f ca="1">COUNTBLANK(OFFSET(Demand!$I108,0,(COLUMN(B96)-1)*5,1,1))</f>
        <v>0</v>
      </c>
      <c r="D99" s="5">
        <f ca="1">COUNTBLANK(OFFSET(Demand!$I108,0,(COLUMN(C96)-1)*5,1,1))</f>
        <v>0</v>
      </c>
      <c r="E99" s="5">
        <f ca="1">COUNTBLANK(OFFSET(Demand!$I108,0,(COLUMN(D96)-1)*5,1,1))</f>
        <v>0</v>
      </c>
      <c r="F99" s="5">
        <f ca="1">COUNTBLANK(OFFSET(Demand!$I108,0,(COLUMN(E96)-1)*5,1,1))</f>
        <v>0</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7635</v>
      </c>
      <c r="O99" s="5">
        <f ca="1">SUM(OFFSET(Demand!$E108,0,(COLUMN(B96)-1)*5,1,3))*O$2</f>
        <v>6840</v>
      </c>
      <c r="P99" s="5">
        <f ca="1">SUM(OFFSET(Demand!$E108,0,(COLUMN(C96)-1)*5,1,3))*P$2</f>
        <v>900</v>
      </c>
      <c r="Q99" s="5">
        <f ca="1">SUM(OFFSET(Demand!$E108,0,(COLUMN(D96)-1)*5,1,3))*Q$2</f>
        <v>900</v>
      </c>
      <c r="R99" s="5">
        <f ca="1">SUM(OFFSET(Demand!$E108,0,(COLUMN(E96)-1)*5,1,3))*R$2</f>
        <v>3</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16278</v>
      </c>
      <c r="Y99">
        <f t="shared" ca="1" si="38"/>
        <v>16278</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16278</v>
      </c>
      <c r="AM99" s="5">
        <f t="shared" ca="1" si="41"/>
        <v>0</v>
      </c>
      <c r="AN99" s="5" t="str">
        <f>IF(Demand!BE108="Yes","Yes","")</f>
        <v/>
      </c>
      <c r="AP99" s="36" t="str">
        <f ca="1">Demand!B108</f>
        <v xml:space="preserve"> </v>
      </c>
      <c r="AQ99" t="str">
        <f ca="1">IF(TEXT(Demand!D108,"MMM")&lt;&gt;TEXT(Demand!D107,"MMM"),TEXT(Demand!D108,"MMM"),"")</f>
        <v/>
      </c>
      <c r="AT99" s="5">
        <f t="shared" ca="1" si="42"/>
        <v>1738</v>
      </c>
      <c r="BQ99">
        <f ca="1">IF($AN99="",OFFSET(Demand!$A$13,ROW(A96)-1,4+((QUOTIENT(COLUMN(BQ$2)-69,3))*5)+MOD(COLUMN(BQ$2),3),1,1),"")</f>
        <v>17</v>
      </c>
      <c r="BR99">
        <f ca="1">IF($AN99="",OFFSET(Demand!$A$13,ROW(B96)-1,4+((QUOTIENT(COLUMN(BR$2)-69,3))*5)+MOD(COLUMN(BR$2),3),1,1),"")</f>
        <v>396</v>
      </c>
      <c r="BS99">
        <f ca="1">IF($AN99="",OFFSET(Demand!$A$13,ROW(C96)-1,4+((QUOTIENT(COLUMN(BS$2)-69,3))*5)+MOD(COLUMN(BS$2),3),1,1),"")</f>
        <v>96</v>
      </c>
      <c r="BT99">
        <f ca="1">IF($AN99="",OFFSET(Demand!$A$13,ROW(D96)-1,4+((QUOTIENT(COLUMN(BT$2)-69,3))*5)+MOD(COLUMN(BT$2),3),1,1),"")</f>
        <v>102</v>
      </c>
      <c r="BU99">
        <f ca="1">IF($AN99="",OFFSET(Demand!$A$13,ROW(E96)-1,4+((QUOTIENT(COLUMN(BU$2)-69,3))*5)+MOD(COLUMN(BU$2),3),1,1),"")</f>
        <v>283</v>
      </c>
      <c r="BV99">
        <f ca="1">IF($AN99="",OFFSET(Demand!$A$13,ROW(F96)-1,4+((QUOTIENT(COLUMN(BV$2)-69,3))*5)+MOD(COLUMN(BV$2),3),1,1),"")</f>
        <v>71</v>
      </c>
      <c r="BW99">
        <f ca="1">IF($AN99="",OFFSET(Demand!$A$13,ROW(G96)-1,4+((QUOTIENT(COLUMN(BW$2)-69,3))*5)+MOD(COLUMN(BW$2),3),1,1),"")</f>
        <v>14</v>
      </c>
      <c r="BX99">
        <f ca="1">IF($AN99="",OFFSET(Demand!$A$13,ROW(H96)-1,4+((QUOTIENT(COLUMN(BX$2)-69,3))*5)+MOD(COLUMN(BX$2),3),1,1),"")</f>
        <v>2</v>
      </c>
      <c r="BY99">
        <f ca="1">IF($AN99="",OFFSET(Demand!$A$13,ROW(I96)-1,4+((QUOTIENT(COLUMN(BY$2)-69,3))*5)+MOD(COLUMN(BY$2),3),1,1),"")</f>
        <v>14</v>
      </c>
      <c r="BZ99">
        <f ca="1">IF($AN99="",OFFSET(Demand!$A$13,ROW(J96)-1,4+((QUOTIENT(COLUMN(BZ$2)-69,3))*5)+MOD(COLUMN(BZ$2),3),1,1),"")</f>
        <v>16</v>
      </c>
      <c r="CA99">
        <f ca="1">IF($AN99="",OFFSET(Demand!$A$13,ROW(K96)-1,4+((QUOTIENT(COLUMN(CA$2)-69,3))*5)+MOD(COLUMN(CA$2),3),1,1),"")</f>
        <v>4</v>
      </c>
      <c r="CB99">
        <f ca="1">IF($AN99="",OFFSET(Demand!$A$13,ROW(L96)-1,4+((QUOTIENT(COLUMN(CB$2)-69,3))*5)+MOD(COLUMN(CB$2),3),1,1),"")</f>
        <v>10</v>
      </c>
      <c r="CC99">
        <f ca="1">IF($AN99="",OFFSET(Demand!$A$13,ROW(M96)-1,4+((QUOTIENT(COLUMN(CC$2)-69,3))*5)+MOD(COLUMN(CC$2),3),1,1),"")</f>
        <v>2</v>
      </c>
      <c r="CD99">
        <f ca="1">IF($AN99="",OFFSET(Demand!$A$13,ROW(N96)-1,4+((QUOTIENT(COLUMN(CD$2)-69,3))*5)+MOD(COLUMN(CD$2),3),1,1),"")</f>
        <v>1</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1</v>
      </c>
      <c r="B100" s="5">
        <f ca="1">COUNTBLANK(OFFSET(Demand!$I109,0,(COLUMN(A97)-1)*5,1,1))</f>
        <v>0</v>
      </c>
      <c r="C100" s="5">
        <f ca="1">COUNTBLANK(OFFSET(Demand!$I109,0,(COLUMN(B97)-1)*5,1,1))</f>
        <v>0</v>
      </c>
      <c r="D100" s="5">
        <f ca="1">COUNTBLANK(OFFSET(Demand!$I109,0,(COLUMN(C97)-1)*5,1,1))</f>
        <v>0</v>
      </c>
      <c r="E100" s="5">
        <f ca="1">COUNTBLANK(OFFSET(Demand!$I109,0,(COLUMN(D97)-1)*5,1,1))</f>
        <v>0</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7815</v>
      </c>
      <c r="O100" s="5">
        <f ca="1">SUM(OFFSET(Demand!$E109,0,(COLUMN(B97)-1)*5,1,3))*O$2</f>
        <v>5520</v>
      </c>
      <c r="P100" s="5">
        <f ca="1">SUM(OFFSET(Demand!$E109,0,(COLUMN(C97)-1)*5,1,3))*P$2</f>
        <v>420</v>
      </c>
      <c r="Q100" s="5">
        <f ca="1">SUM(OFFSET(Demand!$E109,0,(COLUMN(D97)-1)*5,1,3))*Q$2</f>
        <v>810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14565</v>
      </c>
      <c r="Y100">
        <f t="shared" ca="1" si="38"/>
        <v>14565</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14565</v>
      </c>
      <c r="AM100" s="5">
        <f t="shared" ca="1" si="41"/>
        <v>0</v>
      </c>
      <c r="AN100" s="5" t="str">
        <f>IF(Demand!BE109="Yes","Yes","")</f>
        <v/>
      </c>
      <c r="AP100" s="36" t="str">
        <f ca="1">Demand!B109</f>
        <v xml:space="preserve"> </v>
      </c>
      <c r="AQ100" t="str">
        <f ca="1">IF(TEXT(Demand!D109,"MMM")&lt;&gt;TEXT(Demand!D108,"MMM"),TEXT(Demand!D109,"MMM"),"")</f>
        <v>Feb</v>
      </c>
      <c r="AT100" s="5">
        <f t="shared" ca="1" si="42"/>
        <v>1713</v>
      </c>
      <c r="BQ100">
        <f ca="1">IF($AN100="",OFFSET(Demand!$A$13,ROW(A97)-1,4+((QUOTIENT(COLUMN(BQ$2)-69,3))*5)+MOD(COLUMN(BQ$2),3),1,1),"")</f>
        <v>12</v>
      </c>
      <c r="BR100">
        <f ca="1">IF($AN100="",OFFSET(Demand!$A$13,ROW(B97)-1,4+((QUOTIENT(COLUMN(BR$2)-69,3))*5)+MOD(COLUMN(BR$2),3),1,1),"")</f>
        <v>408</v>
      </c>
      <c r="BS100">
        <f ca="1">IF($AN100="",OFFSET(Demand!$A$13,ROW(C97)-1,4+((QUOTIENT(COLUMN(BS$2)-69,3))*5)+MOD(COLUMN(BS$2),3),1,1),"")</f>
        <v>101</v>
      </c>
      <c r="BT100">
        <f ca="1">IF($AN100="",OFFSET(Demand!$A$13,ROW(D97)-1,4+((QUOTIENT(COLUMN(BT$2)-69,3))*5)+MOD(COLUMN(BT$2),3),1,1),"")</f>
        <v>78</v>
      </c>
      <c r="BU100">
        <f ca="1">IF($AN100="",OFFSET(Demand!$A$13,ROW(E97)-1,4+((QUOTIENT(COLUMN(BU$2)-69,3))*5)+MOD(COLUMN(BU$2),3),1,1),"")</f>
        <v>245</v>
      </c>
      <c r="BV100">
        <f ca="1">IF($AN100="",OFFSET(Demand!$A$13,ROW(F97)-1,4+((QUOTIENT(COLUMN(BV$2)-69,3))*5)+MOD(COLUMN(BV$2),3),1,1),"")</f>
        <v>45</v>
      </c>
      <c r="BW100">
        <f ca="1">IF($AN100="",OFFSET(Demand!$A$13,ROW(G97)-1,4+((QUOTIENT(COLUMN(BW$2)-69,3))*5)+MOD(COLUMN(BW$2),3),1,1),"")</f>
        <v>7</v>
      </c>
      <c r="BX100">
        <f ca="1">IF($AN100="",OFFSET(Demand!$A$13,ROW(H97)-1,4+((QUOTIENT(COLUMN(BX$2)-69,3))*5)+MOD(COLUMN(BX$2),3),1,1),"")</f>
        <v>0</v>
      </c>
      <c r="BY100">
        <f ca="1">IF($AN100="",OFFSET(Demand!$A$13,ROW(I97)-1,4+((QUOTIENT(COLUMN(BY$2)-69,3))*5)+MOD(COLUMN(BY$2),3),1,1),"")</f>
        <v>7</v>
      </c>
      <c r="BZ100">
        <f ca="1">IF($AN100="",OFFSET(Demand!$A$13,ROW(J97)-1,4+((QUOTIENT(COLUMN(BZ$2)-69,3))*5)+MOD(COLUMN(BZ$2),3),1,1),"")</f>
        <v>18</v>
      </c>
      <c r="CA100">
        <f ca="1">IF($AN100="",OFFSET(Demand!$A$13,ROW(K97)-1,4+((QUOTIENT(COLUMN(CA$2)-69,3))*5)+MOD(COLUMN(CA$2),3),1,1),"")</f>
        <v>4</v>
      </c>
      <c r="CB100">
        <f ca="1">IF($AN100="",OFFSET(Demand!$A$13,ROW(L97)-1,4+((QUOTIENT(COLUMN(CB$2)-69,3))*5)+MOD(COLUMN(CB$2),3),1,1),"")</f>
        <v>5</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0</v>
      </c>
      <c r="B101" s="5">
        <f ca="1">COUNTBLANK(OFFSET(Demand!$I110,0,(COLUMN(A98)-1)*5,1,1))</f>
        <v>0</v>
      </c>
      <c r="C101" s="5">
        <f ca="1">COUNTBLANK(OFFSET(Demand!$I110,0,(COLUMN(B98)-1)*5,1,1))</f>
        <v>0</v>
      </c>
      <c r="D101" s="5">
        <f ca="1">COUNTBLANK(OFFSET(Demand!$I110,0,(COLUMN(C98)-1)*5,1,1))</f>
        <v>0</v>
      </c>
      <c r="E101" s="5">
        <f ca="1">COUNTBLANK(OFFSET(Demand!$I110,0,(COLUMN(D98)-1)*5,1,1))</f>
        <v>0</v>
      </c>
      <c r="F101" s="5">
        <f ca="1">COUNTBLANK(OFFSET(Demand!$I110,0,(COLUMN(E98)-1)*5,1,1))</f>
        <v>0</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7080</v>
      </c>
      <c r="O101" s="5">
        <f ca="1">SUM(OFFSET(Demand!$E110,0,(COLUMN(B98)-1)*5,1,3))*O$2</f>
        <v>5925</v>
      </c>
      <c r="P101" s="5">
        <f ca="1">SUM(OFFSET(Demand!$E110,0,(COLUMN(C98)-1)*5,1,3))*P$2</f>
        <v>990</v>
      </c>
      <c r="Q101" s="5">
        <f ca="1">SUM(OFFSET(Demand!$E110,0,(COLUMN(D98)-1)*5,1,3))*Q$2</f>
        <v>1170</v>
      </c>
      <c r="R101" s="5">
        <f ca="1">SUM(OFFSET(Demand!$E110,0,(COLUMN(E98)-1)*5,1,3))*R$2</f>
        <v>2</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15167</v>
      </c>
      <c r="Y101">
        <f t="shared" ca="1" si="38"/>
        <v>15167</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15167</v>
      </c>
      <c r="AM101" s="5">
        <f t="shared" ca="1" si="41"/>
        <v>0</v>
      </c>
      <c r="AN101" s="5" t="str">
        <f>IF(Demand!BE110="Yes","Yes","")</f>
        <v/>
      </c>
      <c r="AP101" s="36" t="str">
        <f ca="1">Demand!B110</f>
        <v xml:space="preserve"> </v>
      </c>
      <c r="AQ101" t="str">
        <f ca="1">IF(TEXT(Demand!D110,"MMM")&lt;&gt;TEXT(Demand!D109,"MMM"),TEXT(Demand!D110,"MMM"),"")</f>
        <v/>
      </c>
      <c r="AT101" s="5">
        <f t="shared" ca="1" si="42"/>
        <v>602</v>
      </c>
      <c r="BQ101">
        <f ca="1">IF($AN101="",OFFSET(Demand!$A$13,ROW(A98)-1,4+((QUOTIENT(COLUMN(BQ$2)-69,3))*5)+MOD(COLUMN(BQ$2),3),1,1),"")</f>
        <v>15</v>
      </c>
      <c r="BR101">
        <f ca="1">IF($AN101="",OFFSET(Demand!$A$13,ROW(B98)-1,4+((QUOTIENT(COLUMN(BR$2)-69,3))*5)+MOD(COLUMN(BR$2),3),1,1),"")</f>
        <v>387</v>
      </c>
      <c r="BS101">
        <f ca="1">IF($AN101="",OFFSET(Demand!$A$13,ROW(C98)-1,4+((QUOTIENT(COLUMN(BS$2)-69,3))*5)+MOD(COLUMN(BS$2),3),1,1),"")</f>
        <v>70</v>
      </c>
      <c r="BT101">
        <f ca="1">IF($AN101="",OFFSET(Demand!$A$13,ROW(D98)-1,4+((QUOTIENT(COLUMN(BT$2)-69,3))*5)+MOD(COLUMN(BT$2),3),1,1),"")</f>
        <v>79</v>
      </c>
      <c r="BU101">
        <f ca="1">IF($AN101="",OFFSET(Demand!$A$13,ROW(E98)-1,4+((QUOTIENT(COLUMN(BU$2)-69,3))*5)+MOD(COLUMN(BU$2),3),1,1),"")</f>
        <v>269</v>
      </c>
      <c r="BV101">
        <f ca="1">IF($AN101="",OFFSET(Demand!$A$13,ROW(F98)-1,4+((QUOTIENT(COLUMN(BV$2)-69,3))*5)+MOD(COLUMN(BV$2),3),1,1),"")</f>
        <v>47</v>
      </c>
      <c r="BW101">
        <f ca="1">IF($AN101="",OFFSET(Demand!$A$13,ROW(G98)-1,4+((QUOTIENT(COLUMN(BW$2)-69,3))*5)+MOD(COLUMN(BW$2),3),1,1),"")</f>
        <v>16</v>
      </c>
      <c r="BX101">
        <f ca="1">IF($AN101="",OFFSET(Demand!$A$13,ROW(H98)-1,4+((QUOTIENT(COLUMN(BX$2)-69,3))*5)+MOD(COLUMN(BX$2),3),1,1),"")</f>
        <v>1</v>
      </c>
      <c r="BY101">
        <f ca="1">IF($AN101="",OFFSET(Demand!$A$13,ROW(I98)-1,4+((QUOTIENT(COLUMN(BY$2)-69,3))*5)+MOD(COLUMN(BY$2),3),1,1),"")</f>
        <v>16</v>
      </c>
      <c r="BZ101">
        <f ca="1">IF($AN101="",OFFSET(Demand!$A$13,ROW(J98)-1,4+((QUOTIENT(COLUMN(BZ$2)-69,3))*5)+MOD(COLUMN(BZ$2),3),1,1),"")</f>
        <v>26</v>
      </c>
      <c r="CA101">
        <f ca="1">IF($AN101="",OFFSET(Demand!$A$13,ROW(K98)-1,4+((QUOTIENT(COLUMN(CA$2)-69,3))*5)+MOD(COLUMN(CA$2),3),1,1),"")</f>
        <v>5</v>
      </c>
      <c r="CB101">
        <f ca="1">IF($AN101="",OFFSET(Demand!$A$13,ROW(L98)-1,4+((QUOTIENT(COLUMN(CB$2)-69,3))*5)+MOD(COLUMN(CB$2),3),1,1),"")</f>
        <v>8</v>
      </c>
      <c r="CC101">
        <f ca="1">IF($AN101="",OFFSET(Demand!$A$13,ROW(M98)-1,4+((QUOTIENT(COLUMN(CC$2)-69,3))*5)+MOD(COLUMN(CC$2),3),1,1),"")</f>
        <v>1</v>
      </c>
      <c r="CD101">
        <f ca="1">IF($AN101="",OFFSET(Demand!$A$13,ROW(N98)-1,4+((QUOTIENT(COLUMN(CD$2)-69,3))*5)+MOD(COLUMN(CD$2),3),1,1),"")</f>
        <v>0</v>
      </c>
      <c r="CE101">
        <f ca="1">IF($AN101="",OFFSET(Demand!$A$13,ROW(O98)-1,4+((QUOTIENT(COLUMN(CE$2)-69,3))*5)+MOD(COLUMN(CE$2),3),1,1),"")</f>
        <v>1</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0</v>
      </c>
      <c r="B102" s="5">
        <f ca="1">COUNTBLANK(OFFSET(Demand!$I111,0,(COLUMN(A99)-1)*5,1,1))</f>
        <v>0</v>
      </c>
      <c r="C102" s="5">
        <f ca="1">COUNTBLANK(OFFSET(Demand!$I111,0,(COLUMN(B99)-1)*5,1,1))</f>
        <v>0</v>
      </c>
      <c r="D102" s="5">
        <f ca="1">COUNTBLANK(OFFSET(Demand!$I111,0,(COLUMN(C99)-1)*5,1,1))</f>
        <v>0</v>
      </c>
      <c r="E102" s="5">
        <f ca="1">COUNTBLANK(OFFSET(Demand!$I111,0,(COLUMN(D99)-1)*5,1,1))</f>
        <v>0</v>
      </c>
      <c r="F102" s="5">
        <f ca="1">COUNTBLANK(OFFSET(Demand!$I111,0,(COLUMN(E99)-1)*5,1,1))</f>
        <v>0</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6735</v>
      </c>
      <c r="O102" s="5">
        <f ca="1">SUM(OFFSET(Demand!$E111,0,(COLUMN(B99)-1)*5,1,3))*O$2</f>
        <v>5490</v>
      </c>
      <c r="P102" s="5">
        <f ca="1">SUM(OFFSET(Demand!$E111,0,(COLUMN(C99)-1)*5,1,3))*P$2</f>
        <v>720</v>
      </c>
      <c r="Q102" s="5">
        <f ca="1">SUM(OFFSET(Demand!$E111,0,(COLUMN(D99)-1)*5,1,3))*Q$2</f>
        <v>510</v>
      </c>
      <c r="R102" s="5">
        <f ca="1">SUM(OFFSET(Demand!$E111,0,(COLUMN(E99)-1)*5,1,3))*R$2</f>
        <v>1</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13456</v>
      </c>
      <c r="Y102">
        <f t="shared" ca="1" si="38"/>
        <v>13456</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13456</v>
      </c>
      <c r="AM102" s="5">
        <f t="shared" ca="1" si="41"/>
        <v>0</v>
      </c>
      <c r="AN102" s="5" t="str">
        <f>IF(Demand!BE111="Yes","Yes","")</f>
        <v/>
      </c>
      <c r="AP102" s="36" t="str">
        <f ca="1">Demand!B111</f>
        <v xml:space="preserve"> </v>
      </c>
      <c r="AQ102" t="str">
        <f ca="1">IF(TEXT(Demand!D111,"MMM")&lt;&gt;TEXT(Demand!D110,"MMM"),TEXT(Demand!D111,"MMM"),"")</f>
        <v/>
      </c>
      <c r="AT102" s="5">
        <f t="shared" ca="1" si="42"/>
        <v>1711</v>
      </c>
      <c r="BQ102">
        <f ca="1">IF($AN102="",OFFSET(Demand!$A$13,ROW(A99)-1,4+((QUOTIENT(COLUMN(BQ$2)-69,3))*5)+MOD(COLUMN(BQ$2),3),1,1),"")</f>
        <v>8</v>
      </c>
      <c r="BR102">
        <f ca="1">IF($AN102="",OFFSET(Demand!$A$13,ROW(B99)-1,4+((QUOTIENT(COLUMN(BR$2)-69,3))*5)+MOD(COLUMN(BR$2),3),1,1),"")</f>
        <v>362</v>
      </c>
      <c r="BS102">
        <f ca="1">IF($AN102="",OFFSET(Demand!$A$13,ROW(C99)-1,4+((QUOTIENT(COLUMN(BS$2)-69,3))*5)+MOD(COLUMN(BS$2),3),1,1),"")</f>
        <v>79</v>
      </c>
      <c r="BT102">
        <f ca="1">IF($AN102="",OFFSET(Demand!$A$13,ROW(D99)-1,4+((QUOTIENT(COLUMN(BT$2)-69,3))*5)+MOD(COLUMN(BT$2),3),1,1),"")</f>
        <v>75</v>
      </c>
      <c r="BU102">
        <f ca="1">IF($AN102="",OFFSET(Demand!$A$13,ROW(E99)-1,4+((QUOTIENT(COLUMN(BU$2)-69,3))*5)+MOD(COLUMN(BU$2),3),1,1),"")</f>
        <v>254</v>
      </c>
      <c r="BV102">
        <f ca="1">IF($AN102="",OFFSET(Demand!$A$13,ROW(F99)-1,4+((QUOTIENT(COLUMN(BV$2)-69,3))*5)+MOD(COLUMN(BV$2),3),1,1),"")</f>
        <v>37</v>
      </c>
      <c r="BW102">
        <f ca="1">IF($AN102="",OFFSET(Demand!$A$13,ROW(G99)-1,4+((QUOTIENT(COLUMN(BW$2)-69,3))*5)+MOD(COLUMN(BW$2),3),1,1),"")</f>
        <v>12</v>
      </c>
      <c r="BX102">
        <f ca="1">IF($AN102="",OFFSET(Demand!$A$13,ROW(H99)-1,4+((QUOTIENT(COLUMN(BX$2)-69,3))*5)+MOD(COLUMN(BX$2),3),1,1),"")</f>
        <v>0</v>
      </c>
      <c r="BY102">
        <f ca="1">IF($AN102="",OFFSET(Demand!$A$13,ROW(I99)-1,4+((QUOTIENT(COLUMN(BY$2)-69,3))*5)+MOD(COLUMN(BY$2),3),1,1),"")</f>
        <v>12</v>
      </c>
      <c r="BZ102">
        <f ca="1">IF($AN102="",OFFSET(Demand!$A$13,ROW(J99)-1,4+((QUOTIENT(COLUMN(BZ$2)-69,3))*5)+MOD(COLUMN(BZ$2),3),1,1),"")</f>
        <v>10</v>
      </c>
      <c r="CA102">
        <f ca="1">IF($AN102="",OFFSET(Demand!$A$13,ROW(K99)-1,4+((QUOTIENT(COLUMN(CA$2)-69,3))*5)+MOD(COLUMN(CA$2),3),1,1),"")</f>
        <v>4</v>
      </c>
      <c r="CB102">
        <f ca="1">IF($AN102="",OFFSET(Demand!$A$13,ROW(L99)-1,4+((QUOTIENT(COLUMN(CB$2)-69,3))*5)+MOD(COLUMN(CB$2),3),1,1),"")</f>
        <v>3</v>
      </c>
      <c r="CC102">
        <f ca="1">IF($AN102="",OFFSET(Demand!$A$13,ROW(M99)-1,4+((QUOTIENT(COLUMN(CC$2)-69,3))*5)+MOD(COLUMN(CC$2),3),1,1),"")</f>
        <v>0</v>
      </c>
      <c r="CD102">
        <f ca="1">IF($AN102="",OFFSET(Demand!$A$13,ROW(N99)-1,4+((QUOTIENT(COLUMN(CD$2)-69,3))*5)+MOD(COLUMN(CD$2),3),1,1),"")</f>
        <v>1</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0</v>
      </c>
      <c r="B103" s="5">
        <f ca="1">COUNTBLANK(OFFSET(Demand!$I112,0,(COLUMN(A100)-1)*5,1,1))</f>
        <v>0</v>
      </c>
      <c r="C103" s="5">
        <f ca="1">COUNTBLANK(OFFSET(Demand!$I112,0,(COLUMN(B100)-1)*5,1,1))</f>
        <v>0</v>
      </c>
      <c r="D103" s="5">
        <f ca="1">COUNTBLANK(OFFSET(Demand!$I112,0,(COLUMN(C100)-1)*5,1,1))</f>
        <v>0</v>
      </c>
      <c r="E103" s="5">
        <f ca="1">COUNTBLANK(OFFSET(Demand!$I112,0,(COLUMN(D100)-1)*5,1,1))</f>
        <v>0</v>
      </c>
      <c r="F103" s="5">
        <f ca="1">COUNTBLANK(OFFSET(Demand!$I112,0,(COLUMN(E100)-1)*5,1,1))</f>
        <v>0</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7155</v>
      </c>
      <c r="O103" s="5">
        <f ca="1">SUM(OFFSET(Demand!$E112,0,(COLUMN(B100)-1)*5,1,3))*O$2</f>
        <v>5460</v>
      </c>
      <c r="P103" s="5">
        <f ca="1">SUM(OFFSET(Demand!$E112,0,(COLUMN(C100)-1)*5,1,3))*P$2</f>
        <v>1500</v>
      </c>
      <c r="Q103" s="5">
        <f ca="1">SUM(OFFSET(Demand!$E112,0,(COLUMN(D100)-1)*5,1,3))*Q$2</f>
        <v>720</v>
      </c>
      <c r="R103" s="5">
        <f ca="1">SUM(OFFSET(Demand!$E112,0,(COLUMN(E100)-1)*5,1,3))*R$2</f>
        <v>4</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14839</v>
      </c>
      <c r="Y103">
        <f t="shared" ca="1" si="38"/>
        <v>14839</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14839</v>
      </c>
      <c r="AM103" s="5">
        <f t="shared" ca="1" si="41"/>
        <v>0</v>
      </c>
      <c r="AN103" s="5" t="str">
        <f>IF(Demand!BE112="Yes","Yes","")</f>
        <v/>
      </c>
      <c r="AP103" s="36" t="str">
        <f ca="1">Demand!B112</f>
        <v xml:space="preserve"> </v>
      </c>
      <c r="AQ103" t="str">
        <f ca="1">IF(TEXT(Demand!D112,"MMM")&lt;&gt;TEXT(Demand!D111,"MMM"),TEXT(Demand!D112,"MMM"),"")</f>
        <v/>
      </c>
      <c r="AT103" s="5">
        <f t="shared" ca="1" si="42"/>
        <v>1383</v>
      </c>
      <c r="BQ103">
        <f ca="1">IF($AN103="",OFFSET(Demand!$A$13,ROW(A100)-1,4+((QUOTIENT(COLUMN(BQ$2)-69,3))*5)+MOD(COLUMN(BQ$2),3),1,1),"")</f>
        <v>10</v>
      </c>
      <c r="BR103">
        <f ca="1">IF($AN103="",OFFSET(Demand!$A$13,ROW(B100)-1,4+((QUOTIENT(COLUMN(BR$2)-69,3))*5)+MOD(COLUMN(BR$2),3),1,1),"")</f>
        <v>390</v>
      </c>
      <c r="BS103">
        <f ca="1">IF($AN103="",OFFSET(Demand!$A$13,ROW(C100)-1,4+((QUOTIENT(COLUMN(BS$2)-69,3))*5)+MOD(COLUMN(BS$2),3),1,1),"")</f>
        <v>77</v>
      </c>
      <c r="BT103">
        <f ca="1">IF($AN103="",OFFSET(Demand!$A$13,ROW(D100)-1,4+((QUOTIENT(COLUMN(BT$2)-69,3))*5)+MOD(COLUMN(BT$2),3),1,1),"")</f>
        <v>85</v>
      </c>
      <c r="BU103">
        <f ca="1">IF($AN103="",OFFSET(Demand!$A$13,ROW(E100)-1,4+((QUOTIENT(COLUMN(BU$2)-69,3))*5)+MOD(COLUMN(BU$2),3),1,1),"")</f>
        <v>240</v>
      </c>
      <c r="BV103">
        <f ca="1">IF($AN103="",OFFSET(Demand!$A$13,ROW(F100)-1,4+((QUOTIENT(COLUMN(BV$2)-69,3))*5)+MOD(COLUMN(BV$2),3),1,1),"")</f>
        <v>39</v>
      </c>
      <c r="BW103">
        <f ca="1">IF($AN103="",OFFSET(Demand!$A$13,ROW(G100)-1,4+((QUOTIENT(COLUMN(BW$2)-69,3))*5)+MOD(COLUMN(BW$2),3),1,1),"")</f>
        <v>25</v>
      </c>
      <c r="BX103">
        <f ca="1">IF($AN103="",OFFSET(Demand!$A$13,ROW(H100)-1,4+((QUOTIENT(COLUMN(BX$2)-69,3))*5)+MOD(COLUMN(BX$2),3),1,1),"")</f>
        <v>0</v>
      </c>
      <c r="BY103">
        <f ca="1">IF($AN103="",OFFSET(Demand!$A$13,ROW(I100)-1,4+((QUOTIENT(COLUMN(BY$2)-69,3))*5)+MOD(COLUMN(BY$2),3),1,1),"")</f>
        <v>25</v>
      </c>
      <c r="BZ103">
        <f ca="1">IF($AN103="",OFFSET(Demand!$A$13,ROW(J100)-1,4+((QUOTIENT(COLUMN(BZ$2)-69,3))*5)+MOD(COLUMN(BZ$2),3),1,1),"")</f>
        <v>14</v>
      </c>
      <c r="CA103">
        <f ca="1">IF($AN103="",OFFSET(Demand!$A$13,ROW(K100)-1,4+((QUOTIENT(COLUMN(CA$2)-69,3))*5)+MOD(COLUMN(CA$2),3),1,1),"")</f>
        <v>3</v>
      </c>
      <c r="CB103">
        <f ca="1">IF($AN103="",OFFSET(Demand!$A$13,ROW(L100)-1,4+((QUOTIENT(COLUMN(CB$2)-69,3))*5)+MOD(COLUMN(CB$2),3),1,1),"")</f>
        <v>7</v>
      </c>
      <c r="CC103">
        <f ca="1">IF($AN103="",OFFSET(Demand!$A$13,ROW(M100)-1,4+((QUOTIENT(COLUMN(CC$2)-69,3))*5)+MOD(COLUMN(CC$2),3),1,1),"")</f>
        <v>3</v>
      </c>
      <c r="CD103">
        <f ca="1">IF($AN103="",OFFSET(Demand!$A$13,ROW(N100)-1,4+((QUOTIENT(COLUMN(CD$2)-69,3))*5)+MOD(COLUMN(CD$2),3),1,1),"")</f>
        <v>1</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0</v>
      </c>
      <c r="B104" s="5">
        <f ca="1">COUNTBLANK(OFFSET(Demand!$I113,0,(COLUMN(A101)-1)*5,1,1))</f>
        <v>0</v>
      </c>
      <c r="C104" s="5">
        <f ca="1">COUNTBLANK(OFFSET(Demand!$I113,0,(COLUMN(B101)-1)*5,1,1))</f>
        <v>0</v>
      </c>
      <c r="D104" s="5">
        <f ca="1">COUNTBLANK(OFFSET(Demand!$I113,0,(COLUMN(C101)-1)*5,1,1))</f>
        <v>0</v>
      </c>
      <c r="E104" s="5">
        <f ca="1">COUNTBLANK(OFFSET(Demand!$I113,0,(COLUMN(D101)-1)*5,1,1))</f>
        <v>0</v>
      </c>
      <c r="F104" s="5">
        <f ca="1">COUNTBLANK(OFFSET(Demand!$I113,0,(COLUMN(E101)-1)*5,1,1))</f>
        <v>0</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7110</v>
      </c>
      <c r="O104" s="5">
        <f ca="1">SUM(OFFSET(Demand!$E113,0,(COLUMN(B101)-1)*5,1,3))*O$2</f>
        <v>5670</v>
      </c>
      <c r="P104" s="5">
        <f ca="1">SUM(OFFSET(Demand!$E113,0,(COLUMN(C101)-1)*5,1,3))*P$2</f>
        <v>1380</v>
      </c>
      <c r="Q104" s="5">
        <f ca="1">SUM(OFFSET(Demand!$E113,0,(COLUMN(D101)-1)*5,1,3))*Q$2</f>
        <v>600</v>
      </c>
      <c r="R104" s="5">
        <f ca="1">SUM(OFFSET(Demand!$E113,0,(COLUMN(E101)-1)*5,1,3))*R$2</f>
        <v>1</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14761</v>
      </c>
      <c r="Y104">
        <f t="shared" ca="1" si="38"/>
        <v>14761</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14761</v>
      </c>
      <c r="AM104" s="5">
        <f t="shared" ca="1" si="41"/>
        <v>0</v>
      </c>
      <c r="AN104" s="5" t="str">
        <f>IF(Demand!BE113="Yes","Yes","")</f>
        <v/>
      </c>
      <c r="AP104" s="36" t="str">
        <f ca="1">Demand!B113</f>
        <v xml:space="preserve"> </v>
      </c>
      <c r="AQ104" t="str">
        <f ca="1">IF(TEXT(Demand!D113,"MMM")&lt;&gt;TEXT(Demand!D112,"MMM"),TEXT(Demand!D113,"MMM"),"")</f>
        <v>Mar</v>
      </c>
      <c r="AT104" s="5">
        <f t="shared" ca="1" si="42"/>
        <v>78</v>
      </c>
      <c r="BQ104">
        <f ca="1">IF($AN104="",OFFSET(Demand!$A$13,ROW(A101)-1,4+((QUOTIENT(COLUMN(BQ$2)-69,3))*5)+MOD(COLUMN(BQ$2),3),1,1),"")</f>
        <v>7</v>
      </c>
      <c r="BR104">
        <f ca="1">IF($AN104="",OFFSET(Demand!$A$13,ROW(B101)-1,4+((QUOTIENT(COLUMN(BR$2)-69,3))*5)+MOD(COLUMN(BR$2),3),1,1),"")</f>
        <v>380</v>
      </c>
      <c r="BS104">
        <f ca="1">IF($AN104="",OFFSET(Demand!$A$13,ROW(C101)-1,4+((QUOTIENT(COLUMN(BS$2)-69,3))*5)+MOD(COLUMN(BS$2),3),1,1),"")</f>
        <v>87</v>
      </c>
      <c r="BT104">
        <f ca="1">IF($AN104="",OFFSET(Demand!$A$13,ROW(D101)-1,4+((QUOTIENT(COLUMN(BT$2)-69,3))*5)+MOD(COLUMN(BT$2),3),1,1),"")</f>
        <v>76</v>
      </c>
      <c r="BU104">
        <f ca="1">IF($AN104="",OFFSET(Demand!$A$13,ROW(E101)-1,4+((QUOTIENT(COLUMN(BU$2)-69,3))*5)+MOD(COLUMN(BU$2),3),1,1),"")</f>
        <v>254</v>
      </c>
      <c r="BV104">
        <f ca="1">IF($AN104="",OFFSET(Demand!$A$13,ROW(F101)-1,4+((QUOTIENT(COLUMN(BV$2)-69,3))*5)+MOD(COLUMN(BV$2),3),1,1),"")</f>
        <v>48</v>
      </c>
      <c r="BW104">
        <f ca="1">IF($AN104="",OFFSET(Demand!$A$13,ROW(G101)-1,4+((QUOTIENT(COLUMN(BW$2)-69,3))*5)+MOD(COLUMN(BW$2),3),1,1),"")</f>
        <v>22</v>
      </c>
      <c r="BX104">
        <f ca="1">IF($AN104="",OFFSET(Demand!$A$13,ROW(H101)-1,4+((QUOTIENT(COLUMN(BX$2)-69,3))*5)+MOD(COLUMN(BX$2),3),1,1),"")</f>
        <v>2</v>
      </c>
      <c r="BY104">
        <f ca="1">IF($AN104="",OFFSET(Demand!$A$13,ROW(I101)-1,4+((QUOTIENT(COLUMN(BY$2)-69,3))*5)+MOD(COLUMN(BY$2),3),1,1),"")</f>
        <v>22</v>
      </c>
      <c r="BZ104">
        <f ca="1">IF($AN104="",OFFSET(Demand!$A$13,ROW(J101)-1,4+((QUOTIENT(COLUMN(BZ$2)-69,3))*5)+MOD(COLUMN(BZ$2),3),1,1),"")</f>
        <v>13</v>
      </c>
      <c r="CA104">
        <f ca="1">IF($AN104="",OFFSET(Demand!$A$13,ROW(K101)-1,4+((QUOTIENT(COLUMN(CA$2)-69,3))*5)+MOD(COLUMN(CA$2),3),1,1),"")</f>
        <v>4</v>
      </c>
      <c r="CB104">
        <f ca="1">IF($AN104="",OFFSET(Demand!$A$13,ROW(L101)-1,4+((QUOTIENT(COLUMN(CB$2)-69,3))*5)+MOD(COLUMN(CB$2),3),1,1),"")</f>
        <v>3</v>
      </c>
      <c r="CC104">
        <f ca="1">IF($AN104="",OFFSET(Demand!$A$13,ROW(M101)-1,4+((QUOTIENT(COLUMN(CC$2)-69,3))*5)+MOD(COLUMN(CC$2),3),1,1),"")</f>
        <v>1</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0</v>
      </c>
      <c r="B105" s="5">
        <f ca="1">COUNTBLANK(OFFSET(Demand!$I114,0,(COLUMN(A102)-1)*5,1,1))</f>
        <v>0</v>
      </c>
      <c r="C105" s="5">
        <f ca="1">COUNTBLANK(OFFSET(Demand!$I114,0,(COLUMN(B102)-1)*5,1,1))</f>
        <v>0</v>
      </c>
      <c r="D105" s="5">
        <f ca="1">COUNTBLANK(OFFSET(Demand!$I114,0,(COLUMN(C102)-1)*5,1,1))</f>
        <v>0</v>
      </c>
      <c r="E105" s="5">
        <f ca="1">COUNTBLANK(OFFSET(Demand!$I114,0,(COLUMN(D102)-1)*5,1,1))</f>
        <v>0</v>
      </c>
      <c r="F105" s="5">
        <f ca="1">COUNTBLANK(OFFSET(Demand!$I114,0,(COLUMN(E102)-1)*5,1,1))</f>
        <v>0</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6435</v>
      </c>
      <c r="O105" s="5">
        <f ca="1">SUM(OFFSET(Demand!$E114,0,(COLUMN(B102)-1)*5,1,3))*O$2</f>
        <v>5475</v>
      </c>
      <c r="P105" s="5">
        <f ca="1">SUM(OFFSET(Demand!$E114,0,(COLUMN(C102)-1)*5,1,3))*P$2</f>
        <v>900</v>
      </c>
      <c r="Q105" s="5">
        <f ca="1">SUM(OFFSET(Demand!$E114,0,(COLUMN(D102)-1)*5,1,3))*Q$2</f>
        <v>660</v>
      </c>
      <c r="R105" s="5">
        <f ca="1">SUM(OFFSET(Demand!$E114,0,(COLUMN(E102)-1)*5,1,3))*R$2</f>
        <v>1</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13471</v>
      </c>
      <c r="Y105">
        <f t="shared" ca="1" si="38"/>
        <v>13471</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13471</v>
      </c>
      <c r="AM105" s="5">
        <f t="shared" ca="1" si="41"/>
        <v>0</v>
      </c>
      <c r="AN105" s="5" t="str">
        <f>IF(Demand!BE114="Yes","Yes","")</f>
        <v/>
      </c>
      <c r="AP105" s="36" t="str">
        <f ca="1">Demand!B114</f>
        <v xml:space="preserve"> </v>
      </c>
      <c r="AQ105" t="str">
        <f ca="1">IF(TEXT(Demand!D114,"MMM")&lt;&gt;TEXT(Demand!D113,"MMM"),TEXT(Demand!D114,"MMM"),"")</f>
        <v/>
      </c>
      <c r="AT105" s="5">
        <f t="shared" ca="1" si="42"/>
        <v>1290</v>
      </c>
      <c r="BQ105">
        <f ca="1">IF($AN105="",OFFSET(Demand!$A$13,ROW(A102)-1,4+((QUOTIENT(COLUMN(BQ$2)-69,3))*5)+MOD(COLUMN(BQ$2),3),1,1),"")</f>
        <v>9</v>
      </c>
      <c r="BR105">
        <f ca="1">IF($AN105="",OFFSET(Demand!$A$13,ROW(B102)-1,4+((QUOTIENT(COLUMN(BR$2)-69,3))*5)+MOD(COLUMN(BR$2),3),1,1),"")</f>
        <v>332</v>
      </c>
      <c r="BS105">
        <f ca="1">IF($AN105="",OFFSET(Demand!$A$13,ROW(C102)-1,4+((QUOTIENT(COLUMN(BS$2)-69,3))*5)+MOD(COLUMN(BS$2),3),1,1),"")</f>
        <v>88</v>
      </c>
      <c r="BT105">
        <f ca="1">IF($AN105="",OFFSET(Demand!$A$13,ROW(D102)-1,4+((QUOTIENT(COLUMN(BT$2)-69,3))*5)+MOD(COLUMN(BT$2),3),1,1),"")</f>
        <v>78</v>
      </c>
      <c r="BU105">
        <f ca="1">IF($AN105="",OFFSET(Demand!$A$13,ROW(E102)-1,4+((QUOTIENT(COLUMN(BU$2)-69,3))*5)+MOD(COLUMN(BU$2),3),1,1),"")</f>
        <v>224</v>
      </c>
      <c r="BV105">
        <f ca="1">IF($AN105="",OFFSET(Demand!$A$13,ROW(F102)-1,4+((QUOTIENT(COLUMN(BV$2)-69,3))*5)+MOD(COLUMN(BV$2),3),1,1),"")</f>
        <v>63</v>
      </c>
      <c r="BW105">
        <f ca="1">IF($AN105="",OFFSET(Demand!$A$13,ROW(G102)-1,4+((QUOTIENT(COLUMN(BW$2)-69,3))*5)+MOD(COLUMN(BW$2),3),1,1),"")</f>
        <v>15</v>
      </c>
      <c r="BX105">
        <f ca="1">IF($AN105="",OFFSET(Demand!$A$13,ROW(H102)-1,4+((QUOTIENT(COLUMN(BX$2)-69,3))*5)+MOD(COLUMN(BX$2),3),1,1),"")</f>
        <v>0</v>
      </c>
      <c r="BY105">
        <f ca="1">IF($AN105="",OFFSET(Demand!$A$13,ROW(I102)-1,4+((QUOTIENT(COLUMN(BY$2)-69,3))*5)+MOD(COLUMN(BY$2),3),1,1),"")</f>
        <v>15</v>
      </c>
      <c r="BZ105">
        <f ca="1">IF($AN105="",OFFSET(Demand!$A$13,ROW(J102)-1,4+((QUOTIENT(COLUMN(BZ$2)-69,3))*5)+MOD(COLUMN(BZ$2),3),1,1),"")</f>
        <v>17</v>
      </c>
      <c r="CA105">
        <f ca="1">IF($AN105="",OFFSET(Demand!$A$13,ROW(K102)-1,4+((QUOTIENT(COLUMN(CA$2)-69,3))*5)+MOD(COLUMN(CA$2),3),1,1),"")</f>
        <v>0</v>
      </c>
      <c r="CB105">
        <f ca="1">IF($AN105="",OFFSET(Demand!$A$13,ROW(L102)-1,4+((QUOTIENT(COLUMN(CB$2)-69,3))*5)+MOD(COLUMN(CB$2),3),1,1),"")</f>
        <v>5</v>
      </c>
      <c r="CC105">
        <f ca="1">IF($AN105="",OFFSET(Demand!$A$13,ROW(M102)-1,4+((QUOTIENT(COLUMN(CC$2)-69,3))*5)+MOD(COLUMN(CC$2),3),1,1),"")</f>
        <v>1</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0</v>
      </c>
      <c r="B106" s="5">
        <f ca="1">COUNTBLANK(OFFSET(Demand!$I115,0,(COLUMN(A103)-1)*5,1,1))</f>
        <v>0</v>
      </c>
      <c r="C106" s="5">
        <f ca="1">COUNTBLANK(OFFSET(Demand!$I115,0,(COLUMN(B103)-1)*5,1,1))</f>
        <v>0</v>
      </c>
      <c r="D106" s="5">
        <f ca="1">COUNTBLANK(OFFSET(Demand!$I115,0,(COLUMN(C103)-1)*5,1,1))</f>
        <v>0</v>
      </c>
      <c r="E106" s="5">
        <f ca="1">COUNTBLANK(OFFSET(Demand!$I115,0,(COLUMN(D103)-1)*5,1,1))</f>
        <v>0</v>
      </c>
      <c r="F106" s="5">
        <f ca="1">COUNTBLANK(OFFSET(Demand!$I115,0,(COLUMN(E103)-1)*5,1,1))</f>
        <v>0</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5340</v>
      </c>
      <c r="O106" s="5">
        <f ca="1">SUM(OFFSET(Demand!$E115,0,(COLUMN(B103)-1)*5,1,3))*O$2</f>
        <v>3975</v>
      </c>
      <c r="P106" s="5">
        <f ca="1">SUM(OFFSET(Demand!$E115,0,(COLUMN(C103)-1)*5,1,3))*P$2</f>
        <v>900</v>
      </c>
      <c r="Q106" s="5">
        <f ca="1">SUM(OFFSET(Demand!$E115,0,(COLUMN(D103)-1)*5,1,3))*Q$2</f>
        <v>210</v>
      </c>
      <c r="R106" s="5">
        <f ca="1">SUM(OFFSET(Demand!$E115,0,(COLUMN(E103)-1)*5,1,3))*R$2</f>
        <v>1</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10426</v>
      </c>
      <c r="Y106">
        <f t="shared" ca="1" si="38"/>
        <v>10426</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10426</v>
      </c>
      <c r="AM106" s="5">
        <f t="shared" ca="1" si="41"/>
        <v>0</v>
      </c>
      <c r="AN106" s="5" t="str">
        <f>IF(Demand!BE115="Yes","Yes","")</f>
        <v/>
      </c>
      <c r="AP106" s="36" t="str">
        <f ca="1">Demand!B115</f>
        <v xml:space="preserve"> </v>
      </c>
      <c r="AQ106" t="str">
        <f ca="1">IF(TEXT(Demand!D115,"MMM")&lt;&gt;TEXT(Demand!D114,"MMM"),TEXT(Demand!D115,"MMM"),"")</f>
        <v/>
      </c>
      <c r="AT106" s="5">
        <f t="shared" ca="1" si="42"/>
        <v>3045</v>
      </c>
      <c r="BQ106">
        <f ca="1">IF($AN106="",OFFSET(Demand!$A$13,ROW(A103)-1,4+((QUOTIENT(COLUMN(BQ$2)-69,3))*5)+MOD(COLUMN(BQ$2),3),1,1),"")</f>
        <v>6</v>
      </c>
      <c r="BR106">
        <f ca="1">IF($AN106="",OFFSET(Demand!$A$13,ROW(B103)-1,4+((QUOTIENT(COLUMN(BR$2)-69,3))*5)+MOD(COLUMN(BR$2),3),1,1),"")</f>
        <v>274</v>
      </c>
      <c r="BS106">
        <f ca="1">IF($AN106="",OFFSET(Demand!$A$13,ROW(C103)-1,4+((QUOTIENT(COLUMN(BS$2)-69,3))*5)+MOD(COLUMN(BS$2),3),1,1),"")</f>
        <v>76</v>
      </c>
      <c r="BT106">
        <f ca="1">IF($AN106="",OFFSET(Demand!$A$13,ROW(D103)-1,4+((QUOTIENT(COLUMN(BT$2)-69,3))*5)+MOD(COLUMN(BT$2),3),1,1),"")</f>
        <v>46</v>
      </c>
      <c r="BU106">
        <f ca="1">IF($AN106="",OFFSET(Demand!$A$13,ROW(E103)-1,4+((QUOTIENT(COLUMN(BU$2)-69,3))*5)+MOD(COLUMN(BU$2),3),1,1),"")</f>
        <v>170</v>
      </c>
      <c r="BV106">
        <f ca="1">IF($AN106="",OFFSET(Demand!$A$13,ROW(F103)-1,4+((QUOTIENT(COLUMN(BV$2)-69,3))*5)+MOD(COLUMN(BV$2),3),1,1),"")</f>
        <v>49</v>
      </c>
      <c r="BW106">
        <f ca="1">IF($AN106="",OFFSET(Demand!$A$13,ROW(G103)-1,4+((QUOTIENT(COLUMN(BW$2)-69,3))*5)+MOD(COLUMN(BW$2),3),1,1),"")</f>
        <v>15</v>
      </c>
      <c r="BX106">
        <f ca="1">IF($AN106="",OFFSET(Demand!$A$13,ROW(H103)-1,4+((QUOTIENT(COLUMN(BX$2)-69,3))*5)+MOD(COLUMN(BX$2),3),1,1),"")</f>
        <v>0</v>
      </c>
      <c r="BY106">
        <f ca="1">IF($AN106="",OFFSET(Demand!$A$13,ROW(I103)-1,4+((QUOTIENT(COLUMN(BY$2)-69,3))*5)+MOD(COLUMN(BY$2),3),1,1),"")</f>
        <v>15</v>
      </c>
      <c r="BZ106">
        <f ca="1">IF($AN106="",OFFSET(Demand!$A$13,ROW(J103)-1,4+((QUOTIENT(COLUMN(BZ$2)-69,3))*5)+MOD(COLUMN(BZ$2),3),1,1),"")</f>
        <v>4</v>
      </c>
      <c r="CA106">
        <f ca="1">IF($AN106="",OFFSET(Demand!$A$13,ROW(K103)-1,4+((QUOTIENT(COLUMN(CA$2)-69,3))*5)+MOD(COLUMN(CA$2),3),1,1),"")</f>
        <v>1</v>
      </c>
      <c r="CB106">
        <f ca="1">IF($AN106="",OFFSET(Demand!$A$13,ROW(L103)-1,4+((QUOTIENT(COLUMN(CB$2)-69,3))*5)+MOD(COLUMN(CB$2),3),1,1),"")</f>
        <v>2</v>
      </c>
      <c r="CC106">
        <f ca="1">IF($AN106="",OFFSET(Demand!$A$13,ROW(M103)-1,4+((QUOTIENT(COLUMN(CC$2)-69,3))*5)+MOD(COLUMN(CC$2),3),1,1),"")</f>
        <v>1</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1</v>
      </c>
      <c r="B107" s="5">
        <f ca="1">COUNTBLANK(OFFSET(Demand!$I116,0,(COLUMN(A104)-1)*5,1,1))</f>
        <v>0</v>
      </c>
      <c r="C107" s="5">
        <f ca="1">COUNTBLANK(OFFSET(Demand!$I116,0,(COLUMN(B104)-1)*5,1,1))</f>
        <v>0</v>
      </c>
      <c r="D107" s="5">
        <f ca="1">COUNTBLANK(OFFSET(Demand!$I116,0,(COLUMN(C104)-1)*5,1,1))</f>
        <v>0</v>
      </c>
      <c r="E107" s="5">
        <f ca="1">COUNTBLANK(OFFSET(Demand!$I116,0,(COLUMN(D104)-1)*5,1,1))</f>
        <v>0</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4020</v>
      </c>
      <c r="O107" s="5">
        <f ca="1">SUM(OFFSET(Demand!$E116,0,(COLUMN(B104)-1)*5,1,3))*O$2</f>
        <v>3255</v>
      </c>
      <c r="P107" s="5">
        <f ca="1">SUM(OFFSET(Demand!$E116,0,(COLUMN(C104)-1)*5,1,3))*P$2</f>
        <v>120</v>
      </c>
      <c r="Q107" s="5">
        <f ca="1">SUM(OFFSET(Demand!$E116,0,(COLUMN(D104)-1)*5,1,3))*Q$2</f>
        <v>180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7575</v>
      </c>
      <c r="Y107">
        <f t="shared" ca="1" si="38"/>
        <v>7575</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7575</v>
      </c>
      <c r="AM107" s="5">
        <f t="shared" ca="1" si="41"/>
        <v>0</v>
      </c>
      <c r="AN107" s="5" t="str">
        <f>IF(Demand!BE116="Yes","Yes","")</f>
        <v/>
      </c>
      <c r="AP107" s="36" t="str">
        <f ca="1">Demand!B116</f>
        <v xml:space="preserve"> </v>
      </c>
      <c r="AQ107" t="str">
        <f ca="1">IF(TEXT(Demand!D116,"MMM")&lt;&gt;TEXT(Demand!D115,"MMM"),TEXT(Demand!D116,"MMM"),"")</f>
        <v/>
      </c>
      <c r="AT107" s="5">
        <f t="shared" ca="1" si="42"/>
        <v>2851</v>
      </c>
      <c r="BQ107">
        <f ca="1">IF($AN107="",OFFSET(Demand!$A$13,ROW(A104)-1,4+((QUOTIENT(COLUMN(BQ$2)-69,3))*5)+MOD(COLUMN(BQ$2),3),1,1),"")</f>
        <v>4</v>
      </c>
      <c r="BR107">
        <f ca="1">IF($AN107="",OFFSET(Demand!$A$13,ROW(B104)-1,4+((QUOTIENT(COLUMN(BR$2)-69,3))*5)+MOD(COLUMN(BR$2),3),1,1),"")</f>
        <v>217</v>
      </c>
      <c r="BS107">
        <f ca="1">IF($AN107="",OFFSET(Demand!$A$13,ROW(C104)-1,4+((QUOTIENT(COLUMN(BS$2)-69,3))*5)+MOD(COLUMN(BS$2),3),1,1),"")</f>
        <v>47</v>
      </c>
      <c r="BT107">
        <f ca="1">IF($AN107="",OFFSET(Demand!$A$13,ROW(D104)-1,4+((QUOTIENT(COLUMN(BT$2)-69,3))*5)+MOD(COLUMN(BT$2),3),1,1),"")</f>
        <v>54</v>
      </c>
      <c r="BU107">
        <f ca="1">IF($AN107="",OFFSET(Demand!$A$13,ROW(E104)-1,4+((QUOTIENT(COLUMN(BU$2)-69,3))*5)+MOD(COLUMN(BU$2),3),1,1),"")</f>
        <v>125</v>
      </c>
      <c r="BV107">
        <f ca="1">IF($AN107="",OFFSET(Demand!$A$13,ROW(F104)-1,4+((QUOTIENT(COLUMN(BV$2)-69,3))*5)+MOD(COLUMN(BV$2),3),1,1),"")</f>
        <v>38</v>
      </c>
      <c r="BW107">
        <f ca="1">IF($AN107="",OFFSET(Demand!$A$13,ROW(G104)-1,4+((QUOTIENT(COLUMN(BW$2)-69,3))*5)+MOD(COLUMN(BW$2),3),1,1),"")</f>
        <v>2</v>
      </c>
      <c r="BX107">
        <f ca="1">IF($AN107="",OFFSET(Demand!$A$13,ROW(H104)-1,4+((QUOTIENT(COLUMN(BX$2)-69,3))*5)+MOD(COLUMN(BX$2),3),1,1),"")</f>
        <v>0</v>
      </c>
      <c r="BY107">
        <f ca="1">IF($AN107="",OFFSET(Demand!$A$13,ROW(I104)-1,4+((QUOTIENT(COLUMN(BY$2)-69,3))*5)+MOD(COLUMN(BY$2),3),1,1),"")</f>
        <v>2</v>
      </c>
      <c r="BZ107">
        <f ca="1">IF($AN107="",OFFSET(Demand!$A$13,ROW(J104)-1,4+((QUOTIENT(COLUMN(BZ$2)-69,3))*5)+MOD(COLUMN(BZ$2),3),1,1),"")</f>
        <v>3</v>
      </c>
      <c r="CA107">
        <f ca="1">IF($AN107="",OFFSET(Demand!$A$13,ROW(K104)-1,4+((QUOTIENT(COLUMN(CA$2)-69,3))*5)+MOD(COLUMN(CA$2),3),1,1),"")</f>
        <v>1</v>
      </c>
      <c r="CB107">
        <f ca="1">IF($AN107="",OFFSET(Demand!$A$13,ROW(L104)-1,4+((QUOTIENT(COLUMN(CB$2)-69,3))*5)+MOD(COLUMN(CB$2),3),1,1),"")</f>
        <v>2</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2</v>
      </c>
      <c r="B108" s="5">
        <f ca="1">COUNTBLANK(OFFSET(Demand!$I117,0,(COLUMN(A105)-1)*5,1,1))</f>
        <v>0</v>
      </c>
      <c r="C108" s="5">
        <f ca="1">COUNTBLANK(OFFSET(Demand!$I117,0,(COLUMN(B105)-1)*5,1,1))</f>
        <v>0</v>
      </c>
      <c r="D108" s="5">
        <f ca="1">COUNTBLANK(OFFSET(Demand!$I117,0,(COLUMN(C105)-1)*5,1,1))</f>
        <v>0</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1125</v>
      </c>
      <c r="O108" s="5">
        <f ca="1">SUM(OFFSET(Demand!$E117,0,(COLUMN(B105)-1)*5,1,3))*O$2</f>
        <v>1815</v>
      </c>
      <c r="P108" s="5">
        <f ca="1">SUM(OFFSET(Demand!$E117,0,(COLUMN(C105)-1)*5,1,3))*P$2</f>
        <v>360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3300</v>
      </c>
      <c r="Y108">
        <f t="shared" ca="1" si="38"/>
        <v>3300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3300</v>
      </c>
      <c r="AM108" s="5">
        <f t="shared" ca="1" si="41"/>
        <v>0</v>
      </c>
      <c r="AN108" s="5" t="str">
        <f>IF(Demand!BE117="Yes","Yes","")</f>
        <v/>
      </c>
      <c r="AP108" s="36" t="str">
        <f ca="1">Demand!B117</f>
        <v xml:space="preserve"> </v>
      </c>
      <c r="AQ108" t="str">
        <f ca="1">IF(TEXT(Demand!D117,"MMM")&lt;&gt;TEXT(Demand!D116,"MMM"),TEXT(Demand!D117,"MMM"),"")</f>
        <v/>
      </c>
      <c r="AT108" s="5">
        <f t="shared" ca="1" si="42"/>
        <v>4275</v>
      </c>
      <c r="BQ108">
        <f ca="1">IF($AN108="",OFFSET(Demand!$A$13,ROW(A105)-1,4+((QUOTIENT(COLUMN(BQ$2)-69,3))*5)+MOD(COLUMN(BQ$2),3),1,1),"")</f>
        <v>1</v>
      </c>
      <c r="BR108">
        <f ca="1">IF($AN108="",OFFSET(Demand!$A$13,ROW(B105)-1,4+((QUOTIENT(COLUMN(BR$2)-69,3))*5)+MOD(COLUMN(BR$2),3),1,1),"")</f>
        <v>67</v>
      </c>
      <c r="BS108">
        <f ca="1">IF($AN108="",OFFSET(Demand!$A$13,ROW(C105)-1,4+((QUOTIENT(COLUMN(BS$2)-69,3))*5)+MOD(COLUMN(BS$2),3),1,1),"")</f>
        <v>7</v>
      </c>
      <c r="BT108">
        <f ca="1">IF($AN108="",OFFSET(Demand!$A$13,ROW(D105)-1,4+((QUOTIENT(COLUMN(BT$2)-69,3))*5)+MOD(COLUMN(BT$2),3),1,1),"")</f>
        <v>34</v>
      </c>
      <c r="BU108">
        <f ca="1">IF($AN108="",OFFSET(Demand!$A$13,ROW(E105)-1,4+((QUOTIENT(COLUMN(BU$2)-69,3))*5)+MOD(COLUMN(BU$2),3),1,1),"")</f>
        <v>71</v>
      </c>
      <c r="BV108">
        <f ca="1">IF($AN108="",OFFSET(Demand!$A$13,ROW(F105)-1,4+((QUOTIENT(COLUMN(BV$2)-69,3))*5)+MOD(COLUMN(BV$2),3),1,1),"")</f>
        <v>16</v>
      </c>
      <c r="BW108">
        <f ca="1">IF($AN108="",OFFSET(Demand!$A$13,ROW(G105)-1,4+((QUOTIENT(COLUMN(BW$2)-69,3))*5)+MOD(COLUMN(BW$2),3),1,1),"")</f>
        <v>0</v>
      </c>
      <c r="BX108">
        <f ca="1">IF($AN108="",OFFSET(Demand!$A$13,ROW(H105)-1,4+((QUOTIENT(COLUMN(BX$2)-69,3))*5)+MOD(COLUMN(BX$2),3),1,1),"")</f>
        <v>0</v>
      </c>
      <c r="BY108">
        <f ca="1">IF($AN108="",OFFSET(Demand!$A$13,ROW(I105)-1,4+((QUOTIENT(COLUMN(BY$2)-69,3))*5)+MOD(COLUMN(BY$2),3),1,1),"")</f>
        <v>12</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2</v>
      </c>
      <c r="B109" s="5">
        <f ca="1">COUNTBLANK(OFFSET(Demand!$I118,0,(COLUMN(A106)-1)*5,1,1))</f>
        <v>0</v>
      </c>
      <c r="C109" s="5">
        <f ca="1">COUNTBLANK(OFFSET(Demand!$I118,0,(COLUMN(B106)-1)*5,1,1))</f>
        <v>0</v>
      </c>
      <c r="D109" s="5">
        <f ca="1">COUNTBLANK(OFFSET(Demand!$I118,0,(COLUMN(C106)-1)*5,1,1))</f>
        <v>0</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4305</v>
      </c>
      <c r="O109" s="5">
        <f ca="1">SUM(OFFSET(Demand!$E118,0,(COLUMN(B106)-1)*5,1,3))*O$2</f>
        <v>2925</v>
      </c>
      <c r="P109" s="5">
        <f ca="1">SUM(OFFSET(Demand!$E118,0,(COLUMN(C106)-1)*5,1,3))*P$2</f>
        <v>60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7290</v>
      </c>
      <c r="Y109">
        <f t="shared" ca="1" si="38"/>
        <v>7290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7290</v>
      </c>
      <c r="AM109" s="5">
        <f t="shared" ca="1" si="41"/>
        <v>0</v>
      </c>
      <c r="AN109" s="5" t="str">
        <f>IF(Demand!BE118="Yes","Yes","")</f>
        <v/>
      </c>
      <c r="AP109" s="36" t="str">
        <f ca="1">Demand!B118</f>
        <v xml:space="preserve"> </v>
      </c>
      <c r="AQ109" t="str">
        <f ca="1">IF(TEXT(Demand!D118,"MMM")&lt;&gt;TEXT(Demand!D117,"MMM"),TEXT(Demand!D118,"MMM"),"")</f>
        <v>Apr</v>
      </c>
      <c r="AT109" s="5">
        <f t="shared" ca="1" si="42"/>
        <v>3990</v>
      </c>
      <c r="BQ109">
        <f ca="1">IF($AN109="",OFFSET(Demand!$A$13,ROW(A106)-1,4+((QUOTIENT(COLUMN(BQ$2)-69,3))*5)+MOD(COLUMN(BQ$2),3),1,1),"")</f>
        <v>3</v>
      </c>
      <c r="BR109">
        <f ca="1">IF($AN109="",OFFSET(Demand!$A$13,ROW(B106)-1,4+((QUOTIENT(COLUMN(BR$2)-69,3))*5)+MOD(COLUMN(BR$2),3),1,1),"")</f>
        <v>259</v>
      </c>
      <c r="BS109">
        <f ca="1">IF($AN109="",OFFSET(Demand!$A$13,ROW(C106)-1,4+((QUOTIENT(COLUMN(BS$2)-69,3))*5)+MOD(COLUMN(BS$2),3),1,1),"")</f>
        <v>25</v>
      </c>
      <c r="BT109">
        <f ca="1">IF($AN109="",OFFSET(Demand!$A$13,ROW(D106)-1,4+((QUOTIENT(COLUMN(BT$2)-69,3))*5)+MOD(COLUMN(BT$2),3),1,1),"")</f>
        <v>29</v>
      </c>
      <c r="BU109">
        <f ca="1">IF($AN109="",OFFSET(Demand!$A$13,ROW(E106)-1,4+((QUOTIENT(COLUMN(BU$2)-69,3))*5)+MOD(COLUMN(BU$2),3),1,1),"")</f>
        <v>154</v>
      </c>
      <c r="BV109">
        <f ca="1">IF($AN109="",OFFSET(Demand!$A$13,ROW(F106)-1,4+((QUOTIENT(COLUMN(BV$2)-69,3))*5)+MOD(COLUMN(BV$2),3),1,1),"")</f>
        <v>12</v>
      </c>
      <c r="BW109">
        <f ca="1">IF($AN109="",OFFSET(Demand!$A$13,ROW(G106)-1,4+((QUOTIENT(COLUMN(BW$2)-69,3))*5)+MOD(COLUMN(BW$2),3),1,1),"")</f>
        <v>0</v>
      </c>
      <c r="BX109">
        <f ca="1">IF($AN109="",OFFSET(Demand!$A$13,ROW(H106)-1,4+((QUOTIENT(COLUMN(BX$2)-69,3))*5)+MOD(COLUMN(BX$2),3),1,1),"")</f>
        <v>0</v>
      </c>
      <c r="BY109">
        <f ca="1">IF($AN109="",OFFSET(Demand!$A$13,ROW(I106)-1,4+((QUOTIENT(COLUMN(BY$2)-69,3))*5)+MOD(COLUMN(BY$2),3),1,1),"")</f>
        <v>2</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1</v>
      </c>
      <c r="B110" s="5">
        <f ca="1">COUNTBLANK(OFFSET(Demand!$I119,0,(COLUMN(A107)-1)*5,1,1))</f>
        <v>0</v>
      </c>
      <c r="C110" s="5">
        <f ca="1">COUNTBLANK(OFFSET(Demand!$I119,0,(COLUMN(B107)-1)*5,1,1))</f>
        <v>0</v>
      </c>
      <c r="D110" s="5">
        <f ca="1">COUNTBLANK(OFFSET(Demand!$I119,0,(COLUMN(C107)-1)*5,1,1))</f>
        <v>0</v>
      </c>
      <c r="E110" s="5">
        <f ca="1">COUNTBLANK(OFFSET(Demand!$I119,0,(COLUMN(D107)-1)*5,1,1))</f>
        <v>0</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4110</v>
      </c>
      <c r="O110" s="5">
        <f ca="1">SUM(OFFSET(Demand!$E119,0,(COLUMN(B107)-1)*5,1,3))*O$2</f>
        <v>3465</v>
      </c>
      <c r="P110" s="5">
        <f ca="1">SUM(OFFSET(Demand!$E119,0,(COLUMN(C107)-1)*5,1,3))*P$2</f>
        <v>180</v>
      </c>
      <c r="Q110" s="5">
        <f ca="1">SUM(OFFSET(Demand!$E119,0,(COLUMN(D107)-1)*5,1,3))*Q$2</f>
        <v>120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7875</v>
      </c>
      <c r="Y110">
        <f t="shared" ca="1" si="38"/>
        <v>7875</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7875</v>
      </c>
      <c r="AM110" s="5">
        <f t="shared" ca="1" si="41"/>
        <v>0</v>
      </c>
      <c r="AN110" s="5" t="str">
        <f>IF(Demand!BE119="Yes","Yes","")</f>
        <v/>
      </c>
      <c r="AP110" s="36" t="str">
        <f ca="1">Demand!B119</f>
        <v xml:space="preserve"> </v>
      </c>
      <c r="AQ110" t="str">
        <f ca="1">IF(TEXT(Demand!D119,"MMM")&lt;&gt;TEXT(Demand!D118,"MMM"),TEXT(Demand!D119,"MMM"),"")</f>
        <v/>
      </c>
      <c r="AT110" s="5">
        <f t="shared" ca="1" si="42"/>
        <v>585</v>
      </c>
      <c r="BQ110">
        <f ca="1">IF($AN110="",OFFSET(Demand!$A$13,ROW(A107)-1,4+((QUOTIENT(COLUMN(BQ$2)-69,3))*5)+MOD(COLUMN(BQ$2),3),1,1),"")</f>
        <v>7</v>
      </c>
      <c r="BR110">
        <f ca="1">IF($AN110="",OFFSET(Demand!$A$13,ROW(B107)-1,4+((QUOTIENT(COLUMN(BR$2)-69,3))*5)+MOD(COLUMN(BR$2),3),1,1),"")</f>
        <v>250</v>
      </c>
      <c r="BS110">
        <f ca="1">IF($AN110="",OFFSET(Demand!$A$13,ROW(C107)-1,4+((QUOTIENT(COLUMN(BS$2)-69,3))*5)+MOD(COLUMN(BS$2),3),1,1),"")</f>
        <v>17</v>
      </c>
      <c r="BT110">
        <f ca="1">IF($AN110="",OFFSET(Demand!$A$13,ROW(D107)-1,4+((QUOTIENT(COLUMN(BT$2)-69,3))*5)+MOD(COLUMN(BT$2),3),1,1),"")</f>
        <v>51</v>
      </c>
      <c r="BU110">
        <f ca="1">IF($AN110="",OFFSET(Demand!$A$13,ROW(E107)-1,4+((QUOTIENT(COLUMN(BU$2)-69,3))*5)+MOD(COLUMN(BU$2),3),1,1),"")</f>
        <v>157</v>
      </c>
      <c r="BV110">
        <f ca="1">IF($AN110="",OFFSET(Demand!$A$13,ROW(F107)-1,4+((QUOTIENT(COLUMN(BV$2)-69,3))*5)+MOD(COLUMN(BV$2),3),1,1),"")</f>
        <v>23</v>
      </c>
      <c r="BW110">
        <f ca="1">IF($AN110="",OFFSET(Demand!$A$13,ROW(G107)-1,4+((QUOTIENT(COLUMN(BW$2)-69,3))*5)+MOD(COLUMN(BW$2),3),1,1),"")</f>
        <v>0</v>
      </c>
      <c r="BX110">
        <f ca="1">IF($AN110="",OFFSET(Demand!$A$13,ROW(H107)-1,4+((QUOTIENT(COLUMN(BX$2)-69,3))*5)+MOD(COLUMN(BX$2),3),1,1),"")</f>
        <v>0</v>
      </c>
      <c r="BY110">
        <f ca="1">IF($AN110="",OFFSET(Demand!$A$13,ROW(I107)-1,4+((QUOTIENT(COLUMN(BY$2)-69,3))*5)+MOD(COLUMN(BY$2),3),1,1),"")</f>
        <v>6</v>
      </c>
      <c r="BZ110">
        <f ca="1">IF($AN110="",OFFSET(Demand!$A$13,ROW(J107)-1,4+((QUOTIENT(COLUMN(BZ$2)-69,3))*5)+MOD(COLUMN(BZ$2),3),1,1),"")</f>
        <v>3</v>
      </c>
      <c r="CA110">
        <f ca="1">IF($AN110="",OFFSET(Demand!$A$13,ROW(K107)-1,4+((QUOTIENT(COLUMN(CA$2)-69,3))*5)+MOD(COLUMN(CA$2),3),1,1),"")</f>
        <v>0</v>
      </c>
      <c r="CB110">
        <f ca="1">IF($AN110="",OFFSET(Demand!$A$13,ROW(L107)-1,4+((QUOTIENT(COLUMN(CB$2)-69,3))*5)+MOD(COLUMN(CB$2),3),1,1),"")</f>
        <v>1</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1</v>
      </c>
      <c r="B111" s="5">
        <f ca="1">COUNTBLANK(OFFSET(Demand!$I120,0,(COLUMN(A108)-1)*5,1,1))</f>
        <v>0</v>
      </c>
      <c r="C111" s="5">
        <f ca="1">COUNTBLANK(OFFSET(Demand!$I120,0,(COLUMN(B108)-1)*5,1,1))</f>
        <v>0</v>
      </c>
      <c r="D111" s="5">
        <f ca="1">COUNTBLANK(OFFSET(Demand!$I120,0,(COLUMN(C108)-1)*5,1,1))</f>
        <v>0</v>
      </c>
      <c r="E111" s="5">
        <f ca="1">COUNTBLANK(OFFSET(Demand!$I120,0,(COLUMN(D108)-1)*5,1,1))</f>
        <v>0</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4995</v>
      </c>
      <c r="O111" s="5">
        <f ca="1">SUM(OFFSET(Demand!$E120,0,(COLUMN(B108)-1)*5,1,3))*O$2</f>
        <v>4035</v>
      </c>
      <c r="P111" s="5">
        <f ca="1">SUM(OFFSET(Demand!$E120,0,(COLUMN(C108)-1)*5,1,3))*P$2</f>
        <v>180</v>
      </c>
      <c r="Q111" s="5">
        <f ca="1">SUM(OFFSET(Demand!$E120,0,(COLUMN(D108)-1)*5,1,3))*Q$2</f>
        <v>150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9360</v>
      </c>
      <c r="Y111">
        <f t="shared" ca="1" si="38"/>
        <v>9360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9360</v>
      </c>
      <c r="AM111" s="5">
        <f t="shared" ca="1" si="41"/>
        <v>0</v>
      </c>
      <c r="AN111" s="5" t="str">
        <f>IF(Demand!BE120="Yes","Yes","")</f>
        <v/>
      </c>
      <c r="AP111" s="36" t="str">
        <f ca="1">Demand!B120</f>
        <v xml:space="preserve"> </v>
      </c>
      <c r="AQ111" t="str">
        <f ca="1">IF(TEXT(Demand!D120,"MMM")&lt;&gt;TEXT(Demand!D119,"MMM"),TEXT(Demand!D120,"MMM"),"")</f>
        <v/>
      </c>
      <c r="AT111" s="5">
        <f t="shared" ca="1" si="42"/>
        <v>1485</v>
      </c>
      <c r="BQ111">
        <f ca="1">IF($AN111="",OFFSET(Demand!$A$13,ROW(A108)-1,4+((QUOTIENT(COLUMN(BQ$2)-69,3))*5)+MOD(COLUMN(BQ$2),3),1,1),"")</f>
        <v>5</v>
      </c>
      <c r="BR111">
        <f ca="1">IF($AN111="",OFFSET(Demand!$A$13,ROW(B108)-1,4+((QUOTIENT(COLUMN(BR$2)-69,3))*5)+MOD(COLUMN(BR$2),3),1,1),"")</f>
        <v>305</v>
      </c>
      <c r="BS111">
        <f ca="1">IF($AN111="",OFFSET(Demand!$A$13,ROW(C108)-1,4+((QUOTIENT(COLUMN(BS$2)-69,3))*5)+MOD(COLUMN(BS$2),3),1,1),"")</f>
        <v>23</v>
      </c>
      <c r="BT111">
        <f ca="1">IF($AN111="",OFFSET(Demand!$A$13,ROW(D108)-1,4+((QUOTIENT(COLUMN(BT$2)-69,3))*5)+MOD(COLUMN(BT$2),3),1,1),"")</f>
        <v>55</v>
      </c>
      <c r="BU111">
        <f ca="1">IF($AN111="",OFFSET(Demand!$A$13,ROW(E108)-1,4+((QUOTIENT(COLUMN(BU$2)-69,3))*5)+MOD(COLUMN(BU$2),3),1,1),"")</f>
        <v>190</v>
      </c>
      <c r="BV111">
        <f ca="1">IF($AN111="",OFFSET(Demand!$A$13,ROW(F108)-1,4+((QUOTIENT(COLUMN(BV$2)-69,3))*5)+MOD(COLUMN(BV$2),3),1,1),"")</f>
        <v>24</v>
      </c>
      <c r="BW111">
        <f ca="1">IF($AN111="",OFFSET(Demand!$A$13,ROW(G108)-1,4+((QUOTIENT(COLUMN(BW$2)-69,3))*5)+MOD(COLUMN(BW$2),3),1,1),"")</f>
        <v>0</v>
      </c>
      <c r="BX111">
        <f ca="1">IF($AN111="",OFFSET(Demand!$A$13,ROW(H108)-1,4+((QUOTIENT(COLUMN(BX$2)-69,3))*5)+MOD(COLUMN(BX$2),3),1,1),"")</f>
        <v>0</v>
      </c>
      <c r="BY111">
        <f ca="1">IF($AN111="",OFFSET(Demand!$A$13,ROW(I108)-1,4+((QUOTIENT(COLUMN(BY$2)-69,3))*5)+MOD(COLUMN(BY$2),3),1,1),"")</f>
        <v>6</v>
      </c>
      <c r="BZ111">
        <f ca="1">IF($AN111="",OFFSET(Demand!$A$13,ROW(J108)-1,4+((QUOTIENT(COLUMN(BZ$2)-69,3))*5)+MOD(COLUMN(BZ$2),3),1,1),"")</f>
        <v>5</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1</v>
      </c>
      <c r="B112" s="5">
        <f ca="1">COUNTBLANK(OFFSET(Demand!$I121,0,(COLUMN(A109)-1)*5,1,1))</f>
        <v>0</v>
      </c>
      <c r="C112" s="5">
        <f ca="1">COUNTBLANK(OFFSET(Demand!$I121,0,(COLUMN(B109)-1)*5,1,1))</f>
        <v>0</v>
      </c>
      <c r="D112" s="5">
        <f ca="1">COUNTBLANK(OFFSET(Demand!$I121,0,(COLUMN(C109)-1)*5,1,1))</f>
        <v>0</v>
      </c>
      <c r="E112" s="5">
        <f ca="1">COUNTBLANK(OFFSET(Demand!$I121,0,(COLUMN(D109)-1)*5,1,1))</f>
        <v>0</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4980</v>
      </c>
      <c r="O112" s="5">
        <f ca="1">SUM(OFFSET(Demand!$E121,0,(COLUMN(B109)-1)*5,1,3))*O$2</f>
        <v>4500</v>
      </c>
      <c r="P112" s="5">
        <f ca="1">SUM(OFFSET(Demand!$E121,0,(COLUMN(C109)-1)*5,1,3))*P$2</f>
        <v>240</v>
      </c>
      <c r="Q112" s="5">
        <f ca="1">SUM(OFFSET(Demand!$E121,0,(COLUMN(D109)-1)*5,1,3))*Q$2</f>
        <v>180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9900</v>
      </c>
      <c r="Y112">
        <f t="shared" ca="1" si="38"/>
        <v>9900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9900</v>
      </c>
      <c r="AM112" s="5">
        <f t="shared" ca="1" si="41"/>
        <v>0</v>
      </c>
      <c r="AN112" s="5" t="str">
        <f>IF(Demand!BE121="Yes","Yes","")</f>
        <v/>
      </c>
      <c r="AP112" s="36" t="str">
        <f ca="1">Demand!B121</f>
        <v xml:space="preserve"> </v>
      </c>
      <c r="AQ112" t="str">
        <f ca="1">IF(TEXT(Demand!D121,"MMM")&lt;&gt;TEXT(Demand!D120,"MMM"),TEXT(Demand!D121,"MMM"),"")</f>
        <v/>
      </c>
      <c r="AT112" s="5">
        <f t="shared" ca="1" si="42"/>
        <v>540</v>
      </c>
      <c r="BQ112">
        <f ca="1">IF($AN112="",OFFSET(Demand!$A$13,ROW(A109)-1,4+((QUOTIENT(COLUMN(BQ$2)-69,3))*5)+MOD(COLUMN(BQ$2),3),1,1),"")</f>
        <v>7</v>
      </c>
      <c r="BR112">
        <f ca="1">IF($AN112="",OFFSET(Demand!$A$13,ROW(B109)-1,4+((QUOTIENT(COLUMN(BR$2)-69,3))*5)+MOD(COLUMN(BR$2),3),1,1),"")</f>
        <v>301</v>
      </c>
      <c r="BS112">
        <f ca="1">IF($AN112="",OFFSET(Demand!$A$13,ROW(C109)-1,4+((QUOTIENT(COLUMN(BS$2)-69,3))*5)+MOD(COLUMN(BS$2),3),1,1),"")</f>
        <v>24</v>
      </c>
      <c r="BT112">
        <f ca="1">IF($AN112="",OFFSET(Demand!$A$13,ROW(D109)-1,4+((QUOTIENT(COLUMN(BT$2)-69,3))*5)+MOD(COLUMN(BT$2),3),1,1),"")</f>
        <v>63</v>
      </c>
      <c r="BU112">
        <f ca="1">IF($AN112="",OFFSET(Demand!$A$13,ROW(E109)-1,4+((QUOTIENT(COLUMN(BU$2)-69,3))*5)+MOD(COLUMN(BU$2),3),1,1),"")</f>
        <v>209</v>
      </c>
      <c r="BV112">
        <f ca="1">IF($AN112="",OFFSET(Demand!$A$13,ROW(F109)-1,4+((QUOTIENT(COLUMN(BV$2)-69,3))*5)+MOD(COLUMN(BV$2),3),1,1),"")</f>
        <v>28</v>
      </c>
      <c r="BW112">
        <f ca="1">IF($AN112="",OFFSET(Demand!$A$13,ROW(G109)-1,4+((QUOTIENT(COLUMN(BW$2)-69,3))*5)+MOD(COLUMN(BW$2),3),1,1),"")</f>
        <v>0</v>
      </c>
      <c r="BX112">
        <f ca="1">IF($AN112="",OFFSET(Demand!$A$13,ROW(H109)-1,4+((QUOTIENT(COLUMN(BX$2)-69,3))*5)+MOD(COLUMN(BX$2),3),1,1),"")</f>
        <v>0</v>
      </c>
      <c r="BY112">
        <f ca="1">IF($AN112="",OFFSET(Demand!$A$13,ROW(I109)-1,4+((QUOTIENT(COLUMN(BY$2)-69,3))*5)+MOD(COLUMN(BY$2),3),1,1),"")</f>
        <v>8</v>
      </c>
      <c r="BZ112">
        <f ca="1">IF($AN112="",OFFSET(Demand!$A$13,ROW(J109)-1,4+((QUOTIENT(COLUMN(BZ$2)-69,3))*5)+MOD(COLUMN(BZ$2),3),1,1),"")</f>
        <v>6</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1</v>
      </c>
      <c r="B113" s="5">
        <f ca="1">COUNTBLANK(OFFSET(Demand!$I122,0,(COLUMN(A110)-1)*5,1,1))</f>
        <v>0</v>
      </c>
      <c r="C113" s="5">
        <f ca="1">COUNTBLANK(OFFSET(Demand!$I122,0,(COLUMN(B110)-1)*5,1,1))</f>
        <v>0</v>
      </c>
      <c r="D113" s="5">
        <f ca="1">COUNTBLANK(OFFSET(Demand!$I122,0,(COLUMN(C110)-1)*5,1,1))</f>
        <v>0</v>
      </c>
      <c r="E113" s="5">
        <f ca="1">COUNTBLANK(OFFSET(Demand!$I122,0,(COLUMN(D110)-1)*5,1,1))</f>
        <v>0</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5775</v>
      </c>
      <c r="O113" s="5">
        <f ca="1">SUM(OFFSET(Demand!$E122,0,(COLUMN(B110)-1)*5,1,3))*O$2</f>
        <v>4350</v>
      </c>
      <c r="P113" s="5">
        <f ca="1">SUM(OFFSET(Demand!$E122,0,(COLUMN(C110)-1)*5,1,3))*P$2</f>
        <v>60</v>
      </c>
      <c r="Q113" s="5">
        <f ca="1">SUM(OFFSET(Demand!$E122,0,(COLUMN(D110)-1)*5,1,3))*Q$2</f>
        <v>60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10245</v>
      </c>
      <c r="Y113">
        <f t="shared" ca="1" si="38"/>
        <v>10245</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10245</v>
      </c>
      <c r="AM113" s="5">
        <f t="shared" ca="1" si="41"/>
        <v>0</v>
      </c>
      <c r="AN113" s="5" t="str">
        <f>IF(Demand!BE122="Yes","Yes","")</f>
        <v/>
      </c>
      <c r="AP113" s="36" t="str">
        <f ca="1">Demand!B122</f>
        <v xml:space="preserve"> </v>
      </c>
      <c r="AQ113" t="str">
        <f ca="1">IF(TEXT(Demand!D122,"MMM")&lt;&gt;TEXT(Demand!D121,"MMM"),TEXT(Demand!D122,"MMM"),"")</f>
        <v>May</v>
      </c>
      <c r="AT113" s="5">
        <f t="shared" ca="1" si="42"/>
        <v>345</v>
      </c>
      <c r="BQ113">
        <f ca="1">IF($AN113="",OFFSET(Demand!$A$13,ROW(A110)-1,4+((QUOTIENT(COLUMN(BQ$2)-69,3))*5)+MOD(COLUMN(BQ$2),3),1,1),"")</f>
        <v>3</v>
      </c>
      <c r="BR113">
        <f ca="1">IF($AN113="",OFFSET(Demand!$A$13,ROW(B110)-1,4+((QUOTIENT(COLUMN(BR$2)-69,3))*5)+MOD(COLUMN(BR$2),3),1,1),"")</f>
        <v>347</v>
      </c>
      <c r="BS113">
        <f ca="1">IF($AN113="",OFFSET(Demand!$A$13,ROW(C110)-1,4+((QUOTIENT(COLUMN(BS$2)-69,3))*5)+MOD(COLUMN(BS$2),3),1,1),"")</f>
        <v>35</v>
      </c>
      <c r="BT113">
        <f ca="1">IF($AN113="",OFFSET(Demand!$A$13,ROW(D110)-1,4+((QUOTIENT(COLUMN(BT$2)-69,3))*5)+MOD(COLUMN(BT$2),3),1,1),"")</f>
        <v>46</v>
      </c>
      <c r="BU113">
        <f ca="1">IF($AN113="",OFFSET(Demand!$A$13,ROW(E110)-1,4+((QUOTIENT(COLUMN(BU$2)-69,3))*5)+MOD(COLUMN(BU$2),3),1,1),"")</f>
        <v>194</v>
      </c>
      <c r="BV113">
        <f ca="1">IF($AN113="",OFFSET(Demand!$A$13,ROW(F110)-1,4+((QUOTIENT(COLUMN(BV$2)-69,3))*5)+MOD(COLUMN(BV$2),3),1,1),"")</f>
        <v>50</v>
      </c>
      <c r="BW113">
        <f ca="1">IF($AN113="",OFFSET(Demand!$A$13,ROW(G110)-1,4+((QUOTIENT(COLUMN(BW$2)-69,3))*5)+MOD(COLUMN(BW$2),3),1,1),"")</f>
        <v>0</v>
      </c>
      <c r="BX113">
        <f ca="1">IF($AN113="",OFFSET(Demand!$A$13,ROW(H110)-1,4+((QUOTIENT(COLUMN(BX$2)-69,3))*5)+MOD(COLUMN(BX$2),3),1,1),"")</f>
        <v>0</v>
      </c>
      <c r="BY113">
        <f ca="1">IF($AN113="",OFFSET(Demand!$A$13,ROW(I110)-1,4+((QUOTIENT(COLUMN(BY$2)-69,3))*5)+MOD(COLUMN(BY$2),3),1,1),"")</f>
        <v>2</v>
      </c>
      <c r="BZ113">
        <f ca="1">IF($AN113="",OFFSET(Demand!$A$13,ROW(J110)-1,4+((QUOTIENT(COLUMN(BZ$2)-69,3))*5)+MOD(COLUMN(BZ$2),3),1,1),"")</f>
        <v>2</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1</v>
      </c>
      <c r="B114" s="5">
        <f ca="1">COUNTBLANK(OFFSET(Demand!$I123,0,(COLUMN(A111)-1)*5,1,1))</f>
        <v>0</v>
      </c>
      <c r="C114" s="5">
        <f ca="1">COUNTBLANK(OFFSET(Demand!$I123,0,(COLUMN(B111)-1)*5,1,1))</f>
        <v>0</v>
      </c>
      <c r="D114" s="5">
        <f ca="1">COUNTBLANK(OFFSET(Demand!$I123,0,(COLUMN(C111)-1)*5,1,1))</f>
        <v>0</v>
      </c>
      <c r="E114" s="5">
        <f ca="1">COUNTBLANK(OFFSET(Demand!$I123,0,(COLUMN(D111)-1)*5,1,1))</f>
        <v>0</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5730</v>
      </c>
      <c r="O114" s="5">
        <f ca="1">SUM(OFFSET(Demand!$E123,0,(COLUMN(B111)-1)*5,1,3))*O$2</f>
        <v>5565</v>
      </c>
      <c r="P114" s="5">
        <f ca="1">SUM(OFFSET(Demand!$E123,0,(COLUMN(C111)-1)*5,1,3))*P$2</f>
        <v>60</v>
      </c>
      <c r="Q114" s="5">
        <f ca="1">SUM(OFFSET(Demand!$E123,0,(COLUMN(D111)-1)*5,1,3))*Q$2</f>
        <v>30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11385</v>
      </c>
      <c r="Y114">
        <f t="shared" ca="1" si="38"/>
        <v>11385</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11385</v>
      </c>
      <c r="AM114" s="5">
        <f t="shared" ca="1" si="41"/>
        <v>0</v>
      </c>
      <c r="AN114" s="5" t="str">
        <f>IF(Demand!BE123="Yes","Yes","")</f>
        <v/>
      </c>
      <c r="AP114" s="36" t="str">
        <f ca="1">Demand!B123</f>
        <v xml:space="preserve"> </v>
      </c>
      <c r="AQ114" t="str">
        <f ca="1">IF(TEXT(Demand!D123,"MMM")&lt;&gt;TEXT(Demand!D122,"MMM"),TEXT(Demand!D123,"MMM"),"")</f>
        <v/>
      </c>
      <c r="AT114" s="5">
        <f t="shared" ca="1" si="42"/>
        <v>1140</v>
      </c>
      <c r="BQ114">
        <f ca="1">IF($AN114="",OFFSET(Demand!$A$13,ROW(A111)-1,4+((QUOTIENT(COLUMN(BQ$2)-69,3))*5)+MOD(COLUMN(BQ$2),3),1,1),"")</f>
        <v>9</v>
      </c>
      <c r="BR114">
        <f ca="1">IF($AN114="",OFFSET(Demand!$A$13,ROW(B111)-1,4+((QUOTIENT(COLUMN(BR$2)-69,3))*5)+MOD(COLUMN(BR$2),3),1,1),"")</f>
        <v>349</v>
      </c>
      <c r="BS114">
        <f ca="1">IF($AN114="",OFFSET(Demand!$A$13,ROW(C111)-1,4+((QUOTIENT(COLUMN(BS$2)-69,3))*5)+MOD(COLUMN(BS$2),3),1,1),"")</f>
        <v>24</v>
      </c>
      <c r="BT114">
        <f ca="1">IF($AN114="",OFFSET(Demand!$A$13,ROW(D111)-1,4+((QUOTIENT(COLUMN(BT$2)-69,3))*5)+MOD(COLUMN(BT$2),3),1,1),"")</f>
        <v>70</v>
      </c>
      <c r="BU114">
        <f ca="1">IF($AN114="",OFFSET(Demand!$A$13,ROW(E111)-1,4+((QUOTIENT(COLUMN(BU$2)-69,3))*5)+MOD(COLUMN(BU$2),3),1,1),"")</f>
        <v>250</v>
      </c>
      <c r="BV114">
        <f ca="1">IF($AN114="",OFFSET(Demand!$A$13,ROW(F111)-1,4+((QUOTIENT(COLUMN(BV$2)-69,3))*5)+MOD(COLUMN(BV$2),3),1,1),"")</f>
        <v>51</v>
      </c>
      <c r="BW114">
        <f ca="1">IF($AN114="",OFFSET(Demand!$A$13,ROW(G111)-1,4+((QUOTIENT(COLUMN(BW$2)-69,3))*5)+MOD(COLUMN(BW$2),3),1,1),"")</f>
        <v>0</v>
      </c>
      <c r="BX114">
        <f ca="1">IF($AN114="",OFFSET(Demand!$A$13,ROW(H111)-1,4+((QUOTIENT(COLUMN(BX$2)-69,3))*5)+MOD(COLUMN(BX$2),3),1,1),"")</f>
        <v>0</v>
      </c>
      <c r="BY114">
        <f ca="1">IF($AN114="",OFFSET(Demand!$A$13,ROW(I111)-1,4+((QUOTIENT(COLUMN(BY$2)-69,3))*5)+MOD(COLUMN(BY$2),3),1,1),"")</f>
        <v>2</v>
      </c>
      <c r="BZ114">
        <f ca="1">IF($AN114="",OFFSET(Demand!$A$13,ROW(J111)-1,4+((QUOTIENT(COLUMN(BZ$2)-69,3))*5)+MOD(COLUMN(BZ$2),3),1,1),"")</f>
        <v>1</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0</v>
      </c>
      <c r="B115" s="5">
        <f ca="1">COUNTBLANK(OFFSET(Demand!$I124,0,(COLUMN(A112)-1)*5,1,1))</f>
        <v>0</v>
      </c>
      <c r="C115" s="5">
        <f ca="1">COUNTBLANK(OFFSET(Demand!$I124,0,(COLUMN(B112)-1)*5,1,1))</f>
        <v>0</v>
      </c>
      <c r="D115" s="5">
        <f ca="1">COUNTBLANK(OFFSET(Demand!$I124,0,(COLUMN(C112)-1)*5,1,1))</f>
        <v>0</v>
      </c>
      <c r="E115" s="5">
        <f ca="1">COUNTBLANK(OFFSET(Demand!$I124,0,(COLUMN(D112)-1)*5,1,1))</f>
        <v>0</v>
      </c>
      <c r="F115" s="5">
        <f ca="1">COUNTBLANK(OFFSET(Demand!$I124,0,(COLUMN(E112)-1)*5,1,1))</f>
        <v>0</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6315</v>
      </c>
      <c r="O115" s="5">
        <f ca="1">SUM(OFFSET(Demand!$E124,0,(COLUMN(B112)-1)*5,1,3))*O$2</f>
        <v>5085</v>
      </c>
      <c r="P115" s="5">
        <f ca="1">SUM(OFFSET(Demand!$E124,0,(COLUMN(C112)-1)*5,1,3))*P$2</f>
        <v>180</v>
      </c>
      <c r="Q115" s="5">
        <f ca="1">SUM(OFFSET(Demand!$E124,0,(COLUMN(D112)-1)*5,1,3))*Q$2</f>
        <v>90</v>
      </c>
      <c r="R115" s="5">
        <f ca="1">SUM(OFFSET(Demand!$E124,0,(COLUMN(E112)-1)*5,1,3))*R$2</f>
        <v>1</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11671</v>
      </c>
      <c r="Y115">
        <f t="shared" ca="1" si="38"/>
        <v>11671</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11671</v>
      </c>
      <c r="AM115" s="5">
        <f t="shared" ca="1" si="41"/>
        <v>0</v>
      </c>
      <c r="AN115" s="5" t="str">
        <f>IF(Demand!BE124="Yes","Yes","")</f>
        <v/>
      </c>
      <c r="AP115" s="36" t="str">
        <f ca="1">Demand!B124</f>
        <v xml:space="preserve"> </v>
      </c>
      <c r="AQ115" t="str">
        <f ca="1">IF(TEXT(Demand!D124,"MMM")&lt;&gt;TEXT(Demand!D123,"MMM"),TEXT(Demand!D124,"MMM"),"")</f>
        <v/>
      </c>
      <c r="AT115" s="5">
        <f t="shared" ca="1" si="42"/>
        <v>286</v>
      </c>
      <c r="BQ115">
        <f ca="1">IF($AN115="",OFFSET(Demand!$A$13,ROW(A112)-1,4+((QUOTIENT(COLUMN(BQ$2)-69,3))*5)+MOD(COLUMN(BQ$2),3),1,1),"")</f>
        <v>17</v>
      </c>
      <c r="BR115">
        <f ca="1">IF($AN115="",OFFSET(Demand!$A$13,ROW(B112)-1,4+((QUOTIENT(COLUMN(BR$2)-69,3))*5)+MOD(COLUMN(BR$2),3),1,1),"")</f>
        <v>370</v>
      </c>
      <c r="BS115">
        <f ca="1">IF($AN115="",OFFSET(Demand!$A$13,ROW(C112)-1,4+((QUOTIENT(COLUMN(BS$2)-69,3))*5)+MOD(COLUMN(BS$2),3),1,1),"")</f>
        <v>34</v>
      </c>
      <c r="BT115">
        <f ca="1">IF($AN115="",OFFSET(Demand!$A$13,ROW(D112)-1,4+((QUOTIENT(COLUMN(BT$2)-69,3))*5)+MOD(COLUMN(BT$2),3),1,1),"")</f>
        <v>69</v>
      </c>
      <c r="BU115">
        <f ca="1">IF($AN115="",OFFSET(Demand!$A$13,ROW(E112)-1,4+((QUOTIENT(COLUMN(BU$2)-69,3))*5)+MOD(COLUMN(BU$2),3),1,1),"")</f>
        <v>232</v>
      </c>
      <c r="BV115">
        <f ca="1">IF($AN115="",OFFSET(Demand!$A$13,ROW(F112)-1,4+((QUOTIENT(COLUMN(BV$2)-69,3))*5)+MOD(COLUMN(BV$2),3),1,1),"")</f>
        <v>38</v>
      </c>
      <c r="BW115">
        <f ca="1">IF($AN115="",OFFSET(Demand!$A$13,ROW(G112)-1,4+((QUOTIENT(COLUMN(BW$2)-69,3))*5)+MOD(COLUMN(BW$2),3),1,1),"")</f>
        <v>0</v>
      </c>
      <c r="BX115">
        <f ca="1">IF($AN115="",OFFSET(Demand!$A$13,ROW(H112)-1,4+((QUOTIENT(COLUMN(BX$2)-69,3))*5)+MOD(COLUMN(BX$2),3),1,1),"")</f>
        <v>2</v>
      </c>
      <c r="BY115">
        <f ca="1">IF($AN115="",OFFSET(Demand!$A$13,ROW(I112)-1,4+((QUOTIENT(COLUMN(BY$2)-69,3))*5)+MOD(COLUMN(BY$2),3),1,1),"")</f>
        <v>4</v>
      </c>
      <c r="BZ115">
        <f ca="1">IF($AN115="",OFFSET(Demand!$A$13,ROW(J112)-1,4+((QUOTIENT(COLUMN(BZ$2)-69,3))*5)+MOD(COLUMN(BZ$2),3),1,1),"")</f>
        <v>2</v>
      </c>
      <c r="CA115">
        <f ca="1">IF($AN115="",OFFSET(Demand!$A$13,ROW(K112)-1,4+((QUOTIENT(COLUMN(CA$2)-69,3))*5)+MOD(COLUMN(CA$2),3),1,1),"")</f>
        <v>0</v>
      </c>
      <c r="CB115">
        <f ca="1">IF($AN115="",OFFSET(Demand!$A$13,ROW(L112)-1,4+((QUOTIENT(COLUMN(CB$2)-69,3))*5)+MOD(COLUMN(CB$2),3),1,1),"")</f>
        <v>1</v>
      </c>
      <c r="CC115">
        <f ca="1">IF($AN115="",OFFSET(Demand!$A$13,ROW(M112)-1,4+((QUOTIENT(COLUMN(CC$2)-69,3))*5)+MOD(COLUMN(CC$2),3),1,1),"")</f>
        <v>1</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0</v>
      </c>
      <c r="B116" s="5">
        <f ca="1">COUNTBLANK(OFFSET(Demand!$I125,0,(COLUMN(A113)-1)*5,1,1))</f>
        <v>0</v>
      </c>
      <c r="C116" s="5">
        <f ca="1">COUNTBLANK(OFFSET(Demand!$I125,0,(COLUMN(B113)-1)*5,1,1))</f>
        <v>0</v>
      </c>
      <c r="D116" s="5">
        <f ca="1">COUNTBLANK(OFFSET(Demand!$I125,0,(COLUMN(C113)-1)*5,1,1))</f>
        <v>0</v>
      </c>
      <c r="E116" s="5">
        <f ca="1">COUNTBLANK(OFFSET(Demand!$I125,0,(COLUMN(D113)-1)*5,1,1))</f>
        <v>0</v>
      </c>
      <c r="F116" s="5">
        <f ca="1">COUNTBLANK(OFFSET(Demand!$I125,0,(COLUMN(E113)-1)*5,1,1))</f>
        <v>0</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5490</v>
      </c>
      <c r="O116" s="5">
        <f ca="1">SUM(OFFSET(Demand!$E125,0,(COLUMN(B113)-1)*5,1,3))*O$2</f>
        <v>4410</v>
      </c>
      <c r="P116" s="5">
        <f ca="1">SUM(OFFSET(Demand!$E125,0,(COLUMN(C113)-1)*5,1,3))*P$2</f>
        <v>120</v>
      </c>
      <c r="Q116" s="5">
        <f ca="1">SUM(OFFSET(Demand!$E125,0,(COLUMN(D113)-1)*5,1,3))*Q$2</f>
        <v>60</v>
      </c>
      <c r="R116" s="5">
        <f ca="1">SUM(OFFSET(Demand!$E125,0,(COLUMN(E113)-1)*5,1,3))*R$2</f>
        <v>2</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10082</v>
      </c>
      <c r="Y116">
        <f t="shared" ca="1" si="38"/>
        <v>10082</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10082</v>
      </c>
      <c r="AM116" s="5">
        <f t="shared" ca="1" si="41"/>
        <v>0</v>
      </c>
      <c r="AN116" s="5" t="str">
        <f>IF(Demand!BE125="Yes","Yes","")</f>
        <v/>
      </c>
      <c r="AP116" s="36" t="str">
        <f ca="1">Demand!B125</f>
        <v xml:space="preserve"> </v>
      </c>
      <c r="AQ116" t="str">
        <f ca="1">IF(TEXT(Demand!D125,"MMM")&lt;&gt;TEXT(Demand!D124,"MMM"),TEXT(Demand!D125,"MMM"),"")</f>
        <v/>
      </c>
      <c r="AT116" s="5">
        <f t="shared" ca="1" si="42"/>
        <v>1589</v>
      </c>
      <c r="BQ116">
        <f ca="1">IF($AN116="",OFFSET(Demand!$A$13,ROW(A113)-1,4+((QUOTIENT(COLUMN(BQ$2)-69,3))*5)+MOD(COLUMN(BQ$2),3),1,1),"")</f>
        <v>8</v>
      </c>
      <c r="BR116">
        <f ca="1">IF($AN116="",OFFSET(Demand!$A$13,ROW(B113)-1,4+((QUOTIENT(COLUMN(BR$2)-69,3))*5)+MOD(COLUMN(BR$2),3),1,1),"")</f>
        <v>338</v>
      </c>
      <c r="BS116">
        <f ca="1">IF($AN116="",OFFSET(Demand!$A$13,ROW(C113)-1,4+((QUOTIENT(COLUMN(BS$2)-69,3))*5)+MOD(COLUMN(BS$2),3),1,1),"")</f>
        <v>20</v>
      </c>
      <c r="BT116">
        <f ca="1">IF($AN116="",OFFSET(Demand!$A$13,ROW(D113)-1,4+((QUOTIENT(COLUMN(BT$2)-69,3))*5)+MOD(COLUMN(BT$2),3),1,1),"")</f>
        <v>45</v>
      </c>
      <c r="BU116">
        <f ca="1">IF($AN116="",OFFSET(Demand!$A$13,ROW(E113)-1,4+((QUOTIENT(COLUMN(BU$2)-69,3))*5)+MOD(COLUMN(BU$2),3),1,1),"")</f>
        <v>207</v>
      </c>
      <c r="BV116">
        <f ca="1">IF($AN116="",OFFSET(Demand!$A$13,ROW(F113)-1,4+((QUOTIENT(COLUMN(BV$2)-69,3))*5)+MOD(COLUMN(BV$2),3),1,1),"")</f>
        <v>42</v>
      </c>
      <c r="BW116">
        <f ca="1">IF($AN116="",OFFSET(Demand!$A$13,ROW(G113)-1,4+((QUOTIENT(COLUMN(BW$2)-69,3))*5)+MOD(COLUMN(BW$2),3),1,1),"")</f>
        <v>0</v>
      </c>
      <c r="BX116">
        <f ca="1">IF($AN116="",OFFSET(Demand!$A$13,ROW(H113)-1,4+((QUOTIENT(COLUMN(BX$2)-69,3))*5)+MOD(COLUMN(BX$2),3),1,1),"")</f>
        <v>0</v>
      </c>
      <c r="BY116">
        <f ca="1">IF($AN116="",OFFSET(Demand!$A$13,ROW(I113)-1,4+((QUOTIENT(COLUMN(BY$2)-69,3))*5)+MOD(COLUMN(BY$2),3),1,1),"")</f>
        <v>4</v>
      </c>
      <c r="BZ116">
        <f ca="1">IF($AN116="",OFFSET(Demand!$A$13,ROW(J113)-1,4+((QUOTIENT(COLUMN(BZ$2)-69,3))*5)+MOD(COLUMN(BZ$2),3),1,1),"")</f>
        <v>2</v>
      </c>
      <c r="CA116">
        <f ca="1">IF($AN116="",OFFSET(Demand!$A$13,ROW(K113)-1,4+((QUOTIENT(COLUMN(CA$2)-69,3))*5)+MOD(COLUMN(CA$2),3),1,1),"")</f>
        <v>0</v>
      </c>
      <c r="CB116">
        <f ca="1">IF($AN116="",OFFSET(Demand!$A$13,ROW(L113)-1,4+((QUOTIENT(COLUMN(CB$2)-69,3))*5)+MOD(COLUMN(CB$2),3),1,1),"")</f>
        <v>0</v>
      </c>
      <c r="CC116">
        <f ca="1">IF($AN116="",OFFSET(Demand!$A$13,ROW(M113)-1,4+((QUOTIENT(COLUMN(CC$2)-69,3))*5)+MOD(COLUMN(CC$2),3),1,1),"")</f>
        <v>2</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0</v>
      </c>
      <c r="B117" s="5">
        <f ca="1">COUNTBLANK(OFFSET(Demand!$I126,0,(COLUMN(A114)-1)*5,1,1))</f>
        <v>0</v>
      </c>
      <c r="C117" s="5">
        <f ca="1">COUNTBLANK(OFFSET(Demand!$I126,0,(COLUMN(B114)-1)*5,1,1))</f>
        <v>0</v>
      </c>
      <c r="D117" s="5">
        <f ca="1">COUNTBLANK(OFFSET(Demand!$I126,0,(COLUMN(C114)-1)*5,1,1))</f>
        <v>0</v>
      </c>
      <c r="E117" s="5">
        <f ca="1">COUNTBLANK(OFFSET(Demand!$I126,0,(COLUMN(D114)-1)*5,1,1))</f>
        <v>0</v>
      </c>
      <c r="F117" s="5">
        <f ca="1">COUNTBLANK(OFFSET(Demand!$I126,0,(COLUMN(E114)-1)*5,1,1))</f>
        <v>0</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5955</v>
      </c>
      <c r="O117" s="5">
        <f ca="1">SUM(OFFSET(Demand!$E126,0,(COLUMN(B114)-1)*5,1,3))*O$2</f>
        <v>5730</v>
      </c>
      <c r="P117" s="5">
        <f ca="1">SUM(OFFSET(Demand!$E126,0,(COLUMN(C114)-1)*5,1,3))*P$2</f>
        <v>120</v>
      </c>
      <c r="Q117" s="5">
        <f ca="1">SUM(OFFSET(Demand!$E126,0,(COLUMN(D114)-1)*5,1,3))*Q$2</f>
        <v>120</v>
      </c>
      <c r="R117" s="5">
        <f ca="1">SUM(OFFSET(Demand!$E126,0,(COLUMN(E114)-1)*5,1,3))*R$2</f>
        <v>1</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11926</v>
      </c>
      <c r="Y117">
        <f t="shared" ca="1" si="38"/>
        <v>11926</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11926</v>
      </c>
      <c r="AM117" s="5">
        <f t="shared" ca="1" si="41"/>
        <v>0</v>
      </c>
      <c r="AN117" s="5" t="str">
        <f>IF(Demand!BE126="Yes","Yes","")</f>
        <v/>
      </c>
      <c r="AP117" s="36" t="str">
        <f ca="1">Demand!B126</f>
        <v xml:space="preserve"> </v>
      </c>
      <c r="AQ117" t="str">
        <f ca="1">IF(TEXT(Demand!D126,"MMM")&lt;&gt;TEXT(Demand!D125,"MMM"),TEXT(Demand!D126,"MMM"),"")</f>
        <v>Jun</v>
      </c>
      <c r="AT117" s="5">
        <f t="shared" ca="1" si="42"/>
        <v>1844</v>
      </c>
      <c r="BQ117">
        <f ca="1">IF($AN117="",OFFSET(Demand!$A$13,ROW(A114)-1,4+((QUOTIENT(COLUMN(BQ$2)-69,3))*5)+MOD(COLUMN(BQ$2),3),1,1),"")</f>
        <v>16</v>
      </c>
      <c r="BR117">
        <f ca="1">IF($AN117="",OFFSET(Demand!$A$13,ROW(B114)-1,4+((QUOTIENT(COLUMN(BR$2)-69,3))*5)+MOD(COLUMN(BR$2),3),1,1),"")</f>
        <v>352</v>
      </c>
      <c r="BS117">
        <f ca="1">IF($AN117="",OFFSET(Demand!$A$13,ROW(C114)-1,4+((QUOTIENT(COLUMN(BS$2)-69,3))*5)+MOD(COLUMN(BS$2),3),1,1),"")</f>
        <v>29</v>
      </c>
      <c r="BT117">
        <f ca="1">IF($AN117="",OFFSET(Demand!$A$13,ROW(D114)-1,4+((QUOTIENT(COLUMN(BT$2)-69,3))*5)+MOD(COLUMN(BT$2),3),1,1),"")</f>
        <v>80</v>
      </c>
      <c r="BU117">
        <f ca="1">IF($AN117="",OFFSET(Demand!$A$13,ROW(E114)-1,4+((QUOTIENT(COLUMN(BU$2)-69,3))*5)+MOD(COLUMN(BU$2),3),1,1),"")</f>
        <v>254</v>
      </c>
      <c r="BV117">
        <f ca="1">IF($AN117="",OFFSET(Demand!$A$13,ROW(F114)-1,4+((QUOTIENT(COLUMN(BV$2)-69,3))*5)+MOD(COLUMN(BV$2),3),1,1),"")</f>
        <v>48</v>
      </c>
      <c r="BW117">
        <f ca="1">IF($AN117="",OFFSET(Demand!$A$13,ROW(G114)-1,4+((QUOTIENT(COLUMN(BW$2)-69,3))*5)+MOD(COLUMN(BW$2),3),1,1),"")</f>
        <v>0</v>
      </c>
      <c r="BX117">
        <f ca="1">IF($AN117="",OFFSET(Demand!$A$13,ROW(H114)-1,4+((QUOTIENT(COLUMN(BX$2)-69,3))*5)+MOD(COLUMN(BX$2),3),1,1),"")</f>
        <v>0</v>
      </c>
      <c r="BY117">
        <f ca="1">IF($AN117="",OFFSET(Demand!$A$13,ROW(I114)-1,4+((QUOTIENT(COLUMN(BY$2)-69,3))*5)+MOD(COLUMN(BY$2),3),1,1),"")</f>
        <v>4</v>
      </c>
      <c r="BZ117">
        <f ca="1">IF($AN117="",OFFSET(Demand!$A$13,ROW(J114)-1,4+((QUOTIENT(COLUMN(BZ$2)-69,3))*5)+MOD(COLUMN(BZ$2),3),1,1),"")</f>
        <v>2</v>
      </c>
      <c r="CA117">
        <f ca="1">IF($AN117="",OFFSET(Demand!$A$13,ROW(K114)-1,4+((QUOTIENT(COLUMN(CA$2)-69,3))*5)+MOD(COLUMN(CA$2),3),1,1),"")</f>
        <v>1</v>
      </c>
      <c r="CB117">
        <f ca="1">IF($AN117="",OFFSET(Demand!$A$13,ROW(L114)-1,4+((QUOTIENT(COLUMN(CB$2)-69,3))*5)+MOD(COLUMN(CB$2),3),1,1),"")</f>
        <v>1</v>
      </c>
      <c r="CC117">
        <f ca="1">IF($AN117="",OFFSET(Demand!$A$13,ROW(M114)-1,4+((QUOTIENT(COLUMN(CC$2)-69,3))*5)+MOD(COLUMN(CC$2),3),1,1),"")</f>
        <v>0</v>
      </c>
      <c r="CD117">
        <f ca="1">IF($AN117="",OFFSET(Demand!$A$13,ROW(N114)-1,4+((QUOTIENT(COLUMN(CD$2)-69,3))*5)+MOD(COLUMN(CD$2),3),1,1),"")</f>
        <v>1</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0</v>
      </c>
      <c r="B118" s="5">
        <f ca="1">COUNTBLANK(OFFSET(Demand!$I127,0,(COLUMN(A115)-1)*5,1,1))</f>
        <v>0</v>
      </c>
      <c r="C118" s="5">
        <f ca="1">COUNTBLANK(OFFSET(Demand!$I127,0,(COLUMN(B115)-1)*5,1,1))</f>
        <v>0</v>
      </c>
      <c r="D118" s="5">
        <f ca="1">COUNTBLANK(OFFSET(Demand!$I127,0,(COLUMN(C115)-1)*5,1,1))</f>
        <v>0</v>
      </c>
      <c r="E118" s="5">
        <f ca="1">COUNTBLANK(OFFSET(Demand!$I127,0,(COLUMN(D115)-1)*5,1,1))</f>
        <v>0</v>
      </c>
      <c r="F118" s="5">
        <f ca="1">COUNTBLANK(OFFSET(Demand!$I127,0,(COLUMN(E115)-1)*5,1,1))</f>
        <v>0</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6210</v>
      </c>
      <c r="O118" s="5">
        <f ca="1">SUM(OFFSET(Demand!$E127,0,(COLUMN(B115)-1)*5,1,3))*O$2</f>
        <v>5145</v>
      </c>
      <c r="P118" s="5">
        <f ca="1">SUM(OFFSET(Demand!$E127,0,(COLUMN(C115)-1)*5,1,3))*P$2</f>
        <v>30</v>
      </c>
      <c r="Q118" s="5">
        <f ca="1">SUM(OFFSET(Demand!$E127,0,(COLUMN(D115)-1)*5,1,3))*Q$2</f>
        <v>120</v>
      </c>
      <c r="R118" s="5">
        <f ca="1">SUM(OFFSET(Demand!$E127,0,(COLUMN(E115)-1)*5,1,3))*R$2</f>
        <v>2</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11507</v>
      </c>
      <c r="Y118">
        <f t="shared" ca="1" si="38"/>
        <v>11507</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11507</v>
      </c>
      <c r="AM118" s="5">
        <f t="shared" ca="1" si="41"/>
        <v>0</v>
      </c>
      <c r="AN118" s="5" t="str">
        <f>IF(Demand!BE127="Yes","Yes","")</f>
        <v/>
      </c>
      <c r="AP118" s="36" t="str">
        <f ca="1">Demand!B127</f>
        <v xml:space="preserve"> </v>
      </c>
      <c r="AQ118" t="str">
        <f ca="1">IF(TEXT(Demand!D127,"MMM")&lt;&gt;TEXT(Demand!D126,"MMM"),TEXT(Demand!D127,"MMM"),"")</f>
        <v/>
      </c>
      <c r="AT118" s="5">
        <f t="shared" ca="1" si="42"/>
        <v>419</v>
      </c>
      <c r="BQ118">
        <f ca="1">IF($AN118="",OFFSET(Demand!$A$13,ROW(A115)-1,4+((QUOTIENT(COLUMN(BQ$2)-69,3))*5)+MOD(COLUMN(BQ$2),3),1,1),"")</f>
        <v>4</v>
      </c>
      <c r="BR118">
        <f ca="1">IF($AN118="",OFFSET(Demand!$A$13,ROW(B115)-1,4+((QUOTIENT(COLUMN(BR$2)-69,3))*5)+MOD(COLUMN(BR$2),3),1,1),"")</f>
        <v>376</v>
      </c>
      <c r="BS118">
        <f ca="1">IF($AN118="",OFFSET(Demand!$A$13,ROW(C115)-1,4+((QUOTIENT(COLUMN(BS$2)-69,3))*5)+MOD(COLUMN(BS$2),3),1,1),"")</f>
        <v>34</v>
      </c>
      <c r="BT118">
        <f ca="1">IF($AN118="",OFFSET(Demand!$A$13,ROW(D115)-1,4+((QUOTIENT(COLUMN(BT$2)-69,3))*5)+MOD(COLUMN(BT$2),3),1,1),"")</f>
        <v>74</v>
      </c>
      <c r="BU118">
        <f ca="1">IF($AN118="",OFFSET(Demand!$A$13,ROW(E115)-1,4+((QUOTIENT(COLUMN(BU$2)-69,3))*5)+MOD(COLUMN(BU$2),3),1,1),"")</f>
        <v>224</v>
      </c>
      <c r="BV118">
        <f ca="1">IF($AN118="",OFFSET(Demand!$A$13,ROW(F115)-1,4+((QUOTIENT(COLUMN(BV$2)-69,3))*5)+MOD(COLUMN(BV$2),3),1,1),"")</f>
        <v>45</v>
      </c>
      <c r="BW118">
        <f ca="1">IF($AN118="",OFFSET(Demand!$A$13,ROW(G115)-1,4+((QUOTIENT(COLUMN(BW$2)-69,3))*5)+MOD(COLUMN(BW$2),3),1,1),"")</f>
        <v>0</v>
      </c>
      <c r="BX118">
        <f ca="1">IF($AN118="",OFFSET(Demand!$A$13,ROW(H115)-1,4+((QUOTIENT(COLUMN(BX$2)-69,3))*5)+MOD(COLUMN(BX$2),3),1,1),"")</f>
        <v>0</v>
      </c>
      <c r="BY118">
        <f ca="1">IF($AN118="",OFFSET(Demand!$A$13,ROW(I115)-1,4+((QUOTIENT(COLUMN(BY$2)-69,3))*5)+MOD(COLUMN(BY$2),3),1,1),"")</f>
        <v>1</v>
      </c>
      <c r="BZ118">
        <f ca="1">IF($AN118="",OFFSET(Demand!$A$13,ROW(J115)-1,4+((QUOTIENT(COLUMN(BZ$2)-69,3))*5)+MOD(COLUMN(BZ$2),3),1,1),"")</f>
        <v>0</v>
      </c>
      <c r="CA118">
        <f ca="1">IF($AN118="",OFFSET(Demand!$A$13,ROW(K115)-1,4+((QUOTIENT(COLUMN(CA$2)-69,3))*5)+MOD(COLUMN(CA$2),3),1,1),"")</f>
        <v>3</v>
      </c>
      <c r="CB118">
        <f ca="1">IF($AN118="",OFFSET(Demand!$A$13,ROW(L115)-1,4+((QUOTIENT(COLUMN(CB$2)-69,3))*5)+MOD(COLUMN(CB$2),3),1,1),"")</f>
        <v>1</v>
      </c>
      <c r="CC118">
        <f ca="1">IF($AN118="",OFFSET(Demand!$A$13,ROW(M115)-1,4+((QUOTIENT(COLUMN(CC$2)-69,3))*5)+MOD(COLUMN(CC$2),3),1,1),"")</f>
        <v>2</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1</v>
      </c>
      <c r="B119" s="5">
        <f ca="1">COUNTBLANK(OFFSET(Demand!$I128,0,(COLUMN(A116)-1)*5,1,1))</f>
        <v>0</v>
      </c>
      <c r="C119" s="5">
        <f ca="1">COUNTBLANK(OFFSET(Demand!$I128,0,(COLUMN(B116)-1)*5,1,1))</f>
        <v>0</v>
      </c>
      <c r="D119" s="5">
        <f ca="1">COUNTBLANK(OFFSET(Demand!$I128,0,(COLUMN(C116)-1)*5,1,1))</f>
        <v>1</v>
      </c>
      <c r="E119" s="5">
        <f ca="1">COUNTBLANK(OFFSET(Demand!$I128,0,(COLUMN(D116)-1)*5,1,1))</f>
        <v>0</v>
      </c>
      <c r="F119" s="5">
        <f ca="1">COUNTBLANK(OFFSET(Demand!$I128,0,(COLUMN(E116)-1)*5,1,1))</f>
        <v>0</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6390</v>
      </c>
      <c r="O119" s="5">
        <f ca="1">SUM(OFFSET(Demand!$E128,0,(COLUMN(B116)-1)*5,1,3))*O$2</f>
        <v>5430</v>
      </c>
      <c r="P119" s="5">
        <f ca="1">SUM(OFFSET(Demand!$E128,0,(COLUMN(C116)-1)*5,1,3))*P$2</f>
        <v>0</v>
      </c>
      <c r="Q119" s="5">
        <f ca="1">SUM(OFFSET(Demand!$E128,0,(COLUMN(D116)-1)*5,1,3))*Q$2</f>
        <v>90</v>
      </c>
      <c r="R119" s="5">
        <f ca="1">SUM(OFFSET(Demand!$E128,0,(COLUMN(E116)-1)*5,1,3))*R$2</f>
        <v>2</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11912</v>
      </c>
      <c r="Y119">
        <f t="shared" ca="1" si="38"/>
        <v>11912</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11912</v>
      </c>
      <c r="AM119" s="5">
        <f t="shared" ca="1" si="41"/>
        <v>0</v>
      </c>
      <c r="AN119" s="5" t="str">
        <f>IF(Demand!BE128="Yes","Yes","")</f>
        <v/>
      </c>
      <c r="AP119" s="36" t="str">
        <f ca="1">Demand!B128</f>
        <v xml:space="preserve"> </v>
      </c>
      <c r="AQ119" t="str">
        <f ca="1">IF(TEXT(Demand!D128,"MMM")&lt;&gt;TEXT(Demand!D127,"MMM"),TEXT(Demand!D128,"MMM"),"")</f>
        <v/>
      </c>
      <c r="AT119" s="5">
        <f t="shared" ca="1" si="42"/>
        <v>405</v>
      </c>
      <c r="BQ119">
        <f ca="1">IF($AN119="",OFFSET(Demand!$A$13,ROW(A116)-1,4+((QUOTIENT(COLUMN(BQ$2)-69,3))*5)+MOD(COLUMN(BQ$2),3),1,1),"")</f>
        <v>10</v>
      </c>
      <c r="BR119">
        <f ca="1">IF($AN119="",OFFSET(Demand!$A$13,ROW(B116)-1,4+((QUOTIENT(COLUMN(BR$2)-69,3))*5)+MOD(COLUMN(BR$2),3),1,1),"")</f>
        <v>384</v>
      </c>
      <c r="BS119">
        <f ca="1">IF($AN119="",OFFSET(Demand!$A$13,ROW(C116)-1,4+((QUOTIENT(COLUMN(BS$2)-69,3))*5)+MOD(COLUMN(BS$2),3),1,1),"")</f>
        <v>32</v>
      </c>
      <c r="BT119">
        <f ca="1">IF($AN119="",OFFSET(Demand!$A$13,ROW(D116)-1,4+((QUOTIENT(COLUMN(BT$2)-69,3))*5)+MOD(COLUMN(BT$2),3),1,1),"")</f>
        <v>75</v>
      </c>
      <c r="BU119">
        <f ca="1">IF($AN119="",OFFSET(Demand!$A$13,ROW(E116)-1,4+((QUOTIENT(COLUMN(BU$2)-69,3))*5)+MOD(COLUMN(BU$2),3),1,1),"")</f>
        <v>239</v>
      </c>
      <c r="BV119">
        <f ca="1">IF($AN119="",OFFSET(Demand!$A$13,ROW(F116)-1,4+((QUOTIENT(COLUMN(BV$2)-69,3))*5)+MOD(COLUMN(BV$2),3),1,1),"")</f>
        <v>48</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3</v>
      </c>
      <c r="CC119">
        <f ca="1">IF($AN119="",OFFSET(Demand!$A$13,ROW(M116)-1,4+((QUOTIENT(COLUMN(CC$2)-69,3))*5)+MOD(COLUMN(CC$2),3),1,1),"")</f>
        <v>1</v>
      </c>
      <c r="CD119">
        <f ca="1">IF($AN119="",OFFSET(Demand!$A$13,ROW(N116)-1,4+((QUOTIENT(COLUMN(CD$2)-69,3))*5)+MOD(COLUMN(CD$2),3),1,1),"")</f>
        <v>1</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2</v>
      </c>
      <c r="B120" s="5">
        <f ca="1">COUNTBLANK(OFFSET(Demand!$I129,0,(COLUMN(A117)-1)*5,1,1))</f>
        <v>0</v>
      </c>
      <c r="C120" s="5">
        <f ca="1">COUNTBLANK(OFFSET(Demand!$I129,0,(COLUMN(B117)-1)*5,1,1))</f>
        <v>0</v>
      </c>
      <c r="D120" s="5">
        <f ca="1">COUNTBLANK(OFFSET(Demand!$I129,0,(COLUMN(C117)-1)*5,1,1))</f>
        <v>1</v>
      </c>
      <c r="E120" s="5">
        <f ca="1">COUNTBLANK(OFFSET(Demand!$I129,0,(COLUMN(D117)-1)*5,1,1))</f>
        <v>0</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6210</v>
      </c>
      <c r="O120" s="5">
        <f ca="1">SUM(OFFSET(Demand!$E129,0,(COLUMN(B117)-1)*5,1,3))*O$2</f>
        <v>6165</v>
      </c>
      <c r="P120" s="5">
        <f ca="1">SUM(OFFSET(Demand!$E129,0,(COLUMN(C117)-1)*5,1,3))*P$2</f>
        <v>0</v>
      </c>
      <c r="Q120" s="5">
        <f ca="1">SUM(OFFSET(Demand!$E129,0,(COLUMN(D117)-1)*5,1,3))*Q$2</f>
        <v>210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12585</v>
      </c>
      <c r="Y120">
        <f t="shared" ca="1" si="38"/>
        <v>12585</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12585</v>
      </c>
      <c r="AM120" s="5">
        <f t="shared" ca="1" si="41"/>
        <v>0</v>
      </c>
      <c r="AN120" s="5" t="str">
        <f>IF(Demand!BE129="Yes","Yes","")</f>
        <v/>
      </c>
      <c r="AP120" s="36" t="str">
        <f ca="1">Demand!B129</f>
        <v xml:space="preserve"> </v>
      </c>
      <c r="AQ120" t="str">
        <f ca="1">IF(TEXT(Demand!D129,"MMM")&lt;&gt;TEXT(Demand!D128,"MMM"),TEXT(Demand!D129,"MMM"),"")</f>
        <v/>
      </c>
      <c r="AT120" s="5">
        <f t="shared" ca="1" si="42"/>
        <v>673</v>
      </c>
      <c r="BQ120">
        <f ca="1">IF($AN120="",OFFSET(Demand!$A$13,ROW(A117)-1,4+((QUOTIENT(COLUMN(BQ$2)-69,3))*5)+MOD(COLUMN(BQ$2),3),1,1),"")</f>
        <v>9</v>
      </c>
      <c r="BR120">
        <f ca="1">IF($AN120="",OFFSET(Demand!$A$13,ROW(B117)-1,4+((QUOTIENT(COLUMN(BR$2)-69,3))*5)+MOD(COLUMN(BR$2),3),1,1),"")</f>
        <v>374</v>
      </c>
      <c r="BS120">
        <f ca="1">IF($AN120="",OFFSET(Demand!$A$13,ROW(C117)-1,4+((QUOTIENT(COLUMN(BS$2)-69,3))*5)+MOD(COLUMN(BS$2),3),1,1),"")</f>
        <v>31</v>
      </c>
      <c r="BT120">
        <f ca="1">IF($AN120="",OFFSET(Demand!$A$13,ROW(D117)-1,4+((QUOTIENT(COLUMN(BT$2)-69,3))*5)+MOD(COLUMN(BT$2),3),1,1),"")</f>
        <v>64</v>
      </c>
      <c r="BU120">
        <f ca="1">IF($AN120="",OFFSET(Demand!$A$13,ROW(E117)-1,4+((QUOTIENT(COLUMN(BU$2)-69,3))*5)+MOD(COLUMN(BU$2),3),1,1),"")</f>
        <v>303</v>
      </c>
      <c r="BV120">
        <f ca="1">IF($AN120="",OFFSET(Demand!$A$13,ROW(F117)-1,4+((QUOTIENT(COLUMN(BV$2)-69,3))*5)+MOD(COLUMN(BV$2),3),1,1),"")</f>
        <v>44</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5</v>
      </c>
      <c r="CA120">
        <f ca="1">IF($AN120="",OFFSET(Demand!$A$13,ROW(K117)-1,4+((QUOTIENT(COLUMN(CA$2)-69,3))*5)+MOD(COLUMN(CA$2),3),1,1),"")</f>
        <v>1</v>
      </c>
      <c r="CB120">
        <f ca="1">IF($AN120="",OFFSET(Demand!$A$13,ROW(L117)-1,4+((QUOTIENT(COLUMN(CB$2)-69,3))*5)+MOD(COLUMN(CB$2),3),1,1),"")</f>
        <v>1</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1</v>
      </c>
      <c r="B121" s="5">
        <f ca="1">COUNTBLANK(OFFSET(Demand!$I130,0,(COLUMN(A118)-1)*5,1,1))</f>
        <v>0</v>
      </c>
      <c r="C121" s="5">
        <f ca="1">COUNTBLANK(OFFSET(Demand!$I130,0,(COLUMN(B118)-1)*5,1,1))</f>
        <v>0</v>
      </c>
      <c r="D121" s="5">
        <f ca="1">COUNTBLANK(OFFSET(Demand!$I130,0,(COLUMN(C118)-1)*5,1,1))</f>
        <v>1</v>
      </c>
      <c r="E121" s="5">
        <f ca="1">COUNTBLANK(OFFSET(Demand!$I130,0,(COLUMN(D118)-1)*5,1,1))</f>
        <v>0</v>
      </c>
      <c r="F121" s="5">
        <f ca="1">COUNTBLANK(OFFSET(Demand!$I130,0,(COLUMN(E118)-1)*5,1,1))</f>
        <v>0</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6615</v>
      </c>
      <c r="O121" s="5">
        <f ca="1">SUM(OFFSET(Demand!$E130,0,(COLUMN(B118)-1)*5,1,3))*O$2</f>
        <v>5370</v>
      </c>
      <c r="P121" s="5">
        <f ca="1">SUM(OFFSET(Demand!$E130,0,(COLUMN(C118)-1)*5,1,3))*P$2</f>
        <v>0</v>
      </c>
      <c r="Q121" s="5">
        <f ca="1">SUM(OFFSET(Demand!$E130,0,(COLUMN(D118)-1)*5,1,3))*Q$2</f>
        <v>300</v>
      </c>
      <c r="R121" s="5">
        <f ca="1">SUM(OFFSET(Demand!$E130,0,(COLUMN(E118)-1)*5,1,3))*R$2</f>
        <v>3</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12288</v>
      </c>
      <c r="Y121">
        <f t="shared" ca="1" si="38"/>
        <v>12288</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12288</v>
      </c>
      <c r="AM121" s="5">
        <f t="shared" ca="1" si="41"/>
        <v>0</v>
      </c>
      <c r="AN121" s="5" t="str">
        <f>IF(Demand!BE130="Yes","Yes","")</f>
        <v/>
      </c>
      <c r="AP121" s="36" t="str">
        <f ca="1">Demand!B130</f>
        <v xml:space="preserve"> </v>
      </c>
      <c r="AQ121" t="str">
        <f ca="1">IF(TEXT(Demand!D130,"MMM")&lt;&gt;TEXT(Demand!D129,"MMM"),TEXT(Demand!D130,"MMM"),"")</f>
        <v/>
      </c>
      <c r="AT121" s="5">
        <f t="shared" ca="1" si="42"/>
        <v>297</v>
      </c>
      <c r="BQ121">
        <f ca="1">IF($AN121="",OFFSET(Demand!$A$13,ROW(A118)-1,4+((QUOTIENT(COLUMN(BQ$2)-69,3))*5)+MOD(COLUMN(BQ$2),3),1,1),"")</f>
        <v>8</v>
      </c>
      <c r="BR121">
        <f ca="1">IF($AN121="",OFFSET(Demand!$A$13,ROW(B118)-1,4+((QUOTIENT(COLUMN(BR$2)-69,3))*5)+MOD(COLUMN(BR$2),3),1,1),"")</f>
        <v>389</v>
      </c>
      <c r="BS121">
        <f ca="1">IF($AN121="",OFFSET(Demand!$A$13,ROW(C118)-1,4+((QUOTIENT(COLUMN(BS$2)-69,3))*5)+MOD(COLUMN(BS$2),3),1,1),"")</f>
        <v>44</v>
      </c>
      <c r="BT121">
        <f ca="1">IF($AN121="",OFFSET(Demand!$A$13,ROW(D118)-1,4+((QUOTIENT(COLUMN(BT$2)-69,3))*5)+MOD(COLUMN(BT$2),3),1,1),"")</f>
        <v>59</v>
      </c>
      <c r="BU121">
        <f ca="1">IF($AN121="",OFFSET(Demand!$A$13,ROW(E118)-1,4+((QUOTIENT(COLUMN(BU$2)-69,3))*5)+MOD(COLUMN(BU$2),3),1,1),"")</f>
        <v>255</v>
      </c>
      <c r="BV121">
        <f ca="1">IF($AN121="",OFFSET(Demand!$A$13,ROW(F118)-1,4+((QUOTIENT(COLUMN(BV$2)-69,3))*5)+MOD(COLUMN(BV$2),3),1,1),"")</f>
        <v>44</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7</v>
      </c>
      <c r="CA121">
        <f ca="1">IF($AN121="",OFFSET(Demand!$A$13,ROW(K118)-1,4+((QUOTIENT(COLUMN(CA$2)-69,3))*5)+MOD(COLUMN(CA$2),3),1,1),"")</f>
        <v>1</v>
      </c>
      <c r="CB121">
        <f ca="1">IF($AN121="",OFFSET(Demand!$A$13,ROW(L118)-1,4+((QUOTIENT(COLUMN(CB$2)-69,3))*5)+MOD(COLUMN(CB$2),3),1,1),"")</f>
        <v>2</v>
      </c>
      <c r="CC121">
        <f ca="1">IF($AN121="",OFFSET(Demand!$A$13,ROW(M118)-1,4+((QUOTIENT(COLUMN(CC$2)-69,3))*5)+MOD(COLUMN(CC$2),3),1,1),"")</f>
        <v>3</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0</v>
      </c>
      <c r="B122" s="5">
        <f ca="1">COUNTBLANK(OFFSET(Demand!$I131,0,(COLUMN(A119)-1)*5,1,1))</f>
        <v>0</v>
      </c>
      <c r="C122" s="5">
        <f ca="1">COUNTBLANK(OFFSET(Demand!$I131,0,(COLUMN(B119)-1)*5,1,1))</f>
        <v>0</v>
      </c>
      <c r="D122" s="5">
        <f ca="1">COUNTBLANK(OFFSET(Demand!$I131,0,(COLUMN(C119)-1)*5,1,1))</f>
        <v>0</v>
      </c>
      <c r="E122" s="5">
        <f ca="1">COUNTBLANK(OFFSET(Demand!$I131,0,(COLUMN(D119)-1)*5,1,1))</f>
        <v>0</v>
      </c>
      <c r="F122" s="5">
        <f ca="1">COUNTBLANK(OFFSET(Demand!$I131,0,(COLUMN(E119)-1)*5,1,1))</f>
        <v>0</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6015</v>
      </c>
      <c r="O122" s="5">
        <f ca="1">SUM(OFFSET(Demand!$E131,0,(COLUMN(B119)-1)*5,1,3))*O$2</f>
        <v>5610</v>
      </c>
      <c r="P122" s="5">
        <f ca="1">SUM(OFFSET(Demand!$E131,0,(COLUMN(C119)-1)*5,1,3))*P$2</f>
        <v>150</v>
      </c>
      <c r="Q122" s="5">
        <f ca="1">SUM(OFFSET(Demand!$E131,0,(COLUMN(D119)-1)*5,1,3))*Q$2</f>
        <v>420</v>
      </c>
      <c r="R122" s="5">
        <f ca="1">SUM(OFFSET(Demand!$E131,0,(COLUMN(E119)-1)*5,1,3))*R$2</f>
        <v>3</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12198</v>
      </c>
      <c r="Y122">
        <f t="shared" ca="1" si="38"/>
        <v>12198</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12198</v>
      </c>
      <c r="AM122" s="5">
        <f t="shared" ca="1" si="41"/>
        <v>0</v>
      </c>
      <c r="AN122" s="5" t="str">
        <f>IF(Demand!BE131="Yes","Yes","")</f>
        <v/>
      </c>
      <c r="AP122" s="36" t="str">
        <f ca="1">Demand!B131</f>
        <v xml:space="preserve"> </v>
      </c>
      <c r="AQ122" t="str">
        <f ca="1">IF(TEXT(Demand!D131,"MMM")&lt;&gt;TEXT(Demand!D130,"MMM"),TEXT(Demand!D131,"MMM"),"")</f>
        <v>Jul</v>
      </c>
      <c r="AT122" s="5">
        <f t="shared" ca="1" si="42"/>
        <v>90</v>
      </c>
      <c r="BQ122">
        <f ca="1">IF($AN122="",OFFSET(Demand!$A$13,ROW(A119)-1,4+((QUOTIENT(COLUMN(BQ$2)-69,3))*5)+MOD(COLUMN(BQ$2),3),1,1),"")</f>
        <v>15</v>
      </c>
      <c r="BR122">
        <f ca="1">IF($AN122="",OFFSET(Demand!$A$13,ROW(B119)-1,4+((QUOTIENT(COLUMN(BR$2)-69,3))*5)+MOD(COLUMN(BR$2),3),1,1),"")</f>
        <v>344</v>
      </c>
      <c r="BS122">
        <f ca="1">IF($AN122="",OFFSET(Demand!$A$13,ROW(C119)-1,4+((QUOTIENT(COLUMN(BS$2)-69,3))*5)+MOD(COLUMN(BS$2),3),1,1),"")</f>
        <v>42</v>
      </c>
      <c r="BT122">
        <f ca="1">IF($AN122="",OFFSET(Demand!$A$13,ROW(D119)-1,4+((QUOTIENT(COLUMN(BT$2)-69,3))*5)+MOD(COLUMN(BT$2),3),1,1),"")</f>
        <v>69</v>
      </c>
      <c r="BU122">
        <f ca="1">IF($AN122="",OFFSET(Demand!$A$13,ROW(E119)-1,4+((QUOTIENT(COLUMN(BU$2)-69,3))*5)+MOD(COLUMN(BU$2),3),1,1),"")</f>
        <v>260</v>
      </c>
      <c r="BV122">
        <f ca="1">IF($AN122="",OFFSET(Demand!$A$13,ROW(F119)-1,4+((QUOTIENT(COLUMN(BV$2)-69,3))*5)+MOD(COLUMN(BV$2),3),1,1),"")</f>
        <v>45</v>
      </c>
      <c r="BW122">
        <f ca="1">IF($AN122="",OFFSET(Demand!$A$13,ROW(G119)-1,4+((QUOTIENT(COLUMN(BW$2)-69,3))*5)+MOD(COLUMN(BW$2),3),1,1),"")</f>
        <v>0</v>
      </c>
      <c r="BX122">
        <f ca="1">IF($AN122="",OFFSET(Demand!$A$13,ROW(H119)-1,4+((QUOTIENT(COLUMN(BX$2)-69,3))*5)+MOD(COLUMN(BX$2),3),1,1),"")</f>
        <v>1</v>
      </c>
      <c r="BY122">
        <f ca="1">IF($AN122="",OFFSET(Demand!$A$13,ROW(I119)-1,4+((QUOTIENT(COLUMN(BY$2)-69,3))*5)+MOD(COLUMN(BY$2),3),1,1),"")</f>
        <v>4</v>
      </c>
      <c r="BZ122">
        <f ca="1">IF($AN122="",OFFSET(Demand!$A$13,ROW(J119)-1,4+((QUOTIENT(COLUMN(BZ$2)-69,3))*5)+MOD(COLUMN(BZ$2),3),1,1),"")</f>
        <v>9</v>
      </c>
      <c r="CA122">
        <f ca="1">IF($AN122="",OFFSET(Demand!$A$13,ROW(K119)-1,4+((QUOTIENT(COLUMN(CA$2)-69,3))*5)+MOD(COLUMN(CA$2),3),1,1),"")</f>
        <v>4</v>
      </c>
      <c r="CB122">
        <f ca="1">IF($AN122="",OFFSET(Demand!$A$13,ROW(L119)-1,4+((QUOTIENT(COLUMN(CB$2)-69,3))*5)+MOD(COLUMN(CB$2),3),1,1),"")</f>
        <v>1</v>
      </c>
      <c r="CC122">
        <f ca="1">IF($AN122="",OFFSET(Demand!$A$13,ROW(M119)-1,4+((QUOTIENT(COLUMN(CC$2)-69,3))*5)+MOD(COLUMN(CC$2),3),1,1),"")</f>
        <v>1</v>
      </c>
      <c r="CD122">
        <f ca="1">IF($AN122="",OFFSET(Demand!$A$13,ROW(N119)-1,4+((QUOTIENT(COLUMN(CD$2)-69,3))*5)+MOD(COLUMN(CD$2),3),1,1),"")</f>
        <v>2</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2</v>
      </c>
      <c r="B123" s="5">
        <f ca="1">COUNTBLANK(OFFSET(Demand!$I132,0,(COLUMN(A120)-1)*5,1,1))</f>
        <v>0</v>
      </c>
      <c r="C123" s="5">
        <f ca="1">COUNTBLANK(OFFSET(Demand!$I132,0,(COLUMN(B120)-1)*5,1,1))</f>
        <v>0</v>
      </c>
      <c r="D123" s="5">
        <f ca="1">COUNTBLANK(OFFSET(Demand!$I132,0,(COLUMN(C120)-1)*5,1,1))</f>
        <v>1</v>
      </c>
      <c r="E123" s="5">
        <f ca="1">COUNTBLANK(OFFSET(Demand!$I132,0,(COLUMN(D120)-1)*5,1,1))</f>
        <v>0</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6780</v>
      </c>
      <c r="O123" s="5">
        <f ca="1">SUM(OFFSET(Demand!$E132,0,(COLUMN(B120)-1)*5,1,3))*O$2</f>
        <v>5520</v>
      </c>
      <c r="P123" s="5">
        <f ca="1">SUM(OFFSET(Demand!$E132,0,(COLUMN(C120)-1)*5,1,3))*P$2</f>
        <v>0</v>
      </c>
      <c r="Q123" s="5">
        <f ca="1">SUM(OFFSET(Demand!$E132,0,(COLUMN(D120)-1)*5,1,3))*Q$2</f>
        <v>450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12750</v>
      </c>
      <c r="Y123">
        <f t="shared" ca="1" si="38"/>
        <v>12750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12750</v>
      </c>
      <c r="AM123" s="5">
        <f t="shared" ca="1" si="41"/>
        <v>0</v>
      </c>
      <c r="AN123" s="5" t="str">
        <f>IF(Demand!BE132="Yes","Yes","")</f>
        <v/>
      </c>
      <c r="AP123" s="36" t="str">
        <f ca="1">Demand!B132</f>
        <v xml:space="preserve"> </v>
      </c>
      <c r="AQ123" t="str">
        <f ca="1">IF(TEXT(Demand!D132,"MMM")&lt;&gt;TEXT(Demand!D131,"MMM"),TEXT(Demand!D132,"MMM"),"")</f>
        <v/>
      </c>
      <c r="AT123" s="5">
        <f t="shared" ca="1" si="42"/>
        <v>552</v>
      </c>
      <c r="BQ123">
        <f ca="1">IF($AN123="",OFFSET(Demand!$A$13,ROW(A120)-1,4+((QUOTIENT(COLUMN(BQ$2)-69,3))*5)+MOD(COLUMN(BQ$2),3),1,1),"")</f>
        <v>7</v>
      </c>
      <c r="BR123">
        <f ca="1">IF($AN123="",OFFSET(Demand!$A$13,ROW(B120)-1,4+((QUOTIENT(COLUMN(BR$2)-69,3))*5)+MOD(COLUMN(BR$2),3),1,1),"")</f>
        <v>405</v>
      </c>
      <c r="BS123">
        <f ca="1">IF($AN123="",OFFSET(Demand!$A$13,ROW(C120)-1,4+((QUOTIENT(COLUMN(BS$2)-69,3))*5)+MOD(COLUMN(BS$2),3),1,1),"")</f>
        <v>40</v>
      </c>
      <c r="BT123">
        <f ca="1">IF($AN123="",OFFSET(Demand!$A$13,ROW(D120)-1,4+((QUOTIENT(COLUMN(BT$2)-69,3))*5)+MOD(COLUMN(BT$2),3),1,1),"")</f>
        <v>76</v>
      </c>
      <c r="BU123">
        <f ca="1">IF($AN123="",OFFSET(Demand!$A$13,ROW(E120)-1,4+((QUOTIENT(COLUMN(BU$2)-69,3))*5)+MOD(COLUMN(BU$2),3),1,1),"")</f>
        <v>262</v>
      </c>
      <c r="BV123">
        <f ca="1">IF($AN123="",OFFSET(Demand!$A$13,ROW(F120)-1,4+((QUOTIENT(COLUMN(BV$2)-69,3))*5)+MOD(COLUMN(BV$2),3),1,1),"")</f>
        <v>30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10</v>
      </c>
      <c r="CA123">
        <f ca="1">IF($AN123="",OFFSET(Demand!$A$13,ROW(K120)-1,4+((QUOTIENT(COLUMN(CA$2)-69,3))*5)+MOD(COLUMN(CA$2),3),1,1),"")</f>
        <v>3</v>
      </c>
      <c r="CB123">
        <f ca="1">IF($AN123="",OFFSET(Demand!$A$13,ROW(L120)-1,4+((QUOTIENT(COLUMN(CB$2)-69,3))*5)+MOD(COLUMN(CB$2),3),1,1),"")</f>
        <v>2</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2</v>
      </c>
      <c r="B124" s="5">
        <f ca="1">COUNTBLANK(OFFSET(Demand!$I133,0,(COLUMN(A121)-1)*5,1,1))</f>
        <v>0</v>
      </c>
      <c r="C124" s="5">
        <f ca="1">COUNTBLANK(OFFSET(Demand!$I133,0,(COLUMN(B121)-1)*5,1,1))</f>
        <v>0</v>
      </c>
      <c r="D124" s="5">
        <f ca="1">COUNTBLANK(OFFSET(Demand!$I133,0,(COLUMN(C121)-1)*5,1,1))</f>
        <v>1</v>
      </c>
      <c r="E124" s="5">
        <f ca="1">COUNTBLANK(OFFSET(Demand!$I133,0,(COLUMN(D121)-1)*5,1,1))</f>
        <v>0</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6720</v>
      </c>
      <c r="O124" s="5">
        <f ca="1">SUM(OFFSET(Demand!$E133,0,(COLUMN(B121)-1)*5,1,3))*O$2</f>
        <v>6150</v>
      </c>
      <c r="P124" s="5">
        <f ca="1">SUM(OFFSET(Demand!$E133,0,(COLUMN(C121)-1)*5,1,3))*P$2</f>
        <v>0</v>
      </c>
      <c r="Q124" s="5">
        <f ca="1">SUM(OFFSET(Demand!$E133,0,(COLUMN(D121)-1)*5,1,3))*Q$2</f>
        <v>450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13320</v>
      </c>
      <c r="Y124">
        <f t="shared" ca="1" si="38"/>
        <v>13320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13320</v>
      </c>
      <c r="AM124" s="5">
        <f t="shared" ca="1" si="41"/>
        <v>0</v>
      </c>
      <c r="AN124" s="5" t="str">
        <f>IF(Demand!BE133="Yes","Yes","")</f>
        <v/>
      </c>
      <c r="AP124" s="36" t="str">
        <f ca="1">Demand!B133</f>
        <v xml:space="preserve"> </v>
      </c>
      <c r="AQ124" t="str">
        <f ca="1">IF(TEXT(Demand!D133,"MMM")&lt;&gt;TEXT(Demand!D132,"MMM"),TEXT(Demand!D133,"MMM"),"")</f>
        <v/>
      </c>
      <c r="AT124" s="5">
        <f t="shared" ca="1" si="42"/>
        <v>570</v>
      </c>
      <c r="BQ124">
        <f ca="1">IF($AN124="",OFFSET(Demand!$A$13,ROW(A121)-1,4+((QUOTIENT(COLUMN(BQ$2)-69,3))*5)+MOD(COLUMN(BQ$2),3),1,1),"")</f>
        <v>6</v>
      </c>
      <c r="BR124">
        <f ca="1">IF($AN124="",OFFSET(Demand!$A$13,ROW(B121)-1,4+((QUOTIENT(COLUMN(BR$2)-69,3))*5)+MOD(COLUMN(BR$2),3),1,1),"")</f>
        <v>389</v>
      </c>
      <c r="BS124">
        <f ca="1">IF($AN124="",OFFSET(Demand!$A$13,ROW(C121)-1,4+((QUOTIENT(COLUMN(BS$2)-69,3))*5)+MOD(COLUMN(BS$2),3),1,1),"")</f>
        <v>53</v>
      </c>
      <c r="BT124">
        <f ca="1">IF($AN124="",OFFSET(Demand!$A$13,ROW(D121)-1,4+((QUOTIENT(COLUMN(BT$2)-69,3))*5)+MOD(COLUMN(BT$2),3),1,1),"")</f>
        <v>79</v>
      </c>
      <c r="BU124">
        <f ca="1">IF($AN124="",OFFSET(Demand!$A$13,ROW(E121)-1,4+((QUOTIENT(COLUMN(BU$2)-69,3))*5)+MOD(COLUMN(BU$2),3),1,1),"")</f>
        <v>286</v>
      </c>
      <c r="BV124">
        <f ca="1">IF($AN124="",OFFSET(Demand!$A$13,ROW(F121)-1,4+((QUOTIENT(COLUMN(BV$2)-69,3))*5)+MOD(COLUMN(BV$2),3),1,1),"")</f>
        <v>45</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12</v>
      </c>
      <c r="CA124">
        <f ca="1">IF($AN124="",OFFSET(Demand!$A$13,ROW(K121)-1,4+((QUOTIENT(COLUMN(CA$2)-69,3))*5)+MOD(COLUMN(CA$2),3),1,1),"")</f>
        <v>1</v>
      </c>
      <c r="CB124">
        <f ca="1">IF($AN124="",OFFSET(Demand!$A$13,ROW(L121)-1,4+((QUOTIENT(COLUMN(CB$2)-69,3))*5)+MOD(COLUMN(CB$2),3),1,1),"")</f>
        <v>2</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1</v>
      </c>
      <c r="B125" s="5">
        <f ca="1">COUNTBLANK(OFFSET(Demand!$I134,0,(COLUMN(A122)-1)*5,1,1))</f>
        <v>0</v>
      </c>
      <c r="C125" s="5">
        <f ca="1">COUNTBLANK(OFFSET(Demand!$I134,0,(COLUMN(B122)-1)*5,1,1))</f>
        <v>0</v>
      </c>
      <c r="D125" s="5">
        <f ca="1">COUNTBLANK(OFFSET(Demand!$I134,0,(COLUMN(C122)-1)*5,1,1))</f>
        <v>0</v>
      </c>
      <c r="E125" s="5">
        <f ca="1">COUNTBLANK(OFFSET(Demand!$I134,0,(COLUMN(D122)-1)*5,1,1))</f>
        <v>0</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6990</v>
      </c>
      <c r="O125" s="5">
        <f ca="1">SUM(OFFSET(Demand!$E134,0,(COLUMN(B122)-1)*5,1,3))*O$2</f>
        <v>5505</v>
      </c>
      <c r="P125" s="5">
        <f ca="1">SUM(OFFSET(Demand!$E134,0,(COLUMN(C122)-1)*5,1,3))*P$2</f>
        <v>240</v>
      </c>
      <c r="Q125" s="5">
        <f ca="1">SUM(OFFSET(Demand!$E134,0,(COLUMN(D122)-1)*5,1,3))*Q$2</f>
        <v>210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12945</v>
      </c>
      <c r="Y125">
        <f t="shared" ca="1" si="38"/>
        <v>12945</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12945</v>
      </c>
      <c r="AM125" s="5">
        <f t="shared" ca="1" si="41"/>
        <v>0</v>
      </c>
      <c r="AN125" s="5" t="str">
        <f>IF(Demand!BE134="Yes","Yes","")</f>
        <v/>
      </c>
      <c r="AP125" s="36" t="str">
        <f ca="1">Demand!B134</f>
        <v xml:space="preserve"> </v>
      </c>
      <c r="AQ125" t="str">
        <f ca="1">IF(TEXT(Demand!D134,"MMM")&lt;&gt;TEXT(Demand!D133,"MMM"),TEXT(Demand!D134,"MMM"),"")</f>
        <v/>
      </c>
      <c r="AT125" s="5">
        <f t="shared" ca="1" si="42"/>
        <v>375</v>
      </c>
      <c r="BQ125">
        <f ca="1">IF($AN125="",OFFSET(Demand!$A$13,ROW(A122)-1,4+((QUOTIENT(COLUMN(BQ$2)-69,3))*5)+MOD(COLUMN(BQ$2),3),1,1),"")</f>
        <v>11</v>
      </c>
      <c r="BR125">
        <f ca="1">IF($AN125="",OFFSET(Demand!$A$13,ROW(B122)-1,4+((QUOTIENT(COLUMN(BR$2)-69,3))*5)+MOD(COLUMN(BR$2),3),1,1),"")</f>
        <v>397</v>
      </c>
      <c r="BS125">
        <f ca="1">IF($AN125="",OFFSET(Demand!$A$13,ROW(C122)-1,4+((QUOTIENT(COLUMN(BS$2)-69,3))*5)+MOD(COLUMN(BS$2),3),1,1),"")</f>
        <v>58</v>
      </c>
      <c r="BT125">
        <f ca="1">IF($AN125="",OFFSET(Demand!$A$13,ROW(D122)-1,4+((QUOTIENT(COLUMN(BT$2)-69,3))*5)+MOD(COLUMN(BT$2),3),1,1),"")</f>
        <v>60</v>
      </c>
      <c r="BU125">
        <f ca="1">IF($AN125="",OFFSET(Demand!$A$13,ROW(E122)-1,4+((QUOTIENT(COLUMN(BU$2)-69,3))*5)+MOD(COLUMN(BU$2),3),1,1),"")</f>
        <v>268</v>
      </c>
      <c r="BV125">
        <f ca="1">IF($AN125="",OFFSET(Demand!$A$13,ROW(F122)-1,4+((QUOTIENT(COLUMN(BV$2)-69,3))*5)+MOD(COLUMN(BV$2),3),1,1),"")</f>
        <v>39</v>
      </c>
      <c r="BW125">
        <f ca="1">IF($AN125="",OFFSET(Demand!$A$13,ROW(G122)-1,4+((QUOTIENT(COLUMN(BW$2)-69,3))*5)+MOD(COLUMN(BW$2),3),1,1),"")</f>
        <v>0</v>
      </c>
      <c r="BX125">
        <f ca="1">IF($AN125="",OFFSET(Demand!$A$13,ROW(H122)-1,4+((QUOTIENT(COLUMN(BX$2)-69,3))*5)+MOD(COLUMN(BX$2),3),1,1),"")</f>
        <v>0</v>
      </c>
      <c r="BY125">
        <f ca="1">IF($AN125="",OFFSET(Demand!$A$13,ROW(I122)-1,4+((QUOTIENT(COLUMN(BY$2)-69,3))*5)+MOD(COLUMN(BY$2),3),1,1),"")</f>
        <v>8</v>
      </c>
      <c r="BZ125">
        <f ca="1">IF($AN125="",OFFSET(Demand!$A$13,ROW(J122)-1,4+((QUOTIENT(COLUMN(BZ$2)-69,3))*5)+MOD(COLUMN(BZ$2),3),1,1),"")</f>
        <v>5</v>
      </c>
      <c r="CA125">
        <f ca="1">IF($AN125="",OFFSET(Demand!$A$13,ROW(K122)-1,4+((QUOTIENT(COLUMN(CA$2)-69,3))*5)+MOD(COLUMN(CA$2),3),1,1),"")</f>
        <v>1</v>
      </c>
      <c r="CB125">
        <f ca="1">IF($AN125="",OFFSET(Demand!$A$13,ROW(L122)-1,4+((QUOTIENT(COLUMN(CB$2)-69,3))*5)+MOD(COLUMN(CB$2),3),1,1),"")</f>
        <v>1</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2</v>
      </c>
      <c r="B126" s="5">
        <f ca="1">COUNTBLANK(OFFSET(Demand!$I135,0,(COLUMN(A123)-1)*5,1,1))</f>
        <v>0</v>
      </c>
      <c r="C126" s="5">
        <f ca="1">COUNTBLANK(OFFSET(Demand!$I135,0,(COLUMN(B123)-1)*5,1,1))</f>
        <v>0</v>
      </c>
      <c r="D126" s="5">
        <f ca="1">COUNTBLANK(OFFSET(Demand!$I135,0,(COLUMN(C123)-1)*5,1,1))</f>
        <v>1</v>
      </c>
      <c r="E126" s="5">
        <f ca="1">COUNTBLANK(OFFSET(Demand!$I135,0,(COLUMN(D123)-1)*5,1,1))</f>
        <v>0</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6840</v>
      </c>
      <c r="O126" s="5">
        <f ca="1">SUM(OFFSET(Demand!$E135,0,(COLUMN(B123)-1)*5,1,3))*O$2</f>
        <v>5445</v>
      </c>
      <c r="P126" s="5">
        <f ca="1">SUM(OFFSET(Demand!$E135,0,(COLUMN(C123)-1)*5,1,3))*P$2</f>
        <v>0</v>
      </c>
      <c r="Q126" s="5">
        <f ca="1">SUM(OFFSET(Demand!$E135,0,(COLUMN(D123)-1)*5,1,3))*Q$2</f>
        <v>420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12705</v>
      </c>
      <c r="Y126">
        <f t="shared" ca="1" si="38"/>
        <v>12705</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12705</v>
      </c>
      <c r="AM126" s="5">
        <f t="shared" ca="1" si="41"/>
        <v>0</v>
      </c>
      <c r="AN126" s="5" t="str">
        <f>IF(Demand!BE135="Yes","Yes","")</f>
        <v/>
      </c>
      <c r="AP126" s="36" t="str">
        <f ca="1">Demand!B135</f>
        <v xml:space="preserve"> </v>
      </c>
      <c r="AQ126" t="str">
        <f ca="1">IF(TEXT(Demand!D135,"MMM")&lt;&gt;TEXT(Demand!D134,"MMM"),TEXT(Demand!D135,"MMM"),"")</f>
        <v>Aug</v>
      </c>
      <c r="AT126" s="5">
        <f t="shared" ca="1" si="42"/>
        <v>240</v>
      </c>
      <c r="BQ126">
        <f ca="1">IF($AN126="",OFFSET(Demand!$A$13,ROW(A123)-1,4+((QUOTIENT(COLUMN(BQ$2)-69,3))*5)+MOD(COLUMN(BQ$2),3),1,1),"")</f>
        <v>6</v>
      </c>
      <c r="BR126">
        <f ca="1">IF($AN126="",OFFSET(Demand!$A$13,ROW(B123)-1,4+((QUOTIENT(COLUMN(BR$2)-69,3))*5)+MOD(COLUMN(BR$2),3),1,1),"")</f>
        <v>393</v>
      </c>
      <c r="BS126">
        <f ca="1">IF($AN126="",OFFSET(Demand!$A$13,ROW(C123)-1,4+((QUOTIENT(COLUMN(BS$2)-69,3))*5)+MOD(COLUMN(BS$2),3),1,1),"")</f>
        <v>57</v>
      </c>
      <c r="BT126">
        <f ca="1">IF($AN126="",OFFSET(Demand!$A$13,ROW(D123)-1,4+((QUOTIENT(COLUMN(BT$2)-69,3))*5)+MOD(COLUMN(BT$2),3),1,1),"")</f>
        <v>81</v>
      </c>
      <c r="BU126">
        <f ca="1">IF($AN126="",OFFSET(Demand!$A$13,ROW(E123)-1,4+((QUOTIENT(COLUMN(BU$2)-69,3))*5)+MOD(COLUMN(BU$2),3),1,1),"")</f>
        <v>249</v>
      </c>
      <c r="BV126">
        <f ca="1">IF($AN126="",OFFSET(Demand!$A$13,ROW(F123)-1,4+((QUOTIENT(COLUMN(BV$2)-69,3))*5)+MOD(COLUMN(BV$2),3),1,1),"")</f>
        <v>33</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11</v>
      </c>
      <c r="CA126">
        <f ca="1">IF($AN126="",OFFSET(Demand!$A$13,ROW(K123)-1,4+((QUOTIENT(COLUMN(CA$2)-69,3))*5)+MOD(COLUMN(CA$2),3),1,1),"")</f>
        <v>2</v>
      </c>
      <c r="CB126">
        <f ca="1">IF($AN126="",OFFSET(Demand!$A$13,ROW(L123)-1,4+((QUOTIENT(COLUMN(CB$2)-69,3))*5)+MOD(COLUMN(CB$2),3),1,1),"")</f>
        <v>1</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1</v>
      </c>
      <c r="B127" s="5">
        <f ca="1">COUNTBLANK(OFFSET(Demand!$I136,0,(COLUMN(A124)-1)*5,1,1))</f>
        <v>0</v>
      </c>
      <c r="C127" s="5">
        <f ca="1">COUNTBLANK(OFFSET(Demand!$I136,0,(COLUMN(B124)-1)*5,1,1))</f>
        <v>0</v>
      </c>
      <c r="D127" s="5">
        <f ca="1">COUNTBLANK(OFFSET(Demand!$I136,0,(COLUMN(C124)-1)*5,1,1))</f>
        <v>1</v>
      </c>
      <c r="E127" s="5">
        <f ca="1">COUNTBLANK(OFFSET(Demand!$I136,0,(COLUMN(D124)-1)*5,1,1))</f>
        <v>0</v>
      </c>
      <c r="F127" s="5">
        <f ca="1">COUNTBLANK(OFFSET(Demand!$I136,0,(COLUMN(E124)-1)*5,1,1))</f>
        <v>0</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7005</v>
      </c>
      <c r="O127" s="5">
        <f ca="1">SUM(OFFSET(Demand!$E136,0,(COLUMN(B124)-1)*5,1,3))*O$2</f>
        <v>5145</v>
      </c>
      <c r="P127" s="5">
        <f ca="1">SUM(OFFSET(Demand!$E136,0,(COLUMN(C124)-1)*5,1,3))*P$2</f>
        <v>0</v>
      </c>
      <c r="Q127" s="5">
        <f ca="1">SUM(OFFSET(Demand!$E136,0,(COLUMN(D124)-1)*5,1,3))*Q$2</f>
        <v>570</v>
      </c>
      <c r="R127" s="5">
        <f ca="1">SUM(OFFSET(Demand!$E136,0,(COLUMN(E124)-1)*5,1,3))*R$2</f>
        <v>1</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12721</v>
      </c>
      <c r="Y127">
        <f t="shared" ca="1" si="38"/>
        <v>12721</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12721</v>
      </c>
      <c r="AM127" s="5">
        <f t="shared" ca="1" si="41"/>
        <v>0</v>
      </c>
      <c r="AN127" s="5" t="str">
        <f>IF(Demand!BE136="Yes","Yes","")</f>
        <v/>
      </c>
      <c r="AP127" s="36" t="str">
        <f ca="1">Demand!B136</f>
        <v xml:space="preserve"> </v>
      </c>
      <c r="AQ127" t="str">
        <f ca="1">IF(TEXT(Demand!D136,"MMM")&lt;&gt;TEXT(Demand!D135,"MMM"),TEXT(Demand!D136,"MMM"),"")</f>
        <v/>
      </c>
      <c r="AT127" s="5">
        <f t="shared" ca="1" si="42"/>
        <v>16</v>
      </c>
      <c r="BQ127">
        <f ca="1">IF($AN127="",OFFSET(Demand!$A$13,ROW(A124)-1,4+((QUOTIENT(COLUMN(BQ$2)-69,3))*5)+MOD(COLUMN(BQ$2),3),1,1),"")</f>
        <v>13</v>
      </c>
      <c r="BR127">
        <f ca="1">IF($AN127="",OFFSET(Demand!$A$13,ROW(B124)-1,4+((QUOTIENT(COLUMN(BR$2)-69,3))*5)+MOD(COLUMN(BR$2),3),1,1),"")</f>
        <v>389</v>
      </c>
      <c r="BS127">
        <f ca="1">IF($AN127="",OFFSET(Demand!$A$13,ROW(C124)-1,4+((QUOTIENT(COLUMN(BS$2)-69,3))*5)+MOD(COLUMN(BS$2),3),1,1),"")</f>
        <v>65</v>
      </c>
      <c r="BT127">
        <f ca="1">IF($AN127="",OFFSET(Demand!$A$13,ROW(D124)-1,4+((QUOTIENT(COLUMN(BT$2)-69,3))*5)+MOD(COLUMN(BT$2),3),1,1),"")</f>
        <v>52</v>
      </c>
      <c r="BU127">
        <f ca="1">IF($AN127="",OFFSET(Demand!$A$13,ROW(E124)-1,4+((QUOTIENT(COLUMN(BU$2)-69,3))*5)+MOD(COLUMN(BU$2),3),1,1),"")</f>
        <v>253</v>
      </c>
      <c r="BV127">
        <f ca="1">IF($AN127="",OFFSET(Demand!$A$13,ROW(F124)-1,4+((QUOTIENT(COLUMN(BV$2)-69,3))*5)+MOD(COLUMN(BV$2),3),1,1),"")</f>
        <v>38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10</v>
      </c>
      <c r="CA127">
        <f ca="1">IF($AN127="",OFFSET(Demand!$A$13,ROW(K124)-1,4+((QUOTIENT(COLUMN(CA$2)-69,3))*5)+MOD(COLUMN(CA$2),3),1,1),"")</f>
        <v>2</v>
      </c>
      <c r="CB127">
        <f ca="1">IF($AN127="",OFFSET(Demand!$A$13,ROW(L124)-1,4+((QUOTIENT(COLUMN(CB$2)-69,3))*5)+MOD(COLUMN(CB$2),3),1,1),"")</f>
        <v>7</v>
      </c>
      <c r="CC127">
        <f ca="1">IF($AN127="",OFFSET(Demand!$A$13,ROW(M124)-1,4+((QUOTIENT(COLUMN(CC$2)-69,3))*5)+MOD(COLUMN(CC$2),3),1,1),"")</f>
        <v>1</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1</v>
      </c>
      <c r="B128" s="5">
        <f ca="1">COUNTBLANK(OFFSET(Demand!$I137,0,(COLUMN(A125)-1)*5,1,1))</f>
        <v>0</v>
      </c>
      <c r="C128" s="5">
        <f ca="1">COUNTBLANK(OFFSET(Demand!$I137,0,(COLUMN(B125)-1)*5,1,1))</f>
        <v>0</v>
      </c>
      <c r="D128" s="5">
        <f ca="1">COUNTBLANK(OFFSET(Demand!$I137,0,(COLUMN(C125)-1)*5,1,1))</f>
        <v>0</v>
      </c>
      <c r="E128" s="5">
        <f ca="1">COUNTBLANK(OFFSET(Demand!$I137,0,(COLUMN(D125)-1)*5,1,1))</f>
        <v>0</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6630</v>
      </c>
      <c r="O128" s="5">
        <f ca="1">SUM(OFFSET(Demand!$E137,0,(COLUMN(B125)-1)*5,1,3))*O$2</f>
        <v>5070</v>
      </c>
      <c r="P128" s="5">
        <f ca="1">SUM(OFFSET(Demand!$E137,0,(COLUMN(C125)-1)*5,1,3))*P$2</f>
        <v>60</v>
      </c>
      <c r="Q128" s="5">
        <f ca="1">SUM(OFFSET(Demand!$E137,0,(COLUMN(D125)-1)*5,1,3))*Q$2</f>
        <v>330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12090</v>
      </c>
      <c r="Y128">
        <f t="shared" ca="1" si="38"/>
        <v>12090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12090</v>
      </c>
      <c r="AM128" s="5">
        <f t="shared" ca="1" si="41"/>
        <v>0</v>
      </c>
      <c r="AN128" s="5" t="str">
        <f>IF(Demand!BE137="Yes","Yes","")</f>
        <v/>
      </c>
      <c r="AP128" s="36" t="str">
        <f ca="1">Demand!B137</f>
        <v xml:space="preserve"> </v>
      </c>
      <c r="AQ128" t="str">
        <f ca="1">IF(TEXT(Demand!D137,"MMM")&lt;&gt;TEXT(Demand!D136,"MMM"),TEXT(Demand!D137,"MMM"),"")</f>
        <v/>
      </c>
      <c r="AT128" s="5">
        <f t="shared" ca="1" si="42"/>
        <v>631</v>
      </c>
      <c r="BQ128">
        <f ca="1">IF($AN128="",OFFSET(Demand!$A$13,ROW(A125)-1,4+((QUOTIENT(COLUMN(BQ$2)-69,3))*5)+MOD(COLUMN(BQ$2),3),1,1),"")</f>
        <v>5</v>
      </c>
      <c r="BR128">
        <f ca="1">IF($AN128="",OFFSET(Demand!$A$13,ROW(B125)-1,4+((QUOTIENT(COLUMN(BR$2)-69,3))*5)+MOD(COLUMN(BR$2),3),1,1),"")</f>
        <v>383</v>
      </c>
      <c r="BS128">
        <f ca="1">IF($AN128="",OFFSET(Demand!$A$13,ROW(C125)-1,4+((QUOTIENT(COLUMN(BS$2)-69,3))*5)+MOD(COLUMN(BS$2),3),1,1),"")</f>
        <v>54</v>
      </c>
      <c r="BT128">
        <f ca="1">IF($AN128="",OFFSET(Demand!$A$13,ROW(D125)-1,4+((QUOTIENT(COLUMN(BT$2)-69,3))*5)+MOD(COLUMN(BT$2),3),1,1),"")</f>
        <v>75</v>
      </c>
      <c r="BU128">
        <f ca="1">IF($AN128="",OFFSET(Demand!$A$13,ROW(E125)-1,4+((QUOTIENT(COLUMN(BU$2)-69,3))*5)+MOD(COLUMN(BU$2),3),1,1),"")</f>
        <v>230</v>
      </c>
      <c r="BV128">
        <f ca="1">IF($AN128="",OFFSET(Demand!$A$13,ROW(F125)-1,4+((QUOTIENT(COLUMN(BV$2)-69,3))*5)+MOD(COLUMN(BV$2),3),1,1),"")</f>
        <v>33</v>
      </c>
      <c r="BW128">
        <f ca="1">IF($AN128="",OFFSET(Demand!$A$13,ROW(G125)-1,4+((QUOTIENT(COLUMN(BW$2)-69,3))*5)+MOD(COLUMN(BW$2),3),1,1),"")</f>
        <v>0</v>
      </c>
      <c r="BX128">
        <f ca="1">IF($AN128="",OFFSET(Demand!$A$13,ROW(H125)-1,4+((QUOTIENT(COLUMN(BX$2)-69,3))*5)+MOD(COLUMN(BX$2),3),1,1),"")</f>
        <v>0</v>
      </c>
      <c r="BY128">
        <f ca="1">IF($AN128="",OFFSET(Demand!$A$13,ROW(I125)-1,4+((QUOTIENT(COLUMN(BY$2)-69,3))*5)+MOD(COLUMN(BY$2),3),1,1),"")</f>
        <v>2</v>
      </c>
      <c r="BZ128">
        <f ca="1">IF($AN128="",OFFSET(Demand!$A$13,ROW(J125)-1,4+((QUOTIENT(COLUMN(BZ$2)-69,3))*5)+MOD(COLUMN(BZ$2),3),1,1),"")</f>
        <v>8</v>
      </c>
      <c r="CA128">
        <f ca="1">IF($AN128="",OFFSET(Demand!$A$13,ROW(K125)-1,4+((QUOTIENT(COLUMN(CA$2)-69,3))*5)+MOD(COLUMN(CA$2),3),1,1),"")</f>
        <v>1</v>
      </c>
      <c r="CB128">
        <f ca="1">IF($AN128="",OFFSET(Demand!$A$13,ROW(L125)-1,4+((QUOTIENT(COLUMN(CB$2)-69,3))*5)+MOD(COLUMN(CB$2),3),1,1),"")</f>
        <v>2</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0</v>
      </c>
      <c r="B129" s="5">
        <f ca="1">COUNTBLANK(OFFSET(Demand!$I138,0,(COLUMN(A126)-1)*5,1,1))</f>
        <v>0</v>
      </c>
      <c r="C129" s="5">
        <f ca="1">COUNTBLANK(OFFSET(Demand!$I138,0,(COLUMN(B126)-1)*5,1,1))</f>
        <v>0</v>
      </c>
      <c r="D129" s="5">
        <f ca="1">COUNTBLANK(OFFSET(Demand!$I138,0,(COLUMN(C126)-1)*5,1,1))</f>
        <v>0</v>
      </c>
      <c r="E129" s="5">
        <f ca="1">COUNTBLANK(OFFSET(Demand!$I138,0,(COLUMN(D126)-1)*5,1,1))</f>
        <v>0</v>
      </c>
      <c r="F129" s="5">
        <f ca="1">COUNTBLANK(OFFSET(Demand!$I138,0,(COLUMN(E126)-1)*5,1,1))</f>
        <v>0</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6000</v>
      </c>
      <c r="O129" s="5">
        <f ca="1">SUM(OFFSET(Demand!$E138,0,(COLUMN(B126)-1)*5,1,3))*O$2</f>
        <v>4665</v>
      </c>
      <c r="P129" s="5">
        <f ca="1">SUM(OFFSET(Demand!$E138,0,(COLUMN(C126)-1)*5,1,3))*P$2</f>
        <v>210</v>
      </c>
      <c r="Q129" s="5">
        <f ca="1">SUM(OFFSET(Demand!$E138,0,(COLUMN(D126)-1)*5,1,3))*Q$2</f>
        <v>690</v>
      </c>
      <c r="R129" s="5">
        <f ca="1">SUM(OFFSET(Demand!$E138,0,(COLUMN(E126)-1)*5,1,3))*R$2</f>
        <v>1</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11566</v>
      </c>
      <c r="Y129">
        <f t="shared" ca="1" si="38"/>
        <v>11566</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11566</v>
      </c>
      <c r="AM129" s="5">
        <f t="shared" ca="1" si="41"/>
        <v>0</v>
      </c>
      <c r="AN129" s="5" t="str">
        <f>IF(Demand!BE138="Yes","Yes","")</f>
        <v/>
      </c>
      <c r="AP129" s="36" t="str">
        <f ca="1">Demand!B138</f>
        <v xml:space="preserve"> </v>
      </c>
      <c r="AQ129" t="str">
        <f ca="1">IF(TEXT(Demand!D138,"MMM")&lt;&gt;TEXT(Demand!D137,"MMM"),TEXT(Demand!D138,"MMM"),"")</f>
        <v/>
      </c>
      <c r="AT129" s="5">
        <f t="shared" ca="1" si="42"/>
        <v>524</v>
      </c>
      <c r="BQ129">
        <f ca="1">IF($AN129="",OFFSET(Demand!$A$13,ROW(A126)-1,4+((QUOTIENT(COLUMN(BQ$2)-69,3))*5)+MOD(COLUMN(BQ$2),3),1,1),"")</f>
        <v>6</v>
      </c>
      <c r="BR129">
        <f ca="1">IF($AN129="",OFFSET(Demand!$A$13,ROW(B126)-1,4+((QUOTIENT(COLUMN(BR$2)-69,3))*5)+MOD(COLUMN(BR$2),3),1,1),"")</f>
        <v>330</v>
      </c>
      <c r="BS129">
        <f ca="1">IF($AN129="",OFFSET(Demand!$A$13,ROW(C126)-1,4+((QUOTIENT(COLUMN(BS$2)-69,3))*5)+MOD(COLUMN(BS$2),3),1,1),"")</f>
        <v>64</v>
      </c>
      <c r="BT129">
        <f ca="1">IF($AN129="",OFFSET(Demand!$A$13,ROW(D126)-1,4+((QUOTIENT(COLUMN(BT$2)-69,3))*5)+MOD(COLUMN(BT$2),3),1,1),"")</f>
        <v>70</v>
      </c>
      <c r="BU129">
        <f ca="1">IF($AN129="",OFFSET(Demand!$A$13,ROW(E126)-1,4+((QUOTIENT(COLUMN(BU$2)-69,3))*5)+MOD(COLUMN(BU$2),3),1,1),"")</f>
        <v>216</v>
      </c>
      <c r="BV129">
        <f ca="1">IF($AN129="",OFFSET(Demand!$A$13,ROW(F126)-1,4+((QUOTIENT(COLUMN(BV$2)-69,3))*5)+MOD(COLUMN(BV$2),3),1,1),"")</f>
        <v>25</v>
      </c>
      <c r="BW129">
        <f ca="1">IF($AN129="",OFFSET(Demand!$A$13,ROW(G126)-1,4+((QUOTIENT(COLUMN(BW$2)-69,3))*5)+MOD(COLUMN(BW$2),3),1,1),"")</f>
        <v>0</v>
      </c>
      <c r="BX129">
        <f ca="1">IF($AN129="",OFFSET(Demand!$A$13,ROW(H126)-1,4+((QUOTIENT(COLUMN(BX$2)-69,3))*5)+MOD(COLUMN(BX$2),3),1,1),"")</f>
        <v>0</v>
      </c>
      <c r="BY129">
        <f ca="1">IF($AN129="",OFFSET(Demand!$A$13,ROW(I126)-1,4+((QUOTIENT(COLUMN(BY$2)-69,3))*5)+MOD(COLUMN(BY$2),3),1,1),"")</f>
        <v>7</v>
      </c>
      <c r="BZ129">
        <f ca="1">IF($AN129="",OFFSET(Demand!$A$13,ROW(J126)-1,4+((QUOTIENT(COLUMN(BZ$2)-69,3))*5)+MOD(COLUMN(BZ$2),3),1,1),"")</f>
        <v>17</v>
      </c>
      <c r="CA129">
        <f ca="1">IF($AN129="",OFFSET(Demand!$A$13,ROW(K126)-1,4+((QUOTIENT(COLUMN(CA$2)-69,3))*5)+MOD(COLUMN(CA$2),3),1,1),"")</f>
        <v>3</v>
      </c>
      <c r="CB129">
        <f ca="1">IF($AN129="",OFFSET(Demand!$A$13,ROW(L126)-1,4+((QUOTIENT(COLUMN(CB$2)-69,3))*5)+MOD(COLUMN(CB$2),3),1,1),"")</f>
        <v>3</v>
      </c>
      <c r="CC129">
        <f ca="1">IF($AN129="",OFFSET(Demand!$A$13,ROW(M126)-1,4+((QUOTIENT(COLUMN(CC$2)-69,3))*5)+MOD(COLUMN(CC$2),3),1,1),"")</f>
        <v>1</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1</v>
      </c>
      <c r="B130" s="5">
        <f ca="1">COUNTBLANK(OFFSET(Demand!$I139,0,(COLUMN(A127)-1)*5,1,1))</f>
        <v>0</v>
      </c>
      <c r="C130" s="5">
        <f ca="1">COUNTBLANK(OFFSET(Demand!$I139,0,(COLUMN(B127)-1)*5,1,1))</f>
        <v>0</v>
      </c>
      <c r="D130" s="5">
        <f ca="1">COUNTBLANK(OFFSET(Demand!$I139,0,(COLUMN(C127)-1)*5,1,1))</f>
        <v>0</v>
      </c>
      <c r="E130" s="5">
        <f ca="1">COUNTBLANK(OFFSET(Demand!$I139,0,(COLUMN(D127)-1)*5,1,1))</f>
        <v>0</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5835</v>
      </c>
      <c r="O130" s="5">
        <f ca="1">SUM(OFFSET(Demand!$E139,0,(COLUMN(B127)-1)*5,1,3))*O$2</f>
        <v>4995</v>
      </c>
      <c r="P130" s="5">
        <f ca="1">SUM(OFFSET(Demand!$E139,0,(COLUMN(C127)-1)*5,1,3))*P$2</f>
        <v>120</v>
      </c>
      <c r="Q130" s="5">
        <f ca="1">SUM(OFFSET(Demand!$E139,0,(COLUMN(D127)-1)*5,1,3))*Q$2</f>
        <v>420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11370</v>
      </c>
      <c r="Y130">
        <f t="shared" ca="1" si="38"/>
        <v>11370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11370</v>
      </c>
      <c r="AM130" s="5">
        <f t="shared" ca="1" si="41"/>
        <v>0</v>
      </c>
      <c r="AN130" s="5" t="str">
        <f>IF(Demand!BE139="Yes","Yes","")</f>
        <v/>
      </c>
      <c r="AP130" s="36" t="str">
        <f ca="1">Demand!B139</f>
        <v xml:space="preserve"> </v>
      </c>
      <c r="AQ130" t="str">
        <f ca="1">IF(TEXT(Demand!D139,"MMM")&lt;&gt;TEXT(Demand!D138,"MMM"),TEXT(Demand!D139,"MMM"),"")</f>
        <v/>
      </c>
      <c r="AT130" s="5">
        <f t="shared" ca="1" si="42"/>
        <v>196</v>
      </c>
      <c r="BQ130">
        <f ca="1">IF($AN130="",OFFSET(Demand!$A$13,ROW(A127)-1,4+((QUOTIENT(COLUMN(BQ$2)-69,3))*5)+MOD(COLUMN(BQ$2),3),1,1),"")</f>
        <v>5</v>
      </c>
      <c r="BR130">
        <f ca="1">IF($AN130="",OFFSET(Demand!$A$13,ROW(B127)-1,4+((QUOTIENT(COLUMN(BR$2)-69,3))*5)+MOD(COLUMN(BR$2),3),1,1),"")</f>
        <v>348</v>
      </c>
      <c r="BS130">
        <f ca="1">IF($AN130="",OFFSET(Demand!$A$13,ROW(C127)-1,4+((QUOTIENT(COLUMN(BS$2)-69,3))*5)+MOD(COLUMN(BS$2),3),1,1),"")</f>
        <v>36</v>
      </c>
      <c r="BT130">
        <f ca="1">IF($AN130="",OFFSET(Demand!$A$13,ROW(D127)-1,4+((QUOTIENT(COLUMN(BT$2)-69,3))*5)+MOD(COLUMN(BT$2),3),1,1),"")</f>
        <v>50</v>
      </c>
      <c r="BU130">
        <f ca="1">IF($AN130="",OFFSET(Demand!$A$13,ROW(E127)-1,4+((QUOTIENT(COLUMN(BU$2)-69,3))*5)+MOD(COLUMN(BU$2),3),1,1),"")</f>
        <v>247</v>
      </c>
      <c r="BV130">
        <f ca="1">IF($AN130="",OFFSET(Demand!$A$13,ROW(F127)-1,4+((QUOTIENT(COLUMN(BV$2)-69,3))*5)+MOD(COLUMN(BV$2),3),1,1),"")</f>
        <v>36</v>
      </c>
      <c r="BW130">
        <f ca="1">IF($AN130="",OFFSET(Demand!$A$13,ROW(G127)-1,4+((QUOTIENT(COLUMN(BW$2)-69,3))*5)+MOD(COLUMN(BW$2),3),1,1),"")</f>
        <v>0</v>
      </c>
      <c r="BX130">
        <f ca="1">IF($AN130="",OFFSET(Demand!$A$13,ROW(H127)-1,4+((QUOTIENT(COLUMN(BX$2)-69,3))*5)+MOD(COLUMN(BX$2),3),1,1),"")</f>
        <v>0</v>
      </c>
      <c r="BY130">
        <f ca="1">IF($AN130="",OFFSET(Demand!$A$13,ROW(I127)-1,4+((QUOTIENT(COLUMN(BY$2)-69,3))*5)+MOD(COLUMN(BY$2),3),1,1),"")</f>
        <v>4</v>
      </c>
      <c r="BZ130">
        <f ca="1">IF($AN130="",OFFSET(Demand!$A$13,ROW(J127)-1,4+((QUOTIENT(COLUMN(BZ$2)-69,3))*5)+MOD(COLUMN(BZ$2),3),1,1),"")</f>
        <v>10</v>
      </c>
      <c r="CA130">
        <f ca="1">IF($AN130="",OFFSET(Demand!$A$13,ROW(K127)-1,4+((QUOTIENT(COLUMN(CA$2)-69,3))*5)+MOD(COLUMN(CA$2),3),1,1),"")</f>
        <v>3</v>
      </c>
      <c r="CB130">
        <f ca="1">IF($AN130="",OFFSET(Demand!$A$13,ROW(L127)-1,4+((QUOTIENT(COLUMN(CB$2)-69,3))*5)+MOD(COLUMN(CB$2),3),1,1),"")</f>
        <v>1</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1</v>
      </c>
      <c r="B131" s="5">
        <f ca="1">COUNTBLANK(OFFSET(Demand!$I140,0,(COLUMN(A128)-1)*5,1,1))</f>
        <v>0</v>
      </c>
      <c r="C131" s="5">
        <f ca="1">COUNTBLANK(OFFSET(Demand!$I140,0,(COLUMN(B128)-1)*5,1,1))</f>
        <v>0</v>
      </c>
      <c r="D131" s="5">
        <f ca="1">COUNTBLANK(OFFSET(Demand!$I140,0,(COLUMN(C128)-1)*5,1,1))</f>
        <v>0</v>
      </c>
      <c r="E131" s="5">
        <f ca="1">COUNTBLANK(OFFSET(Demand!$I140,0,(COLUMN(D128)-1)*5,1,1))</f>
        <v>0</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6345</v>
      </c>
      <c r="O131" s="5">
        <f ca="1">SUM(OFFSET(Demand!$E140,0,(COLUMN(B128)-1)*5,1,3))*O$2</f>
        <v>5880</v>
      </c>
      <c r="P131" s="5">
        <f ca="1">SUM(OFFSET(Demand!$E140,0,(COLUMN(C128)-1)*5,1,3))*P$2</f>
        <v>450</v>
      </c>
      <c r="Q131" s="5">
        <f ca="1">SUM(OFFSET(Demand!$E140,0,(COLUMN(D128)-1)*5,1,3))*Q$2</f>
        <v>480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13155</v>
      </c>
      <c r="Y131">
        <f t="shared" ca="1" si="38"/>
        <v>13155</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13155</v>
      </c>
      <c r="AM131" s="5">
        <f t="shared" ca="1" si="41"/>
        <v>0</v>
      </c>
      <c r="AN131" s="5" t="str">
        <f>IF(Demand!BE140="Yes","Yes","")</f>
        <v/>
      </c>
      <c r="AP131" s="36" t="str">
        <f ca="1">Demand!B140</f>
        <v xml:space="preserve"> </v>
      </c>
      <c r="AQ131" t="str">
        <f ca="1">IF(TEXT(Demand!D140,"MMM")&lt;&gt;TEXT(Demand!D139,"MMM"),TEXT(Demand!D140,"MMM"),"")</f>
        <v>Sep</v>
      </c>
      <c r="AT131" s="5">
        <f t="shared" ca="1" si="42"/>
        <v>1785</v>
      </c>
      <c r="BQ131">
        <f ca="1">IF($AN131="",OFFSET(Demand!$A$13,ROW(A128)-1,4+((QUOTIENT(COLUMN(BQ$2)-69,3))*5)+MOD(COLUMN(BQ$2),3),1,1),"")</f>
        <v>8</v>
      </c>
      <c r="BR131">
        <f ca="1">IF($AN131="",OFFSET(Demand!$A$13,ROW(B128)-1,4+((QUOTIENT(COLUMN(BR$2)-69,3))*5)+MOD(COLUMN(BR$2),3),1,1),"")</f>
        <v>368</v>
      </c>
      <c r="BS131">
        <f ca="1">IF($AN131="",OFFSET(Demand!$A$13,ROW(C128)-1,4+((QUOTIENT(COLUMN(BS$2)-69,3))*5)+MOD(COLUMN(BS$2),3),1,1),"")</f>
        <v>47</v>
      </c>
      <c r="BT131">
        <f ca="1">IF($AN131="",OFFSET(Demand!$A$13,ROW(D128)-1,4+((QUOTIENT(COLUMN(BT$2)-69,3))*5)+MOD(COLUMN(BT$2),3),1,1),"")</f>
        <v>76</v>
      </c>
      <c r="BU131">
        <f ca="1">IF($AN131="",OFFSET(Demand!$A$13,ROW(E128)-1,4+((QUOTIENT(COLUMN(BU$2)-69,3))*5)+MOD(COLUMN(BU$2),3),1,1),"")</f>
        <v>270</v>
      </c>
      <c r="BV131">
        <f ca="1">IF($AN131="",OFFSET(Demand!$A$13,ROW(F128)-1,4+((QUOTIENT(COLUMN(BV$2)-69,3))*5)+MOD(COLUMN(BV$2),3),1,1),"")</f>
        <v>46</v>
      </c>
      <c r="BW131">
        <f ca="1">IF($AN131="",OFFSET(Demand!$A$13,ROW(G128)-1,4+((QUOTIENT(COLUMN(BW$2)-69,3))*5)+MOD(COLUMN(BW$2),3),1,1),"")</f>
        <v>0</v>
      </c>
      <c r="BX131">
        <f ca="1">IF($AN131="",OFFSET(Demand!$A$13,ROW(H128)-1,4+((QUOTIENT(COLUMN(BX$2)-69,3))*5)+MOD(COLUMN(BX$2),3),1,1),"")</f>
        <v>0</v>
      </c>
      <c r="BY131">
        <f ca="1">IF($AN131="",OFFSET(Demand!$A$13,ROW(I128)-1,4+((QUOTIENT(COLUMN(BY$2)-69,3))*5)+MOD(COLUMN(BY$2),3),1,1),"")</f>
        <v>15</v>
      </c>
      <c r="BZ131">
        <f ca="1">IF($AN131="",OFFSET(Demand!$A$13,ROW(J128)-1,4+((QUOTIENT(COLUMN(BZ$2)-69,3))*5)+MOD(COLUMN(BZ$2),3),1,1),"")</f>
        <v>10</v>
      </c>
      <c r="CA131">
        <f ca="1">IF($AN131="",OFFSET(Demand!$A$13,ROW(K128)-1,4+((QUOTIENT(COLUMN(CA$2)-69,3))*5)+MOD(COLUMN(CA$2),3),1,1),"")</f>
        <v>4</v>
      </c>
      <c r="CB131">
        <f ca="1">IF($AN131="",OFFSET(Demand!$A$13,ROW(L128)-1,4+((QUOTIENT(COLUMN(CB$2)-69,3))*5)+MOD(COLUMN(CB$2),3),1,1),"")</f>
        <v>2</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0</v>
      </c>
      <c r="B132" s="5">
        <f ca="1">COUNTBLANK(OFFSET(Demand!$I141,0,(COLUMN(A129)-1)*5,1,1))</f>
        <v>0</v>
      </c>
      <c r="C132" s="5">
        <f ca="1">COUNTBLANK(OFFSET(Demand!$I141,0,(COLUMN(B129)-1)*5,1,1))</f>
        <v>0</v>
      </c>
      <c r="D132" s="5">
        <f ca="1">COUNTBLANK(OFFSET(Demand!$I141,0,(COLUMN(C129)-1)*5,1,1))</f>
        <v>0</v>
      </c>
      <c r="E132" s="5">
        <f ca="1">COUNTBLANK(OFFSET(Demand!$I141,0,(COLUMN(D129)-1)*5,1,1))</f>
        <v>0</v>
      </c>
      <c r="F132" s="5">
        <f ca="1">COUNTBLANK(OFFSET(Demand!$I141,0,(COLUMN(E129)-1)*5,1,1))</f>
        <v>0</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6540</v>
      </c>
      <c r="O132" s="5">
        <f ca="1">SUM(OFFSET(Demand!$E141,0,(COLUMN(B129)-1)*5,1,3))*O$2</f>
        <v>5745</v>
      </c>
      <c r="P132" s="5">
        <f ca="1">SUM(OFFSET(Demand!$E141,0,(COLUMN(C129)-1)*5,1,3))*P$2</f>
        <v>240</v>
      </c>
      <c r="Q132" s="5">
        <f ca="1">SUM(OFFSET(Demand!$E141,0,(COLUMN(D129)-1)*5,1,3))*Q$2</f>
        <v>540</v>
      </c>
      <c r="R132" s="5">
        <f ca="1">SUM(OFFSET(Demand!$E141,0,(COLUMN(E129)-1)*5,1,3))*R$2</f>
        <v>3</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13068</v>
      </c>
      <c r="Y132">
        <f t="shared" ref="Y132:Y195" ca="1" si="45">SUM(OFFSET(N132,0,0,1,Num_Modalities))</f>
        <v>13068</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13068</v>
      </c>
      <c r="AM132" s="5">
        <f t="shared" ca="1" si="41"/>
        <v>0</v>
      </c>
      <c r="AN132" s="5" t="str">
        <f>IF(Demand!BE141="Yes","Yes","")</f>
        <v/>
      </c>
      <c r="AP132" s="36" t="str">
        <f ca="1">Demand!B141</f>
        <v xml:space="preserve"> </v>
      </c>
      <c r="AQ132" t="str">
        <f ca="1">IF(TEXT(Demand!D141,"MMM")&lt;&gt;TEXT(Demand!D140,"MMM"),TEXT(Demand!D141,"MMM"),"")</f>
        <v/>
      </c>
      <c r="AT132" s="5">
        <f t="shared" ca="1" si="42"/>
        <v>87</v>
      </c>
      <c r="BQ132">
        <f ca="1">IF($AN132="",OFFSET(Demand!$A$13,ROW(A129)-1,4+((QUOTIENT(COLUMN(BQ$2)-69,3))*5)+MOD(COLUMN(BQ$2),3),1,1),"")</f>
        <v>11</v>
      </c>
      <c r="BR132">
        <f ca="1">IF($AN132="",OFFSET(Demand!$A$13,ROW(B129)-1,4+((QUOTIENT(COLUMN(BR$2)-69,3))*5)+MOD(COLUMN(BR$2),3),1,1),"")</f>
        <v>364</v>
      </c>
      <c r="BS132">
        <f ca="1">IF($AN132="",OFFSET(Demand!$A$13,ROW(C129)-1,4+((QUOTIENT(COLUMN(BS$2)-69,3))*5)+MOD(COLUMN(BS$2),3),1,1),"")</f>
        <v>61</v>
      </c>
      <c r="BT132">
        <f ca="1">IF($AN132="",OFFSET(Demand!$A$13,ROW(D129)-1,4+((QUOTIENT(COLUMN(BT$2)-69,3))*5)+MOD(COLUMN(BT$2),3),1,1),"")</f>
        <v>68</v>
      </c>
      <c r="BU132">
        <f ca="1">IF($AN132="",OFFSET(Demand!$A$13,ROW(E129)-1,4+((QUOTIENT(COLUMN(BU$2)-69,3))*5)+MOD(COLUMN(BU$2),3),1,1),"")</f>
        <v>280</v>
      </c>
      <c r="BV132">
        <f ca="1">IF($AN132="",OFFSET(Demand!$A$13,ROW(F129)-1,4+((QUOTIENT(COLUMN(BV$2)-69,3))*5)+MOD(COLUMN(BV$2),3),1,1),"")</f>
        <v>35</v>
      </c>
      <c r="BW132">
        <f ca="1">IF($AN132="",OFFSET(Demand!$A$13,ROW(G129)-1,4+((QUOTIENT(COLUMN(BW$2)-69,3))*5)+MOD(COLUMN(BW$2),3),1,1),"")</f>
        <v>0</v>
      </c>
      <c r="BX132">
        <f ca="1">IF($AN132="",OFFSET(Demand!$A$13,ROW(H129)-1,4+((QUOTIENT(COLUMN(BX$2)-69,3))*5)+MOD(COLUMN(BX$2),3),1,1),"")</f>
        <v>4</v>
      </c>
      <c r="BY132">
        <f ca="1">IF($AN132="",OFFSET(Demand!$A$13,ROW(I129)-1,4+((QUOTIENT(COLUMN(BY$2)-69,3))*5)+MOD(COLUMN(BY$2),3),1,1),"")</f>
        <v>4</v>
      </c>
      <c r="BZ132">
        <f ca="1">IF($AN132="",OFFSET(Demand!$A$13,ROW(J129)-1,4+((QUOTIENT(COLUMN(BZ$2)-69,3))*5)+MOD(COLUMN(BZ$2),3),1,1),"")</f>
        <v>12</v>
      </c>
      <c r="CA132">
        <f ca="1">IF($AN132="",OFFSET(Demand!$A$13,ROW(K129)-1,4+((QUOTIENT(COLUMN(CA$2)-69,3))*5)+MOD(COLUMN(CA$2),3),1,1),"")</f>
        <v>4</v>
      </c>
      <c r="CB132">
        <f ca="1">IF($AN132="",OFFSET(Demand!$A$13,ROW(L129)-1,4+((QUOTIENT(COLUMN(CB$2)-69,3))*5)+MOD(COLUMN(CB$2),3),1,1),"")</f>
        <v>2</v>
      </c>
      <c r="CC132">
        <f ca="1">IF($AN132="",OFFSET(Demand!$A$13,ROW(M129)-1,4+((QUOTIENT(COLUMN(CC$2)-69,3))*5)+MOD(COLUMN(CC$2),3),1,1),"")</f>
        <v>3</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0</v>
      </c>
      <c r="B133" s="5">
        <f ca="1">COUNTBLANK(OFFSET(Demand!$I142,0,(COLUMN(A130)-1)*5,1,1))</f>
        <v>0</v>
      </c>
      <c r="C133" s="5">
        <f ca="1">COUNTBLANK(OFFSET(Demand!$I142,0,(COLUMN(B130)-1)*5,1,1))</f>
        <v>0</v>
      </c>
      <c r="D133" s="5">
        <f ca="1">COUNTBLANK(OFFSET(Demand!$I142,0,(COLUMN(C130)-1)*5,1,1))</f>
        <v>0</v>
      </c>
      <c r="E133" s="5">
        <f ca="1">COUNTBLANK(OFFSET(Demand!$I142,0,(COLUMN(D130)-1)*5,1,1))</f>
        <v>0</v>
      </c>
      <c r="F133" s="5">
        <f ca="1">COUNTBLANK(OFFSET(Demand!$I142,0,(COLUMN(E130)-1)*5,1,1))</f>
        <v>0</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5865</v>
      </c>
      <c r="O133" s="5">
        <f ca="1">SUM(OFFSET(Demand!$E142,0,(COLUMN(B130)-1)*5,1,3))*O$2</f>
        <v>5190</v>
      </c>
      <c r="P133" s="5">
        <f ca="1">SUM(OFFSET(Demand!$E142,0,(COLUMN(C130)-1)*5,1,3))*P$2</f>
        <v>150</v>
      </c>
      <c r="Q133" s="5">
        <f ca="1">SUM(OFFSET(Demand!$E142,0,(COLUMN(D130)-1)*5,1,3))*Q$2</f>
        <v>780</v>
      </c>
      <c r="R133" s="5">
        <f ca="1">SUM(OFFSET(Demand!$E142,0,(COLUMN(E130)-1)*5,1,3))*R$2</f>
        <v>2</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11987</v>
      </c>
      <c r="Y133">
        <f t="shared" ca="1" si="45"/>
        <v>11987</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11987</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1081</v>
      </c>
      <c r="BQ133">
        <f ca="1">IF($AN133="",OFFSET(Demand!$A$13,ROW(A130)-1,4+((QUOTIENT(COLUMN(BQ$2)-69,3))*5)+MOD(COLUMN(BQ$2),3),1,1),"")</f>
        <v>8</v>
      </c>
      <c r="BR133">
        <f ca="1">IF($AN133="",OFFSET(Demand!$A$13,ROW(B130)-1,4+((QUOTIENT(COLUMN(BR$2)-69,3))*5)+MOD(COLUMN(BR$2),3),1,1),"")</f>
        <v>329</v>
      </c>
      <c r="BS133">
        <f ca="1">IF($AN133="",OFFSET(Demand!$A$13,ROW(C130)-1,4+((QUOTIENT(COLUMN(BS$2)-69,3))*5)+MOD(COLUMN(BS$2),3),1,1),"")</f>
        <v>54</v>
      </c>
      <c r="BT133">
        <f ca="1">IF($AN133="",OFFSET(Demand!$A$13,ROW(D130)-1,4+((QUOTIENT(COLUMN(BT$2)-69,3))*5)+MOD(COLUMN(BT$2),3),1,1),"")</f>
        <v>71</v>
      </c>
      <c r="BU133">
        <f ca="1">IF($AN133="",OFFSET(Demand!$A$13,ROW(E130)-1,4+((QUOTIENT(COLUMN(BU$2)-69,3))*5)+MOD(COLUMN(BU$2),3),1,1),"")</f>
        <v>233</v>
      </c>
      <c r="BV133">
        <f ca="1">IF($AN133="",OFFSET(Demand!$A$13,ROW(F130)-1,4+((QUOTIENT(COLUMN(BV$2)-69,3))*5)+MOD(COLUMN(BV$2),3),1,1),"")</f>
        <v>42</v>
      </c>
      <c r="BW133">
        <f ca="1">IF($AN133="",OFFSET(Demand!$A$13,ROW(G130)-1,4+((QUOTIENT(COLUMN(BW$2)-69,3))*5)+MOD(COLUMN(BW$2),3),1,1),"")</f>
        <v>0</v>
      </c>
      <c r="BX133">
        <f ca="1">IF($AN133="",OFFSET(Demand!$A$13,ROW(H130)-1,4+((QUOTIENT(COLUMN(BX$2)-69,3))*5)+MOD(COLUMN(BX$2),3),1,1),"")</f>
        <v>0</v>
      </c>
      <c r="BY133">
        <f ca="1">IF($AN133="",OFFSET(Demand!$A$13,ROW(I130)-1,4+((QUOTIENT(COLUMN(BY$2)-69,3))*5)+MOD(COLUMN(BY$2),3),1,1),"")</f>
        <v>5</v>
      </c>
      <c r="BZ133">
        <f ca="1">IF($AN133="",OFFSET(Demand!$A$13,ROW(J130)-1,4+((QUOTIENT(COLUMN(BZ$2)-69,3))*5)+MOD(COLUMN(BZ$2),3),1,1),"")</f>
        <v>17</v>
      </c>
      <c r="CA133">
        <f ca="1">IF($AN133="",OFFSET(Demand!$A$13,ROW(K130)-1,4+((QUOTIENT(COLUMN(CA$2)-69,3))*5)+MOD(COLUMN(CA$2),3),1,1),"")</f>
        <v>4</v>
      </c>
      <c r="CB133">
        <f ca="1">IF($AN133="",OFFSET(Demand!$A$13,ROW(L130)-1,4+((QUOTIENT(COLUMN(CB$2)-69,3))*5)+MOD(COLUMN(CB$2),3),1,1),"")</f>
        <v>5</v>
      </c>
      <c r="CC133">
        <f ca="1">IF($AN133="",OFFSET(Demand!$A$13,ROW(M130)-1,4+((QUOTIENT(COLUMN(CC$2)-69,3))*5)+MOD(COLUMN(CC$2),3),1,1),"")</f>
        <v>2</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0</v>
      </c>
      <c r="B134" s="5">
        <f ca="1">COUNTBLANK(OFFSET(Demand!$I143,0,(COLUMN(A131)-1)*5,1,1))</f>
        <v>0</v>
      </c>
      <c r="C134" s="5">
        <f ca="1">COUNTBLANK(OFFSET(Demand!$I143,0,(COLUMN(B131)-1)*5,1,1))</f>
        <v>0</v>
      </c>
      <c r="D134" s="5">
        <f ca="1">COUNTBLANK(OFFSET(Demand!$I143,0,(COLUMN(C131)-1)*5,1,1))</f>
        <v>0</v>
      </c>
      <c r="E134" s="5">
        <f ca="1">COUNTBLANK(OFFSET(Demand!$I143,0,(COLUMN(D131)-1)*5,1,1))</f>
        <v>0</v>
      </c>
      <c r="F134" s="5">
        <f ca="1">COUNTBLANK(OFFSET(Demand!$I143,0,(COLUMN(E131)-1)*5,1,1))</f>
        <v>0</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6870</v>
      </c>
      <c r="O134" s="5">
        <f ca="1">SUM(OFFSET(Demand!$E143,0,(COLUMN(B131)-1)*5,1,3))*O$2</f>
        <v>5280</v>
      </c>
      <c r="P134" s="5">
        <f ca="1">SUM(OFFSET(Demand!$E143,0,(COLUMN(C131)-1)*5,1,3))*P$2</f>
        <v>120</v>
      </c>
      <c r="Q134" s="5">
        <f ca="1">SUM(OFFSET(Demand!$E143,0,(COLUMN(D131)-1)*5,1,3))*Q$2</f>
        <v>660</v>
      </c>
      <c r="R134" s="5">
        <f ca="1">SUM(OFFSET(Demand!$E143,0,(COLUMN(E131)-1)*5,1,3))*R$2</f>
        <v>2</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12932</v>
      </c>
      <c r="Y134">
        <f t="shared" ca="1" si="45"/>
        <v>12932</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12932</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945</v>
      </c>
      <c r="BQ134">
        <f ca="1">IF($AN134="",OFFSET(Demand!$A$13,ROW(A131)-1,4+((QUOTIENT(COLUMN(BQ$2)-69,3))*5)+MOD(COLUMN(BQ$2),3),1,1),"")</f>
        <v>11</v>
      </c>
      <c r="BR134">
        <f ca="1">IF($AN134="",OFFSET(Demand!$A$13,ROW(B131)-1,4+((QUOTIENT(COLUMN(BR$2)-69,3))*5)+MOD(COLUMN(BR$2),3),1,1),"")</f>
        <v>382</v>
      </c>
      <c r="BS134">
        <f ca="1">IF($AN134="",OFFSET(Demand!$A$13,ROW(C131)-1,4+((QUOTIENT(COLUMN(BS$2)-69,3))*5)+MOD(COLUMN(BS$2),3),1,1),"")</f>
        <v>65</v>
      </c>
      <c r="BT134">
        <f ca="1">IF($AN134="",OFFSET(Demand!$A$13,ROW(D131)-1,4+((QUOTIENT(COLUMN(BT$2)-69,3))*5)+MOD(COLUMN(BT$2),3),1,1),"")</f>
        <v>72</v>
      </c>
      <c r="BU134">
        <f ca="1">IF($AN134="",OFFSET(Demand!$A$13,ROW(E131)-1,4+((QUOTIENT(COLUMN(BU$2)-69,3))*5)+MOD(COLUMN(BU$2),3),1,1),"")</f>
        <v>240</v>
      </c>
      <c r="BV134">
        <f ca="1">IF($AN134="",OFFSET(Demand!$A$13,ROW(F131)-1,4+((QUOTIENT(COLUMN(BV$2)-69,3))*5)+MOD(COLUMN(BV$2),3),1,1),"")</f>
        <v>40</v>
      </c>
      <c r="BW134">
        <f ca="1">IF($AN134="",OFFSET(Demand!$A$13,ROW(G131)-1,4+((QUOTIENT(COLUMN(BW$2)-69,3))*5)+MOD(COLUMN(BW$2),3),1,1),"")</f>
        <v>0</v>
      </c>
      <c r="BX134">
        <f ca="1">IF($AN134="",OFFSET(Demand!$A$13,ROW(H131)-1,4+((QUOTIENT(COLUMN(BX$2)-69,3))*5)+MOD(COLUMN(BX$2),3),1,1),"")</f>
        <v>0</v>
      </c>
      <c r="BY134">
        <f ca="1">IF($AN134="",OFFSET(Demand!$A$13,ROW(I131)-1,4+((QUOTIENT(COLUMN(BY$2)-69,3))*5)+MOD(COLUMN(BY$2),3),1,1),"")</f>
        <v>4</v>
      </c>
      <c r="BZ134">
        <f ca="1">IF($AN134="",OFFSET(Demand!$A$13,ROW(J131)-1,4+((QUOTIENT(COLUMN(BZ$2)-69,3))*5)+MOD(COLUMN(BZ$2),3),1,1),"")</f>
        <v>17</v>
      </c>
      <c r="CA134">
        <f ca="1">IF($AN134="",OFFSET(Demand!$A$13,ROW(K131)-1,4+((QUOTIENT(COLUMN(CA$2)-69,3))*5)+MOD(COLUMN(CA$2),3),1,1),"")</f>
        <v>3</v>
      </c>
      <c r="CB134">
        <f ca="1">IF($AN134="",OFFSET(Demand!$A$13,ROW(L131)-1,4+((QUOTIENT(COLUMN(CB$2)-69,3))*5)+MOD(COLUMN(CB$2),3),1,1),"")</f>
        <v>2</v>
      </c>
      <c r="CC134">
        <f ca="1">IF($AN134="",OFFSET(Demand!$A$13,ROW(M131)-1,4+((QUOTIENT(COLUMN(CC$2)-69,3))*5)+MOD(COLUMN(CC$2),3),1,1),"")</f>
        <v>2</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1</v>
      </c>
      <c r="B135" s="5">
        <f ca="1">COUNTBLANK(OFFSET(Demand!$I144,0,(COLUMN(A132)-1)*5,1,1))</f>
        <v>0</v>
      </c>
      <c r="C135" s="5">
        <f ca="1">COUNTBLANK(OFFSET(Demand!$I144,0,(COLUMN(B132)-1)*5,1,1))</f>
        <v>0</v>
      </c>
      <c r="D135" s="5">
        <f ca="1">COUNTBLANK(OFFSET(Demand!$I144,0,(COLUMN(C132)-1)*5,1,1))</f>
        <v>0</v>
      </c>
      <c r="E135" s="5">
        <f ca="1">COUNTBLANK(OFFSET(Demand!$I144,0,(COLUMN(D132)-1)*5,1,1))</f>
        <v>0</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6555</v>
      </c>
      <c r="O135" s="5">
        <f ca="1">SUM(OFFSET(Demand!$E144,0,(COLUMN(B132)-1)*5,1,3))*O$2</f>
        <v>5775</v>
      </c>
      <c r="P135" s="5">
        <f ca="1">SUM(OFFSET(Demand!$E144,0,(COLUMN(C132)-1)*5,1,3))*P$2</f>
        <v>240</v>
      </c>
      <c r="Q135" s="5">
        <f ca="1">SUM(OFFSET(Demand!$E144,0,(COLUMN(D132)-1)*5,1,3))*Q$2</f>
        <v>720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13290</v>
      </c>
      <c r="Y135">
        <f t="shared" ca="1" si="45"/>
        <v>13290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13290</v>
      </c>
      <c r="AM135" s="5">
        <f t="shared" ca="1" si="48"/>
        <v>0</v>
      </c>
      <c r="AN135" s="5" t="str">
        <f>IF(Demand!BE144="Yes","Yes","")</f>
        <v/>
      </c>
      <c r="AP135" s="36" t="str">
        <f ca="1">Demand!B144</f>
        <v xml:space="preserve"> </v>
      </c>
      <c r="AQ135" t="str">
        <f ca="1">IF(TEXT(Demand!D144,"MMM")&lt;&gt;TEXT(Demand!D143,"MMM"),TEXT(Demand!D144,"MMM"),"")</f>
        <v>Oct</v>
      </c>
      <c r="AT135" s="5">
        <f t="shared" ca="1" si="49"/>
        <v>358</v>
      </c>
      <c r="BQ135">
        <f ca="1">IF($AN135="",OFFSET(Demand!$A$13,ROW(A132)-1,4+((QUOTIENT(COLUMN(BQ$2)-69,3))*5)+MOD(COLUMN(BQ$2),3),1,1),"")</f>
        <v>10</v>
      </c>
      <c r="BR135">
        <f ca="1">IF($AN135="",OFFSET(Demand!$A$13,ROW(B132)-1,4+((QUOTIENT(COLUMN(BR$2)-69,3))*5)+MOD(COLUMN(BR$2),3),1,1),"")</f>
        <v>359</v>
      </c>
      <c r="BS135">
        <f ca="1">IF($AN135="",OFFSET(Demand!$A$13,ROW(C132)-1,4+((QUOTIENT(COLUMN(BS$2)-69,3))*5)+MOD(COLUMN(BS$2),3),1,1),"")</f>
        <v>68</v>
      </c>
      <c r="BT135">
        <f ca="1">IF($AN135="",OFFSET(Demand!$A$13,ROW(D132)-1,4+((QUOTIENT(COLUMN(BT$2)-69,3))*5)+MOD(COLUMN(BT$2),3),1,1),"")</f>
        <v>84</v>
      </c>
      <c r="BU135">
        <f ca="1">IF($AN135="",OFFSET(Demand!$A$13,ROW(E132)-1,4+((QUOTIENT(COLUMN(BU$2)-69,3))*5)+MOD(COLUMN(BU$2),3),1,1),"")</f>
        <v>259</v>
      </c>
      <c r="BV135">
        <f ca="1">IF($AN135="",OFFSET(Demand!$A$13,ROW(F132)-1,4+((QUOTIENT(COLUMN(BV$2)-69,3))*5)+MOD(COLUMN(BV$2),3),1,1),"")</f>
        <v>42</v>
      </c>
      <c r="BW135">
        <f ca="1">IF($AN135="",OFFSET(Demand!$A$13,ROW(G132)-1,4+((QUOTIENT(COLUMN(BW$2)-69,3))*5)+MOD(COLUMN(BW$2),3),1,1),"")</f>
        <v>0</v>
      </c>
      <c r="BX135">
        <f ca="1">IF($AN135="",OFFSET(Demand!$A$13,ROW(H132)-1,4+((QUOTIENT(COLUMN(BX$2)-69,3))*5)+MOD(COLUMN(BX$2),3),1,1),"")</f>
        <v>0</v>
      </c>
      <c r="BY135">
        <f ca="1">IF($AN135="",OFFSET(Demand!$A$13,ROW(I132)-1,4+((QUOTIENT(COLUMN(BY$2)-69,3))*5)+MOD(COLUMN(BY$2),3),1,1),"")</f>
        <v>8</v>
      </c>
      <c r="BZ135">
        <f ca="1">IF($AN135="",OFFSET(Demand!$A$13,ROW(J132)-1,4+((QUOTIENT(COLUMN(BZ$2)-69,3))*5)+MOD(COLUMN(BZ$2),3),1,1),"")</f>
        <v>17</v>
      </c>
      <c r="CA135">
        <f ca="1">IF($AN135="",OFFSET(Demand!$A$13,ROW(K132)-1,4+((QUOTIENT(COLUMN(CA$2)-69,3))*5)+MOD(COLUMN(CA$2),3),1,1),"")</f>
        <v>7</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0</v>
      </c>
      <c r="B136" s="5">
        <f ca="1">COUNTBLANK(OFFSET(Demand!$I145,0,(COLUMN(A133)-1)*5,1,1))</f>
        <v>0</v>
      </c>
      <c r="C136" s="5">
        <f ca="1">COUNTBLANK(OFFSET(Demand!$I145,0,(COLUMN(B133)-1)*5,1,1))</f>
        <v>0</v>
      </c>
      <c r="D136" s="5">
        <f ca="1">COUNTBLANK(OFFSET(Demand!$I145,0,(COLUMN(C133)-1)*5,1,1))</f>
        <v>0</v>
      </c>
      <c r="E136" s="5">
        <f ca="1">COUNTBLANK(OFFSET(Demand!$I145,0,(COLUMN(D133)-1)*5,1,1))</f>
        <v>0</v>
      </c>
      <c r="F136" s="5">
        <f ca="1">COUNTBLANK(OFFSET(Demand!$I145,0,(COLUMN(E133)-1)*5,1,1))</f>
        <v>0</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6510</v>
      </c>
      <c r="O136" s="5">
        <f ca="1">SUM(OFFSET(Demand!$E145,0,(COLUMN(B133)-1)*5,1,3))*O$2</f>
        <v>5880</v>
      </c>
      <c r="P136" s="5">
        <f ca="1">SUM(OFFSET(Demand!$E145,0,(COLUMN(C133)-1)*5,1,3))*P$2</f>
        <v>690</v>
      </c>
      <c r="Q136" s="5">
        <f ca="1">SUM(OFFSET(Demand!$E145,0,(COLUMN(D133)-1)*5,1,3))*Q$2</f>
        <v>870</v>
      </c>
      <c r="R136" s="5">
        <f ca="1">SUM(OFFSET(Demand!$E145,0,(COLUMN(E133)-1)*5,1,3))*R$2</f>
        <v>2</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13952</v>
      </c>
      <c r="Y136">
        <f t="shared" ca="1" si="45"/>
        <v>13952</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13952</v>
      </c>
      <c r="AM136" s="5">
        <f t="shared" ca="1" si="48"/>
        <v>0</v>
      </c>
      <c r="AN136" s="5" t="str">
        <f>IF(Demand!BE145="Yes","Yes","")</f>
        <v/>
      </c>
      <c r="AP136" s="36" t="str">
        <f ca="1">Demand!B145</f>
        <v xml:space="preserve"> </v>
      </c>
      <c r="AQ136" t="str">
        <f ca="1">IF(TEXT(Demand!D145,"MMM")&lt;&gt;TEXT(Demand!D144,"MMM"),TEXT(Demand!D145,"MMM"),"")</f>
        <v/>
      </c>
      <c r="AT136" s="5">
        <f t="shared" ca="1" si="49"/>
        <v>662</v>
      </c>
      <c r="BQ136">
        <f ca="1">IF($AN136="",OFFSET(Demand!$A$13,ROW(A133)-1,4+((QUOTIENT(COLUMN(BQ$2)-69,3))*5)+MOD(COLUMN(BQ$2),3),1,1),"")</f>
        <v>11</v>
      </c>
      <c r="BR136">
        <f ca="1">IF($AN136="",OFFSET(Demand!$A$13,ROW(B133)-1,4+((QUOTIENT(COLUMN(BR$2)-69,3))*5)+MOD(COLUMN(BR$2),3),1,1),"")</f>
        <v>346</v>
      </c>
      <c r="BS136">
        <f ca="1">IF($AN136="",OFFSET(Demand!$A$13,ROW(C133)-1,4+((QUOTIENT(COLUMN(BS$2)-69,3))*5)+MOD(COLUMN(BS$2),3),1,1),"")</f>
        <v>77</v>
      </c>
      <c r="BT136">
        <f ca="1">IF($AN136="",OFFSET(Demand!$A$13,ROW(D133)-1,4+((QUOTIENT(COLUMN(BT$2)-69,3))*5)+MOD(COLUMN(BT$2),3),1,1),"")</f>
        <v>80</v>
      </c>
      <c r="BU136">
        <f ca="1">IF($AN136="",OFFSET(Demand!$A$13,ROW(E133)-1,4+((QUOTIENT(COLUMN(BU$2)-69,3))*5)+MOD(COLUMN(BU$2),3),1,1),"")</f>
        <v>273</v>
      </c>
      <c r="BV136">
        <f ca="1">IF($AN136="",OFFSET(Demand!$A$13,ROW(F133)-1,4+((QUOTIENT(COLUMN(BV$2)-69,3))*5)+MOD(COLUMN(BV$2),3),1,1),"")</f>
        <v>39</v>
      </c>
      <c r="BW136">
        <f ca="1">IF($AN136="",OFFSET(Demand!$A$13,ROW(G133)-1,4+((QUOTIENT(COLUMN(BW$2)-69,3))*5)+MOD(COLUMN(BW$2),3),1,1),"")</f>
        <v>0</v>
      </c>
      <c r="BX136">
        <f ca="1">IF($AN136="",OFFSET(Demand!$A$13,ROW(H133)-1,4+((QUOTIENT(COLUMN(BX$2)-69,3))*5)+MOD(COLUMN(BX$2),3),1,1),"")</f>
        <v>0</v>
      </c>
      <c r="BY136">
        <f ca="1">IF($AN136="",OFFSET(Demand!$A$13,ROW(I133)-1,4+((QUOTIENT(COLUMN(BY$2)-69,3))*5)+MOD(COLUMN(BY$2),3),1,1),"")</f>
        <v>23</v>
      </c>
      <c r="BZ136">
        <f ca="1">IF($AN136="",OFFSET(Demand!$A$13,ROW(J133)-1,4+((QUOTIENT(COLUMN(BZ$2)-69,3))*5)+MOD(COLUMN(BZ$2),3),1,1),"")</f>
        <v>21</v>
      </c>
      <c r="CA136">
        <f ca="1">IF($AN136="",OFFSET(Demand!$A$13,ROW(K133)-1,4+((QUOTIENT(COLUMN(CA$2)-69,3))*5)+MOD(COLUMN(CA$2),3),1,1),"")</f>
        <v>6</v>
      </c>
      <c r="CB136">
        <f ca="1">IF($AN136="",OFFSET(Demand!$A$13,ROW(L133)-1,4+((QUOTIENT(COLUMN(CB$2)-69,3))*5)+MOD(COLUMN(CB$2),3),1,1),"")</f>
        <v>2</v>
      </c>
      <c r="CC136">
        <f ca="1">IF($AN136="",OFFSET(Demand!$A$13,ROW(M133)-1,4+((QUOTIENT(COLUMN(CC$2)-69,3))*5)+MOD(COLUMN(CC$2),3),1,1),"")</f>
        <v>1</v>
      </c>
      <c r="CD136">
        <f ca="1">IF($AN136="",OFFSET(Demand!$A$13,ROW(N133)-1,4+((QUOTIENT(COLUMN(CD$2)-69,3))*5)+MOD(COLUMN(CD$2),3),1,1),"")</f>
        <v>1</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0</v>
      </c>
      <c r="B137" s="5">
        <f ca="1">COUNTBLANK(OFFSET(Demand!$I146,0,(COLUMN(A134)-1)*5,1,1))</f>
        <v>0</v>
      </c>
      <c r="C137" s="5">
        <f ca="1">COUNTBLANK(OFFSET(Demand!$I146,0,(COLUMN(B134)-1)*5,1,1))</f>
        <v>0</v>
      </c>
      <c r="D137" s="5">
        <f ca="1">COUNTBLANK(OFFSET(Demand!$I146,0,(COLUMN(C134)-1)*5,1,1))</f>
        <v>0</v>
      </c>
      <c r="E137" s="5">
        <f ca="1">COUNTBLANK(OFFSET(Demand!$I146,0,(COLUMN(D134)-1)*5,1,1))</f>
        <v>0</v>
      </c>
      <c r="F137" s="5">
        <f ca="1">COUNTBLANK(OFFSET(Demand!$I146,0,(COLUMN(E134)-1)*5,1,1))</f>
        <v>0</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6300</v>
      </c>
      <c r="O137" s="5">
        <f ca="1">SUM(OFFSET(Demand!$E146,0,(COLUMN(B134)-1)*5,1,3))*O$2</f>
        <v>5220</v>
      </c>
      <c r="P137" s="5">
        <f ca="1">SUM(OFFSET(Demand!$E146,0,(COLUMN(C134)-1)*5,1,3))*P$2</f>
        <v>480</v>
      </c>
      <c r="Q137" s="5">
        <f ca="1">SUM(OFFSET(Demand!$E146,0,(COLUMN(D134)-1)*5,1,3))*Q$2</f>
        <v>690</v>
      </c>
      <c r="R137" s="5">
        <f ca="1">SUM(OFFSET(Demand!$E146,0,(COLUMN(E134)-1)*5,1,3))*R$2</f>
        <v>1</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12691</v>
      </c>
      <c r="Y137">
        <f t="shared" ca="1" si="45"/>
        <v>12691</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12691</v>
      </c>
      <c r="AM137" s="5">
        <f t="shared" ca="1" si="48"/>
        <v>0</v>
      </c>
      <c r="AN137" s="5" t="str">
        <f>IF(Demand!BE146="Yes","Yes","")</f>
        <v/>
      </c>
      <c r="AP137" s="36" t="str">
        <f ca="1">Demand!B146</f>
        <v xml:space="preserve"> </v>
      </c>
      <c r="AQ137" t="str">
        <f ca="1">IF(TEXT(Demand!D146,"MMM")&lt;&gt;TEXT(Demand!D145,"MMM"),TEXT(Demand!D146,"MMM"),"")</f>
        <v/>
      </c>
      <c r="AT137" s="5">
        <f t="shared" ca="1" si="49"/>
        <v>1261</v>
      </c>
      <c r="BQ137">
        <f ca="1">IF($AN137="",OFFSET(Demand!$A$13,ROW(A134)-1,4+((QUOTIENT(COLUMN(BQ$2)-69,3))*5)+MOD(COLUMN(BQ$2),3),1,1),"")</f>
        <v>10</v>
      </c>
      <c r="BR137">
        <f ca="1">IF($AN137="",OFFSET(Demand!$A$13,ROW(B134)-1,4+((QUOTIENT(COLUMN(BR$2)-69,3))*5)+MOD(COLUMN(BR$2),3),1,1),"")</f>
        <v>343</v>
      </c>
      <c r="BS137">
        <f ca="1">IF($AN137="",OFFSET(Demand!$A$13,ROW(C134)-1,4+((QUOTIENT(COLUMN(BS$2)-69,3))*5)+MOD(COLUMN(BS$2),3),1,1),"")</f>
        <v>67</v>
      </c>
      <c r="BT137">
        <f ca="1">IF($AN137="",OFFSET(Demand!$A$13,ROW(D134)-1,4+((QUOTIENT(COLUMN(BT$2)-69,3))*5)+MOD(COLUMN(BT$2),3),1,1),"")</f>
        <v>71</v>
      </c>
      <c r="BU137">
        <f ca="1">IF($AN137="",OFFSET(Demand!$A$13,ROW(E134)-1,4+((QUOTIENT(COLUMN(BU$2)-69,3))*5)+MOD(COLUMN(BU$2),3),1,1),"")</f>
        <v>241</v>
      </c>
      <c r="BV137">
        <f ca="1">IF($AN137="",OFFSET(Demand!$A$13,ROW(F134)-1,4+((QUOTIENT(COLUMN(BV$2)-69,3))*5)+MOD(COLUMN(BV$2),3),1,1),"")</f>
        <v>36</v>
      </c>
      <c r="BW137">
        <f ca="1">IF($AN137="",OFFSET(Demand!$A$13,ROW(G134)-1,4+((QUOTIENT(COLUMN(BW$2)-69,3))*5)+MOD(COLUMN(BW$2),3),1,1),"")</f>
        <v>0</v>
      </c>
      <c r="BX137">
        <f ca="1">IF($AN137="",OFFSET(Demand!$A$13,ROW(H134)-1,4+((QUOTIENT(COLUMN(BX$2)-69,3))*5)+MOD(COLUMN(BX$2),3),1,1),"")</f>
        <v>2</v>
      </c>
      <c r="BY137">
        <f ca="1">IF($AN137="",OFFSET(Demand!$A$13,ROW(I134)-1,4+((QUOTIENT(COLUMN(BY$2)-69,3))*5)+MOD(COLUMN(BY$2),3),1,1),"")</f>
        <v>14</v>
      </c>
      <c r="BZ137">
        <f ca="1">IF($AN137="",OFFSET(Demand!$A$13,ROW(J134)-1,4+((QUOTIENT(COLUMN(BZ$2)-69,3))*5)+MOD(COLUMN(BZ$2),3),1,1),"")</f>
        <v>17</v>
      </c>
      <c r="CA137">
        <f ca="1">IF($AN137="",OFFSET(Demand!$A$13,ROW(K134)-1,4+((QUOTIENT(COLUMN(CA$2)-69,3))*5)+MOD(COLUMN(CA$2),3),1,1),"")</f>
        <v>6</v>
      </c>
      <c r="CB137">
        <f ca="1">IF($AN137="",OFFSET(Demand!$A$13,ROW(L134)-1,4+((QUOTIENT(COLUMN(CB$2)-69,3))*5)+MOD(COLUMN(CB$2),3),1,1),"")</f>
        <v>0</v>
      </c>
      <c r="CC137">
        <f ca="1">IF($AN137="",OFFSET(Demand!$A$13,ROW(M134)-1,4+((QUOTIENT(COLUMN(CC$2)-69,3))*5)+MOD(COLUMN(CC$2),3),1,1),"")</f>
        <v>0</v>
      </c>
      <c r="CD137">
        <f ca="1">IF($AN137="",OFFSET(Demand!$A$13,ROW(N134)-1,4+((QUOTIENT(COLUMN(CD$2)-69,3))*5)+MOD(COLUMN(CD$2),3),1,1),"")</f>
        <v>1</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0</v>
      </c>
      <c r="B138" s="5">
        <f ca="1">COUNTBLANK(OFFSET(Demand!$I147,0,(COLUMN(A135)-1)*5,1,1))</f>
        <v>0</v>
      </c>
      <c r="C138" s="5">
        <f ca="1">COUNTBLANK(OFFSET(Demand!$I147,0,(COLUMN(B135)-1)*5,1,1))</f>
        <v>0</v>
      </c>
      <c r="D138" s="5">
        <f ca="1">COUNTBLANK(OFFSET(Demand!$I147,0,(COLUMN(C135)-1)*5,1,1))</f>
        <v>0</v>
      </c>
      <c r="E138" s="5">
        <f ca="1">COUNTBLANK(OFFSET(Demand!$I147,0,(COLUMN(D135)-1)*5,1,1))</f>
        <v>0</v>
      </c>
      <c r="F138" s="5">
        <f ca="1">COUNTBLANK(OFFSET(Demand!$I147,0,(COLUMN(E135)-1)*5,1,1))</f>
        <v>0</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6315</v>
      </c>
      <c r="O138" s="5">
        <f ca="1">SUM(OFFSET(Demand!$E147,0,(COLUMN(B135)-1)*5,1,3))*O$2</f>
        <v>5325</v>
      </c>
      <c r="P138" s="5">
        <f ca="1">SUM(OFFSET(Demand!$E147,0,(COLUMN(C135)-1)*5,1,3))*P$2</f>
        <v>540</v>
      </c>
      <c r="Q138" s="5">
        <f ca="1">SUM(OFFSET(Demand!$E147,0,(COLUMN(D135)-1)*5,1,3))*Q$2</f>
        <v>690</v>
      </c>
      <c r="R138" s="5">
        <f ca="1">SUM(OFFSET(Demand!$E147,0,(COLUMN(E135)-1)*5,1,3))*R$2</f>
        <v>1</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12871</v>
      </c>
      <c r="Y138">
        <f t="shared" ca="1" si="45"/>
        <v>12871</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12871</v>
      </c>
      <c r="AM138" s="5">
        <f t="shared" ca="1" si="48"/>
        <v>0</v>
      </c>
      <c r="AN138" s="5" t="str">
        <f>IF(Demand!BE147="Yes","Yes","")</f>
        <v/>
      </c>
      <c r="AP138" s="36" t="str">
        <f ca="1">Demand!B147</f>
        <v xml:space="preserve"> </v>
      </c>
      <c r="AQ138" t="str">
        <f ca="1">IF(TEXT(Demand!D147,"MMM")&lt;&gt;TEXT(Demand!D146,"MMM"),TEXT(Demand!D147,"MMM"),"")</f>
        <v/>
      </c>
      <c r="AT138" s="5">
        <f t="shared" ca="1" si="49"/>
        <v>180</v>
      </c>
      <c r="BQ138">
        <f ca="1">IF($AN138="",OFFSET(Demand!$A$13,ROW(A135)-1,4+((QUOTIENT(COLUMN(BQ$2)-69,3))*5)+MOD(COLUMN(BQ$2),3),1,1),"")</f>
        <v>9</v>
      </c>
      <c r="BR138">
        <f ca="1">IF($AN138="",OFFSET(Demand!$A$13,ROW(B135)-1,4+((QUOTIENT(COLUMN(BR$2)-69,3))*5)+MOD(COLUMN(BR$2),3),1,1),"")</f>
        <v>342</v>
      </c>
      <c r="BS138">
        <f ca="1">IF($AN138="",OFFSET(Demand!$A$13,ROW(C135)-1,4+((QUOTIENT(COLUMN(BS$2)-69,3))*5)+MOD(COLUMN(BS$2),3),1,1),"")</f>
        <v>70</v>
      </c>
      <c r="BT138">
        <f ca="1">IF($AN138="",OFFSET(Demand!$A$13,ROW(D135)-1,4+((QUOTIENT(COLUMN(BT$2)-69,3))*5)+MOD(COLUMN(BT$2),3),1,1),"")</f>
        <v>65</v>
      </c>
      <c r="BU138">
        <f ca="1">IF($AN138="",OFFSET(Demand!$A$13,ROW(E135)-1,4+((QUOTIENT(COLUMN(BU$2)-69,3))*5)+MOD(COLUMN(BU$2),3),1,1),"")</f>
        <v>253</v>
      </c>
      <c r="BV138">
        <f ca="1">IF($AN138="",OFFSET(Demand!$A$13,ROW(F135)-1,4+((QUOTIENT(COLUMN(BV$2)-69,3))*5)+MOD(COLUMN(BV$2),3),1,1),"")</f>
        <v>37</v>
      </c>
      <c r="BW138">
        <f ca="1">IF($AN138="",OFFSET(Demand!$A$13,ROW(G135)-1,4+((QUOTIENT(COLUMN(BW$2)-69,3))*5)+MOD(COLUMN(BW$2),3),1,1),"")</f>
        <v>0</v>
      </c>
      <c r="BX138">
        <f ca="1">IF($AN138="",OFFSET(Demand!$A$13,ROW(H135)-1,4+((QUOTIENT(COLUMN(BX$2)-69,3))*5)+MOD(COLUMN(BX$2),3),1,1),"")</f>
        <v>0</v>
      </c>
      <c r="BY138">
        <f ca="1">IF($AN138="",OFFSET(Demand!$A$13,ROW(I135)-1,4+((QUOTIENT(COLUMN(BY$2)-69,3))*5)+MOD(COLUMN(BY$2),3),1,1),"")</f>
        <v>18</v>
      </c>
      <c r="BZ138">
        <f ca="1">IF($AN138="",OFFSET(Demand!$A$13,ROW(J135)-1,4+((QUOTIENT(COLUMN(BZ$2)-69,3))*5)+MOD(COLUMN(BZ$2),3),1,1),"")</f>
        <v>20</v>
      </c>
      <c r="CA138">
        <f ca="1">IF($AN138="",OFFSET(Demand!$A$13,ROW(K135)-1,4+((QUOTIENT(COLUMN(CA$2)-69,3))*5)+MOD(COLUMN(CA$2),3),1,1),"")</f>
        <v>3</v>
      </c>
      <c r="CB138">
        <f ca="1">IF($AN138="",OFFSET(Demand!$A$13,ROW(L135)-1,4+((QUOTIENT(COLUMN(CB$2)-69,3))*5)+MOD(COLUMN(CB$2),3),1,1),"")</f>
        <v>0</v>
      </c>
      <c r="CC138">
        <f ca="1">IF($AN138="",OFFSET(Demand!$A$13,ROW(M135)-1,4+((QUOTIENT(COLUMN(CC$2)-69,3))*5)+MOD(COLUMN(CC$2),3),1,1),"")</f>
        <v>1</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0</v>
      </c>
      <c r="B139" s="5">
        <f ca="1">COUNTBLANK(OFFSET(Demand!$I148,0,(COLUMN(A136)-1)*5,1,1))</f>
        <v>0</v>
      </c>
      <c r="C139" s="5">
        <f ca="1">COUNTBLANK(OFFSET(Demand!$I148,0,(COLUMN(B136)-1)*5,1,1))</f>
        <v>0</v>
      </c>
      <c r="D139" s="5">
        <f ca="1">COUNTBLANK(OFFSET(Demand!$I148,0,(COLUMN(C136)-1)*5,1,1))</f>
        <v>0</v>
      </c>
      <c r="E139" s="5">
        <f ca="1">COUNTBLANK(OFFSET(Demand!$I148,0,(COLUMN(D136)-1)*5,1,1))</f>
        <v>0</v>
      </c>
      <c r="F139" s="5">
        <f ca="1">COUNTBLANK(OFFSET(Demand!$I148,0,(COLUMN(E136)-1)*5,1,1))</f>
        <v>0</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6270</v>
      </c>
      <c r="O139" s="5">
        <f ca="1">SUM(OFFSET(Demand!$E148,0,(COLUMN(B136)-1)*5,1,3))*O$2</f>
        <v>5595</v>
      </c>
      <c r="P139" s="5">
        <f ca="1">SUM(OFFSET(Demand!$E148,0,(COLUMN(C136)-1)*5,1,3))*P$2</f>
        <v>180</v>
      </c>
      <c r="Q139" s="5">
        <f ca="1">SUM(OFFSET(Demand!$E148,0,(COLUMN(D136)-1)*5,1,3))*Q$2</f>
        <v>750</v>
      </c>
      <c r="R139" s="5">
        <f ca="1">SUM(OFFSET(Demand!$E148,0,(COLUMN(E136)-1)*5,1,3))*R$2</f>
        <v>1</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12796</v>
      </c>
      <c r="Y139">
        <f t="shared" ca="1" si="45"/>
        <v>12796</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12796</v>
      </c>
      <c r="AM139" s="5">
        <f t="shared" ca="1" si="48"/>
        <v>0</v>
      </c>
      <c r="AN139" s="5" t="str">
        <f>IF(Demand!BE148="Yes","Yes","")</f>
        <v/>
      </c>
      <c r="AP139" s="36" t="str">
        <f ca="1">Demand!B148</f>
        <v xml:space="preserve"> </v>
      </c>
      <c r="AQ139" t="str">
        <f ca="1">IF(TEXT(Demand!D148,"MMM")&lt;&gt;TEXT(Demand!D147,"MMM"),TEXT(Demand!D148,"MMM"),"")</f>
        <v>Nov</v>
      </c>
      <c r="AT139" s="5">
        <f t="shared" ca="1" si="49"/>
        <v>75</v>
      </c>
      <c r="BQ139">
        <f ca="1">IF($AN139="",OFFSET(Demand!$A$13,ROW(A136)-1,4+((QUOTIENT(COLUMN(BQ$2)-69,3))*5)+MOD(COLUMN(BQ$2),3),1,1),"")</f>
        <v>4</v>
      </c>
      <c r="BR139">
        <f ca="1">IF($AN139="",OFFSET(Demand!$A$13,ROW(B136)-1,4+((QUOTIENT(COLUMN(BR$2)-69,3))*5)+MOD(COLUMN(BR$2),3),1,1),"")</f>
        <v>346</v>
      </c>
      <c r="BS139">
        <f ca="1">IF($AN139="",OFFSET(Demand!$A$13,ROW(C136)-1,4+((QUOTIENT(COLUMN(BS$2)-69,3))*5)+MOD(COLUMN(BS$2),3),1,1),"")</f>
        <v>68</v>
      </c>
      <c r="BT139">
        <f ca="1">IF($AN139="",OFFSET(Demand!$A$13,ROW(D136)-1,4+((QUOTIENT(COLUMN(BT$2)-69,3))*5)+MOD(COLUMN(BT$2),3),1,1),"")</f>
        <v>67</v>
      </c>
      <c r="BU139">
        <f ca="1">IF($AN139="",OFFSET(Demand!$A$13,ROW(E136)-1,4+((QUOTIENT(COLUMN(BU$2)-69,3))*5)+MOD(COLUMN(BU$2),3),1,1),"")</f>
        <v>258</v>
      </c>
      <c r="BV139">
        <f ca="1">IF($AN139="",OFFSET(Demand!$A$13,ROW(F136)-1,4+((QUOTIENT(COLUMN(BV$2)-69,3))*5)+MOD(COLUMN(BV$2),3),1,1),"")</f>
        <v>48</v>
      </c>
      <c r="BW139">
        <f ca="1">IF($AN139="",OFFSET(Demand!$A$13,ROW(G136)-1,4+((QUOTIENT(COLUMN(BW$2)-69,3))*5)+MOD(COLUMN(BW$2),3),1,1),"")</f>
        <v>0</v>
      </c>
      <c r="BX139">
        <f ca="1">IF($AN139="",OFFSET(Demand!$A$13,ROW(H136)-1,4+((QUOTIENT(COLUMN(BX$2)-69,3))*5)+MOD(COLUMN(BX$2),3),1,1),"")</f>
        <v>2</v>
      </c>
      <c r="BY139">
        <f ca="1">IF($AN139="",OFFSET(Demand!$A$13,ROW(I136)-1,4+((QUOTIENT(COLUMN(BY$2)-69,3))*5)+MOD(COLUMN(BY$2),3),1,1),"")</f>
        <v>4</v>
      </c>
      <c r="BZ139">
        <f ca="1">IF($AN139="",OFFSET(Demand!$A$13,ROW(J136)-1,4+((QUOTIENT(COLUMN(BZ$2)-69,3))*5)+MOD(COLUMN(BZ$2),3),1,1),"")</f>
        <v>17</v>
      </c>
      <c r="CA139">
        <f ca="1">IF($AN139="",OFFSET(Demand!$A$13,ROW(K136)-1,4+((QUOTIENT(COLUMN(CA$2)-69,3))*5)+MOD(COLUMN(CA$2),3),1,1),"")</f>
        <v>3</v>
      </c>
      <c r="CB139">
        <f ca="1">IF($AN139="",OFFSET(Demand!$A$13,ROW(L136)-1,4+((QUOTIENT(COLUMN(CB$2)-69,3))*5)+MOD(COLUMN(CB$2),3),1,1),"")</f>
        <v>5</v>
      </c>
      <c r="CC139">
        <f ca="1">IF($AN139="",OFFSET(Demand!$A$13,ROW(M136)-1,4+((QUOTIENT(COLUMN(CC$2)-69,3))*5)+MOD(COLUMN(CC$2),3),1,1),"")</f>
        <v>0</v>
      </c>
      <c r="CD139">
        <f ca="1">IF($AN139="",OFFSET(Demand!$A$13,ROW(N136)-1,4+((QUOTIENT(COLUMN(CD$2)-69,3))*5)+MOD(COLUMN(CD$2),3),1,1),"")</f>
        <v>1</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0</v>
      </c>
      <c r="B140" s="5">
        <f ca="1">COUNTBLANK(OFFSET(Demand!$I149,0,(COLUMN(A137)-1)*5,1,1))</f>
        <v>0</v>
      </c>
      <c r="C140" s="5">
        <f ca="1">COUNTBLANK(OFFSET(Demand!$I149,0,(COLUMN(B137)-1)*5,1,1))</f>
        <v>0</v>
      </c>
      <c r="D140" s="5">
        <f ca="1">COUNTBLANK(OFFSET(Demand!$I149,0,(COLUMN(C137)-1)*5,1,1))</f>
        <v>0</v>
      </c>
      <c r="E140" s="5">
        <f ca="1">COUNTBLANK(OFFSET(Demand!$I149,0,(COLUMN(D137)-1)*5,1,1))</f>
        <v>0</v>
      </c>
      <c r="F140" s="5">
        <f ca="1">COUNTBLANK(OFFSET(Demand!$I149,0,(COLUMN(E137)-1)*5,1,1))</f>
        <v>0</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6720</v>
      </c>
      <c r="O140" s="5">
        <f ca="1">SUM(OFFSET(Demand!$E149,0,(COLUMN(B137)-1)*5,1,3))*O$2</f>
        <v>5565</v>
      </c>
      <c r="P140" s="5">
        <f ca="1">SUM(OFFSET(Demand!$E149,0,(COLUMN(C137)-1)*5,1,3))*P$2</f>
        <v>390</v>
      </c>
      <c r="Q140" s="5">
        <f ca="1">SUM(OFFSET(Demand!$E149,0,(COLUMN(D137)-1)*5,1,3))*Q$2</f>
        <v>930</v>
      </c>
      <c r="R140" s="5">
        <f ca="1">SUM(OFFSET(Demand!$E149,0,(COLUMN(E137)-1)*5,1,3))*R$2</f>
        <v>1</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13606</v>
      </c>
      <c r="Y140">
        <f t="shared" ca="1" si="45"/>
        <v>13606</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13606</v>
      </c>
      <c r="AM140" s="5">
        <f t="shared" ca="1" si="48"/>
        <v>0</v>
      </c>
      <c r="AN140" s="5" t="str">
        <f>IF(Demand!BE149="Yes","Yes","")</f>
        <v/>
      </c>
      <c r="AP140" s="36" t="str">
        <f ca="1">Demand!B149</f>
        <v xml:space="preserve"> </v>
      </c>
      <c r="AQ140" t="str">
        <f ca="1">IF(TEXT(Demand!D149,"MMM")&lt;&gt;TEXT(Demand!D148,"MMM"),TEXT(Demand!D149,"MMM"),"")</f>
        <v/>
      </c>
      <c r="AT140" s="5">
        <f t="shared" ca="1" si="49"/>
        <v>810</v>
      </c>
      <c r="BQ140">
        <f ca="1">IF($AN140="",OFFSET(Demand!$A$13,ROW(A137)-1,4+((QUOTIENT(COLUMN(BQ$2)-69,3))*5)+MOD(COLUMN(BQ$2),3),1,1),"")</f>
        <v>11</v>
      </c>
      <c r="BR140">
        <f ca="1">IF($AN140="",OFFSET(Demand!$A$13,ROW(B137)-1,4+((QUOTIENT(COLUMN(BR$2)-69,3))*5)+MOD(COLUMN(BR$2),3),1,1),"")</f>
        <v>366</v>
      </c>
      <c r="BS140">
        <f ca="1">IF($AN140="",OFFSET(Demand!$A$13,ROW(C137)-1,4+((QUOTIENT(COLUMN(BS$2)-69,3))*5)+MOD(COLUMN(BS$2),3),1,1),"")</f>
        <v>71</v>
      </c>
      <c r="BT140">
        <f ca="1">IF($AN140="",OFFSET(Demand!$A$13,ROW(D137)-1,4+((QUOTIENT(COLUMN(BT$2)-69,3))*5)+MOD(COLUMN(BT$2),3),1,1),"")</f>
        <v>78</v>
      </c>
      <c r="BU140">
        <f ca="1">IF($AN140="",OFFSET(Demand!$A$13,ROW(E137)-1,4+((QUOTIENT(COLUMN(BU$2)-69,3))*5)+MOD(COLUMN(BU$2),3),1,1),"")</f>
        <v>250</v>
      </c>
      <c r="BV140">
        <f ca="1">IF($AN140="",OFFSET(Demand!$A$13,ROW(F137)-1,4+((QUOTIENT(COLUMN(BV$2)-69,3))*5)+MOD(COLUMN(BV$2),3),1,1),"")</f>
        <v>43</v>
      </c>
      <c r="BW140">
        <f ca="1">IF($AN140="",OFFSET(Demand!$A$13,ROW(G137)-1,4+((QUOTIENT(COLUMN(BW$2)-69,3))*5)+MOD(COLUMN(BW$2),3),1,1),"")</f>
        <v>0</v>
      </c>
      <c r="BX140">
        <f ca="1">IF($AN140="",OFFSET(Demand!$A$13,ROW(H137)-1,4+((QUOTIENT(COLUMN(BX$2)-69,3))*5)+MOD(COLUMN(BX$2),3),1,1),"")</f>
        <v>0</v>
      </c>
      <c r="BY140">
        <f ca="1">IF($AN140="",OFFSET(Demand!$A$13,ROW(I137)-1,4+((QUOTIENT(COLUMN(BY$2)-69,3))*5)+MOD(COLUMN(BY$2),3),1,1),"")</f>
        <v>13</v>
      </c>
      <c r="BZ140">
        <f ca="1">IF($AN140="",OFFSET(Demand!$A$13,ROW(J137)-1,4+((QUOTIENT(COLUMN(BZ$2)-69,3))*5)+MOD(COLUMN(BZ$2),3),1,1),"")</f>
        <v>25</v>
      </c>
      <c r="CA140">
        <f ca="1">IF($AN140="",OFFSET(Demand!$A$13,ROW(K137)-1,4+((QUOTIENT(COLUMN(CA$2)-69,3))*5)+MOD(COLUMN(CA$2),3),1,1),"")</f>
        <v>2</v>
      </c>
      <c r="CB140">
        <f ca="1">IF($AN140="",OFFSET(Demand!$A$13,ROW(L137)-1,4+((QUOTIENT(COLUMN(CB$2)-69,3))*5)+MOD(COLUMN(CB$2),3),1,1),"")</f>
        <v>4</v>
      </c>
      <c r="CC140">
        <f ca="1">IF($AN140="",OFFSET(Demand!$A$13,ROW(M137)-1,4+((QUOTIENT(COLUMN(CC$2)-69,3))*5)+MOD(COLUMN(CC$2),3),1,1),"")</f>
        <v>0</v>
      </c>
      <c r="CD140">
        <f ca="1">IF($AN140="",OFFSET(Demand!$A$13,ROW(N137)-1,4+((QUOTIENT(COLUMN(CD$2)-69,3))*5)+MOD(COLUMN(CD$2),3),1,1),"")</f>
        <v>1</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0</v>
      </c>
      <c r="B141" s="5">
        <f ca="1">COUNTBLANK(OFFSET(Demand!$I150,0,(COLUMN(A138)-1)*5,1,1))</f>
        <v>0</v>
      </c>
      <c r="C141" s="5">
        <f ca="1">COUNTBLANK(OFFSET(Demand!$I150,0,(COLUMN(B138)-1)*5,1,1))</f>
        <v>0</v>
      </c>
      <c r="D141" s="5">
        <f ca="1">COUNTBLANK(OFFSET(Demand!$I150,0,(COLUMN(C138)-1)*5,1,1))</f>
        <v>0</v>
      </c>
      <c r="E141" s="5">
        <f ca="1">COUNTBLANK(OFFSET(Demand!$I150,0,(COLUMN(D138)-1)*5,1,1))</f>
        <v>0</v>
      </c>
      <c r="F141" s="5">
        <f ca="1">COUNTBLANK(OFFSET(Demand!$I150,0,(COLUMN(E138)-1)*5,1,1))</f>
        <v>0</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6615</v>
      </c>
      <c r="O141" s="5">
        <f ca="1">SUM(OFFSET(Demand!$E150,0,(COLUMN(B138)-1)*5,1,3))*O$2</f>
        <v>5925</v>
      </c>
      <c r="P141" s="5">
        <f ca="1">SUM(OFFSET(Demand!$E150,0,(COLUMN(C138)-1)*5,1,3))*P$2</f>
        <v>390</v>
      </c>
      <c r="Q141" s="5">
        <f ca="1">SUM(OFFSET(Demand!$E150,0,(COLUMN(D138)-1)*5,1,3))*Q$2</f>
        <v>840</v>
      </c>
      <c r="R141" s="5">
        <f ca="1">SUM(OFFSET(Demand!$E150,0,(COLUMN(E138)-1)*5,1,3))*R$2</f>
        <v>3</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13773</v>
      </c>
      <c r="Y141">
        <f t="shared" ca="1" si="45"/>
        <v>13773</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13773</v>
      </c>
      <c r="AM141" s="5">
        <f t="shared" ca="1" si="48"/>
        <v>0</v>
      </c>
      <c r="AN141" s="5" t="str">
        <f>IF(Demand!BE150="Yes","Yes","")</f>
        <v/>
      </c>
      <c r="AP141" s="36" t="str">
        <f ca="1">Demand!B150</f>
        <v xml:space="preserve"> </v>
      </c>
      <c r="AQ141" t="str">
        <f ca="1">IF(TEXT(Demand!D150,"MMM")&lt;&gt;TEXT(Demand!D149,"MMM"),TEXT(Demand!D150,"MMM"),"")</f>
        <v/>
      </c>
      <c r="AT141" s="5">
        <f t="shared" ca="1" si="49"/>
        <v>167</v>
      </c>
      <c r="BQ141">
        <f ca="1">IF($AN141="",OFFSET(Demand!$A$13,ROW(A138)-1,4+((QUOTIENT(COLUMN(BQ$2)-69,3))*5)+MOD(COLUMN(BQ$2),3),1,1),"")</f>
        <v>6</v>
      </c>
      <c r="BR141">
        <f ca="1">IF($AN141="",OFFSET(Demand!$A$13,ROW(B138)-1,4+((QUOTIENT(COLUMN(BR$2)-69,3))*5)+MOD(COLUMN(BR$2),3),1,1),"")</f>
        <v>369</v>
      </c>
      <c r="BS141">
        <f ca="1">IF($AN141="",OFFSET(Demand!$A$13,ROW(C138)-1,4+((QUOTIENT(COLUMN(BS$2)-69,3))*5)+MOD(COLUMN(BS$2),3),1,1),"")</f>
        <v>66</v>
      </c>
      <c r="BT141">
        <f ca="1">IF($AN141="",OFFSET(Demand!$A$13,ROW(D138)-1,4+((QUOTIENT(COLUMN(BT$2)-69,3))*5)+MOD(COLUMN(BT$2),3),1,1),"")</f>
        <v>70</v>
      </c>
      <c r="BU141">
        <f ca="1">IF($AN141="",OFFSET(Demand!$A$13,ROW(E138)-1,4+((QUOTIENT(COLUMN(BU$2)-69,3))*5)+MOD(COLUMN(BU$2),3),1,1),"")</f>
        <v>276</v>
      </c>
      <c r="BV141">
        <f ca="1">IF($AN141="",OFFSET(Demand!$A$13,ROW(F138)-1,4+((QUOTIENT(COLUMN(BV$2)-69,3))*5)+MOD(COLUMN(BV$2),3),1,1),"")</f>
        <v>49</v>
      </c>
      <c r="BW141">
        <f ca="1">IF($AN141="",OFFSET(Demand!$A$13,ROW(G138)-1,4+((QUOTIENT(COLUMN(BW$2)-69,3))*5)+MOD(COLUMN(BW$2),3),1,1),"")</f>
        <v>0</v>
      </c>
      <c r="BX141">
        <f ca="1">IF($AN141="",OFFSET(Demand!$A$13,ROW(H138)-1,4+((QUOTIENT(COLUMN(BX$2)-69,3))*5)+MOD(COLUMN(BX$2),3),1,1),"")</f>
        <v>1</v>
      </c>
      <c r="BY141">
        <f ca="1">IF($AN141="",OFFSET(Demand!$A$13,ROW(I138)-1,4+((QUOTIENT(COLUMN(BY$2)-69,3))*5)+MOD(COLUMN(BY$2),3),1,1),"")</f>
        <v>12</v>
      </c>
      <c r="BZ141">
        <f ca="1">IF($AN141="",OFFSET(Demand!$A$13,ROW(J138)-1,4+((QUOTIENT(COLUMN(BZ$2)-69,3))*5)+MOD(COLUMN(BZ$2),3),1,1),"")</f>
        <v>19</v>
      </c>
      <c r="CA141">
        <f ca="1">IF($AN141="",OFFSET(Demand!$A$13,ROW(K138)-1,4+((QUOTIENT(COLUMN(CA$2)-69,3))*5)+MOD(COLUMN(CA$2),3),1,1),"")</f>
        <v>3</v>
      </c>
      <c r="CB141">
        <f ca="1">IF($AN141="",OFFSET(Demand!$A$13,ROW(L138)-1,4+((QUOTIENT(COLUMN(CB$2)-69,3))*5)+MOD(COLUMN(CB$2),3),1,1),"")</f>
        <v>6</v>
      </c>
      <c r="CC141">
        <f ca="1">IF($AN141="",OFFSET(Demand!$A$13,ROW(M138)-1,4+((QUOTIENT(COLUMN(CC$2)-69,3))*5)+MOD(COLUMN(CC$2),3),1,1),"")</f>
        <v>2</v>
      </c>
      <c r="CD141">
        <f ca="1">IF($AN141="",OFFSET(Demand!$A$13,ROW(N138)-1,4+((QUOTIENT(COLUMN(CD$2)-69,3))*5)+MOD(COLUMN(CD$2),3),1,1),"")</f>
        <v>1</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1</v>
      </c>
      <c r="B142" s="5">
        <f ca="1">COUNTBLANK(OFFSET(Demand!$I151,0,(COLUMN(A139)-1)*5,1,1))</f>
        <v>0</v>
      </c>
      <c r="C142" s="5">
        <f ca="1">COUNTBLANK(OFFSET(Demand!$I151,0,(COLUMN(B139)-1)*5,1,1))</f>
        <v>0</v>
      </c>
      <c r="D142" s="5">
        <f ca="1">COUNTBLANK(OFFSET(Demand!$I151,0,(COLUMN(C139)-1)*5,1,1))</f>
        <v>0</v>
      </c>
      <c r="E142" s="5">
        <f ca="1">COUNTBLANK(OFFSET(Demand!$I151,0,(COLUMN(D139)-1)*5,1,1))</f>
        <v>0</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6525</v>
      </c>
      <c r="O142" s="5">
        <f ca="1">SUM(OFFSET(Demand!$E151,0,(COLUMN(B139)-1)*5,1,3))*O$2</f>
        <v>5055</v>
      </c>
      <c r="P142" s="5">
        <f ca="1">SUM(OFFSET(Demand!$E151,0,(COLUMN(C139)-1)*5,1,3))*P$2</f>
        <v>390</v>
      </c>
      <c r="Q142" s="5">
        <f ca="1">SUM(OFFSET(Demand!$E151,0,(COLUMN(D139)-1)*5,1,3))*Q$2</f>
        <v>1080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13050</v>
      </c>
      <c r="Y142">
        <f t="shared" ca="1" si="45"/>
        <v>13050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13050</v>
      </c>
      <c r="AM142" s="5">
        <f t="shared" ca="1" si="48"/>
        <v>0</v>
      </c>
      <c r="AN142" s="5" t="str">
        <f>IF(Demand!BE151="Yes","Yes","")</f>
        <v/>
      </c>
      <c r="AP142" s="36" t="str">
        <f ca="1">Demand!B151</f>
        <v xml:space="preserve"> </v>
      </c>
      <c r="AQ142" t="str">
        <f ca="1">IF(TEXT(Demand!D151,"MMM")&lt;&gt;TEXT(Demand!D150,"MMM"),TEXT(Demand!D151,"MMM"),"")</f>
        <v/>
      </c>
      <c r="AT142" s="5">
        <f t="shared" ca="1" si="49"/>
        <v>723</v>
      </c>
      <c r="BQ142">
        <f ca="1">IF($AN142="",OFFSET(Demand!$A$13,ROW(A139)-1,4+((QUOTIENT(COLUMN(BQ$2)-69,3))*5)+MOD(COLUMN(BQ$2),3),1,1),"")</f>
        <v>9</v>
      </c>
      <c r="BR142">
        <f ca="1">IF($AN142="",OFFSET(Demand!$A$13,ROW(B139)-1,4+((QUOTIENT(COLUMN(BR$2)-69,3))*5)+MOD(COLUMN(BR$2),3),1,1),"")</f>
        <v>361</v>
      </c>
      <c r="BS142">
        <f ca="1">IF($AN142="",OFFSET(Demand!$A$13,ROW(C139)-1,4+((QUOTIENT(COLUMN(BS$2)-69,3))*5)+MOD(COLUMN(BS$2),3),1,1),"")</f>
        <v>65</v>
      </c>
      <c r="BT142">
        <f ca="1">IF($AN142="",OFFSET(Demand!$A$13,ROW(D139)-1,4+((QUOTIENT(COLUMN(BT$2)-69,3))*5)+MOD(COLUMN(BT$2),3),1,1),"")</f>
        <v>57</v>
      </c>
      <c r="BU142">
        <f ca="1">IF($AN142="",OFFSET(Demand!$A$13,ROW(E139)-1,4+((QUOTIENT(COLUMN(BU$2)-69,3))*5)+MOD(COLUMN(BU$2),3),1,1),"")</f>
        <v>236</v>
      </c>
      <c r="BV142">
        <f ca="1">IF($AN142="",OFFSET(Demand!$A$13,ROW(F139)-1,4+((QUOTIENT(COLUMN(BV$2)-69,3))*5)+MOD(COLUMN(BV$2),3),1,1),"")</f>
        <v>44</v>
      </c>
      <c r="BW142">
        <f ca="1">IF($AN142="",OFFSET(Demand!$A$13,ROW(G139)-1,4+((QUOTIENT(COLUMN(BW$2)-69,3))*5)+MOD(COLUMN(BW$2),3),1,1),"")</f>
        <v>0</v>
      </c>
      <c r="BX142">
        <f ca="1">IF($AN142="",OFFSET(Demand!$A$13,ROW(H139)-1,4+((QUOTIENT(COLUMN(BX$2)-69,3))*5)+MOD(COLUMN(BX$2),3),1,1),"")</f>
        <v>3</v>
      </c>
      <c r="BY142">
        <f ca="1">IF($AN142="",OFFSET(Demand!$A$13,ROW(I139)-1,4+((QUOTIENT(COLUMN(BY$2)-69,3))*5)+MOD(COLUMN(BY$2),3),1,1),"")</f>
        <v>10</v>
      </c>
      <c r="BZ142">
        <f ca="1">IF($AN142="",OFFSET(Demand!$A$13,ROW(J139)-1,4+((QUOTIENT(COLUMN(BZ$2)-69,3))*5)+MOD(COLUMN(BZ$2),3),1,1),"")</f>
        <v>27</v>
      </c>
      <c r="CA142">
        <f ca="1">IF($AN142="",OFFSET(Demand!$A$13,ROW(K139)-1,4+((QUOTIENT(COLUMN(CA$2)-69,3))*5)+MOD(COLUMN(CA$2),3),1,1),"")</f>
        <v>3</v>
      </c>
      <c r="CB142">
        <f ca="1">IF($AN142="",OFFSET(Demand!$A$13,ROW(L139)-1,4+((QUOTIENT(COLUMN(CB$2)-69,3))*5)+MOD(COLUMN(CB$2),3),1,1),"")</f>
        <v>6</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1</v>
      </c>
      <c r="B143" s="5">
        <f ca="1">COUNTBLANK(OFFSET(Demand!$I152,0,(COLUMN(A140)-1)*5,1,1))</f>
        <v>0</v>
      </c>
      <c r="C143" s="5">
        <f ca="1">COUNTBLANK(OFFSET(Demand!$I152,0,(COLUMN(B140)-1)*5,1,1))</f>
        <v>0</v>
      </c>
      <c r="D143" s="5">
        <f ca="1">COUNTBLANK(OFFSET(Demand!$I152,0,(COLUMN(C140)-1)*5,1,1))</f>
        <v>0</v>
      </c>
      <c r="E143" s="5">
        <f ca="1">COUNTBLANK(OFFSET(Demand!$I152,0,(COLUMN(D140)-1)*5,1,1))</f>
        <v>0</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7275</v>
      </c>
      <c r="O143" s="5">
        <f ca="1">SUM(OFFSET(Demand!$E152,0,(COLUMN(B140)-1)*5,1,3))*O$2</f>
        <v>5805</v>
      </c>
      <c r="P143" s="5">
        <f ca="1">SUM(OFFSET(Demand!$E152,0,(COLUMN(C140)-1)*5,1,3))*P$2</f>
        <v>210</v>
      </c>
      <c r="Q143" s="5">
        <f ca="1">SUM(OFFSET(Demand!$E152,0,(COLUMN(D140)-1)*5,1,3))*Q$2</f>
        <v>1110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14400</v>
      </c>
      <c r="Y143">
        <f t="shared" ca="1" si="45"/>
        <v>14400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14400</v>
      </c>
      <c r="AM143" s="5">
        <f t="shared" ca="1" si="48"/>
        <v>0</v>
      </c>
      <c r="AN143" s="5" t="str">
        <f>IF(Demand!BE152="Yes","Yes","")</f>
        <v/>
      </c>
      <c r="AP143" s="36" t="str">
        <f ca="1">Demand!B152</f>
        <v xml:space="preserve"> </v>
      </c>
      <c r="AQ143" t="str">
        <f ca="1">IF(TEXT(Demand!D152,"MMM")&lt;&gt;TEXT(Demand!D151,"MMM"),TEXT(Demand!D152,"MMM"),"")</f>
        <v/>
      </c>
      <c r="AT143" s="5">
        <f t="shared" ca="1" si="49"/>
        <v>1350</v>
      </c>
      <c r="BQ143">
        <f ca="1">IF($AN143="",OFFSET(Demand!$A$13,ROW(A140)-1,4+((QUOTIENT(COLUMN(BQ$2)-69,3))*5)+MOD(COLUMN(BQ$2),3),1,1),"")</f>
        <v>12</v>
      </c>
      <c r="BR143">
        <f ca="1">IF($AN143="",OFFSET(Demand!$A$13,ROW(B140)-1,4+((QUOTIENT(COLUMN(BR$2)-69,3))*5)+MOD(COLUMN(BR$2),3),1,1),"")</f>
        <v>396</v>
      </c>
      <c r="BS143">
        <f ca="1">IF($AN143="",OFFSET(Demand!$A$13,ROW(C140)-1,4+((QUOTIENT(COLUMN(BS$2)-69,3))*5)+MOD(COLUMN(BS$2),3),1,1),"")</f>
        <v>77</v>
      </c>
      <c r="BT143">
        <f ca="1">IF($AN143="",OFFSET(Demand!$A$13,ROW(D140)-1,4+((QUOTIENT(COLUMN(BT$2)-69,3))*5)+MOD(COLUMN(BT$2),3),1,1),"")</f>
        <v>76</v>
      </c>
      <c r="BU143">
        <f ca="1">IF($AN143="",OFFSET(Demand!$A$13,ROW(E140)-1,4+((QUOTIENT(COLUMN(BU$2)-69,3))*5)+MOD(COLUMN(BU$2),3),1,1),"")</f>
        <v>267</v>
      </c>
      <c r="BV143">
        <f ca="1">IF($AN143="",OFFSET(Demand!$A$13,ROW(F140)-1,4+((QUOTIENT(COLUMN(BV$2)-69,3))*5)+MOD(COLUMN(BV$2),3),1,1),"")</f>
        <v>44</v>
      </c>
      <c r="BW143">
        <f ca="1">IF($AN143="",OFFSET(Demand!$A$13,ROW(G140)-1,4+((QUOTIENT(COLUMN(BW$2)-69,3))*5)+MOD(COLUMN(BW$2),3),1,1),"")</f>
        <v>0</v>
      </c>
      <c r="BX143">
        <f ca="1">IF($AN143="",OFFSET(Demand!$A$13,ROW(H140)-1,4+((QUOTIENT(COLUMN(BX$2)-69,3))*5)+MOD(COLUMN(BX$2),3),1,1),"")</f>
        <v>0</v>
      </c>
      <c r="BY143">
        <f ca="1">IF($AN143="",OFFSET(Demand!$A$13,ROW(I140)-1,4+((QUOTIENT(COLUMN(BY$2)-69,3))*5)+MOD(COLUMN(BY$2),3),1,1),"")</f>
        <v>7</v>
      </c>
      <c r="BZ143">
        <f ca="1">IF($AN143="",OFFSET(Demand!$A$13,ROW(J140)-1,4+((QUOTIENT(COLUMN(BZ$2)-69,3))*5)+MOD(COLUMN(BZ$2),3),1,1),"")</f>
        <v>22</v>
      </c>
      <c r="CA143">
        <f ca="1">IF($AN143="",OFFSET(Demand!$A$13,ROW(K140)-1,4+((QUOTIENT(COLUMN(CA$2)-69,3))*5)+MOD(COLUMN(CA$2),3),1,1),"")</f>
        <v>9</v>
      </c>
      <c r="CB143">
        <f ca="1">IF($AN143="",OFFSET(Demand!$A$13,ROW(L140)-1,4+((QUOTIENT(COLUMN(CB$2)-69,3))*5)+MOD(COLUMN(CB$2),3),1,1),"")</f>
        <v>6</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0</v>
      </c>
      <c r="B144" s="5">
        <f ca="1">COUNTBLANK(OFFSET(Demand!$I153,0,(COLUMN(A141)-1)*5,1,1))</f>
        <v>0</v>
      </c>
      <c r="C144" s="5">
        <f ca="1">COUNTBLANK(OFFSET(Demand!$I153,0,(COLUMN(B141)-1)*5,1,1))</f>
        <v>0</v>
      </c>
      <c r="D144" s="5">
        <f ca="1">COUNTBLANK(OFFSET(Demand!$I153,0,(COLUMN(C141)-1)*5,1,1))</f>
        <v>0</v>
      </c>
      <c r="E144" s="5">
        <f ca="1">COUNTBLANK(OFFSET(Demand!$I153,0,(COLUMN(D141)-1)*5,1,1))</f>
        <v>0</v>
      </c>
      <c r="F144" s="5">
        <f ca="1">COUNTBLANK(OFFSET(Demand!$I153,0,(COLUMN(E141)-1)*5,1,1))</f>
        <v>0</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7425</v>
      </c>
      <c r="O144" s="5">
        <f ca="1">SUM(OFFSET(Demand!$E153,0,(COLUMN(B141)-1)*5,1,3))*O$2</f>
        <v>6030</v>
      </c>
      <c r="P144" s="5">
        <f ca="1">SUM(OFFSET(Demand!$E153,0,(COLUMN(C141)-1)*5,1,3))*P$2</f>
        <v>420</v>
      </c>
      <c r="Q144" s="5">
        <f ca="1">SUM(OFFSET(Demand!$E153,0,(COLUMN(D141)-1)*5,1,3))*Q$2</f>
        <v>930</v>
      </c>
      <c r="R144" s="5">
        <f ca="1">SUM(OFFSET(Demand!$E153,0,(COLUMN(E141)-1)*5,1,3))*R$2</f>
        <v>1</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14806</v>
      </c>
      <c r="Y144">
        <f t="shared" ca="1" si="45"/>
        <v>14806</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14806</v>
      </c>
      <c r="AM144" s="5">
        <f t="shared" ca="1" si="48"/>
        <v>0</v>
      </c>
      <c r="AN144" s="5" t="str">
        <f>IF(Demand!BE153="Yes","Yes","")</f>
        <v/>
      </c>
      <c r="AP144" s="36" t="str">
        <f ca="1">Demand!B153</f>
        <v xml:space="preserve"> </v>
      </c>
      <c r="AQ144" t="str">
        <f ca="1">IF(TEXT(Demand!D153,"MMM")&lt;&gt;TEXT(Demand!D152,"MMM"),TEXT(Demand!D153,"MMM"),"")</f>
        <v>Dec</v>
      </c>
      <c r="AT144" s="5">
        <f t="shared" ca="1" si="49"/>
        <v>406</v>
      </c>
      <c r="BQ144">
        <f ca="1">IF($AN144="",OFFSET(Demand!$A$13,ROW(A141)-1,4+((QUOTIENT(COLUMN(BQ$2)-69,3))*5)+MOD(COLUMN(BQ$2),3),1,1),"")</f>
        <v>6</v>
      </c>
      <c r="BR144">
        <f ca="1">IF($AN144="",OFFSET(Demand!$A$13,ROW(B141)-1,4+((QUOTIENT(COLUMN(BR$2)-69,3))*5)+MOD(COLUMN(BR$2),3),1,1),"")</f>
        <v>403</v>
      </c>
      <c r="BS144">
        <f ca="1">IF($AN144="",OFFSET(Demand!$A$13,ROW(C141)-1,4+((QUOTIENT(COLUMN(BS$2)-69,3))*5)+MOD(COLUMN(BS$2),3),1,1),"")</f>
        <v>86</v>
      </c>
      <c r="BT144">
        <f ca="1">IF($AN144="",OFFSET(Demand!$A$13,ROW(D141)-1,4+((QUOTIENT(COLUMN(BT$2)-69,3))*5)+MOD(COLUMN(BT$2),3),1,1),"")</f>
        <v>48</v>
      </c>
      <c r="BU144">
        <f ca="1">IF($AN144="",OFFSET(Demand!$A$13,ROW(E141)-1,4+((QUOTIENT(COLUMN(BU$2)-69,3))*5)+MOD(COLUMN(BU$2),3),1,1),"")</f>
        <v>311</v>
      </c>
      <c r="BV144">
        <f ca="1">IF($AN144="",OFFSET(Demand!$A$13,ROW(F141)-1,4+((QUOTIENT(COLUMN(BV$2)-69,3))*5)+MOD(COLUMN(BV$2),3),1,1),"")</f>
        <v>43</v>
      </c>
      <c r="BW144">
        <f ca="1">IF($AN144="",OFFSET(Demand!$A$13,ROW(G141)-1,4+((QUOTIENT(COLUMN(BW$2)-69,3))*5)+MOD(COLUMN(BW$2),3),1,1),"")</f>
        <v>0</v>
      </c>
      <c r="BX144">
        <f ca="1">IF($AN144="",OFFSET(Demand!$A$13,ROW(H141)-1,4+((QUOTIENT(COLUMN(BX$2)-69,3))*5)+MOD(COLUMN(BX$2),3),1,1),"")</f>
        <v>0</v>
      </c>
      <c r="BY144">
        <f ca="1">IF($AN144="",OFFSET(Demand!$A$13,ROW(I141)-1,4+((QUOTIENT(COLUMN(BY$2)-69,3))*5)+MOD(COLUMN(BY$2),3),1,1),"")</f>
        <v>14</v>
      </c>
      <c r="BZ144">
        <f ca="1">IF($AN144="",OFFSET(Demand!$A$13,ROW(J141)-1,4+((QUOTIENT(COLUMN(BZ$2)-69,3))*5)+MOD(COLUMN(BZ$2),3),1,1),"")</f>
        <v>24</v>
      </c>
      <c r="CA144">
        <f ca="1">IF($AN144="",OFFSET(Demand!$A$13,ROW(K141)-1,4+((QUOTIENT(COLUMN(CA$2)-69,3))*5)+MOD(COLUMN(CA$2),3),1,1),"")</f>
        <v>4</v>
      </c>
      <c r="CB144">
        <f ca="1">IF($AN144="",OFFSET(Demand!$A$13,ROW(L141)-1,4+((QUOTIENT(COLUMN(CB$2)-69,3))*5)+MOD(COLUMN(CB$2),3),1,1),"")</f>
        <v>3</v>
      </c>
      <c r="CC144">
        <f ca="1">IF($AN144="",OFFSET(Demand!$A$13,ROW(M141)-1,4+((QUOTIENT(COLUMN(CC$2)-69,3))*5)+MOD(COLUMN(CC$2),3),1,1),"")</f>
        <v>1</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1</v>
      </c>
      <c r="B145" s="5">
        <f ca="1">COUNTBLANK(OFFSET(Demand!$I154,0,(COLUMN(A142)-1)*5,1,1))</f>
        <v>0</v>
      </c>
      <c r="C145" s="5">
        <f ca="1">COUNTBLANK(OFFSET(Demand!$I154,0,(COLUMN(B142)-1)*5,1,1))</f>
        <v>0</v>
      </c>
      <c r="D145" s="5">
        <f ca="1">COUNTBLANK(OFFSET(Demand!$I154,0,(COLUMN(C142)-1)*5,1,1))</f>
        <v>0</v>
      </c>
      <c r="E145" s="5">
        <f ca="1">COUNTBLANK(OFFSET(Demand!$I154,0,(COLUMN(D142)-1)*5,1,1))</f>
        <v>0</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7335</v>
      </c>
      <c r="O145" s="5">
        <f ca="1">SUM(OFFSET(Demand!$E154,0,(COLUMN(B142)-1)*5,1,3))*O$2</f>
        <v>6060</v>
      </c>
      <c r="P145" s="5">
        <f ca="1">SUM(OFFSET(Demand!$E154,0,(COLUMN(C142)-1)*5,1,3))*P$2</f>
        <v>300</v>
      </c>
      <c r="Q145" s="5">
        <f ca="1">SUM(OFFSET(Demand!$E154,0,(COLUMN(D142)-1)*5,1,3))*Q$2</f>
        <v>1080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14775</v>
      </c>
      <c r="Y145">
        <f t="shared" ca="1" si="45"/>
        <v>14775</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14775</v>
      </c>
      <c r="AM145" s="5">
        <f t="shared" ca="1" si="48"/>
        <v>0</v>
      </c>
      <c r="AN145" s="5" t="str">
        <f>IF(Demand!BE154="Yes","Yes","")</f>
        <v/>
      </c>
      <c r="AP145" s="36" t="str">
        <f ca="1">Demand!B154</f>
        <v xml:space="preserve"> </v>
      </c>
      <c r="AQ145" t="str">
        <f ca="1">IF(TEXT(Demand!D154,"MMM")&lt;&gt;TEXT(Demand!D153,"MMM"),TEXT(Demand!D154,"MMM"),"")</f>
        <v/>
      </c>
      <c r="AT145" s="5">
        <f t="shared" ca="1" si="49"/>
        <v>31</v>
      </c>
      <c r="BQ145">
        <f ca="1">IF($AN145="",OFFSET(Demand!$A$13,ROW(A142)-1,4+((QUOTIENT(COLUMN(BQ$2)-69,3))*5)+MOD(COLUMN(BQ$2),3),1,1),"")</f>
        <v>10</v>
      </c>
      <c r="BR145">
        <f ca="1">IF($AN145="",OFFSET(Demand!$A$13,ROW(B142)-1,4+((QUOTIENT(COLUMN(BR$2)-69,3))*5)+MOD(COLUMN(BR$2),3),1,1),"")</f>
        <v>411</v>
      </c>
      <c r="BS145">
        <f ca="1">IF($AN145="",OFFSET(Demand!$A$13,ROW(C142)-1,4+((QUOTIENT(COLUMN(BS$2)-69,3))*5)+MOD(COLUMN(BS$2),3),1,1),"")</f>
        <v>68</v>
      </c>
      <c r="BT145">
        <f ca="1">IF($AN145="",OFFSET(Demand!$A$13,ROW(D142)-1,4+((QUOTIENT(COLUMN(BT$2)-69,3))*5)+MOD(COLUMN(BT$2),3),1,1),"")</f>
        <v>80</v>
      </c>
      <c r="BU145">
        <f ca="1">IF($AN145="",OFFSET(Demand!$A$13,ROW(E142)-1,4+((QUOTIENT(COLUMN(BU$2)-69,3))*5)+MOD(COLUMN(BU$2),3),1,1),"")</f>
        <v>274</v>
      </c>
      <c r="BV145">
        <f ca="1">IF($AN145="",OFFSET(Demand!$A$13,ROW(F142)-1,4+((QUOTIENT(COLUMN(BV$2)-69,3))*5)+MOD(COLUMN(BV$2),3),1,1),"")</f>
        <v>50</v>
      </c>
      <c r="BW145">
        <f ca="1">IF($AN145="",OFFSET(Demand!$A$13,ROW(G142)-1,4+((QUOTIENT(COLUMN(BW$2)-69,3))*5)+MOD(COLUMN(BW$2),3),1,1),"")</f>
        <v>0</v>
      </c>
      <c r="BX145">
        <f ca="1">IF($AN145="",OFFSET(Demand!$A$13,ROW(H142)-1,4+((QUOTIENT(COLUMN(BX$2)-69,3))*5)+MOD(COLUMN(BX$2),3),1,1),"")</f>
        <v>4</v>
      </c>
      <c r="BY145">
        <f ca="1">IF($AN145="",OFFSET(Demand!$A$13,ROW(I142)-1,4+((QUOTIENT(COLUMN(BY$2)-69,3))*5)+MOD(COLUMN(BY$2),3),1,1),"")</f>
        <v>6</v>
      </c>
      <c r="BZ145">
        <f ca="1">IF($AN145="",OFFSET(Demand!$A$13,ROW(J142)-1,4+((QUOTIENT(COLUMN(BZ$2)-69,3))*5)+MOD(COLUMN(BZ$2),3),1,1),"")</f>
        <v>22</v>
      </c>
      <c r="CA145">
        <f ca="1">IF($AN145="",OFFSET(Demand!$A$13,ROW(K142)-1,4+((QUOTIENT(COLUMN(CA$2)-69,3))*5)+MOD(COLUMN(CA$2),3),1,1),"")</f>
        <v>5</v>
      </c>
      <c r="CB145">
        <f ca="1">IF($AN145="",OFFSET(Demand!$A$13,ROW(L142)-1,4+((QUOTIENT(COLUMN(CB$2)-69,3))*5)+MOD(COLUMN(CB$2),3),1,1),"")</f>
        <v>9</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1</v>
      </c>
      <c r="B146" s="5">
        <f ca="1">COUNTBLANK(OFFSET(Demand!$I155,0,(COLUMN(A143)-1)*5,1,1))</f>
        <v>0</v>
      </c>
      <c r="C146" s="5">
        <f ca="1">COUNTBLANK(OFFSET(Demand!$I155,0,(COLUMN(B143)-1)*5,1,1))</f>
        <v>0</v>
      </c>
      <c r="D146" s="5">
        <f ca="1">COUNTBLANK(OFFSET(Demand!$I155,0,(COLUMN(C143)-1)*5,1,1))</f>
        <v>0</v>
      </c>
      <c r="E146" s="5">
        <f ca="1">COUNTBLANK(OFFSET(Demand!$I155,0,(COLUMN(D143)-1)*5,1,1))</f>
        <v>0</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6165</v>
      </c>
      <c r="O146" s="5">
        <f ca="1">SUM(OFFSET(Demand!$E155,0,(COLUMN(B143)-1)*5,1,3))*O$2</f>
        <v>5130</v>
      </c>
      <c r="P146" s="5">
        <f ca="1">SUM(OFFSET(Demand!$E155,0,(COLUMN(C143)-1)*5,1,3))*P$2</f>
        <v>180</v>
      </c>
      <c r="Q146" s="5">
        <f ca="1">SUM(OFFSET(Demand!$E155,0,(COLUMN(D143)-1)*5,1,3))*Q$2</f>
        <v>420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11895</v>
      </c>
      <c r="Y146">
        <f t="shared" ca="1" si="45"/>
        <v>11895</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11895</v>
      </c>
      <c r="AM146" s="5">
        <f t="shared" ca="1" si="48"/>
        <v>0</v>
      </c>
      <c r="AN146" s="5" t="str">
        <f>IF(Demand!BE155="Yes","Yes","")</f>
        <v/>
      </c>
      <c r="AP146" s="36" t="str">
        <f ca="1">Demand!B155</f>
        <v xml:space="preserve"> </v>
      </c>
      <c r="AQ146" t="str">
        <f ca="1">IF(TEXT(Demand!D155,"MMM")&lt;&gt;TEXT(Demand!D154,"MMM"),TEXT(Demand!D155,"MMM"),"")</f>
        <v/>
      </c>
      <c r="AT146" s="5">
        <f t="shared" ca="1" si="49"/>
        <v>2880</v>
      </c>
      <c r="BQ146">
        <f ca="1">IF($AN146="",OFFSET(Demand!$A$13,ROW(A143)-1,4+((QUOTIENT(COLUMN(BQ$2)-69,3))*5)+MOD(COLUMN(BQ$2),3),1,1),"")</f>
        <v>5</v>
      </c>
      <c r="BR146">
        <f ca="1">IF($AN146="",OFFSET(Demand!$A$13,ROW(B143)-1,4+((QUOTIENT(COLUMN(BR$2)-69,3))*5)+MOD(COLUMN(BR$2),3),1,1),"")</f>
        <v>369</v>
      </c>
      <c r="BS146">
        <f ca="1">IF($AN146="",OFFSET(Demand!$A$13,ROW(C143)-1,4+((QUOTIENT(COLUMN(BS$2)-69,3))*5)+MOD(COLUMN(BS$2),3),1,1),"")</f>
        <v>37</v>
      </c>
      <c r="BT146">
        <f ca="1">IF($AN146="",OFFSET(Demand!$A$13,ROW(D143)-1,4+((QUOTIENT(COLUMN(BT$2)-69,3))*5)+MOD(COLUMN(BT$2),3),1,1),"")</f>
        <v>70</v>
      </c>
      <c r="BU146">
        <f ca="1">IF($AN146="",OFFSET(Demand!$A$13,ROW(E143)-1,4+((QUOTIENT(COLUMN(BU$2)-69,3))*5)+MOD(COLUMN(BU$2),3),1,1),"")</f>
        <v>250</v>
      </c>
      <c r="BV146">
        <f ca="1">IF($AN146="",OFFSET(Demand!$A$13,ROW(F143)-1,4+((QUOTIENT(COLUMN(BV$2)-69,3))*5)+MOD(COLUMN(BV$2),3),1,1),"")</f>
        <v>22</v>
      </c>
      <c r="BW146">
        <f ca="1">IF($AN146="",OFFSET(Demand!$A$13,ROW(G143)-1,4+((QUOTIENT(COLUMN(BW$2)-69,3))*5)+MOD(COLUMN(BW$2),3),1,1),"")</f>
        <v>0</v>
      </c>
      <c r="BX146">
        <f ca="1">IF($AN146="",OFFSET(Demand!$A$13,ROW(H143)-1,4+((QUOTIENT(COLUMN(BX$2)-69,3))*5)+MOD(COLUMN(BX$2),3),1,1),"")</f>
        <v>0</v>
      </c>
      <c r="BY146">
        <f ca="1">IF($AN146="",OFFSET(Demand!$A$13,ROW(I143)-1,4+((QUOTIENT(COLUMN(BY$2)-69,3))*5)+MOD(COLUMN(BY$2),3),1,1),"")</f>
        <v>6</v>
      </c>
      <c r="BZ146">
        <f ca="1">IF($AN146="",OFFSET(Demand!$A$13,ROW(J143)-1,4+((QUOTIENT(COLUMN(BZ$2)-69,3))*5)+MOD(COLUMN(BZ$2),3),1,1),"")</f>
        <v>10</v>
      </c>
      <c r="CA146">
        <f ca="1">IF($AN146="",OFFSET(Demand!$A$13,ROW(K143)-1,4+((QUOTIENT(COLUMN(CA$2)-69,3))*5)+MOD(COLUMN(CA$2),3),1,1),"")</f>
        <v>1</v>
      </c>
      <c r="CB146">
        <f ca="1">IF($AN146="",OFFSET(Demand!$A$13,ROW(L143)-1,4+((QUOTIENT(COLUMN(CB$2)-69,3))*5)+MOD(COLUMN(CB$2),3),1,1),"")</f>
        <v>3</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0</v>
      </c>
      <c r="B147" s="5">
        <f ca="1">COUNTBLANK(OFFSET(Demand!$I156,0,(COLUMN(A144)-1)*5,1,1))</f>
        <v>0</v>
      </c>
      <c r="C147" s="5">
        <f ca="1">COUNTBLANK(OFFSET(Demand!$I156,0,(COLUMN(B144)-1)*5,1,1))</f>
        <v>0</v>
      </c>
      <c r="D147" s="5">
        <f ca="1">COUNTBLANK(OFFSET(Demand!$I156,0,(COLUMN(C144)-1)*5,1,1))</f>
        <v>0</v>
      </c>
      <c r="E147" s="5">
        <f ca="1">COUNTBLANK(OFFSET(Demand!$I156,0,(COLUMN(D144)-1)*5,1,1))</f>
        <v>0</v>
      </c>
      <c r="F147" s="5">
        <f ca="1">COUNTBLANK(OFFSET(Demand!$I156,0,(COLUMN(E144)-1)*5,1,1))</f>
        <v>0</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6165</v>
      </c>
      <c r="O147" s="5">
        <f ca="1">SUM(OFFSET(Demand!$E156,0,(COLUMN(B144)-1)*5,1,3))*O$2</f>
        <v>4500</v>
      </c>
      <c r="P147" s="5">
        <f ca="1">SUM(OFFSET(Demand!$E156,0,(COLUMN(C144)-1)*5,1,3))*P$2</f>
        <v>180</v>
      </c>
      <c r="Q147" s="5">
        <f ca="1">SUM(OFFSET(Demand!$E156,0,(COLUMN(D144)-1)*5,1,3))*Q$2</f>
        <v>510</v>
      </c>
      <c r="R147" s="5">
        <f ca="1">SUM(OFFSET(Demand!$E156,0,(COLUMN(E144)-1)*5,1,3))*R$2</f>
        <v>1</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11356</v>
      </c>
      <c r="Y147">
        <f t="shared" ca="1" si="45"/>
        <v>11356</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11356</v>
      </c>
      <c r="AM147" s="5">
        <f t="shared" ca="1" si="48"/>
        <v>0</v>
      </c>
      <c r="AN147" s="5" t="str">
        <f>IF(Demand!BE156="Yes","Yes","")</f>
        <v/>
      </c>
      <c r="AP147" s="36" t="str">
        <f ca="1">Demand!B156</f>
        <v xml:space="preserve"> </v>
      </c>
      <c r="AQ147" t="str">
        <f ca="1">IF(TEXT(Demand!D156,"MMM")&lt;&gt;TEXT(Demand!D155,"MMM"),TEXT(Demand!D156,"MMM"),"")</f>
        <v/>
      </c>
      <c r="AT147" s="5">
        <f t="shared" ca="1" si="49"/>
        <v>539</v>
      </c>
      <c r="BQ147">
        <f ca="1">IF($AN147="",OFFSET(Demand!$A$13,ROW(A144)-1,4+((QUOTIENT(COLUMN(BQ$2)-69,3))*5)+MOD(COLUMN(BQ$2),3),1,1),"")</f>
        <v>6</v>
      </c>
      <c r="BR147">
        <f ca="1">IF($AN147="",OFFSET(Demand!$A$13,ROW(B144)-1,4+((QUOTIENT(COLUMN(BR$2)-69,3))*5)+MOD(COLUMN(BR$2),3),1,1),"")</f>
        <v>369</v>
      </c>
      <c r="BS147">
        <f ca="1">IF($AN147="",OFFSET(Demand!$A$13,ROW(C144)-1,4+((QUOTIENT(COLUMN(BS$2)-69,3))*5)+MOD(COLUMN(BS$2),3),1,1),"")</f>
        <v>36</v>
      </c>
      <c r="BT147">
        <f ca="1">IF($AN147="",OFFSET(Demand!$A$13,ROW(D144)-1,4+((QUOTIENT(COLUMN(BT$2)-69,3))*5)+MOD(COLUMN(BT$2),3),1,1),"")</f>
        <v>46</v>
      </c>
      <c r="BU147">
        <f ca="1">IF($AN147="",OFFSET(Demand!$A$13,ROW(E144)-1,4+((QUOTIENT(COLUMN(BU$2)-69,3))*5)+MOD(COLUMN(BU$2),3),1,1),"")</f>
        <v>235</v>
      </c>
      <c r="BV147">
        <f ca="1">IF($AN147="",OFFSET(Demand!$A$13,ROW(F144)-1,4+((QUOTIENT(COLUMN(BV$2)-69,3))*5)+MOD(COLUMN(BV$2),3),1,1),"")</f>
        <v>19</v>
      </c>
      <c r="BW147">
        <f ca="1">IF($AN147="",OFFSET(Demand!$A$13,ROW(G144)-1,4+((QUOTIENT(COLUMN(BW$2)-69,3))*5)+MOD(COLUMN(BW$2),3),1,1),"")</f>
        <v>0</v>
      </c>
      <c r="BX147">
        <f ca="1">IF($AN147="",OFFSET(Demand!$A$13,ROW(H144)-1,4+((QUOTIENT(COLUMN(BX$2)-69,3))*5)+MOD(COLUMN(BX$2),3),1,1),"")</f>
        <v>0</v>
      </c>
      <c r="BY147">
        <f ca="1">IF($AN147="",OFFSET(Demand!$A$13,ROW(I144)-1,4+((QUOTIENT(COLUMN(BY$2)-69,3))*5)+MOD(COLUMN(BY$2),3),1,1),"")</f>
        <v>6</v>
      </c>
      <c r="BZ147">
        <f ca="1">IF($AN147="",OFFSET(Demand!$A$13,ROW(J144)-1,4+((QUOTIENT(COLUMN(BZ$2)-69,3))*5)+MOD(COLUMN(BZ$2),3),1,1),"")</f>
        <v>12</v>
      </c>
      <c r="CA147">
        <f ca="1">IF($AN147="",OFFSET(Demand!$A$13,ROW(K144)-1,4+((QUOTIENT(COLUMN(CA$2)-69,3))*5)+MOD(COLUMN(CA$2),3),1,1),"")</f>
        <v>4</v>
      </c>
      <c r="CB147">
        <f ca="1">IF($AN147="",OFFSET(Demand!$A$13,ROW(L144)-1,4+((QUOTIENT(COLUMN(CB$2)-69,3))*5)+MOD(COLUMN(CB$2),3),1,1),"")</f>
        <v>1</v>
      </c>
      <c r="CC147">
        <f ca="1">IF($AN147="",OFFSET(Demand!$A$13,ROW(M144)-1,4+((QUOTIENT(COLUMN(CC$2)-69,3))*5)+MOD(COLUMN(CC$2),3),1,1),"")</f>
        <v>1</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1</v>
      </c>
      <c r="B148" s="5">
        <f ca="1">COUNTBLANK(OFFSET(Demand!$I157,0,(COLUMN(A145)-1)*5,1,1))</f>
        <v>0</v>
      </c>
      <c r="C148" s="5">
        <f ca="1">COUNTBLANK(OFFSET(Demand!$I157,0,(COLUMN(B145)-1)*5,1,1))</f>
        <v>0</v>
      </c>
      <c r="D148" s="5">
        <f ca="1">COUNTBLANK(OFFSET(Demand!$I157,0,(COLUMN(C145)-1)*5,1,1))</f>
        <v>0</v>
      </c>
      <c r="E148" s="5">
        <f ca="1">COUNTBLANK(OFFSET(Demand!$I157,0,(COLUMN(D145)-1)*5,1,1))</f>
        <v>0</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7665</v>
      </c>
      <c r="O148" s="5">
        <f ca="1">SUM(OFFSET(Demand!$E157,0,(COLUMN(B145)-1)*5,1,3))*O$2</f>
        <v>5715</v>
      </c>
      <c r="P148" s="5">
        <f ca="1">SUM(OFFSET(Demand!$E157,0,(COLUMN(C145)-1)*5,1,3))*P$2</f>
        <v>240</v>
      </c>
      <c r="Q148" s="5">
        <f ca="1">SUM(OFFSET(Demand!$E157,0,(COLUMN(D145)-1)*5,1,3))*Q$2</f>
        <v>1170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14790</v>
      </c>
      <c r="Y148">
        <f t="shared" ca="1" si="45"/>
        <v>14790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14790</v>
      </c>
      <c r="AM148" s="5">
        <f t="shared" ca="1" si="48"/>
        <v>0</v>
      </c>
      <c r="AN148" s="5" t="str">
        <f>IF(Demand!BE157="Yes","Yes","")</f>
        <v/>
      </c>
      <c r="AP148" s="36">
        <f ca="1">Demand!B157</f>
        <v>2021</v>
      </c>
      <c r="AQ148" t="str">
        <f ca="1">IF(TEXT(Demand!D157,"MMM")&lt;&gt;TEXT(Demand!D156,"MMM"),TEXT(Demand!D157,"MMM"),"")</f>
        <v>Jan</v>
      </c>
      <c r="AT148" s="5">
        <f t="shared" ca="1" si="49"/>
        <v>3434</v>
      </c>
      <c r="BQ148">
        <f ca="1">IF($AN148="",OFFSET(Demand!$A$13,ROW(A145)-1,4+((QUOTIENT(COLUMN(BQ$2)-69,3))*5)+MOD(COLUMN(BQ$2),3),1,1),"")</f>
        <v>7</v>
      </c>
      <c r="BR148">
        <f ca="1">IF($AN148="",OFFSET(Demand!$A$13,ROW(B145)-1,4+((QUOTIENT(COLUMN(BR$2)-69,3))*5)+MOD(COLUMN(BR$2),3),1,1),"")</f>
        <v>441</v>
      </c>
      <c r="BS148">
        <f ca="1">IF($AN148="",OFFSET(Demand!$A$13,ROW(C145)-1,4+((QUOTIENT(COLUMN(BS$2)-69,3))*5)+MOD(COLUMN(BS$2),3),1,1),"")</f>
        <v>63</v>
      </c>
      <c r="BT148">
        <f ca="1">IF($AN148="",OFFSET(Demand!$A$13,ROW(D145)-1,4+((QUOTIENT(COLUMN(BT$2)-69,3))*5)+MOD(COLUMN(BT$2),3),1,1),"")</f>
        <v>59</v>
      </c>
      <c r="BU148">
        <f ca="1">IF($AN148="",OFFSET(Demand!$A$13,ROW(E145)-1,4+((QUOTIENT(COLUMN(BU$2)-69,3))*5)+MOD(COLUMN(BU$2),3),1,1),"")</f>
        <v>286</v>
      </c>
      <c r="BV148">
        <f ca="1">IF($AN148="",OFFSET(Demand!$A$13,ROW(F145)-1,4+((QUOTIENT(COLUMN(BV$2)-69,3))*5)+MOD(COLUMN(BV$2),3),1,1),"")</f>
        <v>36</v>
      </c>
      <c r="BW148">
        <f ca="1">IF($AN148="",OFFSET(Demand!$A$13,ROW(G145)-1,4+((QUOTIENT(COLUMN(BW$2)-69,3))*5)+MOD(COLUMN(BW$2),3),1,1),"")</f>
        <v>0</v>
      </c>
      <c r="BX148">
        <f ca="1">IF($AN148="",OFFSET(Demand!$A$13,ROW(H145)-1,4+((QUOTIENT(COLUMN(BX$2)-69,3))*5)+MOD(COLUMN(BX$2),3),1,1),"")</f>
        <v>0</v>
      </c>
      <c r="BY148">
        <f ca="1">IF($AN148="",OFFSET(Demand!$A$13,ROW(I145)-1,4+((QUOTIENT(COLUMN(BY$2)-69,3))*5)+MOD(COLUMN(BY$2),3),1,1),"")</f>
        <v>8</v>
      </c>
      <c r="BZ148">
        <f ca="1">IF($AN148="",OFFSET(Demand!$A$13,ROW(J145)-1,4+((QUOTIENT(COLUMN(BZ$2)-69,3))*5)+MOD(COLUMN(BZ$2),3),1,1),"")</f>
        <v>30</v>
      </c>
      <c r="CA148">
        <f ca="1">IF($AN148="",OFFSET(Demand!$A$13,ROW(K145)-1,4+((QUOTIENT(COLUMN(CA$2)-69,3))*5)+MOD(COLUMN(CA$2),3),1,1),"")</f>
        <v>6</v>
      </c>
      <c r="CB148">
        <f ca="1">IF($AN148="",OFFSET(Demand!$A$13,ROW(L145)-1,4+((QUOTIENT(COLUMN(CB$2)-69,3))*5)+MOD(COLUMN(CB$2),3),1,1),"")</f>
        <v>3</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0</v>
      </c>
      <c r="B149" s="5">
        <f ca="1">COUNTBLANK(OFFSET(Demand!$I158,0,(COLUMN(A146)-1)*5,1,1))</f>
        <v>0</v>
      </c>
      <c r="C149" s="5">
        <f ca="1">COUNTBLANK(OFFSET(Demand!$I158,0,(COLUMN(B146)-1)*5,1,1))</f>
        <v>0</v>
      </c>
      <c r="D149" s="5">
        <f ca="1">COUNTBLANK(OFFSET(Demand!$I158,0,(COLUMN(C146)-1)*5,1,1))</f>
        <v>0</v>
      </c>
      <c r="E149" s="5">
        <f ca="1">COUNTBLANK(OFFSET(Demand!$I158,0,(COLUMN(D146)-1)*5,1,1))</f>
        <v>0</v>
      </c>
      <c r="F149" s="5">
        <f ca="1">COUNTBLANK(OFFSET(Demand!$I158,0,(COLUMN(E146)-1)*5,1,1))</f>
        <v>0</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6870</v>
      </c>
      <c r="O149" s="5">
        <f ca="1">SUM(OFFSET(Demand!$E158,0,(COLUMN(B146)-1)*5,1,3))*O$2</f>
        <v>5730</v>
      </c>
      <c r="P149" s="5">
        <f ca="1">SUM(OFFSET(Demand!$E158,0,(COLUMN(C146)-1)*5,1,3))*P$2</f>
        <v>120</v>
      </c>
      <c r="Q149" s="5">
        <f ca="1">SUM(OFFSET(Demand!$E158,0,(COLUMN(D146)-1)*5,1,3))*Q$2</f>
        <v>750</v>
      </c>
      <c r="R149" s="5">
        <f ca="1">SUM(OFFSET(Demand!$E158,0,(COLUMN(E146)-1)*5,1,3))*R$2</f>
        <v>1</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13471</v>
      </c>
      <c r="Y149">
        <f t="shared" ca="1" si="45"/>
        <v>13471</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13471</v>
      </c>
      <c r="AM149" s="5">
        <f t="shared" ca="1" si="48"/>
        <v>0</v>
      </c>
      <c r="AN149" s="5" t="str">
        <f>IF(Demand!BE158="Yes","Yes","")</f>
        <v/>
      </c>
      <c r="AP149" s="36" t="str">
        <f ca="1">Demand!B158</f>
        <v xml:space="preserve"> </v>
      </c>
      <c r="AQ149" t="str">
        <f ca="1">IF(TEXT(Demand!D158,"MMM")&lt;&gt;TEXT(Demand!D157,"MMM"),TEXT(Demand!D158,"MMM"),"")</f>
        <v/>
      </c>
      <c r="AT149" s="5">
        <f t="shared" ca="1" si="49"/>
        <v>1319</v>
      </c>
      <c r="BQ149">
        <f ca="1">IF($AN149="",OFFSET(Demand!$A$13,ROW(A146)-1,4+((QUOTIENT(COLUMN(BQ$2)-69,3))*5)+MOD(COLUMN(BQ$2),3),1,1),"")</f>
        <v>12</v>
      </c>
      <c r="BR149">
        <f ca="1">IF($AN149="",OFFSET(Demand!$A$13,ROW(B146)-1,4+((QUOTIENT(COLUMN(BR$2)-69,3))*5)+MOD(COLUMN(BR$2),3),1,1),"")</f>
        <v>364</v>
      </c>
      <c r="BS149">
        <f ca="1">IF($AN149="",OFFSET(Demand!$A$13,ROW(C146)-1,4+((QUOTIENT(COLUMN(BS$2)-69,3))*5)+MOD(COLUMN(BS$2),3),1,1),"")</f>
        <v>82</v>
      </c>
      <c r="BT149">
        <f ca="1">IF($AN149="",OFFSET(Demand!$A$13,ROW(D146)-1,4+((QUOTIENT(COLUMN(BT$2)-69,3))*5)+MOD(COLUMN(BT$2),3),1,1),"")</f>
        <v>81</v>
      </c>
      <c r="BU149">
        <f ca="1">IF($AN149="",OFFSET(Demand!$A$13,ROW(E146)-1,4+((QUOTIENT(COLUMN(BU$2)-69,3))*5)+MOD(COLUMN(BU$2),3),1,1),"")</f>
        <v>260</v>
      </c>
      <c r="BV149">
        <f ca="1">IF($AN149="",OFFSET(Demand!$A$13,ROW(F146)-1,4+((QUOTIENT(COLUMN(BV$2)-69,3))*5)+MOD(COLUMN(BV$2),3),1,1),"")</f>
        <v>41</v>
      </c>
      <c r="BW149">
        <f ca="1">IF($AN149="",OFFSET(Demand!$A$13,ROW(G146)-1,4+((QUOTIENT(COLUMN(BW$2)-69,3))*5)+MOD(COLUMN(BW$2),3),1,1),"")</f>
        <v>0</v>
      </c>
      <c r="BX149">
        <f ca="1">IF($AN149="",OFFSET(Demand!$A$13,ROW(H146)-1,4+((QUOTIENT(COLUMN(BX$2)-69,3))*5)+MOD(COLUMN(BX$2),3),1,1),"")</f>
        <v>0</v>
      </c>
      <c r="BY149">
        <f ca="1">IF($AN149="",OFFSET(Demand!$A$13,ROW(I146)-1,4+((QUOTIENT(COLUMN(BY$2)-69,3))*5)+MOD(COLUMN(BY$2),3),1,1),"")</f>
        <v>4</v>
      </c>
      <c r="BZ149">
        <f ca="1">IF($AN149="",OFFSET(Demand!$A$13,ROW(J146)-1,4+((QUOTIENT(COLUMN(BZ$2)-69,3))*5)+MOD(COLUMN(BZ$2),3),1,1),"")</f>
        <v>18</v>
      </c>
      <c r="CA149">
        <f ca="1">IF($AN149="",OFFSET(Demand!$A$13,ROW(K146)-1,4+((QUOTIENT(COLUMN(CA$2)-69,3))*5)+MOD(COLUMN(CA$2),3),1,1),"")</f>
        <v>3</v>
      </c>
      <c r="CB149">
        <f ca="1">IF($AN149="",OFFSET(Demand!$A$13,ROW(L146)-1,4+((QUOTIENT(COLUMN(CB$2)-69,3))*5)+MOD(COLUMN(CB$2),3),1,1),"")</f>
        <v>4</v>
      </c>
      <c r="CC149">
        <f ca="1">IF($AN149="",OFFSET(Demand!$A$13,ROW(M146)-1,4+((QUOTIENT(COLUMN(CC$2)-69,3))*5)+MOD(COLUMN(CC$2),3),1,1),"")</f>
        <v>0</v>
      </c>
      <c r="CD149">
        <f ca="1">IF($AN149="",OFFSET(Demand!$A$13,ROW(N146)-1,4+((QUOTIENT(COLUMN(CD$2)-69,3))*5)+MOD(COLUMN(CD$2),3),1,1),"")</f>
        <v>1</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0</v>
      </c>
      <c r="B150" s="5">
        <f ca="1">COUNTBLANK(OFFSET(Demand!$I159,0,(COLUMN(A147)-1)*5,1,1))</f>
        <v>0</v>
      </c>
      <c r="C150" s="5">
        <f ca="1">COUNTBLANK(OFFSET(Demand!$I159,0,(COLUMN(B147)-1)*5,1,1))</f>
        <v>0</v>
      </c>
      <c r="D150" s="5">
        <f ca="1">COUNTBLANK(OFFSET(Demand!$I159,0,(COLUMN(C147)-1)*5,1,1))</f>
        <v>0</v>
      </c>
      <c r="E150" s="5">
        <f ca="1">COUNTBLANK(OFFSET(Demand!$I159,0,(COLUMN(D147)-1)*5,1,1))</f>
        <v>0</v>
      </c>
      <c r="F150" s="5">
        <f ca="1">COUNTBLANK(OFFSET(Demand!$I159,0,(COLUMN(E147)-1)*5,1,1))</f>
        <v>0</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7485</v>
      </c>
      <c r="O150" s="5">
        <f ca="1">SUM(OFFSET(Demand!$E159,0,(COLUMN(B147)-1)*5,1,3))*O$2</f>
        <v>6390</v>
      </c>
      <c r="P150" s="5">
        <f ca="1">SUM(OFFSET(Demand!$E159,0,(COLUMN(C147)-1)*5,1,3))*P$2</f>
        <v>300</v>
      </c>
      <c r="Q150" s="5">
        <f ca="1">SUM(OFFSET(Demand!$E159,0,(COLUMN(D147)-1)*5,1,3))*Q$2</f>
        <v>900</v>
      </c>
      <c r="R150" s="5">
        <f ca="1">SUM(OFFSET(Demand!$E159,0,(COLUMN(E147)-1)*5,1,3))*R$2</f>
        <v>1</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15076</v>
      </c>
      <c r="Y150">
        <f t="shared" ca="1" si="45"/>
        <v>15076</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15076</v>
      </c>
      <c r="AM150" s="5">
        <f t="shared" ca="1" si="48"/>
        <v>0</v>
      </c>
      <c r="AN150" s="5" t="str">
        <f>IF(Demand!BE159="Yes","Yes","")</f>
        <v/>
      </c>
      <c r="AP150" s="36" t="str">
        <f ca="1">Demand!B159</f>
        <v xml:space="preserve"> </v>
      </c>
      <c r="AQ150" t="str">
        <f ca="1">IF(TEXT(Demand!D159,"MMM")&lt;&gt;TEXT(Demand!D158,"MMM"),TEXT(Demand!D159,"MMM"),"")</f>
        <v/>
      </c>
      <c r="AT150" s="5">
        <f t="shared" ca="1" si="49"/>
        <v>1605</v>
      </c>
      <c r="BQ150">
        <f ca="1">IF($AN150="",OFFSET(Demand!$A$13,ROW(A147)-1,4+((QUOTIENT(COLUMN(BQ$2)-69,3))*5)+MOD(COLUMN(BQ$2),3),1,1),"")</f>
        <v>11</v>
      </c>
      <c r="BR150">
        <f ca="1">IF($AN150="",OFFSET(Demand!$A$13,ROW(B147)-1,4+((QUOTIENT(COLUMN(BR$2)-69,3))*5)+MOD(COLUMN(BR$2),3),1,1),"")</f>
        <v>414</v>
      </c>
      <c r="BS150">
        <f ca="1">IF($AN150="",OFFSET(Demand!$A$13,ROW(C147)-1,4+((QUOTIENT(COLUMN(BS$2)-69,3))*5)+MOD(COLUMN(BS$2),3),1,1),"")</f>
        <v>74</v>
      </c>
      <c r="BT150">
        <f ca="1">IF($AN150="",OFFSET(Demand!$A$13,ROW(D147)-1,4+((QUOTIENT(COLUMN(BT$2)-69,3))*5)+MOD(COLUMN(BT$2),3),1,1),"")</f>
        <v>72</v>
      </c>
      <c r="BU150">
        <f ca="1">IF($AN150="",OFFSET(Demand!$A$13,ROW(E147)-1,4+((QUOTIENT(COLUMN(BU$2)-69,3))*5)+MOD(COLUMN(BU$2),3),1,1),"")</f>
        <v>310</v>
      </c>
      <c r="BV150">
        <f ca="1">IF($AN150="",OFFSET(Demand!$A$13,ROW(F147)-1,4+((QUOTIENT(COLUMN(BV$2)-69,3))*5)+MOD(COLUMN(BV$2),3),1,1),"")</f>
        <v>44</v>
      </c>
      <c r="BW150">
        <f ca="1">IF($AN150="",OFFSET(Demand!$A$13,ROW(G147)-1,4+((QUOTIENT(COLUMN(BW$2)-69,3))*5)+MOD(COLUMN(BW$2),3),1,1),"")</f>
        <v>0</v>
      </c>
      <c r="BX150">
        <f ca="1">IF($AN150="",OFFSET(Demand!$A$13,ROW(H147)-1,4+((QUOTIENT(COLUMN(BX$2)-69,3))*5)+MOD(COLUMN(BX$2),3),1,1),"")</f>
        <v>0</v>
      </c>
      <c r="BY150">
        <f ca="1">IF($AN150="",OFFSET(Demand!$A$13,ROW(I147)-1,4+((QUOTIENT(COLUMN(BY$2)-69,3))*5)+MOD(COLUMN(BY$2),3),1,1),"")</f>
        <v>10</v>
      </c>
      <c r="BZ150">
        <f ca="1">IF($AN150="",OFFSET(Demand!$A$13,ROW(J147)-1,4+((QUOTIENT(COLUMN(BZ$2)-69,3))*5)+MOD(COLUMN(BZ$2),3),1,1),"")</f>
        <v>20</v>
      </c>
      <c r="CA150">
        <f ca="1">IF($AN150="",OFFSET(Demand!$A$13,ROW(K147)-1,4+((QUOTIENT(COLUMN(CA$2)-69,3))*5)+MOD(COLUMN(CA$2),3),1,1),"")</f>
        <v>5</v>
      </c>
      <c r="CB150">
        <f ca="1">IF($AN150="",OFFSET(Demand!$A$13,ROW(L147)-1,4+((QUOTIENT(COLUMN(CB$2)-69,3))*5)+MOD(COLUMN(CB$2),3),1,1),"")</f>
        <v>5</v>
      </c>
      <c r="CC150">
        <f ca="1">IF($AN150="",OFFSET(Demand!$A$13,ROW(M147)-1,4+((QUOTIENT(COLUMN(CC$2)-69,3))*5)+MOD(COLUMN(CC$2),3),1,1),"")</f>
        <v>0</v>
      </c>
      <c r="CD150">
        <f ca="1">IF($AN150="",OFFSET(Demand!$A$13,ROW(N147)-1,4+((QUOTIENT(COLUMN(CD$2)-69,3))*5)+MOD(COLUMN(CD$2),3),1,1),"")</f>
        <v>1</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0</v>
      </c>
      <c r="B151" s="5">
        <f ca="1">COUNTBLANK(OFFSET(Demand!$I160,0,(COLUMN(A148)-1)*5,1,1))</f>
        <v>0</v>
      </c>
      <c r="C151" s="5">
        <f ca="1">COUNTBLANK(OFFSET(Demand!$I160,0,(COLUMN(B148)-1)*5,1,1))</f>
        <v>0</v>
      </c>
      <c r="D151" s="5">
        <f ca="1">COUNTBLANK(OFFSET(Demand!$I160,0,(COLUMN(C148)-1)*5,1,1))</f>
        <v>0</v>
      </c>
      <c r="E151" s="5">
        <f ca="1">COUNTBLANK(OFFSET(Demand!$I160,0,(COLUMN(D148)-1)*5,1,1))</f>
        <v>0</v>
      </c>
      <c r="F151" s="5">
        <f ca="1">COUNTBLANK(OFFSET(Demand!$I160,0,(COLUMN(E148)-1)*5,1,1))</f>
        <v>0</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6795</v>
      </c>
      <c r="O151" s="5">
        <f ca="1">SUM(OFFSET(Demand!$E160,0,(COLUMN(B148)-1)*5,1,3))*O$2</f>
        <v>5805</v>
      </c>
      <c r="P151" s="5">
        <f ca="1">SUM(OFFSET(Demand!$E160,0,(COLUMN(C148)-1)*5,1,3))*P$2</f>
        <v>240</v>
      </c>
      <c r="Q151" s="5">
        <f ca="1">SUM(OFFSET(Demand!$E160,0,(COLUMN(D148)-1)*5,1,3))*Q$2</f>
        <v>930</v>
      </c>
      <c r="R151" s="5">
        <f ca="1">SUM(OFFSET(Demand!$E160,0,(COLUMN(E148)-1)*5,1,3))*R$2</f>
        <v>2</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13772</v>
      </c>
      <c r="Y151">
        <f t="shared" ca="1" si="45"/>
        <v>13772</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13772</v>
      </c>
      <c r="AM151" s="5">
        <f t="shared" ca="1" si="48"/>
        <v>0</v>
      </c>
      <c r="AN151" s="5" t="str">
        <f>IF(Demand!BE160="Yes","Yes","")</f>
        <v/>
      </c>
      <c r="AP151" s="36" t="str">
        <f ca="1">Demand!B160</f>
        <v xml:space="preserve"> </v>
      </c>
      <c r="AQ151" t="str">
        <f ca="1">IF(TEXT(Demand!D160,"MMM")&lt;&gt;TEXT(Demand!D159,"MMM"),TEXT(Demand!D160,"MMM"),"")</f>
        <v/>
      </c>
      <c r="AT151" s="5">
        <f t="shared" ca="1" si="49"/>
        <v>1304</v>
      </c>
      <c r="BQ151">
        <f ca="1">IF($AN151="",OFFSET(Demand!$A$13,ROW(A148)-1,4+((QUOTIENT(COLUMN(BQ$2)-69,3))*5)+MOD(COLUMN(BQ$2),3),1,1),"")</f>
        <v>9</v>
      </c>
      <c r="BR151">
        <f ca="1">IF($AN151="",OFFSET(Demand!$A$13,ROW(B148)-1,4+((QUOTIENT(COLUMN(BR$2)-69,3))*5)+MOD(COLUMN(BR$2),3),1,1),"")</f>
        <v>369</v>
      </c>
      <c r="BS151">
        <f ca="1">IF($AN151="",OFFSET(Demand!$A$13,ROW(C148)-1,4+((QUOTIENT(COLUMN(BS$2)-69,3))*5)+MOD(COLUMN(BS$2),3),1,1),"")</f>
        <v>75</v>
      </c>
      <c r="BT151">
        <f ca="1">IF($AN151="",OFFSET(Demand!$A$13,ROW(D148)-1,4+((QUOTIENT(COLUMN(BT$2)-69,3))*5)+MOD(COLUMN(BT$2),3),1,1),"")</f>
        <v>81</v>
      </c>
      <c r="BU151">
        <f ca="1">IF($AN151="",OFFSET(Demand!$A$13,ROW(E148)-1,4+((QUOTIENT(COLUMN(BU$2)-69,3))*5)+MOD(COLUMN(BU$2),3),1,1),"")</f>
        <v>272</v>
      </c>
      <c r="BV151">
        <f ca="1">IF($AN151="",OFFSET(Demand!$A$13,ROW(F148)-1,4+((QUOTIENT(COLUMN(BV$2)-69,3))*5)+MOD(COLUMN(BV$2),3),1,1),"")</f>
        <v>34</v>
      </c>
      <c r="BW151">
        <f ca="1">IF($AN151="",OFFSET(Demand!$A$13,ROW(G148)-1,4+((QUOTIENT(COLUMN(BW$2)-69,3))*5)+MOD(COLUMN(BW$2),3),1,1),"")</f>
        <v>0</v>
      </c>
      <c r="BX151">
        <f ca="1">IF($AN151="",OFFSET(Demand!$A$13,ROW(H148)-1,4+((QUOTIENT(COLUMN(BX$2)-69,3))*5)+MOD(COLUMN(BX$2),3),1,1),"")</f>
        <v>2</v>
      </c>
      <c r="BY151">
        <f ca="1">IF($AN151="",OFFSET(Demand!$A$13,ROW(I148)-1,4+((QUOTIENT(COLUMN(BY$2)-69,3))*5)+MOD(COLUMN(BY$2),3),1,1),"")</f>
        <v>6</v>
      </c>
      <c r="BZ151">
        <f ca="1">IF($AN151="",OFFSET(Demand!$A$13,ROW(J148)-1,4+((QUOTIENT(COLUMN(BZ$2)-69,3))*5)+MOD(COLUMN(BZ$2),3),1,1),"")</f>
        <v>19</v>
      </c>
      <c r="CA151">
        <f ca="1">IF($AN151="",OFFSET(Demand!$A$13,ROW(K148)-1,4+((QUOTIENT(COLUMN(CA$2)-69,3))*5)+MOD(COLUMN(CA$2),3),1,1),"")</f>
        <v>9</v>
      </c>
      <c r="CB151">
        <f ca="1">IF($AN151="",OFFSET(Demand!$A$13,ROW(L148)-1,4+((QUOTIENT(COLUMN(CB$2)-69,3))*5)+MOD(COLUMN(CB$2),3),1,1),"")</f>
        <v>3</v>
      </c>
      <c r="CC151">
        <f ca="1">IF($AN151="",OFFSET(Demand!$A$13,ROW(M148)-1,4+((QUOTIENT(COLUMN(CC$2)-69,3))*5)+MOD(COLUMN(CC$2),3),1,1),"")</f>
        <v>2</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0</v>
      </c>
      <c r="B152" s="5">
        <f ca="1">COUNTBLANK(OFFSET(Demand!$I161,0,(COLUMN(A149)-1)*5,1,1))</f>
        <v>0</v>
      </c>
      <c r="C152" s="5">
        <f ca="1">COUNTBLANK(OFFSET(Demand!$I161,0,(COLUMN(B149)-1)*5,1,1))</f>
        <v>0</v>
      </c>
      <c r="D152" s="5">
        <f ca="1">COUNTBLANK(OFFSET(Demand!$I161,0,(COLUMN(C149)-1)*5,1,1))</f>
        <v>0</v>
      </c>
      <c r="E152" s="5">
        <f ca="1">COUNTBLANK(OFFSET(Demand!$I161,0,(COLUMN(D149)-1)*5,1,1))</f>
        <v>0</v>
      </c>
      <c r="F152" s="5">
        <f ca="1">COUNTBLANK(OFFSET(Demand!$I161,0,(COLUMN(E149)-1)*5,1,1))</f>
        <v>0</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6630</v>
      </c>
      <c r="O152" s="5">
        <f ca="1">SUM(OFFSET(Demand!$E161,0,(COLUMN(B149)-1)*5,1,3))*O$2</f>
        <v>6135</v>
      </c>
      <c r="P152" s="5">
        <f ca="1">SUM(OFFSET(Demand!$E161,0,(COLUMN(C149)-1)*5,1,3))*P$2</f>
        <v>390</v>
      </c>
      <c r="Q152" s="5">
        <f ca="1">SUM(OFFSET(Demand!$E161,0,(COLUMN(D149)-1)*5,1,3))*Q$2</f>
        <v>690</v>
      </c>
      <c r="R152" s="5">
        <f ca="1">SUM(OFFSET(Demand!$E161,0,(COLUMN(E149)-1)*5,1,3))*R$2</f>
        <v>1</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13846</v>
      </c>
      <c r="Y152">
        <f t="shared" ca="1" si="45"/>
        <v>13846</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13846</v>
      </c>
      <c r="AM152" s="5">
        <f t="shared" ca="1" si="48"/>
        <v>0</v>
      </c>
      <c r="AN152" s="5" t="str">
        <f>IF(Demand!BE161="Yes","Yes","")</f>
        <v/>
      </c>
      <c r="AP152" s="36" t="str">
        <f ca="1">Demand!B161</f>
        <v xml:space="preserve"> </v>
      </c>
      <c r="AQ152" t="str">
        <f ca="1">IF(TEXT(Demand!D161,"MMM")&lt;&gt;TEXT(Demand!D160,"MMM"),TEXT(Demand!D161,"MMM"),"")</f>
        <v>Feb</v>
      </c>
      <c r="AT152" s="5">
        <f t="shared" ca="1" si="49"/>
        <v>74</v>
      </c>
      <c r="BQ152">
        <f ca="1">IF($AN152="",OFFSET(Demand!$A$13,ROW(A149)-1,4+((QUOTIENT(COLUMN(BQ$2)-69,3))*5)+MOD(COLUMN(BQ$2),3),1,1),"")</f>
        <v>6</v>
      </c>
      <c r="BR152">
        <f ca="1">IF($AN152="",OFFSET(Demand!$A$13,ROW(B149)-1,4+((QUOTIENT(COLUMN(BR$2)-69,3))*5)+MOD(COLUMN(BR$2),3),1,1),"")</f>
        <v>368</v>
      </c>
      <c r="BS152">
        <f ca="1">IF($AN152="",OFFSET(Demand!$A$13,ROW(C149)-1,4+((QUOTIENT(COLUMN(BS$2)-69,3))*5)+MOD(COLUMN(BS$2),3),1,1),"")</f>
        <v>68</v>
      </c>
      <c r="BT152">
        <f ca="1">IF($AN152="",OFFSET(Demand!$A$13,ROW(D149)-1,4+((QUOTIENT(COLUMN(BT$2)-69,3))*5)+MOD(COLUMN(BT$2),3),1,1),"")</f>
        <v>75</v>
      </c>
      <c r="BU152">
        <f ca="1">IF($AN152="",OFFSET(Demand!$A$13,ROW(E149)-1,4+((QUOTIENT(COLUMN(BU$2)-69,3))*5)+MOD(COLUMN(BU$2),3),1,1),"")</f>
        <v>294</v>
      </c>
      <c r="BV152">
        <f ca="1">IF($AN152="",OFFSET(Demand!$A$13,ROW(F149)-1,4+((QUOTIENT(COLUMN(BV$2)-69,3))*5)+MOD(COLUMN(BV$2),3),1,1),"")</f>
        <v>40</v>
      </c>
      <c r="BW152">
        <f ca="1">IF($AN152="",OFFSET(Demand!$A$13,ROW(G149)-1,4+((QUOTIENT(COLUMN(BW$2)-69,3))*5)+MOD(COLUMN(BW$2),3),1,1),"")</f>
        <v>2</v>
      </c>
      <c r="BX152">
        <f ca="1">IF($AN152="",OFFSET(Demand!$A$13,ROW(H149)-1,4+((QUOTIENT(COLUMN(BX$2)-69,3))*5)+MOD(COLUMN(BX$2),3),1,1),"")</f>
        <v>2</v>
      </c>
      <c r="BY152">
        <f ca="1">IF($AN152="",OFFSET(Demand!$A$13,ROW(I149)-1,4+((QUOTIENT(COLUMN(BY$2)-69,3))*5)+MOD(COLUMN(BY$2),3),1,1),"")</f>
        <v>9</v>
      </c>
      <c r="BZ152">
        <f ca="1">IF($AN152="",OFFSET(Demand!$A$13,ROW(J149)-1,4+((QUOTIENT(COLUMN(BZ$2)-69,3))*5)+MOD(COLUMN(BZ$2),3),1,1),"")</f>
        <v>18</v>
      </c>
      <c r="CA152">
        <f ca="1">IF($AN152="",OFFSET(Demand!$A$13,ROW(K149)-1,4+((QUOTIENT(COLUMN(CA$2)-69,3))*5)+MOD(COLUMN(CA$2),3),1,1),"")</f>
        <v>4</v>
      </c>
      <c r="CB152">
        <f ca="1">IF($AN152="",OFFSET(Demand!$A$13,ROW(L149)-1,4+((QUOTIENT(COLUMN(CB$2)-69,3))*5)+MOD(COLUMN(CB$2),3),1,1),"")</f>
        <v>1</v>
      </c>
      <c r="CC152">
        <f ca="1">IF($AN152="",OFFSET(Demand!$A$13,ROW(M149)-1,4+((QUOTIENT(COLUMN(CC$2)-69,3))*5)+MOD(COLUMN(CC$2),3),1,1),"")</f>
        <v>0</v>
      </c>
      <c r="CD152">
        <f ca="1">IF($AN152="",OFFSET(Demand!$A$13,ROW(N149)-1,4+((QUOTIENT(COLUMN(CD$2)-69,3))*5)+MOD(COLUMN(CD$2),3),1,1),"")</f>
        <v>1</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1</v>
      </c>
      <c r="B153" s="5">
        <f ca="1">COUNTBLANK(OFFSET(Demand!$I162,0,(COLUMN(A150)-1)*5,1,1))</f>
        <v>0</v>
      </c>
      <c r="C153" s="5">
        <f ca="1">COUNTBLANK(OFFSET(Demand!$I162,0,(COLUMN(B150)-1)*5,1,1))</f>
        <v>0</v>
      </c>
      <c r="D153" s="5">
        <f ca="1">COUNTBLANK(OFFSET(Demand!$I162,0,(COLUMN(C150)-1)*5,1,1))</f>
        <v>0</v>
      </c>
      <c r="E153" s="5">
        <f ca="1">COUNTBLANK(OFFSET(Demand!$I162,0,(COLUMN(D150)-1)*5,1,1))</f>
        <v>0</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6720</v>
      </c>
      <c r="O153" s="5">
        <f ca="1">SUM(OFFSET(Demand!$E162,0,(COLUMN(B150)-1)*5,1,3))*O$2</f>
        <v>5580</v>
      </c>
      <c r="P153" s="5">
        <f ca="1">SUM(OFFSET(Demand!$E162,0,(COLUMN(C150)-1)*5,1,3))*P$2</f>
        <v>450</v>
      </c>
      <c r="Q153" s="5">
        <f ca="1">SUM(OFFSET(Demand!$E162,0,(COLUMN(D150)-1)*5,1,3))*Q$2</f>
        <v>780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13530</v>
      </c>
      <c r="Y153">
        <f t="shared" ca="1" si="45"/>
        <v>13530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13530</v>
      </c>
      <c r="AM153" s="5">
        <f t="shared" ca="1" si="48"/>
        <v>0</v>
      </c>
      <c r="AN153" s="5" t="str">
        <f>IF(Demand!BE162="Yes","Yes","")</f>
        <v/>
      </c>
      <c r="AP153" s="36" t="str">
        <f ca="1">Demand!B162</f>
        <v xml:space="preserve"> </v>
      </c>
      <c r="AQ153" t="str">
        <f ca="1">IF(TEXT(Demand!D162,"MMM")&lt;&gt;TEXT(Demand!D161,"MMM"),TEXT(Demand!D162,"MMM"),"")</f>
        <v/>
      </c>
      <c r="AT153" s="5">
        <f t="shared" ca="1" si="49"/>
        <v>316</v>
      </c>
      <c r="BQ153">
        <f ca="1">IF($AN153="",OFFSET(Demand!$A$13,ROW(A150)-1,4+((QUOTIENT(COLUMN(BQ$2)-69,3))*5)+MOD(COLUMN(BQ$2),3),1,1),"")</f>
        <v>10</v>
      </c>
      <c r="BR153">
        <f ca="1">IF($AN153="",OFFSET(Demand!$A$13,ROW(B150)-1,4+((QUOTIENT(COLUMN(BR$2)-69,3))*5)+MOD(COLUMN(BR$2),3),1,1),"")</f>
        <v>380</v>
      </c>
      <c r="BS153">
        <f ca="1">IF($AN153="",OFFSET(Demand!$A$13,ROW(C150)-1,4+((QUOTIENT(COLUMN(BS$2)-69,3))*5)+MOD(COLUMN(BS$2),3),1,1),"")</f>
        <v>58</v>
      </c>
      <c r="BT153">
        <f ca="1">IF($AN153="",OFFSET(Demand!$A$13,ROW(D150)-1,4+((QUOTIENT(COLUMN(BT$2)-69,3))*5)+MOD(COLUMN(BT$2),3),1,1),"")</f>
        <v>72</v>
      </c>
      <c r="BU153">
        <f ca="1">IF($AN153="",OFFSET(Demand!$A$13,ROW(E150)-1,4+((QUOTIENT(COLUMN(BU$2)-69,3))*5)+MOD(COLUMN(BU$2),3),1,1),"")</f>
        <v>274</v>
      </c>
      <c r="BV153">
        <f ca="1">IF($AN153="",OFFSET(Demand!$A$13,ROW(F150)-1,4+((QUOTIENT(COLUMN(BV$2)-69,3))*5)+MOD(COLUMN(BV$2),3),1,1),"")</f>
        <v>26</v>
      </c>
      <c r="BW153">
        <f ca="1">IF($AN153="",OFFSET(Demand!$A$13,ROW(G150)-1,4+((QUOTIENT(COLUMN(BW$2)-69,3))*5)+MOD(COLUMN(BW$2),3),1,1),"")</f>
        <v>0</v>
      </c>
      <c r="BX153">
        <f ca="1">IF($AN153="",OFFSET(Demand!$A$13,ROW(H150)-1,4+((QUOTIENT(COLUMN(BX$2)-69,3))*5)+MOD(COLUMN(BX$2),3),1,1),"")</f>
        <v>4</v>
      </c>
      <c r="BY153">
        <f ca="1">IF($AN153="",OFFSET(Demand!$A$13,ROW(I150)-1,4+((QUOTIENT(COLUMN(BY$2)-69,3))*5)+MOD(COLUMN(BY$2),3),1,1),"")</f>
        <v>11</v>
      </c>
      <c r="BZ153">
        <f ca="1">IF($AN153="",OFFSET(Demand!$A$13,ROW(J150)-1,4+((QUOTIENT(COLUMN(BZ$2)-69,3))*5)+MOD(COLUMN(BZ$2),3),1,1),"")</f>
        <v>20</v>
      </c>
      <c r="CA153">
        <f ca="1">IF($AN153="",OFFSET(Demand!$A$13,ROW(K150)-1,4+((QUOTIENT(COLUMN(CA$2)-69,3))*5)+MOD(COLUMN(CA$2),3),1,1),"")</f>
        <v>1</v>
      </c>
      <c r="CB153">
        <f ca="1">IF($AN153="",OFFSET(Demand!$A$13,ROW(L150)-1,4+((QUOTIENT(COLUMN(CB$2)-69,3))*5)+MOD(COLUMN(CB$2),3),1,1),"")</f>
        <v>5</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0</v>
      </c>
      <c r="B154" s="5">
        <f ca="1">COUNTBLANK(OFFSET(Demand!$I163,0,(COLUMN(A151)-1)*5,1,1))</f>
        <v>0</v>
      </c>
      <c r="C154" s="5">
        <f ca="1">COUNTBLANK(OFFSET(Demand!$I163,0,(COLUMN(B151)-1)*5,1,1))</f>
        <v>0</v>
      </c>
      <c r="D154" s="5">
        <f ca="1">COUNTBLANK(OFFSET(Demand!$I163,0,(COLUMN(C151)-1)*5,1,1))</f>
        <v>0</v>
      </c>
      <c r="E154" s="5">
        <f ca="1">COUNTBLANK(OFFSET(Demand!$I163,0,(COLUMN(D151)-1)*5,1,1))</f>
        <v>0</v>
      </c>
      <c r="F154" s="5">
        <f ca="1">COUNTBLANK(OFFSET(Demand!$I163,0,(COLUMN(E151)-1)*5,1,1))</f>
        <v>0</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6420</v>
      </c>
      <c r="O154" s="5">
        <f ca="1">SUM(OFFSET(Demand!$E163,0,(COLUMN(B151)-1)*5,1,3))*O$2</f>
        <v>5895</v>
      </c>
      <c r="P154" s="5">
        <f ca="1">SUM(OFFSET(Demand!$E163,0,(COLUMN(C151)-1)*5,1,3))*P$2</f>
        <v>540</v>
      </c>
      <c r="Q154" s="5">
        <f ca="1">SUM(OFFSET(Demand!$E163,0,(COLUMN(D151)-1)*5,1,3))*Q$2</f>
        <v>840</v>
      </c>
      <c r="R154" s="5">
        <f ca="1">SUM(OFFSET(Demand!$E163,0,(COLUMN(E151)-1)*5,1,3))*R$2</f>
        <v>3</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13698</v>
      </c>
      <c r="Y154">
        <f t="shared" ca="1" si="45"/>
        <v>13698</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13698</v>
      </c>
      <c r="AM154" s="5">
        <f t="shared" ca="1" si="48"/>
        <v>0</v>
      </c>
      <c r="AN154" s="5" t="str">
        <f>IF(Demand!BE163="Yes","Yes","")</f>
        <v/>
      </c>
      <c r="AP154" s="36" t="str">
        <f ca="1">Demand!B163</f>
        <v xml:space="preserve"> </v>
      </c>
      <c r="AQ154" t="str">
        <f ca="1">IF(TEXT(Demand!D163,"MMM")&lt;&gt;TEXT(Demand!D162,"MMM"),TEXT(Demand!D163,"MMM"),"")</f>
        <v/>
      </c>
      <c r="AT154" s="5">
        <f t="shared" ca="1" si="49"/>
        <v>168</v>
      </c>
      <c r="BQ154">
        <f ca="1">IF($AN154="",OFFSET(Demand!$A$13,ROW(A151)-1,4+((QUOTIENT(COLUMN(BQ$2)-69,3))*5)+MOD(COLUMN(BQ$2),3),1,1),"")</f>
        <v>14</v>
      </c>
      <c r="BR154">
        <f ca="1">IF($AN154="",OFFSET(Demand!$A$13,ROW(B151)-1,4+((QUOTIENT(COLUMN(BR$2)-69,3))*5)+MOD(COLUMN(BR$2),3),1,1),"")</f>
        <v>360</v>
      </c>
      <c r="BS154">
        <f ca="1">IF($AN154="",OFFSET(Demand!$A$13,ROW(C151)-1,4+((QUOTIENT(COLUMN(BS$2)-69,3))*5)+MOD(COLUMN(BS$2),3),1,1),"")</f>
        <v>54</v>
      </c>
      <c r="BT154">
        <f ca="1">IF($AN154="",OFFSET(Demand!$A$13,ROW(D151)-1,4+((QUOTIENT(COLUMN(BT$2)-69,3))*5)+MOD(COLUMN(BT$2),3),1,1),"")</f>
        <v>81</v>
      </c>
      <c r="BU154">
        <f ca="1">IF($AN154="",OFFSET(Demand!$A$13,ROW(E151)-1,4+((QUOTIENT(COLUMN(BU$2)-69,3))*5)+MOD(COLUMN(BU$2),3),1,1),"")</f>
        <v>292</v>
      </c>
      <c r="BV154">
        <f ca="1">IF($AN154="",OFFSET(Demand!$A$13,ROW(F151)-1,4+((QUOTIENT(COLUMN(BV$2)-69,3))*5)+MOD(COLUMN(BV$2),3),1,1),"")</f>
        <v>20</v>
      </c>
      <c r="BW154">
        <f ca="1">IF($AN154="",OFFSET(Demand!$A$13,ROW(G151)-1,4+((QUOTIENT(COLUMN(BW$2)-69,3))*5)+MOD(COLUMN(BW$2),3),1,1),"")</f>
        <v>0</v>
      </c>
      <c r="BX154">
        <f ca="1">IF($AN154="",OFFSET(Demand!$A$13,ROW(H151)-1,4+((QUOTIENT(COLUMN(BX$2)-69,3))*5)+MOD(COLUMN(BX$2),3),1,1),"")</f>
        <v>4</v>
      </c>
      <c r="BY154">
        <f ca="1">IF($AN154="",OFFSET(Demand!$A$13,ROW(I151)-1,4+((QUOTIENT(COLUMN(BY$2)-69,3))*5)+MOD(COLUMN(BY$2),3),1,1),"")</f>
        <v>14</v>
      </c>
      <c r="BZ154">
        <f ca="1">IF($AN154="",OFFSET(Demand!$A$13,ROW(J151)-1,4+((QUOTIENT(COLUMN(BZ$2)-69,3))*5)+MOD(COLUMN(BZ$2),3),1,1),"")</f>
        <v>18</v>
      </c>
      <c r="CA154">
        <f ca="1">IF($AN154="",OFFSET(Demand!$A$13,ROW(K151)-1,4+((QUOTIENT(COLUMN(CA$2)-69,3))*5)+MOD(COLUMN(CA$2),3),1,1),"")</f>
        <v>6</v>
      </c>
      <c r="CB154">
        <f ca="1">IF($AN154="",OFFSET(Demand!$A$13,ROW(L151)-1,4+((QUOTIENT(COLUMN(CB$2)-69,3))*5)+MOD(COLUMN(CB$2),3),1,1),"")</f>
        <v>4</v>
      </c>
      <c r="CC154">
        <f ca="1">IF($AN154="",OFFSET(Demand!$A$13,ROW(M151)-1,4+((QUOTIENT(COLUMN(CC$2)-69,3))*5)+MOD(COLUMN(CC$2),3),1,1),"")</f>
        <v>0</v>
      </c>
      <c r="CD154">
        <f ca="1">IF($AN154="",OFFSET(Demand!$A$13,ROW(N151)-1,4+((QUOTIENT(COLUMN(CD$2)-69,3))*5)+MOD(COLUMN(CD$2),3),1,1),"")</f>
        <v>2</v>
      </c>
      <c r="CE154">
        <f ca="1">IF($AN154="",OFFSET(Demand!$A$13,ROW(O151)-1,4+((QUOTIENT(COLUMN(CE$2)-69,3))*5)+MOD(COLUMN(CE$2),3),1,1),"")</f>
        <v>1</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0</v>
      </c>
      <c r="B155" s="5">
        <f ca="1">COUNTBLANK(OFFSET(Demand!$I164,0,(COLUMN(A152)-1)*5,1,1))</f>
        <v>0</v>
      </c>
      <c r="C155" s="5">
        <f ca="1">COUNTBLANK(OFFSET(Demand!$I164,0,(COLUMN(B152)-1)*5,1,1))</f>
        <v>0</v>
      </c>
      <c r="D155" s="5">
        <f ca="1">COUNTBLANK(OFFSET(Demand!$I164,0,(COLUMN(C152)-1)*5,1,1))</f>
        <v>0</v>
      </c>
      <c r="E155" s="5">
        <f ca="1">COUNTBLANK(OFFSET(Demand!$I164,0,(COLUMN(D152)-1)*5,1,1))</f>
        <v>0</v>
      </c>
      <c r="F155" s="5">
        <f ca="1">COUNTBLANK(OFFSET(Demand!$I164,0,(COLUMN(E152)-1)*5,1,1))</f>
        <v>0</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6810</v>
      </c>
      <c r="O155" s="5">
        <f ca="1">SUM(OFFSET(Demand!$E164,0,(COLUMN(B152)-1)*5,1,3))*O$2</f>
        <v>6495</v>
      </c>
      <c r="P155" s="5">
        <f ca="1">SUM(OFFSET(Demand!$E164,0,(COLUMN(C152)-1)*5,1,3))*P$2</f>
        <v>150</v>
      </c>
      <c r="Q155" s="5">
        <f ca="1">SUM(OFFSET(Demand!$E164,0,(COLUMN(D152)-1)*5,1,3))*Q$2</f>
        <v>690</v>
      </c>
      <c r="R155" s="5">
        <f ca="1">SUM(OFFSET(Demand!$E164,0,(COLUMN(E152)-1)*5,1,3))*R$2</f>
        <v>1</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14146</v>
      </c>
      <c r="Y155">
        <f t="shared" ca="1" si="45"/>
        <v>14146</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14146</v>
      </c>
      <c r="AM155" s="5">
        <f t="shared" ca="1" si="48"/>
        <v>0</v>
      </c>
      <c r="AN155" s="5" t="str">
        <f>IF(Demand!BE164="Yes","Yes","")</f>
        <v/>
      </c>
      <c r="AP155" s="36" t="str">
        <f ca="1">Demand!B164</f>
        <v xml:space="preserve"> </v>
      </c>
      <c r="AQ155" t="str">
        <f ca="1">IF(TEXT(Demand!D164,"MMM")&lt;&gt;TEXT(Demand!D163,"MMM"),TEXT(Demand!D164,"MMM"),"")</f>
        <v/>
      </c>
      <c r="AT155" s="5">
        <f t="shared" ca="1" si="49"/>
        <v>448</v>
      </c>
      <c r="BQ155">
        <f ca="1">IF($AN155="",OFFSET(Demand!$A$13,ROW(A152)-1,4+((QUOTIENT(COLUMN(BQ$2)-69,3))*5)+MOD(COLUMN(BQ$2),3),1,1),"")</f>
        <v>7</v>
      </c>
      <c r="BR155">
        <f ca="1">IF($AN155="",OFFSET(Demand!$A$13,ROW(B152)-1,4+((QUOTIENT(COLUMN(BR$2)-69,3))*5)+MOD(COLUMN(BR$2),3),1,1),"")</f>
        <v>374</v>
      </c>
      <c r="BS155">
        <f ca="1">IF($AN155="",OFFSET(Demand!$A$13,ROW(C152)-1,4+((QUOTIENT(COLUMN(BS$2)-69,3))*5)+MOD(COLUMN(BS$2),3),1,1),"")</f>
        <v>73</v>
      </c>
      <c r="BT155">
        <f ca="1">IF($AN155="",OFFSET(Demand!$A$13,ROW(D152)-1,4+((QUOTIENT(COLUMN(BT$2)-69,3))*5)+MOD(COLUMN(BT$2),3),1,1),"")</f>
        <v>81</v>
      </c>
      <c r="BU155">
        <f ca="1">IF($AN155="",OFFSET(Demand!$A$13,ROW(E152)-1,4+((QUOTIENT(COLUMN(BU$2)-69,3))*5)+MOD(COLUMN(BU$2),3),1,1),"")</f>
        <v>308</v>
      </c>
      <c r="BV155">
        <f ca="1">IF($AN155="",OFFSET(Demand!$A$13,ROW(F152)-1,4+((QUOTIENT(COLUMN(BV$2)-69,3))*5)+MOD(COLUMN(BV$2),3),1,1),"")</f>
        <v>44</v>
      </c>
      <c r="BW155">
        <f ca="1">IF($AN155="",OFFSET(Demand!$A$13,ROW(G152)-1,4+((QUOTIENT(COLUMN(BW$2)-69,3))*5)+MOD(COLUMN(BW$2),3),1,1),"")</f>
        <v>0</v>
      </c>
      <c r="BX155">
        <f ca="1">IF($AN155="",OFFSET(Demand!$A$13,ROW(H152)-1,4+((QUOTIENT(COLUMN(BX$2)-69,3))*5)+MOD(COLUMN(BX$2),3),1,1),"")</f>
        <v>0</v>
      </c>
      <c r="BY155">
        <f ca="1">IF($AN155="",OFFSET(Demand!$A$13,ROW(I152)-1,4+((QUOTIENT(COLUMN(BY$2)-69,3))*5)+MOD(COLUMN(BY$2),3),1,1),"")</f>
        <v>5</v>
      </c>
      <c r="BZ155">
        <f ca="1">IF($AN155="",OFFSET(Demand!$A$13,ROW(J152)-1,4+((QUOTIENT(COLUMN(BZ$2)-69,3))*5)+MOD(COLUMN(BZ$2),3),1,1),"")</f>
        <v>14</v>
      </c>
      <c r="CA155">
        <f ca="1">IF($AN155="",OFFSET(Demand!$A$13,ROW(K152)-1,4+((QUOTIENT(COLUMN(CA$2)-69,3))*5)+MOD(COLUMN(CA$2),3),1,1),"")</f>
        <v>6</v>
      </c>
      <c r="CB155">
        <f ca="1">IF($AN155="",OFFSET(Demand!$A$13,ROW(L152)-1,4+((QUOTIENT(COLUMN(CB$2)-69,3))*5)+MOD(COLUMN(CB$2),3),1,1),"")</f>
        <v>3</v>
      </c>
      <c r="CC155">
        <f ca="1">IF($AN155="",OFFSET(Demand!$A$13,ROW(M152)-1,4+((QUOTIENT(COLUMN(CC$2)-69,3))*5)+MOD(COLUMN(CC$2),3),1,1),"")</f>
        <v>1</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1</v>
      </c>
      <c r="B156" s="5">
        <f ca="1">COUNTBLANK(OFFSET(Demand!$I165,0,(COLUMN(A153)-1)*5,1,1))</f>
        <v>0</v>
      </c>
      <c r="C156" s="5">
        <f ca="1">COUNTBLANK(OFFSET(Demand!$I165,0,(COLUMN(B153)-1)*5,1,1))</f>
        <v>0</v>
      </c>
      <c r="D156" s="5">
        <f ca="1">COUNTBLANK(OFFSET(Demand!$I165,0,(COLUMN(C153)-1)*5,1,1))</f>
        <v>0</v>
      </c>
      <c r="E156" s="5">
        <f ca="1">COUNTBLANK(OFFSET(Demand!$I165,0,(COLUMN(D153)-1)*5,1,1))</f>
        <v>0</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6405</v>
      </c>
      <c r="O156" s="5">
        <f ca="1">SUM(OFFSET(Demand!$E165,0,(COLUMN(B153)-1)*5,1,3))*O$2</f>
        <v>7035</v>
      </c>
      <c r="P156" s="5">
        <f ca="1">SUM(OFFSET(Demand!$E165,0,(COLUMN(C153)-1)*5,1,3))*P$2</f>
        <v>450</v>
      </c>
      <c r="Q156" s="5">
        <f ca="1">SUM(OFFSET(Demand!$E165,0,(COLUMN(D153)-1)*5,1,3))*Q$2</f>
        <v>840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14730</v>
      </c>
      <c r="Y156">
        <f t="shared" ca="1" si="45"/>
        <v>14730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14730</v>
      </c>
      <c r="AM156" s="5">
        <f t="shared" ca="1" si="48"/>
        <v>0</v>
      </c>
      <c r="AN156" s="5" t="str">
        <f>IF(Demand!BE165="Yes","Yes","")</f>
        <v/>
      </c>
      <c r="AP156" s="36" t="str">
        <f ca="1">Demand!B165</f>
        <v xml:space="preserve"> </v>
      </c>
      <c r="AQ156" t="str">
        <f ca="1">IF(TEXT(Demand!D165,"MMM")&lt;&gt;TEXT(Demand!D164,"MMM"),TEXT(Demand!D165,"MMM"),"")</f>
        <v>Mar</v>
      </c>
      <c r="AT156" s="5">
        <f t="shared" ca="1" si="49"/>
        <v>584</v>
      </c>
      <c r="BQ156">
        <f ca="1">IF($AN156="",OFFSET(Demand!$A$13,ROW(A153)-1,4+((QUOTIENT(COLUMN(BQ$2)-69,3))*5)+MOD(COLUMN(BQ$2),3),1,1),"")</f>
        <v>4</v>
      </c>
      <c r="BR156">
        <f ca="1">IF($AN156="",OFFSET(Demand!$A$13,ROW(B153)-1,4+((QUOTIENT(COLUMN(BR$2)-69,3))*5)+MOD(COLUMN(BR$2),3),1,1),"")</f>
        <v>366</v>
      </c>
      <c r="BS156">
        <f ca="1">IF($AN156="",OFFSET(Demand!$A$13,ROW(C153)-1,4+((QUOTIENT(COLUMN(BS$2)-69,3))*5)+MOD(COLUMN(BS$2),3),1,1),"")</f>
        <v>57</v>
      </c>
      <c r="BT156">
        <f ca="1">IF($AN156="",OFFSET(Demand!$A$13,ROW(D153)-1,4+((QUOTIENT(COLUMN(BT$2)-69,3))*5)+MOD(COLUMN(BT$2),3),1,1),"")</f>
        <v>87</v>
      </c>
      <c r="BU156">
        <f ca="1">IF($AN156="",OFFSET(Demand!$A$13,ROW(E153)-1,4+((QUOTIENT(COLUMN(BU$2)-69,3))*5)+MOD(COLUMN(BU$2),3),1,1),"")</f>
        <v>334</v>
      </c>
      <c r="BV156">
        <f ca="1">IF($AN156="",OFFSET(Demand!$A$13,ROW(F153)-1,4+((QUOTIENT(COLUMN(BV$2)-69,3))*5)+MOD(COLUMN(BV$2),3),1,1),"")</f>
        <v>48</v>
      </c>
      <c r="BW156">
        <f ca="1">IF($AN156="",OFFSET(Demand!$A$13,ROW(G153)-1,4+((QUOTIENT(COLUMN(BW$2)-69,3))*5)+MOD(COLUMN(BW$2),3),1,1),"")</f>
        <v>0</v>
      </c>
      <c r="BX156">
        <f ca="1">IF($AN156="",OFFSET(Demand!$A$13,ROW(H153)-1,4+((QUOTIENT(COLUMN(BX$2)-69,3))*5)+MOD(COLUMN(BX$2),3),1,1),"")</f>
        <v>2</v>
      </c>
      <c r="BY156">
        <f ca="1">IF($AN156="",OFFSET(Demand!$A$13,ROW(I153)-1,4+((QUOTIENT(COLUMN(BY$2)-69,3))*5)+MOD(COLUMN(BY$2),3),1,1),"")</f>
        <v>13</v>
      </c>
      <c r="BZ156">
        <f ca="1">IF($AN156="",OFFSET(Demand!$A$13,ROW(J153)-1,4+((QUOTIENT(COLUMN(BZ$2)-69,3))*5)+MOD(COLUMN(BZ$2),3),1,1),"")</f>
        <v>19</v>
      </c>
      <c r="CA156">
        <f ca="1">IF($AN156="",OFFSET(Demand!$A$13,ROW(K153)-1,4+((QUOTIENT(COLUMN(CA$2)-69,3))*5)+MOD(COLUMN(CA$2),3),1,1),"")</f>
        <v>5</v>
      </c>
      <c r="CB156">
        <f ca="1">IF($AN156="",OFFSET(Demand!$A$13,ROW(L153)-1,4+((QUOTIENT(COLUMN(CB$2)-69,3))*5)+MOD(COLUMN(CB$2),3),1,1),"")</f>
        <v>4</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0</v>
      </c>
      <c r="B157" s="5">
        <f ca="1">COUNTBLANK(OFFSET(Demand!$I166,0,(COLUMN(A154)-1)*5,1,1))</f>
        <v>0</v>
      </c>
      <c r="C157" s="5">
        <f ca="1">COUNTBLANK(OFFSET(Demand!$I166,0,(COLUMN(B154)-1)*5,1,1))</f>
        <v>0</v>
      </c>
      <c r="D157" s="5">
        <f ca="1">COUNTBLANK(OFFSET(Demand!$I166,0,(COLUMN(C154)-1)*5,1,1))</f>
        <v>0</v>
      </c>
      <c r="E157" s="5">
        <f ca="1">COUNTBLANK(OFFSET(Demand!$I166,0,(COLUMN(D154)-1)*5,1,1))</f>
        <v>0</v>
      </c>
      <c r="F157" s="5">
        <f ca="1">COUNTBLANK(OFFSET(Demand!$I166,0,(COLUMN(E154)-1)*5,1,1))</f>
        <v>0</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7560</v>
      </c>
      <c r="O157" s="5">
        <f ca="1">SUM(OFFSET(Demand!$E166,0,(COLUMN(B154)-1)*5,1,3))*O$2</f>
        <v>6330</v>
      </c>
      <c r="P157" s="5">
        <f ca="1">SUM(OFFSET(Demand!$E166,0,(COLUMN(C154)-1)*5,1,3))*P$2</f>
        <v>300</v>
      </c>
      <c r="Q157" s="5">
        <f ca="1">SUM(OFFSET(Demand!$E166,0,(COLUMN(D154)-1)*5,1,3))*Q$2</f>
        <v>810</v>
      </c>
      <c r="R157" s="5">
        <f ca="1">SUM(OFFSET(Demand!$E166,0,(COLUMN(E154)-1)*5,1,3))*R$2</f>
        <v>2</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15002</v>
      </c>
      <c r="Y157">
        <f t="shared" ca="1" si="45"/>
        <v>15002</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15002</v>
      </c>
      <c r="AM157" s="5">
        <f t="shared" ca="1" si="48"/>
        <v>0</v>
      </c>
      <c r="AN157" s="5" t="str">
        <f>IF(Demand!BE166="Yes","Yes","")</f>
        <v/>
      </c>
      <c r="AP157" s="36" t="str">
        <f ca="1">Demand!B166</f>
        <v xml:space="preserve"> </v>
      </c>
      <c r="AQ157" t="str">
        <f ca="1">IF(TEXT(Demand!D166,"MMM")&lt;&gt;TEXT(Demand!D165,"MMM"),TEXT(Demand!D166,"MMM"),"")</f>
        <v/>
      </c>
      <c r="AT157" s="5">
        <f t="shared" ca="1" si="49"/>
        <v>272</v>
      </c>
      <c r="BQ157">
        <f ca="1">IF($AN157="",OFFSET(Demand!$A$13,ROW(A154)-1,4+((QUOTIENT(COLUMN(BQ$2)-69,3))*5)+MOD(COLUMN(BQ$2),3),1,1),"")</f>
        <v>9</v>
      </c>
      <c r="BR157">
        <f ca="1">IF($AN157="",OFFSET(Demand!$A$13,ROW(B154)-1,4+((QUOTIENT(COLUMN(BR$2)-69,3))*5)+MOD(COLUMN(BR$2),3),1,1),"")</f>
        <v>408</v>
      </c>
      <c r="BS157">
        <f ca="1">IF($AN157="",OFFSET(Demand!$A$13,ROW(C154)-1,4+((QUOTIENT(COLUMN(BS$2)-69,3))*5)+MOD(COLUMN(BS$2),3),1,1),"")</f>
        <v>87</v>
      </c>
      <c r="BT157">
        <f ca="1">IF($AN157="",OFFSET(Demand!$A$13,ROW(D154)-1,4+((QUOTIENT(COLUMN(BT$2)-69,3))*5)+MOD(COLUMN(BT$2),3),1,1),"")</f>
        <v>79</v>
      </c>
      <c r="BU157">
        <f ca="1">IF($AN157="",OFFSET(Demand!$A$13,ROW(E154)-1,4+((QUOTIENT(COLUMN(BU$2)-69,3))*5)+MOD(COLUMN(BU$2),3),1,1),"")</f>
        <v>295</v>
      </c>
      <c r="BV157">
        <f ca="1">IF($AN157="",OFFSET(Demand!$A$13,ROW(F154)-1,4+((QUOTIENT(COLUMN(BV$2)-69,3))*5)+MOD(COLUMN(BV$2),3),1,1),"")</f>
        <v>48</v>
      </c>
      <c r="BW157">
        <f ca="1">IF($AN157="",OFFSET(Demand!$A$13,ROW(G154)-1,4+((QUOTIENT(COLUMN(BW$2)-69,3))*5)+MOD(COLUMN(BW$2),3),1,1),"")</f>
        <v>0</v>
      </c>
      <c r="BX157">
        <f ca="1">IF($AN157="",OFFSET(Demand!$A$13,ROW(H154)-1,4+((QUOTIENT(COLUMN(BX$2)-69,3))*5)+MOD(COLUMN(BX$2),3),1,1),"")</f>
        <v>0</v>
      </c>
      <c r="BY157">
        <f ca="1">IF($AN157="",OFFSET(Demand!$A$13,ROW(I154)-1,4+((QUOTIENT(COLUMN(BY$2)-69,3))*5)+MOD(COLUMN(BY$2),3),1,1),"")</f>
        <v>10</v>
      </c>
      <c r="BZ157">
        <f ca="1">IF($AN157="",OFFSET(Demand!$A$13,ROW(J154)-1,4+((QUOTIENT(COLUMN(BZ$2)-69,3))*5)+MOD(COLUMN(BZ$2),3),1,1),"")</f>
        <v>16</v>
      </c>
      <c r="CA157">
        <f ca="1">IF($AN157="",OFFSET(Demand!$A$13,ROW(K154)-1,4+((QUOTIENT(COLUMN(CA$2)-69,3))*5)+MOD(COLUMN(CA$2),3),1,1),"")</f>
        <v>5</v>
      </c>
      <c r="CB157">
        <f ca="1">IF($AN157="",OFFSET(Demand!$A$13,ROW(L154)-1,4+((QUOTIENT(COLUMN(CB$2)-69,3))*5)+MOD(COLUMN(CB$2),3),1,1),"")</f>
        <v>6</v>
      </c>
      <c r="CC157">
        <f ca="1">IF($AN157="",OFFSET(Demand!$A$13,ROW(M154)-1,4+((QUOTIENT(COLUMN(CC$2)-69,3))*5)+MOD(COLUMN(CC$2),3),1,1),"")</f>
        <v>1</v>
      </c>
      <c r="CD157">
        <f ca="1">IF($AN157="",OFFSET(Demand!$A$13,ROW(N154)-1,4+((QUOTIENT(COLUMN(CD$2)-69,3))*5)+MOD(COLUMN(CD$2),3),1,1),"")</f>
        <v>1</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0</v>
      </c>
      <c r="B158" s="5">
        <f ca="1">COUNTBLANK(OFFSET(Demand!$I167,0,(COLUMN(A155)-1)*5,1,1))</f>
        <v>0</v>
      </c>
      <c r="C158" s="5">
        <f ca="1">COUNTBLANK(OFFSET(Demand!$I167,0,(COLUMN(B155)-1)*5,1,1))</f>
        <v>0</v>
      </c>
      <c r="D158" s="5">
        <f ca="1">COUNTBLANK(OFFSET(Demand!$I167,0,(COLUMN(C155)-1)*5,1,1))</f>
        <v>0</v>
      </c>
      <c r="E158" s="5">
        <f ca="1">COUNTBLANK(OFFSET(Demand!$I167,0,(COLUMN(D155)-1)*5,1,1))</f>
        <v>0</v>
      </c>
      <c r="F158" s="5">
        <f ca="1">COUNTBLANK(OFFSET(Demand!$I167,0,(COLUMN(E155)-1)*5,1,1))</f>
        <v>0</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7860</v>
      </c>
      <c r="O158" s="5">
        <f ca="1">SUM(OFFSET(Demand!$E167,0,(COLUMN(B155)-1)*5,1,3))*O$2</f>
        <v>6750</v>
      </c>
      <c r="P158" s="5">
        <f ca="1">SUM(OFFSET(Demand!$E167,0,(COLUMN(C155)-1)*5,1,3))*P$2</f>
        <v>180</v>
      </c>
      <c r="Q158" s="5">
        <f ca="1">SUM(OFFSET(Demand!$E167,0,(COLUMN(D155)-1)*5,1,3))*Q$2</f>
        <v>720</v>
      </c>
      <c r="R158" s="5">
        <f ca="1">SUM(OFFSET(Demand!$E167,0,(COLUMN(E155)-1)*5,1,3))*R$2</f>
        <v>3</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15513</v>
      </c>
      <c r="Y158">
        <f t="shared" ca="1" si="45"/>
        <v>15513</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15513</v>
      </c>
      <c r="AM158" s="5">
        <f t="shared" ca="1" si="48"/>
        <v>0</v>
      </c>
      <c r="AN158" s="5" t="str">
        <f>IF(Demand!BE167="Yes","Yes","")</f>
        <v/>
      </c>
      <c r="AP158" s="36" t="str">
        <f ca="1">Demand!B167</f>
        <v xml:space="preserve"> </v>
      </c>
      <c r="AQ158" t="str">
        <f ca="1">IF(TEXT(Demand!D167,"MMM")&lt;&gt;TEXT(Demand!D166,"MMM"),TEXT(Demand!D167,"MMM"),"")</f>
        <v/>
      </c>
      <c r="AT158" s="5">
        <f t="shared" ca="1" si="49"/>
        <v>511</v>
      </c>
      <c r="BQ158">
        <f ca="1">IF($AN158="",OFFSET(Demand!$A$13,ROW(A155)-1,4+((QUOTIENT(COLUMN(BQ$2)-69,3))*5)+MOD(COLUMN(BQ$2),3),1,1),"")</f>
        <v>10</v>
      </c>
      <c r="BR158">
        <f ca="1">IF($AN158="",OFFSET(Demand!$A$13,ROW(B155)-1,4+((QUOTIENT(COLUMN(BR$2)-69,3))*5)+MOD(COLUMN(BR$2),3),1,1),"")</f>
        <v>451</v>
      </c>
      <c r="BS158">
        <f ca="1">IF($AN158="",OFFSET(Demand!$A$13,ROW(C155)-1,4+((QUOTIENT(COLUMN(BS$2)-69,3))*5)+MOD(COLUMN(BS$2),3),1,1),"")</f>
        <v>63</v>
      </c>
      <c r="BT158">
        <f ca="1">IF($AN158="",OFFSET(Demand!$A$13,ROW(D155)-1,4+((QUOTIENT(COLUMN(BT$2)-69,3))*5)+MOD(COLUMN(BT$2),3),1,1),"")</f>
        <v>84</v>
      </c>
      <c r="BU158">
        <f ca="1">IF($AN158="",OFFSET(Demand!$A$13,ROW(E155)-1,4+((QUOTIENT(COLUMN(BU$2)-69,3))*5)+MOD(COLUMN(BU$2),3),1,1),"")</f>
        <v>327</v>
      </c>
      <c r="BV158">
        <f ca="1">IF($AN158="",OFFSET(Demand!$A$13,ROW(F155)-1,4+((QUOTIENT(COLUMN(BV$2)-69,3))*5)+MOD(COLUMN(BV$2),3),1,1),"")</f>
        <v>39</v>
      </c>
      <c r="BW158">
        <f ca="1">IF($AN158="",OFFSET(Demand!$A$13,ROW(G155)-1,4+((QUOTIENT(COLUMN(BW$2)-69,3))*5)+MOD(COLUMN(BW$2),3),1,1),"")</f>
        <v>0</v>
      </c>
      <c r="BX158">
        <f ca="1">IF($AN158="",OFFSET(Demand!$A$13,ROW(H155)-1,4+((QUOTIENT(COLUMN(BX$2)-69,3))*5)+MOD(COLUMN(BX$2),3),1,1),"")</f>
        <v>0</v>
      </c>
      <c r="BY158">
        <f ca="1">IF($AN158="",OFFSET(Demand!$A$13,ROW(I155)-1,4+((QUOTIENT(COLUMN(BY$2)-69,3))*5)+MOD(COLUMN(BY$2),3),1,1),"")</f>
        <v>6</v>
      </c>
      <c r="BZ158">
        <f ca="1">IF($AN158="",OFFSET(Demand!$A$13,ROW(J155)-1,4+((QUOTIENT(COLUMN(BZ$2)-69,3))*5)+MOD(COLUMN(BZ$2),3),1,1),"")</f>
        <v>16</v>
      </c>
      <c r="CA158">
        <f ca="1">IF($AN158="",OFFSET(Demand!$A$13,ROW(K155)-1,4+((QUOTIENT(COLUMN(CA$2)-69,3))*5)+MOD(COLUMN(CA$2),3),1,1),"")</f>
        <v>5</v>
      </c>
      <c r="CB158">
        <f ca="1">IF($AN158="",OFFSET(Demand!$A$13,ROW(L155)-1,4+((QUOTIENT(COLUMN(CB$2)-69,3))*5)+MOD(COLUMN(CB$2),3),1,1),"")</f>
        <v>3</v>
      </c>
      <c r="CC158">
        <f ca="1">IF($AN158="",OFFSET(Demand!$A$13,ROW(M155)-1,4+((QUOTIENT(COLUMN(CC$2)-69,3))*5)+MOD(COLUMN(CC$2),3),1,1),"")</f>
        <v>2</v>
      </c>
      <c r="CD158">
        <f ca="1">IF($AN158="",OFFSET(Demand!$A$13,ROW(N155)-1,4+((QUOTIENT(COLUMN(CD$2)-69,3))*5)+MOD(COLUMN(CD$2),3),1,1),"")</f>
        <v>0</v>
      </c>
      <c r="CE158">
        <f ca="1">IF($AN158="",OFFSET(Demand!$A$13,ROW(O155)-1,4+((QUOTIENT(COLUMN(CE$2)-69,3))*5)+MOD(COLUMN(CE$2),3),1,1),"")</f>
        <v>1</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0</v>
      </c>
      <c r="B159" s="5">
        <f ca="1">COUNTBLANK(OFFSET(Demand!$I168,0,(COLUMN(A156)-1)*5,1,1))</f>
        <v>0</v>
      </c>
      <c r="C159" s="5">
        <f ca="1">COUNTBLANK(OFFSET(Demand!$I168,0,(COLUMN(B156)-1)*5,1,1))</f>
        <v>0</v>
      </c>
      <c r="D159" s="5">
        <f ca="1">COUNTBLANK(OFFSET(Demand!$I168,0,(COLUMN(C156)-1)*5,1,1))</f>
        <v>0</v>
      </c>
      <c r="E159" s="5">
        <f ca="1">COUNTBLANK(OFFSET(Demand!$I168,0,(COLUMN(D156)-1)*5,1,1))</f>
        <v>0</v>
      </c>
      <c r="F159" s="5">
        <f ca="1">COUNTBLANK(OFFSET(Demand!$I168,0,(COLUMN(E156)-1)*5,1,1))</f>
        <v>0</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7575</v>
      </c>
      <c r="O159" s="5">
        <f ca="1">SUM(OFFSET(Demand!$E168,0,(COLUMN(B156)-1)*5,1,3))*O$2</f>
        <v>6795</v>
      </c>
      <c r="P159" s="5">
        <f ca="1">SUM(OFFSET(Demand!$E168,0,(COLUMN(C156)-1)*5,1,3))*P$2</f>
        <v>330</v>
      </c>
      <c r="Q159" s="5">
        <f ca="1">SUM(OFFSET(Demand!$E168,0,(COLUMN(D156)-1)*5,1,3))*Q$2</f>
        <v>930</v>
      </c>
      <c r="R159" s="5">
        <f ca="1">SUM(OFFSET(Demand!$E168,0,(COLUMN(E156)-1)*5,1,3))*R$2</f>
        <v>1</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15631</v>
      </c>
      <c r="Y159">
        <f t="shared" ca="1" si="45"/>
        <v>15631</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15631</v>
      </c>
      <c r="AM159" s="5">
        <f t="shared" ca="1" si="48"/>
        <v>0</v>
      </c>
      <c r="AN159" s="5" t="str">
        <f>IF(Demand!BE168="Yes","Yes","")</f>
        <v/>
      </c>
      <c r="AP159" s="36" t="str">
        <f ca="1">Demand!B168</f>
        <v xml:space="preserve"> </v>
      </c>
      <c r="AQ159" t="str">
        <f ca="1">IF(TEXT(Demand!D168,"MMM")&lt;&gt;TEXT(Demand!D167,"MMM"),TEXT(Demand!D168,"MMM"),"")</f>
        <v/>
      </c>
      <c r="AT159" s="5">
        <f t="shared" ca="1" si="49"/>
        <v>118</v>
      </c>
      <c r="BQ159">
        <f ca="1">IF($AN159="",OFFSET(Demand!$A$13,ROW(A156)-1,4+((QUOTIENT(COLUMN(BQ$2)-69,3))*5)+MOD(COLUMN(BQ$2),3),1,1),"")</f>
        <v>11</v>
      </c>
      <c r="BR159">
        <f ca="1">IF($AN159="",OFFSET(Demand!$A$13,ROW(B156)-1,4+((QUOTIENT(COLUMN(BR$2)-69,3))*5)+MOD(COLUMN(BR$2),3),1,1),"")</f>
        <v>420</v>
      </c>
      <c r="BS159">
        <f ca="1">IF($AN159="",OFFSET(Demand!$A$13,ROW(C156)-1,4+((QUOTIENT(COLUMN(BS$2)-69,3))*5)+MOD(COLUMN(BS$2),3),1,1),"")</f>
        <v>74</v>
      </c>
      <c r="BT159">
        <f ca="1">IF($AN159="",OFFSET(Demand!$A$13,ROW(D156)-1,4+((QUOTIENT(COLUMN(BT$2)-69,3))*5)+MOD(COLUMN(BT$2),3),1,1),"")</f>
        <v>76</v>
      </c>
      <c r="BU159">
        <f ca="1">IF($AN159="",OFFSET(Demand!$A$13,ROW(E156)-1,4+((QUOTIENT(COLUMN(BU$2)-69,3))*5)+MOD(COLUMN(BU$2),3),1,1),"")</f>
        <v>340</v>
      </c>
      <c r="BV159">
        <f ca="1">IF($AN159="",OFFSET(Demand!$A$13,ROW(F156)-1,4+((QUOTIENT(COLUMN(BV$2)-69,3))*5)+MOD(COLUMN(BV$2),3),1,1),"")</f>
        <v>37</v>
      </c>
      <c r="BW159">
        <f ca="1">IF($AN159="",OFFSET(Demand!$A$13,ROW(G156)-1,4+((QUOTIENT(COLUMN(BW$2)-69,3))*5)+MOD(COLUMN(BW$2),3),1,1),"")</f>
        <v>0</v>
      </c>
      <c r="BX159">
        <f ca="1">IF($AN159="",OFFSET(Demand!$A$13,ROW(H156)-1,4+((QUOTIENT(COLUMN(BX$2)-69,3))*5)+MOD(COLUMN(BX$2),3),1,1),"")</f>
        <v>8</v>
      </c>
      <c r="BY159">
        <f ca="1">IF($AN159="",OFFSET(Demand!$A$13,ROW(I156)-1,4+((QUOTIENT(COLUMN(BY$2)-69,3))*5)+MOD(COLUMN(BY$2),3),1,1),"")</f>
        <v>3</v>
      </c>
      <c r="BZ159">
        <f ca="1">IF($AN159="",OFFSET(Demand!$A$13,ROW(J156)-1,4+((QUOTIENT(COLUMN(BZ$2)-69,3))*5)+MOD(COLUMN(BZ$2),3),1,1),"")</f>
        <v>19</v>
      </c>
      <c r="CA159">
        <f ca="1">IF($AN159="",OFFSET(Demand!$A$13,ROW(K156)-1,4+((QUOTIENT(COLUMN(CA$2)-69,3))*5)+MOD(COLUMN(CA$2),3),1,1),"")</f>
        <v>10</v>
      </c>
      <c r="CB159">
        <f ca="1">IF($AN159="",OFFSET(Demand!$A$13,ROW(L156)-1,4+((QUOTIENT(COLUMN(CB$2)-69,3))*5)+MOD(COLUMN(CB$2),3),1,1),"")</f>
        <v>2</v>
      </c>
      <c r="CC159">
        <f ca="1">IF($AN159="",OFFSET(Demand!$A$13,ROW(M156)-1,4+((QUOTIENT(COLUMN(CC$2)-69,3))*5)+MOD(COLUMN(CC$2),3),1,1),"")</f>
        <v>1</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0</v>
      </c>
      <c r="B160" s="5">
        <f ca="1">COUNTBLANK(OFFSET(Demand!$I169,0,(COLUMN(A157)-1)*5,1,1))</f>
        <v>0</v>
      </c>
      <c r="C160" s="5">
        <f ca="1">COUNTBLANK(OFFSET(Demand!$I169,0,(COLUMN(B157)-1)*5,1,1))</f>
        <v>0</v>
      </c>
      <c r="D160" s="5">
        <f ca="1">COUNTBLANK(OFFSET(Demand!$I169,0,(COLUMN(C157)-1)*5,1,1))</f>
        <v>0</v>
      </c>
      <c r="E160" s="5">
        <f ca="1">COUNTBLANK(OFFSET(Demand!$I169,0,(COLUMN(D157)-1)*5,1,1))</f>
        <v>0</v>
      </c>
      <c r="F160" s="5">
        <f ca="1">COUNTBLANK(OFFSET(Demand!$I169,0,(COLUMN(E157)-1)*5,1,1))</f>
        <v>0</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7530</v>
      </c>
      <c r="O160" s="5">
        <f ca="1">SUM(OFFSET(Demand!$E169,0,(COLUMN(B157)-1)*5,1,3))*O$2</f>
        <v>6285</v>
      </c>
      <c r="P160" s="5">
        <f ca="1">SUM(OFFSET(Demand!$E169,0,(COLUMN(C157)-1)*5,1,3))*P$2</f>
        <v>540</v>
      </c>
      <c r="Q160" s="5">
        <f ca="1">SUM(OFFSET(Demand!$E169,0,(COLUMN(D157)-1)*5,1,3))*Q$2</f>
        <v>840</v>
      </c>
      <c r="R160" s="5">
        <f ca="1">SUM(OFFSET(Demand!$E169,0,(COLUMN(E157)-1)*5,1,3))*R$2</f>
        <v>1</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15196</v>
      </c>
      <c r="Y160">
        <f t="shared" ca="1" si="45"/>
        <v>15196</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15196</v>
      </c>
      <c r="AM160" s="5">
        <f t="shared" ca="1" si="48"/>
        <v>0</v>
      </c>
      <c r="AN160" s="5" t="str">
        <f>IF(Demand!BE169="Yes","Yes","")</f>
        <v/>
      </c>
      <c r="AP160" s="36" t="str">
        <f ca="1">Demand!B169</f>
        <v xml:space="preserve"> </v>
      </c>
      <c r="AQ160" t="str">
        <f ca="1">IF(TEXT(Demand!D169,"MMM")&lt;&gt;TEXT(Demand!D168,"MMM"),TEXT(Demand!D169,"MMM"),"")</f>
        <v/>
      </c>
      <c r="AT160" s="5">
        <f t="shared" ca="1" si="49"/>
        <v>435</v>
      </c>
      <c r="BQ160">
        <f ca="1">IF($AN160="",OFFSET(Demand!$A$13,ROW(A157)-1,4+((QUOTIENT(COLUMN(BQ$2)-69,3))*5)+MOD(COLUMN(BQ$2),3),1,1),"")</f>
        <v>4</v>
      </c>
      <c r="BR160">
        <f ca="1">IF($AN160="",OFFSET(Demand!$A$13,ROW(B157)-1,4+((QUOTIENT(COLUMN(BR$2)-69,3))*5)+MOD(COLUMN(BR$2),3),1,1),"")</f>
        <v>420</v>
      </c>
      <c r="BS160">
        <f ca="1">IF($AN160="",OFFSET(Demand!$A$13,ROW(C157)-1,4+((QUOTIENT(COLUMN(BS$2)-69,3))*5)+MOD(COLUMN(BS$2),3),1,1),"")</f>
        <v>78</v>
      </c>
      <c r="BT160">
        <f ca="1">IF($AN160="",OFFSET(Demand!$A$13,ROW(D157)-1,4+((QUOTIENT(COLUMN(BT$2)-69,3))*5)+MOD(COLUMN(BT$2),3),1,1),"")</f>
        <v>76</v>
      </c>
      <c r="BU160">
        <f ca="1">IF($AN160="",OFFSET(Demand!$A$13,ROW(E157)-1,4+((QUOTIENT(COLUMN(BU$2)-69,3))*5)+MOD(COLUMN(BU$2),3),1,1),"")</f>
        <v>314</v>
      </c>
      <c r="BV160">
        <f ca="1">IF($AN160="",OFFSET(Demand!$A$13,ROW(F157)-1,4+((QUOTIENT(COLUMN(BV$2)-69,3))*5)+MOD(COLUMN(BV$2),3),1,1),"")</f>
        <v>29</v>
      </c>
      <c r="BW160">
        <f ca="1">IF($AN160="",OFFSET(Demand!$A$13,ROW(G157)-1,4+((QUOTIENT(COLUMN(BW$2)-69,3))*5)+MOD(COLUMN(BW$2),3),1,1),"")</f>
        <v>0</v>
      </c>
      <c r="BX160">
        <f ca="1">IF($AN160="",OFFSET(Demand!$A$13,ROW(H157)-1,4+((QUOTIENT(COLUMN(BX$2)-69,3))*5)+MOD(COLUMN(BX$2),3),1,1),"")</f>
        <v>2</v>
      </c>
      <c r="BY160">
        <f ca="1">IF($AN160="",OFFSET(Demand!$A$13,ROW(I157)-1,4+((QUOTIENT(COLUMN(BY$2)-69,3))*5)+MOD(COLUMN(BY$2),3),1,1),"")</f>
        <v>16</v>
      </c>
      <c r="BZ160">
        <f ca="1">IF($AN160="",OFFSET(Demand!$A$13,ROW(J157)-1,4+((QUOTIENT(COLUMN(BZ$2)-69,3))*5)+MOD(COLUMN(BZ$2),3),1,1),"")</f>
        <v>18</v>
      </c>
      <c r="CA160">
        <f ca="1">IF($AN160="",OFFSET(Demand!$A$13,ROW(K157)-1,4+((QUOTIENT(COLUMN(CA$2)-69,3))*5)+MOD(COLUMN(CA$2),3),1,1),"")</f>
        <v>7</v>
      </c>
      <c r="CB160">
        <f ca="1">IF($AN160="",OFFSET(Demand!$A$13,ROW(L157)-1,4+((QUOTIENT(COLUMN(CB$2)-69,3))*5)+MOD(COLUMN(CB$2),3),1,1),"")</f>
        <v>3</v>
      </c>
      <c r="CC160">
        <f ca="1">IF($AN160="",OFFSET(Demand!$A$13,ROW(M157)-1,4+((QUOTIENT(COLUMN(CC$2)-69,3))*5)+MOD(COLUMN(CC$2),3),1,1),"")</f>
        <v>0</v>
      </c>
      <c r="CD160">
        <f ca="1">IF($AN160="",OFFSET(Demand!$A$13,ROW(N157)-1,4+((QUOTIENT(COLUMN(CD$2)-69,3))*5)+MOD(COLUMN(CD$2),3),1,1),"")</f>
        <v>1</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0</v>
      </c>
      <c r="B161" s="5">
        <f ca="1">COUNTBLANK(OFFSET(Demand!$I170,0,(COLUMN(A158)-1)*5,1,1))</f>
        <v>0</v>
      </c>
      <c r="C161" s="5">
        <f ca="1">COUNTBLANK(OFFSET(Demand!$I170,0,(COLUMN(B158)-1)*5,1,1))</f>
        <v>0</v>
      </c>
      <c r="D161" s="5">
        <f ca="1">COUNTBLANK(OFFSET(Demand!$I170,0,(COLUMN(C158)-1)*5,1,1))</f>
        <v>0</v>
      </c>
      <c r="E161" s="5">
        <f ca="1">COUNTBLANK(OFFSET(Demand!$I170,0,(COLUMN(D158)-1)*5,1,1))</f>
        <v>0</v>
      </c>
      <c r="F161" s="5">
        <f ca="1">COUNTBLANK(OFFSET(Demand!$I170,0,(COLUMN(E158)-1)*5,1,1))</f>
        <v>0</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7575</v>
      </c>
      <c r="O161" s="5">
        <f ca="1">SUM(OFFSET(Demand!$E170,0,(COLUMN(B158)-1)*5,1,3))*O$2</f>
        <v>5610</v>
      </c>
      <c r="P161" s="5">
        <f ca="1">SUM(OFFSET(Demand!$E170,0,(COLUMN(C158)-1)*5,1,3))*P$2</f>
        <v>300</v>
      </c>
      <c r="Q161" s="5">
        <f ca="1">SUM(OFFSET(Demand!$E170,0,(COLUMN(D158)-1)*5,1,3))*Q$2</f>
        <v>690</v>
      </c>
      <c r="R161" s="5">
        <f ca="1">SUM(OFFSET(Demand!$E170,0,(COLUMN(E158)-1)*5,1,3))*R$2</f>
        <v>1</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14176</v>
      </c>
      <c r="Y161">
        <f t="shared" ca="1" si="45"/>
        <v>14176</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14176</v>
      </c>
      <c r="AM161" s="5">
        <f t="shared" ca="1" si="48"/>
        <v>0</v>
      </c>
      <c r="AN161" s="5" t="str">
        <f>IF(Demand!BE170="Yes","Yes","")</f>
        <v/>
      </c>
      <c r="AP161" s="36" t="str">
        <f ca="1">Demand!B170</f>
        <v xml:space="preserve"> </v>
      </c>
      <c r="AQ161" t="str">
        <f ca="1">IF(TEXT(Demand!D170,"MMM")&lt;&gt;TEXT(Demand!D169,"MMM"),TEXT(Demand!D170,"MMM"),"")</f>
        <v>Apr</v>
      </c>
      <c r="AT161" s="5">
        <f t="shared" ca="1" si="49"/>
        <v>1020</v>
      </c>
      <c r="BQ161">
        <f ca="1">IF($AN161="",OFFSET(Demand!$A$13,ROW(A158)-1,4+((QUOTIENT(COLUMN(BQ$2)-69,3))*5)+MOD(COLUMN(BQ$2),3),1,1),"")</f>
        <v>8</v>
      </c>
      <c r="BR161">
        <f ca="1">IF($AN161="",OFFSET(Demand!$A$13,ROW(B158)-1,4+((QUOTIENT(COLUMN(BR$2)-69,3))*5)+MOD(COLUMN(BR$2),3),1,1),"")</f>
        <v>440</v>
      </c>
      <c r="BS161">
        <f ca="1">IF($AN161="",OFFSET(Demand!$A$13,ROW(C158)-1,4+((QUOTIENT(COLUMN(BS$2)-69,3))*5)+MOD(COLUMN(BS$2),3),1,1),"")</f>
        <v>57</v>
      </c>
      <c r="BT161">
        <f ca="1">IF($AN161="",OFFSET(Demand!$A$13,ROW(D158)-1,4+((QUOTIENT(COLUMN(BT$2)-69,3))*5)+MOD(COLUMN(BT$2),3),1,1),"")</f>
        <v>57</v>
      </c>
      <c r="BU161">
        <f ca="1">IF($AN161="",OFFSET(Demand!$A$13,ROW(E158)-1,4+((QUOTIENT(COLUMN(BU$2)-69,3))*5)+MOD(COLUMN(BU$2),3),1,1),"")</f>
        <v>287</v>
      </c>
      <c r="BV161">
        <f ca="1">IF($AN161="",OFFSET(Demand!$A$13,ROW(F158)-1,4+((QUOTIENT(COLUMN(BV$2)-69,3))*5)+MOD(COLUMN(BV$2),3),1,1),"")</f>
        <v>30</v>
      </c>
      <c r="BW161">
        <f ca="1">IF($AN161="",OFFSET(Demand!$A$13,ROW(G158)-1,4+((QUOTIENT(COLUMN(BW$2)-69,3))*5)+MOD(COLUMN(BW$2),3),1,1),"")</f>
        <v>0</v>
      </c>
      <c r="BX161">
        <f ca="1">IF($AN161="",OFFSET(Demand!$A$13,ROW(H158)-1,4+((QUOTIENT(COLUMN(BX$2)-69,3))*5)+MOD(COLUMN(BX$2),3),1,1),"")</f>
        <v>0</v>
      </c>
      <c r="BY161">
        <f ca="1">IF($AN161="",OFFSET(Demand!$A$13,ROW(I158)-1,4+((QUOTIENT(COLUMN(BY$2)-69,3))*5)+MOD(COLUMN(BY$2),3),1,1),"")</f>
        <v>10</v>
      </c>
      <c r="BZ161">
        <f ca="1">IF($AN161="",OFFSET(Demand!$A$13,ROW(J158)-1,4+((QUOTIENT(COLUMN(BZ$2)-69,3))*5)+MOD(COLUMN(BZ$2),3),1,1),"")</f>
        <v>17</v>
      </c>
      <c r="CA161">
        <f ca="1">IF($AN161="",OFFSET(Demand!$A$13,ROW(K158)-1,4+((QUOTIENT(COLUMN(CA$2)-69,3))*5)+MOD(COLUMN(CA$2),3),1,1),"")</f>
        <v>5</v>
      </c>
      <c r="CB161">
        <f ca="1">IF($AN161="",OFFSET(Demand!$A$13,ROW(L158)-1,4+((QUOTIENT(COLUMN(CB$2)-69,3))*5)+MOD(COLUMN(CB$2),3),1,1),"")</f>
        <v>1</v>
      </c>
      <c r="CC161">
        <f ca="1">IF($AN161="",OFFSET(Demand!$A$13,ROW(M158)-1,4+((QUOTIENT(COLUMN(CC$2)-69,3))*5)+MOD(COLUMN(CC$2),3),1,1),"")</f>
        <v>0</v>
      </c>
      <c r="CD161">
        <f ca="1">IF($AN161="",OFFSET(Demand!$A$13,ROW(N158)-1,4+((QUOTIENT(COLUMN(CD$2)-69,3))*5)+MOD(COLUMN(CD$2),3),1,1),"")</f>
        <v>1</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1</v>
      </c>
      <c r="B162" s="5">
        <f ca="1">COUNTBLANK(OFFSET(Demand!$I171,0,(COLUMN(A159)-1)*5,1,1))</f>
        <v>0</v>
      </c>
      <c r="C162" s="5">
        <f ca="1">COUNTBLANK(OFFSET(Demand!$I171,0,(COLUMN(B159)-1)*5,1,1))</f>
        <v>0</v>
      </c>
      <c r="D162" s="5">
        <f ca="1">COUNTBLANK(OFFSET(Demand!$I171,0,(COLUMN(C159)-1)*5,1,1))</f>
        <v>0</v>
      </c>
      <c r="E162" s="5">
        <f ca="1">COUNTBLANK(OFFSET(Demand!$I171,0,(COLUMN(D159)-1)*5,1,1))</f>
        <v>0</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7395</v>
      </c>
      <c r="O162" s="5">
        <f ca="1">SUM(OFFSET(Demand!$E171,0,(COLUMN(B159)-1)*5,1,3))*O$2</f>
        <v>6690</v>
      </c>
      <c r="P162" s="5">
        <f ca="1">SUM(OFFSET(Demand!$E171,0,(COLUMN(C159)-1)*5,1,3))*P$2</f>
        <v>660</v>
      </c>
      <c r="Q162" s="5">
        <f ca="1">SUM(OFFSET(Demand!$E171,0,(COLUMN(D159)-1)*5,1,3))*Q$2</f>
        <v>690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15435</v>
      </c>
      <c r="Y162">
        <f t="shared" ca="1" si="45"/>
        <v>15435</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15435</v>
      </c>
      <c r="AM162" s="5">
        <f t="shared" ca="1" si="48"/>
        <v>0</v>
      </c>
      <c r="AN162" s="5" t="str">
        <f>IF(Demand!BE171="Yes","Yes","")</f>
        <v/>
      </c>
      <c r="AP162" s="36" t="str">
        <f ca="1">Demand!B171</f>
        <v xml:space="preserve"> </v>
      </c>
      <c r="AQ162" t="str">
        <f ca="1">IF(TEXT(Demand!D171,"MMM")&lt;&gt;TEXT(Demand!D170,"MMM"),TEXT(Demand!D171,"MMM"),"")</f>
        <v/>
      </c>
      <c r="AT162" s="5">
        <f t="shared" ca="1" si="49"/>
        <v>1259</v>
      </c>
      <c r="BQ162">
        <f ca="1">IF($AN162="",OFFSET(Demand!$A$13,ROW(A159)-1,4+((QUOTIENT(COLUMN(BQ$2)-69,3))*5)+MOD(COLUMN(BQ$2),3),1,1),"")</f>
        <v>9</v>
      </c>
      <c r="BR162">
        <f ca="1">IF($AN162="",OFFSET(Demand!$A$13,ROW(B159)-1,4+((QUOTIENT(COLUMN(BR$2)-69,3))*5)+MOD(COLUMN(BR$2),3),1,1),"")</f>
        <v>399</v>
      </c>
      <c r="BS162">
        <f ca="1">IF($AN162="",OFFSET(Demand!$A$13,ROW(C159)-1,4+((QUOTIENT(COLUMN(BS$2)-69,3))*5)+MOD(COLUMN(BS$2),3),1,1),"")</f>
        <v>85</v>
      </c>
      <c r="BT162">
        <f ca="1">IF($AN162="",OFFSET(Demand!$A$13,ROW(D159)-1,4+((QUOTIENT(COLUMN(BT$2)-69,3))*5)+MOD(COLUMN(BT$2),3),1,1),"")</f>
        <v>78</v>
      </c>
      <c r="BU162">
        <f ca="1">IF($AN162="",OFFSET(Demand!$A$13,ROW(E159)-1,4+((QUOTIENT(COLUMN(BU$2)-69,3))*5)+MOD(COLUMN(BU$2),3),1,1),"")</f>
        <v>334</v>
      </c>
      <c r="BV162">
        <f ca="1">IF($AN162="",OFFSET(Demand!$A$13,ROW(F159)-1,4+((QUOTIENT(COLUMN(BV$2)-69,3))*5)+MOD(COLUMN(BV$2),3),1,1),"")</f>
        <v>34</v>
      </c>
      <c r="BW162">
        <f ca="1">IF($AN162="",OFFSET(Demand!$A$13,ROW(G159)-1,4+((QUOTIENT(COLUMN(BW$2)-69,3))*5)+MOD(COLUMN(BW$2),3),1,1),"")</f>
        <v>0</v>
      </c>
      <c r="BX162">
        <f ca="1">IF($AN162="",OFFSET(Demand!$A$13,ROW(H159)-1,4+((QUOTIENT(COLUMN(BX$2)-69,3))*5)+MOD(COLUMN(BX$2),3),1,1),"")</f>
        <v>8</v>
      </c>
      <c r="BY162">
        <f ca="1">IF($AN162="",OFFSET(Demand!$A$13,ROW(I159)-1,4+((QUOTIENT(COLUMN(BY$2)-69,3))*5)+MOD(COLUMN(BY$2),3),1,1),"")</f>
        <v>14</v>
      </c>
      <c r="BZ162">
        <f ca="1">IF($AN162="",OFFSET(Demand!$A$13,ROW(J159)-1,4+((QUOTIENT(COLUMN(BZ$2)-69,3))*5)+MOD(COLUMN(BZ$2),3),1,1),"")</f>
        <v>12</v>
      </c>
      <c r="CA162">
        <f ca="1">IF($AN162="",OFFSET(Demand!$A$13,ROW(K159)-1,4+((QUOTIENT(COLUMN(CA$2)-69,3))*5)+MOD(COLUMN(CA$2),3),1,1),"")</f>
        <v>8</v>
      </c>
      <c r="CB162">
        <f ca="1">IF($AN162="",OFFSET(Demand!$A$13,ROW(L159)-1,4+((QUOTIENT(COLUMN(CB$2)-69,3))*5)+MOD(COLUMN(CB$2),3),1,1),"")</f>
        <v>3</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0</v>
      </c>
      <c r="B163" s="5">
        <f ca="1">COUNTBLANK(OFFSET(Demand!$I172,0,(COLUMN(A160)-1)*5,1,1))</f>
        <v>0</v>
      </c>
      <c r="C163" s="5">
        <f ca="1">COUNTBLANK(OFFSET(Demand!$I172,0,(COLUMN(B160)-1)*5,1,1))</f>
        <v>0</v>
      </c>
      <c r="D163" s="5">
        <f ca="1">COUNTBLANK(OFFSET(Demand!$I172,0,(COLUMN(C160)-1)*5,1,1))</f>
        <v>0</v>
      </c>
      <c r="E163" s="5">
        <f ca="1">COUNTBLANK(OFFSET(Demand!$I172,0,(COLUMN(D160)-1)*5,1,1))</f>
        <v>0</v>
      </c>
      <c r="F163" s="5">
        <f ca="1">COUNTBLANK(OFFSET(Demand!$I172,0,(COLUMN(E160)-1)*5,1,1))</f>
        <v>0</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8565</v>
      </c>
      <c r="O163" s="5">
        <f ca="1">SUM(OFFSET(Demand!$E172,0,(COLUMN(B160)-1)*5,1,3))*O$2</f>
        <v>7080</v>
      </c>
      <c r="P163" s="5">
        <f ca="1">SUM(OFFSET(Demand!$E172,0,(COLUMN(C160)-1)*5,1,3))*P$2</f>
        <v>390</v>
      </c>
      <c r="Q163" s="5">
        <f ca="1">SUM(OFFSET(Demand!$E172,0,(COLUMN(D160)-1)*5,1,3))*Q$2</f>
        <v>780</v>
      </c>
      <c r="R163" s="5">
        <f ca="1">SUM(OFFSET(Demand!$E172,0,(COLUMN(E160)-1)*5,1,3))*R$2</f>
        <v>1</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16816</v>
      </c>
      <c r="Y163">
        <f t="shared" ca="1" si="45"/>
        <v>16816</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16816</v>
      </c>
      <c r="AM163" s="5">
        <f t="shared" ca="1" si="48"/>
        <v>0</v>
      </c>
      <c r="AN163" s="5" t="str">
        <f>IF(Demand!BE172="Yes","Yes","")</f>
        <v/>
      </c>
      <c r="AP163" s="36" t="str">
        <f ca="1">Demand!B172</f>
        <v xml:space="preserve"> </v>
      </c>
      <c r="AQ163" t="str">
        <f ca="1">IF(TEXT(Demand!D172,"MMM")&lt;&gt;TEXT(Demand!D171,"MMM"),TEXT(Demand!D172,"MMM"),"")</f>
        <v/>
      </c>
      <c r="AT163" s="5">
        <f t="shared" ca="1" si="49"/>
        <v>1381</v>
      </c>
      <c r="BQ163">
        <f ca="1">IF($AN163="",OFFSET(Demand!$A$13,ROW(A160)-1,4+((QUOTIENT(COLUMN(BQ$2)-69,3))*5)+MOD(COLUMN(BQ$2),3),1,1),"")</f>
        <v>10</v>
      </c>
      <c r="BR163">
        <f ca="1">IF($AN163="",OFFSET(Demand!$A$13,ROW(B160)-1,4+((QUOTIENT(COLUMN(BR$2)-69,3))*5)+MOD(COLUMN(BR$2),3),1,1),"")</f>
        <v>456</v>
      </c>
      <c r="BS163">
        <f ca="1">IF($AN163="",OFFSET(Demand!$A$13,ROW(C160)-1,4+((QUOTIENT(COLUMN(BS$2)-69,3))*5)+MOD(COLUMN(BS$2),3),1,1),"")</f>
        <v>105</v>
      </c>
      <c r="BT163">
        <f ca="1">IF($AN163="",OFFSET(Demand!$A$13,ROW(D160)-1,4+((QUOTIENT(COLUMN(BT$2)-69,3))*5)+MOD(COLUMN(BT$2),3),1,1),"")</f>
        <v>90</v>
      </c>
      <c r="BU163">
        <f ca="1">IF($AN163="",OFFSET(Demand!$A$13,ROW(E160)-1,4+((QUOTIENT(COLUMN(BU$2)-69,3))*5)+MOD(COLUMN(BU$2),3),1,1),"")</f>
        <v>329</v>
      </c>
      <c r="BV163">
        <f ca="1">IF($AN163="",OFFSET(Demand!$A$13,ROW(F160)-1,4+((QUOTIENT(COLUMN(BV$2)-69,3))*5)+MOD(COLUMN(BV$2),3),1,1),"")</f>
        <v>53</v>
      </c>
      <c r="BW163">
        <f ca="1">IF($AN163="",OFFSET(Demand!$A$13,ROW(G160)-1,4+((QUOTIENT(COLUMN(BW$2)-69,3))*5)+MOD(COLUMN(BW$2),3),1,1),"")</f>
        <v>0</v>
      </c>
      <c r="BX163">
        <f ca="1">IF($AN163="",OFFSET(Demand!$A$13,ROW(H160)-1,4+((QUOTIENT(COLUMN(BX$2)-69,3))*5)+MOD(COLUMN(BX$2),3),1,1),"")</f>
        <v>2</v>
      </c>
      <c r="BY163">
        <f ca="1">IF($AN163="",OFFSET(Demand!$A$13,ROW(I160)-1,4+((QUOTIENT(COLUMN(BY$2)-69,3))*5)+MOD(COLUMN(BY$2),3),1,1),"")</f>
        <v>11</v>
      </c>
      <c r="BZ163">
        <f ca="1">IF($AN163="",OFFSET(Demand!$A$13,ROW(J160)-1,4+((QUOTIENT(COLUMN(BZ$2)-69,3))*5)+MOD(COLUMN(BZ$2),3),1,1),"")</f>
        <v>16</v>
      </c>
      <c r="CA163">
        <f ca="1">IF($AN163="",OFFSET(Demand!$A$13,ROW(K160)-1,4+((QUOTIENT(COLUMN(CA$2)-69,3))*5)+MOD(COLUMN(CA$2),3),1,1),"")</f>
        <v>8</v>
      </c>
      <c r="CB163">
        <f ca="1">IF($AN163="",OFFSET(Demand!$A$13,ROW(L160)-1,4+((QUOTIENT(COLUMN(CB$2)-69,3))*5)+MOD(COLUMN(CB$2),3),1,1),"")</f>
        <v>2</v>
      </c>
      <c r="CC163">
        <f ca="1">IF($AN163="",OFFSET(Demand!$A$13,ROW(M160)-1,4+((QUOTIENT(COLUMN(CC$2)-69,3))*5)+MOD(COLUMN(CC$2),3),1,1),"")</f>
        <v>1</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0</v>
      </c>
      <c r="B164" s="5">
        <f ca="1">COUNTBLANK(OFFSET(Demand!$I173,0,(COLUMN(A161)-1)*5,1,1))</f>
        <v>0</v>
      </c>
      <c r="C164" s="5">
        <f ca="1">COUNTBLANK(OFFSET(Demand!$I173,0,(COLUMN(B161)-1)*5,1,1))</f>
        <v>0</v>
      </c>
      <c r="D164" s="5">
        <f ca="1">COUNTBLANK(OFFSET(Demand!$I173,0,(COLUMN(C161)-1)*5,1,1))</f>
        <v>0</v>
      </c>
      <c r="E164" s="5">
        <f ca="1">COUNTBLANK(OFFSET(Demand!$I173,0,(COLUMN(D161)-1)*5,1,1))</f>
        <v>0</v>
      </c>
      <c r="F164" s="5">
        <f ca="1">COUNTBLANK(OFFSET(Demand!$I173,0,(COLUMN(E161)-1)*5,1,1))</f>
        <v>0</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7995</v>
      </c>
      <c r="O164" s="5">
        <f ca="1">SUM(OFFSET(Demand!$E173,0,(COLUMN(B161)-1)*5,1,3))*O$2</f>
        <v>6585</v>
      </c>
      <c r="P164" s="5">
        <f ca="1">SUM(OFFSET(Demand!$E173,0,(COLUMN(C161)-1)*5,1,3))*P$2</f>
        <v>630</v>
      </c>
      <c r="Q164" s="5">
        <f ca="1">SUM(OFFSET(Demand!$E173,0,(COLUMN(D161)-1)*5,1,3))*Q$2</f>
        <v>690</v>
      </c>
      <c r="R164" s="5">
        <f ca="1">SUM(OFFSET(Demand!$E173,0,(COLUMN(E161)-1)*5,1,3))*R$2</f>
        <v>2</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15902</v>
      </c>
      <c r="Y164">
        <f t="shared" ca="1" si="45"/>
        <v>15902</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15902</v>
      </c>
      <c r="AM164" s="5">
        <f t="shared" ca="1" si="48"/>
        <v>0</v>
      </c>
      <c r="AN164" s="5" t="str">
        <f>IF(Demand!BE173="Yes","Yes","")</f>
        <v/>
      </c>
      <c r="AP164" s="36" t="str">
        <f ca="1">Demand!B173</f>
        <v xml:space="preserve"> </v>
      </c>
      <c r="AQ164" t="str">
        <f ca="1">IF(TEXT(Demand!D173,"MMM")&lt;&gt;TEXT(Demand!D172,"MMM"),TEXT(Demand!D173,"MMM"),"")</f>
        <v/>
      </c>
      <c r="AT164" s="5">
        <f t="shared" ca="1" si="49"/>
        <v>914</v>
      </c>
      <c r="BQ164">
        <f ca="1">IF($AN164="",OFFSET(Demand!$A$13,ROW(A161)-1,4+((QUOTIENT(COLUMN(BQ$2)-69,3))*5)+MOD(COLUMN(BQ$2),3),1,1),"")</f>
        <v>12</v>
      </c>
      <c r="BR164">
        <f ca="1">IF($AN164="",OFFSET(Demand!$A$13,ROW(B161)-1,4+((QUOTIENT(COLUMN(BR$2)-69,3))*5)+MOD(COLUMN(BR$2),3),1,1),"")</f>
        <v>422</v>
      </c>
      <c r="BS164">
        <f ca="1">IF($AN164="",OFFSET(Demand!$A$13,ROW(C161)-1,4+((QUOTIENT(COLUMN(BS$2)-69,3))*5)+MOD(COLUMN(BS$2),3),1,1),"")</f>
        <v>99</v>
      </c>
      <c r="BT164">
        <f ca="1">IF($AN164="",OFFSET(Demand!$A$13,ROW(D161)-1,4+((QUOTIENT(COLUMN(BT$2)-69,3))*5)+MOD(COLUMN(BT$2),3),1,1),"")</f>
        <v>74</v>
      </c>
      <c r="BU164">
        <f ca="1">IF($AN164="",OFFSET(Demand!$A$13,ROW(E161)-1,4+((QUOTIENT(COLUMN(BU$2)-69,3))*5)+MOD(COLUMN(BU$2),3),1,1),"")</f>
        <v>314</v>
      </c>
      <c r="BV164">
        <f ca="1">IF($AN164="",OFFSET(Demand!$A$13,ROW(F161)-1,4+((QUOTIENT(COLUMN(BV$2)-69,3))*5)+MOD(COLUMN(BV$2),3),1,1),"")</f>
        <v>51</v>
      </c>
      <c r="BW164">
        <f ca="1">IF($AN164="",OFFSET(Demand!$A$13,ROW(G161)-1,4+((QUOTIENT(COLUMN(BW$2)-69,3))*5)+MOD(COLUMN(BW$2),3),1,1),"")</f>
        <v>0</v>
      </c>
      <c r="BX164">
        <f ca="1">IF($AN164="",OFFSET(Demand!$A$13,ROW(H161)-1,4+((QUOTIENT(COLUMN(BX$2)-69,3))*5)+MOD(COLUMN(BX$2),3),1,1),"")</f>
        <v>3</v>
      </c>
      <c r="BY164">
        <f ca="1">IF($AN164="",OFFSET(Demand!$A$13,ROW(I161)-1,4+((QUOTIENT(COLUMN(BY$2)-69,3))*5)+MOD(COLUMN(BY$2),3),1,1),"")</f>
        <v>18</v>
      </c>
      <c r="BZ164">
        <f ca="1">IF($AN164="",OFFSET(Demand!$A$13,ROW(J161)-1,4+((QUOTIENT(COLUMN(BZ$2)-69,3))*5)+MOD(COLUMN(BZ$2),3),1,1),"")</f>
        <v>18</v>
      </c>
      <c r="CA164">
        <f ca="1">IF($AN164="",OFFSET(Demand!$A$13,ROW(K161)-1,4+((QUOTIENT(COLUMN(CA$2)-69,3))*5)+MOD(COLUMN(CA$2),3),1,1),"")</f>
        <v>5</v>
      </c>
      <c r="CB164">
        <f ca="1">IF($AN164="",OFFSET(Demand!$A$13,ROW(L161)-1,4+((QUOTIENT(COLUMN(CB$2)-69,3))*5)+MOD(COLUMN(CB$2),3),1,1),"")</f>
        <v>0</v>
      </c>
      <c r="CC164">
        <f ca="1">IF($AN164="",OFFSET(Demand!$A$13,ROW(M161)-1,4+((QUOTIENT(COLUMN(CC$2)-69,3))*5)+MOD(COLUMN(CC$2),3),1,1),"")</f>
        <v>2</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0</v>
      </c>
      <c r="B165" s="5">
        <f ca="1">COUNTBLANK(OFFSET(Demand!$I174,0,(COLUMN(A162)-1)*5,1,1))</f>
        <v>0</v>
      </c>
      <c r="C165" s="5">
        <f ca="1">COUNTBLANK(OFFSET(Demand!$I174,0,(COLUMN(B162)-1)*5,1,1))</f>
        <v>0</v>
      </c>
      <c r="D165" s="5">
        <f ca="1">COUNTBLANK(OFFSET(Demand!$I174,0,(COLUMN(C162)-1)*5,1,1))</f>
        <v>0</v>
      </c>
      <c r="E165" s="5">
        <f ca="1">COUNTBLANK(OFFSET(Demand!$I174,0,(COLUMN(D162)-1)*5,1,1))</f>
        <v>0</v>
      </c>
      <c r="F165" s="5">
        <f ca="1">COUNTBLANK(OFFSET(Demand!$I174,0,(COLUMN(E162)-1)*5,1,1))</f>
        <v>0</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7125</v>
      </c>
      <c r="O165" s="5">
        <f ca="1">SUM(OFFSET(Demand!$E174,0,(COLUMN(B162)-1)*5,1,3))*O$2</f>
        <v>6375</v>
      </c>
      <c r="P165" s="5">
        <f ca="1">SUM(OFFSET(Demand!$E174,0,(COLUMN(C162)-1)*5,1,3))*P$2</f>
        <v>300</v>
      </c>
      <c r="Q165" s="5">
        <f ca="1">SUM(OFFSET(Demand!$E174,0,(COLUMN(D162)-1)*5,1,3))*Q$2</f>
        <v>570</v>
      </c>
      <c r="R165" s="5">
        <f ca="1">SUM(OFFSET(Demand!$E174,0,(COLUMN(E162)-1)*5,1,3))*R$2</f>
        <v>1</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14371</v>
      </c>
      <c r="Y165">
        <f t="shared" ca="1" si="45"/>
        <v>14371</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14371</v>
      </c>
      <c r="AM165" s="5">
        <f t="shared" ca="1" si="48"/>
        <v>0</v>
      </c>
      <c r="AN165" s="5" t="str">
        <f>IF(Demand!BE174="Yes","Yes","")</f>
        <v/>
      </c>
      <c r="AP165" s="36" t="str">
        <f ca="1">Demand!B174</f>
        <v xml:space="preserve"> </v>
      </c>
      <c r="AQ165" t="str">
        <f ca="1">IF(TEXT(Demand!D174,"MMM")&lt;&gt;TEXT(Demand!D173,"MMM"),TEXT(Demand!D174,"MMM"),"")</f>
        <v>May</v>
      </c>
      <c r="AT165" s="5">
        <f t="shared" ca="1" si="49"/>
        <v>1531</v>
      </c>
      <c r="BQ165">
        <f ca="1">IF($AN165="",OFFSET(Demand!$A$13,ROW(A162)-1,4+((QUOTIENT(COLUMN(BQ$2)-69,3))*5)+MOD(COLUMN(BQ$2),3),1,1),"")</f>
        <v>4</v>
      </c>
      <c r="BR165">
        <f ca="1">IF($AN165="",OFFSET(Demand!$A$13,ROW(B162)-1,4+((QUOTIENT(COLUMN(BR$2)-69,3))*5)+MOD(COLUMN(BR$2),3),1,1),"")</f>
        <v>398</v>
      </c>
      <c r="BS165">
        <f ca="1">IF($AN165="",OFFSET(Demand!$A$13,ROW(C162)-1,4+((QUOTIENT(COLUMN(BS$2)-69,3))*5)+MOD(COLUMN(BS$2),3),1,1),"")</f>
        <v>73</v>
      </c>
      <c r="BT165">
        <f ca="1">IF($AN165="",OFFSET(Demand!$A$13,ROW(D162)-1,4+((QUOTIENT(COLUMN(BT$2)-69,3))*5)+MOD(COLUMN(BT$2),3),1,1),"")</f>
        <v>84</v>
      </c>
      <c r="BU165">
        <f ca="1">IF($AN165="",OFFSET(Demand!$A$13,ROW(E162)-1,4+((QUOTIENT(COLUMN(BU$2)-69,3))*5)+MOD(COLUMN(BU$2),3),1,1),"")</f>
        <v>307</v>
      </c>
      <c r="BV165">
        <f ca="1">IF($AN165="",OFFSET(Demand!$A$13,ROW(F162)-1,4+((QUOTIENT(COLUMN(BV$2)-69,3))*5)+MOD(COLUMN(BV$2),3),1,1),"")</f>
        <v>34</v>
      </c>
      <c r="BW165">
        <f ca="1">IF($AN165="",OFFSET(Demand!$A$13,ROW(G162)-1,4+((QUOTIENT(COLUMN(BW$2)-69,3))*5)+MOD(COLUMN(BW$2),3),1,1),"")</f>
        <v>0</v>
      </c>
      <c r="BX165">
        <f ca="1">IF($AN165="",OFFSET(Demand!$A$13,ROW(H162)-1,4+((QUOTIENT(COLUMN(BX$2)-69,3))*5)+MOD(COLUMN(BX$2),3),1,1),"")</f>
        <v>3</v>
      </c>
      <c r="BY165">
        <f ca="1">IF($AN165="",OFFSET(Demand!$A$13,ROW(I162)-1,4+((QUOTIENT(COLUMN(BY$2)-69,3))*5)+MOD(COLUMN(BY$2),3),1,1),"")</f>
        <v>7</v>
      </c>
      <c r="BZ165">
        <f ca="1">IF($AN165="",OFFSET(Demand!$A$13,ROW(J162)-1,4+((QUOTIENT(COLUMN(BZ$2)-69,3))*5)+MOD(COLUMN(BZ$2),3),1,1),"")</f>
        <v>18</v>
      </c>
      <c r="CA165">
        <f ca="1">IF($AN165="",OFFSET(Demand!$A$13,ROW(K162)-1,4+((QUOTIENT(COLUMN(CA$2)-69,3))*5)+MOD(COLUMN(CA$2),3),1,1),"")</f>
        <v>1</v>
      </c>
      <c r="CB165">
        <f ca="1">IF($AN165="",OFFSET(Demand!$A$13,ROW(L162)-1,4+((QUOTIENT(COLUMN(CB$2)-69,3))*5)+MOD(COLUMN(CB$2),3),1,1),"")</f>
        <v>0</v>
      </c>
      <c r="CC165">
        <f ca="1">IF($AN165="",OFFSET(Demand!$A$13,ROW(M162)-1,4+((QUOTIENT(COLUMN(CC$2)-69,3))*5)+MOD(COLUMN(CC$2),3),1,1),"")</f>
        <v>1</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0</v>
      </c>
      <c r="B166" s="5">
        <f ca="1">COUNTBLANK(OFFSET(Demand!$I175,0,(COLUMN(A163)-1)*5,1,1))</f>
        <v>0</v>
      </c>
      <c r="C166" s="5">
        <f ca="1">COUNTBLANK(OFFSET(Demand!$I175,0,(COLUMN(B163)-1)*5,1,1))</f>
        <v>0</v>
      </c>
      <c r="D166" s="5">
        <f ca="1">COUNTBLANK(OFFSET(Demand!$I175,0,(COLUMN(C163)-1)*5,1,1))</f>
        <v>0</v>
      </c>
      <c r="E166" s="5">
        <f ca="1">COUNTBLANK(OFFSET(Demand!$I175,0,(COLUMN(D163)-1)*5,1,1))</f>
        <v>0</v>
      </c>
      <c r="F166" s="5">
        <f ca="1">COUNTBLANK(OFFSET(Demand!$I175,0,(COLUMN(E163)-1)*5,1,1))</f>
        <v>0</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8160</v>
      </c>
      <c r="O166" s="5">
        <f ca="1">SUM(OFFSET(Demand!$E175,0,(COLUMN(B163)-1)*5,1,3))*O$2</f>
        <v>6960</v>
      </c>
      <c r="P166" s="5">
        <f ca="1">SUM(OFFSET(Demand!$E175,0,(COLUMN(C163)-1)*5,1,3))*P$2</f>
        <v>570</v>
      </c>
      <c r="Q166" s="5">
        <f ca="1">SUM(OFFSET(Demand!$E175,0,(COLUMN(D163)-1)*5,1,3))*Q$2</f>
        <v>600</v>
      </c>
      <c r="R166" s="5">
        <f ca="1">SUM(OFFSET(Demand!$E175,0,(COLUMN(E163)-1)*5,1,3))*R$2</f>
        <v>3</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16293</v>
      </c>
      <c r="Y166">
        <f t="shared" ca="1" si="45"/>
        <v>16293</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16293</v>
      </c>
      <c r="AM166" s="5">
        <f t="shared" ca="1" si="48"/>
        <v>0</v>
      </c>
      <c r="AN166" s="5" t="str">
        <f>IF(Demand!BE175="Yes","Yes","")</f>
        <v/>
      </c>
      <c r="AP166" s="36" t="str">
        <f ca="1">Demand!B175</f>
        <v xml:space="preserve"> </v>
      </c>
      <c r="AQ166" t="str">
        <f ca="1">IF(TEXT(Demand!D175,"MMM")&lt;&gt;TEXT(Demand!D174,"MMM"),TEXT(Demand!D175,"MMM"),"")</f>
        <v/>
      </c>
      <c r="AT166" s="5">
        <f t="shared" ca="1" si="49"/>
        <v>1922</v>
      </c>
      <c r="BQ166">
        <f ca="1">IF($AN166="",OFFSET(Demand!$A$13,ROW(A163)-1,4+((QUOTIENT(COLUMN(BQ$2)-69,3))*5)+MOD(COLUMN(BQ$2),3),1,1),"")</f>
        <v>11</v>
      </c>
      <c r="BR166">
        <f ca="1">IF($AN166="",OFFSET(Demand!$A$13,ROW(B163)-1,4+((QUOTIENT(COLUMN(BR$2)-69,3))*5)+MOD(COLUMN(BR$2),3),1,1),"")</f>
        <v>424</v>
      </c>
      <c r="BS166">
        <f ca="1">IF($AN166="",OFFSET(Demand!$A$13,ROW(C163)-1,4+((QUOTIENT(COLUMN(BS$2)-69,3))*5)+MOD(COLUMN(BS$2),3),1,1),"")</f>
        <v>109</v>
      </c>
      <c r="BT166">
        <f ca="1">IF($AN166="",OFFSET(Demand!$A$13,ROW(D163)-1,4+((QUOTIENT(COLUMN(BT$2)-69,3))*5)+MOD(COLUMN(BT$2),3),1,1),"")</f>
        <v>86</v>
      </c>
      <c r="BU166">
        <f ca="1">IF($AN166="",OFFSET(Demand!$A$13,ROW(E163)-1,4+((QUOTIENT(COLUMN(BU$2)-69,3))*5)+MOD(COLUMN(BU$2),3),1,1),"")</f>
        <v>335</v>
      </c>
      <c r="BV166">
        <f ca="1">IF($AN166="",OFFSET(Demand!$A$13,ROW(F163)-1,4+((QUOTIENT(COLUMN(BV$2)-69,3))*5)+MOD(COLUMN(BV$2),3),1,1),"")</f>
        <v>43</v>
      </c>
      <c r="BW166">
        <f ca="1">IF($AN166="",OFFSET(Demand!$A$13,ROW(G163)-1,4+((QUOTIENT(COLUMN(BW$2)-69,3))*5)+MOD(COLUMN(BW$2),3),1,1),"")</f>
        <v>0</v>
      </c>
      <c r="BX166">
        <f ca="1">IF($AN166="",OFFSET(Demand!$A$13,ROW(H163)-1,4+((QUOTIENT(COLUMN(BX$2)-69,3))*5)+MOD(COLUMN(BX$2),3),1,1),"")</f>
        <v>4</v>
      </c>
      <c r="BY166">
        <f ca="1">IF($AN166="",OFFSET(Demand!$A$13,ROW(I163)-1,4+((QUOTIENT(COLUMN(BY$2)-69,3))*5)+MOD(COLUMN(BY$2),3),1,1),"")</f>
        <v>15</v>
      </c>
      <c r="BZ166">
        <f ca="1">IF($AN166="",OFFSET(Demand!$A$13,ROW(J163)-1,4+((QUOTIENT(COLUMN(BZ$2)-69,3))*5)+MOD(COLUMN(BZ$2),3),1,1),"")</f>
        <v>13</v>
      </c>
      <c r="CA166">
        <f ca="1">IF($AN166="",OFFSET(Demand!$A$13,ROW(K163)-1,4+((QUOTIENT(COLUMN(CA$2)-69,3))*5)+MOD(COLUMN(CA$2),3),1,1),"")</f>
        <v>5</v>
      </c>
      <c r="CB166">
        <f ca="1">IF($AN166="",OFFSET(Demand!$A$13,ROW(L163)-1,4+((QUOTIENT(COLUMN(CB$2)-69,3))*5)+MOD(COLUMN(CB$2),3),1,1),"")</f>
        <v>2</v>
      </c>
      <c r="CC166">
        <f ca="1">IF($AN166="",OFFSET(Demand!$A$13,ROW(M163)-1,4+((QUOTIENT(COLUMN(CC$2)-69,3))*5)+MOD(COLUMN(CC$2),3),1,1),"")</f>
        <v>2</v>
      </c>
      <c r="CD166">
        <f ca="1">IF($AN166="",OFFSET(Demand!$A$13,ROW(N163)-1,4+((QUOTIENT(COLUMN(CD$2)-69,3))*5)+MOD(COLUMN(CD$2),3),1,1),"")</f>
        <v>1</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1</v>
      </c>
      <c r="B167" s="5">
        <f ca="1">COUNTBLANK(OFFSET(Demand!$I176,0,(COLUMN(A164)-1)*5,1,1))</f>
        <v>0</v>
      </c>
      <c r="C167" s="5">
        <f ca="1">COUNTBLANK(OFFSET(Demand!$I176,0,(COLUMN(B164)-1)*5,1,1))</f>
        <v>0</v>
      </c>
      <c r="D167" s="5">
        <f ca="1">COUNTBLANK(OFFSET(Demand!$I176,0,(COLUMN(C164)-1)*5,1,1))</f>
        <v>0</v>
      </c>
      <c r="E167" s="5">
        <f ca="1">COUNTBLANK(OFFSET(Demand!$I176,0,(COLUMN(D164)-1)*5,1,1))</f>
        <v>0</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8205</v>
      </c>
      <c r="O167" s="5">
        <f ca="1">SUM(OFFSET(Demand!$E176,0,(COLUMN(B164)-1)*5,1,3))*O$2</f>
        <v>5880</v>
      </c>
      <c r="P167" s="5">
        <f ca="1">SUM(OFFSET(Demand!$E176,0,(COLUMN(C164)-1)*5,1,3))*P$2</f>
        <v>420</v>
      </c>
      <c r="Q167" s="5">
        <f ca="1">SUM(OFFSET(Demand!$E176,0,(COLUMN(D164)-1)*5,1,3))*Q$2</f>
        <v>1110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15615</v>
      </c>
      <c r="Y167">
        <f t="shared" ca="1" si="45"/>
        <v>15615</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15615</v>
      </c>
      <c r="AM167" s="5">
        <f t="shared" ca="1" si="48"/>
        <v>0</v>
      </c>
      <c r="AN167" s="5" t="str">
        <f>IF(Demand!BE176="Yes","Yes","")</f>
        <v/>
      </c>
      <c r="AP167" s="36" t="str">
        <f ca="1">Demand!B176</f>
        <v xml:space="preserve"> </v>
      </c>
      <c r="AQ167" t="str">
        <f ca="1">IF(TEXT(Demand!D176,"MMM")&lt;&gt;TEXT(Demand!D175,"MMM"),TEXT(Demand!D176,"MMM"),"")</f>
        <v/>
      </c>
      <c r="AT167" s="5">
        <f t="shared" ca="1" si="49"/>
        <v>678</v>
      </c>
      <c r="BQ167">
        <f ca="1">IF($AN167="",OFFSET(Demand!$A$13,ROW(A164)-1,4+((QUOTIENT(COLUMN(BQ$2)-69,3))*5)+MOD(COLUMN(BQ$2),3),1,1),"")</f>
        <v>5</v>
      </c>
      <c r="BR167">
        <f ca="1">IF($AN167="",OFFSET(Demand!$A$13,ROW(B164)-1,4+((QUOTIENT(COLUMN(BR$2)-69,3))*5)+MOD(COLUMN(BR$2),3),1,1),"")</f>
        <v>426</v>
      </c>
      <c r="BS167">
        <f ca="1">IF($AN167="",OFFSET(Demand!$A$13,ROW(C164)-1,4+((QUOTIENT(COLUMN(BS$2)-69,3))*5)+MOD(COLUMN(BS$2),3),1,1),"")</f>
        <v>116</v>
      </c>
      <c r="BT167">
        <f ca="1">IF($AN167="",OFFSET(Demand!$A$13,ROW(D164)-1,4+((QUOTIENT(COLUMN(BT$2)-69,3))*5)+MOD(COLUMN(BT$2),3),1,1),"")</f>
        <v>72</v>
      </c>
      <c r="BU167">
        <f ca="1">IF($AN167="",OFFSET(Demand!$A$13,ROW(E164)-1,4+((QUOTIENT(COLUMN(BU$2)-69,3))*5)+MOD(COLUMN(BU$2),3),1,1),"")</f>
        <v>292</v>
      </c>
      <c r="BV167">
        <f ca="1">IF($AN167="",OFFSET(Demand!$A$13,ROW(F164)-1,4+((QUOTIENT(COLUMN(BV$2)-69,3))*5)+MOD(COLUMN(BV$2),3),1,1),"")</f>
        <v>28</v>
      </c>
      <c r="BW167">
        <f ca="1">IF($AN167="",OFFSET(Demand!$A$13,ROW(G164)-1,4+((QUOTIENT(COLUMN(BW$2)-69,3))*5)+MOD(COLUMN(BW$2),3),1,1),"")</f>
        <v>0</v>
      </c>
      <c r="BX167">
        <f ca="1">IF($AN167="",OFFSET(Demand!$A$13,ROW(H164)-1,4+((QUOTIENT(COLUMN(BX$2)-69,3))*5)+MOD(COLUMN(BX$2),3),1,1),"")</f>
        <v>2</v>
      </c>
      <c r="BY167">
        <f ca="1">IF($AN167="",OFFSET(Demand!$A$13,ROW(I164)-1,4+((QUOTIENT(COLUMN(BY$2)-69,3))*5)+MOD(COLUMN(BY$2),3),1,1),"")</f>
        <v>12</v>
      </c>
      <c r="BZ167">
        <f ca="1">IF($AN167="",OFFSET(Demand!$A$13,ROW(J164)-1,4+((QUOTIENT(COLUMN(BZ$2)-69,3))*5)+MOD(COLUMN(BZ$2),3),1,1),"")</f>
        <v>33</v>
      </c>
      <c r="CA167">
        <f ca="1">IF($AN167="",OFFSET(Demand!$A$13,ROW(K164)-1,4+((QUOTIENT(COLUMN(CA$2)-69,3))*5)+MOD(COLUMN(CA$2),3),1,1),"")</f>
        <v>2</v>
      </c>
      <c r="CB167">
        <f ca="1">IF($AN167="",OFFSET(Demand!$A$13,ROW(L164)-1,4+((QUOTIENT(COLUMN(CB$2)-69,3))*5)+MOD(COLUMN(CB$2),3),1,1),"")</f>
        <v>2</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0</v>
      </c>
      <c r="B168" s="5">
        <f ca="1">COUNTBLANK(OFFSET(Demand!$I177,0,(COLUMN(A165)-1)*5,1,1))</f>
        <v>0</v>
      </c>
      <c r="C168" s="5">
        <f ca="1">COUNTBLANK(OFFSET(Demand!$I177,0,(COLUMN(B165)-1)*5,1,1))</f>
        <v>0</v>
      </c>
      <c r="D168" s="5">
        <f ca="1">COUNTBLANK(OFFSET(Demand!$I177,0,(COLUMN(C165)-1)*5,1,1))</f>
        <v>0</v>
      </c>
      <c r="E168" s="5">
        <f ca="1">COUNTBLANK(OFFSET(Demand!$I177,0,(COLUMN(D165)-1)*5,1,1))</f>
        <v>0</v>
      </c>
      <c r="F168" s="5">
        <f ca="1">COUNTBLANK(OFFSET(Demand!$I177,0,(COLUMN(E165)-1)*5,1,1))</f>
        <v>0</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8550</v>
      </c>
      <c r="O168" s="5">
        <f ca="1">SUM(OFFSET(Demand!$E177,0,(COLUMN(B165)-1)*5,1,3))*O$2</f>
        <v>7275</v>
      </c>
      <c r="P168" s="5">
        <f ca="1">SUM(OFFSET(Demand!$E177,0,(COLUMN(C165)-1)*5,1,3))*P$2</f>
        <v>480</v>
      </c>
      <c r="Q168" s="5">
        <f ca="1">SUM(OFFSET(Demand!$E177,0,(COLUMN(D165)-1)*5,1,3))*Q$2</f>
        <v>990</v>
      </c>
      <c r="R168" s="5">
        <f ca="1">SUM(OFFSET(Demand!$E177,0,(COLUMN(E165)-1)*5,1,3))*R$2</f>
        <v>1</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17296</v>
      </c>
      <c r="Y168">
        <f t="shared" ca="1" si="45"/>
        <v>17296</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17296</v>
      </c>
      <c r="AM168" s="5">
        <f t="shared" ca="1" si="48"/>
        <v>0</v>
      </c>
      <c r="AN168" s="5" t="str">
        <f>IF(Demand!BE177="Yes","Yes","")</f>
        <v/>
      </c>
      <c r="AP168" s="36" t="str">
        <f ca="1">Demand!B177</f>
        <v xml:space="preserve"> </v>
      </c>
      <c r="AQ168" t="str">
        <f ca="1">IF(TEXT(Demand!D177,"MMM")&lt;&gt;TEXT(Demand!D176,"MMM"),TEXT(Demand!D177,"MMM"),"")</f>
        <v/>
      </c>
      <c r="AT168" s="5">
        <f t="shared" ca="1" si="49"/>
        <v>1681</v>
      </c>
      <c r="BQ168">
        <f ca="1">IF($AN168="",OFFSET(Demand!$A$13,ROW(A165)-1,4+((QUOTIENT(COLUMN(BQ$2)-69,3))*5)+MOD(COLUMN(BQ$2),3),1,1),"")</f>
        <v>6</v>
      </c>
      <c r="BR168">
        <f ca="1">IF($AN168="",OFFSET(Demand!$A$13,ROW(B165)-1,4+((QUOTIENT(COLUMN(BR$2)-69,3))*5)+MOD(COLUMN(BR$2),3),1,1),"")</f>
        <v>468</v>
      </c>
      <c r="BS168">
        <f ca="1">IF($AN168="",OFFSET(Demand!$A$13,ROW(C165)-1,4+((QUOTIENT(COLUMN(BS$2)-69,3))*5)+MOD(COLUMN(BS$2),3),1,1),"")</f>
        <v>96</v>
      </c>
      <c r="BT168">
        <f ca="1">IF($AN168="",OFFSET(Demand!$A$13,ROW(D165)-1,4+((QUOTIENT(COLUMN(BT$2)-69,3))*5)+MOD(COLUMN(BT$2),3),1,1),"")</f>
        <v>93</v>
      </c>
      <c r="BU168">
        <f ca="1">IF($AN168="",OFFSET(Demand!$A$13,ROW(E165)-1,4+((QUOTIENT(COLUMN(BU$2)-69,3))*5)+MOD(COLUMN(BU$2),3),1,1),"")</f>
        <v>352</v>
      </c>
      <c r="BV168">
        <f ca="1">IF($AN168="",OFFSET(Demand!$A$13,ROW(F165)-1,4+((QUOTIENT(COLUMN(BV$2)-69,3))*5)+MOD(COLUMN(BV$2),3),1,1),"")</f>
        <v>40</v>
      </c>
      <c r="BW168">
        <f ca="1">IF($AN168="",OFFSET(Demand!$A$13,ROW(G165)-1,4+((QUOTIENT(COLUMN(BW$2)-69,3))*5)+MOD(COLUMN(BW$2),3),1,1),"")</f>
        <v>0</v>
      </c>
      <c r="BX168">
        <f ca="1">IF($AN168="",OFFSET(Demand!$A$13,ROW(H165)-1,4+((QUOTIENT(COLUMN(BX$2)-69,3))*5)+MOD(COLUMN(BX$2),3),1,1),"")</f>
        <v>0</v>
      </c>
      <c r="BY168">
        <f ca="1">IF($AN168="",OFFSET(Demand!$A$13,ROW(I165)-1,4+((QUOTIENT(COLUMN(BY$2)-69,3))*5)+MOD(COLUMN(BY$2),3),1,1),"")</f>
        <v>16</v>
      </c>
      <c r="BZ168">
        <f ca="1">IF($AN168="",OFFSET(Demand!$A$13,ROW(J165)-1,4+((QUOTIENT(COLUMN(BZ$2)-69,3))*5)+MOD(COLUMN(BZ$2),3),1,1),"")</f>
        <v>21</v>
      </c>
      <c r="CA168">
        <f ca="1">IF($AN168="",OFFSET(Demand!$A$13,ROW(K165)-1,4+((QUOTIENT(COLUMN(CA$2)-69,3))*5)+MOD(COLUMN(CA$2),3),1,1),"")</f>
        <v>5</v>
      </c>
      <c r="CB168">
        <f ca="1">IF($AN168="",OFFSET(Demand!$A$13,ROW(L165)-1,4+((QUOTIENT(COLUMN(CB$2)-69,3))*5)+MOD(COLUMN(CB$2),3),1,1),"")</f>
        <v>7</v>
      </c>
      <c r="CC168">
        <f ca="1">IF($AN168="",OFFSET(Demand!$A$13,ROW(M165)-1,4+((QUOTIENT(COLUMN(CC$2)-69,3))*5)+MOD(COLUMN(CC$2),3),1,1),"")</f>
        <v>1</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5</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17296</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5</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5</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5</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5</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5</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5</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5</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5</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5</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5</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5</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5</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5</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5</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5</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5</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5</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5</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5</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5</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5</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5</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5</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5</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5</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5</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5</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5</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5</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5</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5</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5</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5</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5</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5</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5</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5</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5</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5</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5</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5</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5</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5</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5</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5</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5</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5</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5</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5</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5</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5</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5</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5</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5</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5</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5</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5</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5</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5</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5</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5</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5</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5</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5</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5</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5</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5</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5</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5</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5</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5</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5</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5</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5</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5</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5</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5</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5</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5</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5</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5</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5</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5</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5</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5</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5</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5</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5</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5</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5</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5</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5</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5</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5</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371460</v>
      </c>
      <c r="O264" s="5">
        <f ca="1">SUM(OFFSET(O$4,'SPC background (hide)'!$C$4-1,0,SampleLength,1))</f>
        <v>296490</v>
      </c>
      <c r="P264" s="5">
        <f ca="1">SUM(OFFSET(P$4,'SPC background (hide)'!$C$4-1,0,SampleLength,1))</f>
        <v>47040</v>
      </c>
      <c r="Q264" s="5">
        <f ca="1">SUM(OFFSET(Q$4,'SPC background (hide)'!$C$4-1,0,SampleLength,1))</f>
        <v>38250</v>
      </c>
      <c r="R264" s="5">
        <f ca="1">SUM(OFFSET(R$4,'SPC background (hide)'!$C$4-1,0,SampleLength,1))</f>
        <v>78</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753318</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75" defaultRowHeight="14.25" x14ac:dyDescent="0.2"/>
  <cols>
    <col min="1" max="3" width="10.25" style="348" customWidth="1"/>
    <col min="4" max="4" width="17.75" style="348" customWidth="1"/>
    <col min="5" max="5" width="13.75" style="348" customWidth="1"/>
    <col min="6" max="6" width="9.75" style="348" bestFit="1" customWidth="1"/>
    <col min="7" max="16384" width="8.75" style="348"/>
  </cols>
  <sheetData>
    <row r="2" spans="1:18" x14ac:dyDescent="0.2">
      <c r="A2" s="347" t="s">
        <v>1177</v>
      </c>
      <c r="B2" s="347"/>
      <c r="C2" s="347"/>
      <c r="D2" s="347"/>
      <c r="E2" s="347"/>
      <c r="F2" s="347"/>
      <c r="G2" s="347"/>
      <c r="H2" s="347"/>
      <c r="I2" s="347"/>
      <c r="J2" s="347"/>
      <c r="K2" s="347"/>
      <c r="L2" s="347"/>
      <c r="M2" s="347"/>
      <c r="N2" s="347"/>
      <c r="O2" s="347"/>
      <c r="P2" s="347"/>
      <c r="Q2" s="347"/>
      <c r="R2" s="347"/>
    </row>
    <row r="3" spans="1:18" x14ac:dyDescent="0.2">
      <c r="A3" s="349" t="s">
        <v>1178</v>
      </c>
      <c r="B3" s="349"/>
      <c r="C3" s="349"/>
      <c r="D3" s="349"/>
      <c r="E3" s="349"/>
      <c r="F3" s="349"/>
      <c r="G3" s="349"/>
      <c r="H3" s="349"/>
      <c r="I3" s="349"/>
      <c r="J3" s="349"/>
      <c r="K3" s="349"/>
      <c r="L3" s="349"/>
      <c r="M3" s="349"/>
      <c r="N3" s="349"/>
      <c r="O3" s="349"/>
      <c r="P3" s="349"/>
      <c r="Q3" s="349"/>
      <c r="R3" s="349"/>
    </row>
    <row r="5" spans="1:18" x14ac:dyDescent="0.2">
      <c r="A5" s="348" t="s">
        <v>1208</v>
      </c>
    </row>
    <row r="6" spans="1:18" x14ac:dyDescent="0.2">
      <c r="A6" s="348" t="s">
        <v>1186</v>
      </c>
    </row>
    <row r="7" spans="1:18" x14ac:dyDescent="0.2">
      <c r="A7" s="348" t="s">
        <v>1187</v>
      </c>
    </row>
    <row r="9" spans="1:18" ht="15" x14ac:dyDescent="0.25">
      <c r="A9" s="284" t="s">
        <v>1179</v>
      </c>
      <c r="F9" s="336" t="s">
        <v>22</v>
      </c>
    </row>
    <row r="10" spans="1:18" x14ac:dyDescent="0.2">
      <c r="A10" s="350" t="str">
        <f>IF(AND(F9="Yes",Demand!C6="",LEFT(Demand!C8,1)="M"),"You must enter a start date on the 'Demand' sheet, otherwise the model will show errors!","")</f>
        <v/>
      </c>
    </row>
    <row r="11" spans="1:18" ht="15" x14ac:dyDescent="0.25">
      <c r="A11" s="284" t="s">
        <v>1184</v>
      </c>
    </row>
    <row r="12" spans="1:18" x14ac:dyDescent="0.2">
      <c r="A12" s="348" t="s">
        <v>1181</v>
      </c>
      <c r="F12" s="167">
        <v>43969</v>
      </c>
    </row>
    <row r="13" spans="1:18" x14ac:dyDescent="0.2">
      <c r="A13" s="348" t="str">
        <f>"Current (restricted) level of demand ("&amp;Setup!$I$17&amp;"):"</f>
        <v>Current (restricted) level of demand (Minutes):</v>
      </c>
      <c r="D13" s="219"/>
      <c r="F13" s="336">
        <v>200</v>
      </c>
    </row>
    <row r="14" spans="1:18" x14ac:dyDescent="0.2">
      <c r="D14" s="219"/>
      <c r="F14" s="219"/>
    </row>
    <row r="16" spans="1:18" ht="15" x14ac:dyDescent="0.25">
      <c r="A16" s="284" t="s">
        <v>1185</v>
      </c>
    </row>
    <row r="17" spans="1:6" x14ac:dyDescent="0.2">
      <c r="A17" s="348" t="s">
        <v>1183</v>
      </c>
      <c r="F17" s="167">
        <v>44011</v>
      </c>
    </row>
    <row r="18" spans="1:6" x14ac:dyDescent="0.2">
      <c r="A18" s="348" t="s">
        <v>1233</v>
      </c>
      <c r="F18" s="336">
        <v>20</v>
      </c>
    </row>
    <row r="20" spans="1:6" x14ac:dyDescent="0.2">
      <c r="A20" s="348" t="s">
        <v>1180</v>
      </c>
      <c r="F20" s="336" t="s">
        <v>22</v>
      </c>
    </row>
    <row r="23" spans="1:6" ht="15" x14ac:dyDescent="0.25">
      <c r="A23" s="284" t="s">
        <v>1210</v>
      </c>
    </row>
    <row r="24" spans="1:6" x14ac:dyDescent="0.2">
      <c r="A24" s="348" t="s">
        <v>1211</v>
      </c>
    </row>
    <row r="26" spans="1:6" x14ac:dyDescent="0.2">
      <c r="A26" s="348" t="s">
        <v>1212</v>
      </c>
    </row>
    <row r="27" spans="1:6" x14ac:dyDescent="0.2">
      <c r="A27" s="348" t="s">
        <v>1213</v>
      </c>
    </row>
    <row r="28" spans="1:6" x14ac:dyDescent="0.2">
      <c r="A28" s="351" t="s">
        <v>1218</v>
      </c>
    </row>
    <row r="31" spans="1:6" ht="15" x14ac:dyDescent="0.25">
      <c r="A31" s="284" t="s">
        <v>1214</v>
      </c>
    </row>
    <row r="33" spans="1:18" ht="13.9" customHeight="1" x14ac:dyDescent="0.25">
      <c r="D33" s="415" t="str">
        <f>"Number of patients ("&amp;Setup!$I$17&amp;")"</f>
        <v>Number of patients (Minutes)</v>
      </c>
      <c r="E33" s="413" t="s">
        <v>1217</v>
      </c>
      <c r="F33" s="415" t="str">
        <f>Setup!$I$17&amp;" remaining"</f>
        <v>Minutes remaining</v>
      </c>
      <c r="G33" s="352" t="str">
        <f>"Backlog / unseen patients ("&amp;Setup!$I$17&amp;") brought in post-transition, by week"</f>
        <v>Backlog / unseen patients (Minutes) brought in post-transition, by week</v>
      </c>
      <c r="H33" s="353"/>
      <c r="I33" s="353"/>
      <c r="J33" s="353"/>
      <c r="K33" s="353"/>
      <c r="L33" s="353"/>
      <c r="M33" s="353"/>
      <c r="N33" s="353"/>
      <c r="O33" s="353"/>
      <c r="P33" s="353"/>
      <c r="Q33" s="353"/>
      <c r="R33" s="354"/>
    </row>
    <row r="34" spans="1:18" ht="15" x14ac:dyDescent="0.25">
      <c r="D34" s="416"/>
      <c r="E34" s="414"/>
      <c r="F34" s="416"/>
      <c r="G34" s="355">
        <v>1</v>
      </c>
      <c r="H34" s="355">
        <v>2</v>
      </c>
      <c r="I34" s="355">
        <v>3</v>
      </c>
      <c r="J34" s="355">
        <v>4</v>
      </c>
      <c r="K34" s="355">
        <v>5</v>
      </c>
      <c r="L34" s="355">
        <v>6</v>
      </c>
      <c r="M34" s="355">
        <v>7</v>
      </c>
      <c r="N34" s="355">
        <v>8</v>
      </c>
      <c r="O34" s="355">
        <v>9</v>
      </c>
      <c r="P34" s="355">
        <v>10</v>
      </c>
      <c r="Q34" s="355">
        <v>11</v>
      </c>
      <c r="R34" s="355">
        <v>12</v>
      </c>
    </row>
    <row r="35" spans="1:18" ht="15" x14ac:dyDescent="0.25">
      <c r="A35" s="348" t="s">
        <v>1215</v>
      </c>
      <c r="D35" s="358">
        <f ca="1">SUM(OFFSET('Parameters calculator (hide)'!$C$68,0,0,Num_Modalities,1))</f>
        <v>49770</v>
      </c>
      <c r="E35" s="337">
        <v>0.04</v>
      </c>
      <c r="F35" s="356">
        <f ca="1">ROUNDUP(D35*(1-E35),0)-SUM(G35:N35)</f>
        <v>46180</v>
      </c>
      <c r="G35" s="336">
        <v>200</v>
      </c>
      <c r="H35" s="336">
        <v>200</v>
      </c>
      <c r="I35" s="336">
        <v>200</v>
      </c>
      <c r="J35" s="336">
        <v>200</v>
      </c>
      <c r="K35" s="336">
        <v>200</v>
      </c>
      <c r="L35" s="336">
        <v>200</v>
      </c>
      <c r="M35" s="336">
        <v>200</v>
      </c>
      <c r="N35" s="336">
        <v>200</v>
      </c>
      <c r="O35" s="336">
        <v>200</v>
      </c>
      <c r="P35" s="336">
        <v>200</v>
      </c>
      <c r="Q35" s="336"/>
      <c r="R35" s="336"/>
    </row>
    <row r="36" spans="1:18" ht="15" x14ac:dyDescent="0.25">
      <c r="A36" s="348" t="s">
        <v>1216</v>
      </c>
      <c r="D36" s="359">
        <f ca="1">'Demand background (hide)'!EA3</f>
        <v>0</v>
      </c>
      <c r="E36" s="337">
        <v>0.05</v>
      </c>
      <c r="F36" s="357">
        <f ca="1">ROUNDUP(D36*(1-E36),0)-SUM(G36:N36)</f>
        <v>-2400</v>
      </c>
      <c r="G36" s="336">
        <v>300</v>
      </c>
      <c r="H36" s="336">
        <v>300</v>
      </c>
      <c r="I36" s="336">
        <v>300</v>
      </c>
      <c r="J36" s="336">
        <v>300</v>
      </c>
      <c r="K36" s="336">
        <v>300</v>
      </c>
      <c r="L36" s="336">
        <v>300</v>
      </c>
      <c r="M36" s="336">
        <v>300</v>
      </c>
      <c r="N36" s="336">
        <v>300</v>
      </c>
      <c r="O36" s="336">
        <v>300</v>
      </c>
      <c r="P36" s="336">
        <v>300</v>
      </c>
      <c r="Q36" s="336"/>
      <c r="R36" s="336"/>
    </row>
    <row r="39" spans="1:18" ht="15" x14ac:dyDescent="0.25">
      <c r="A39" s="348" t="s">
        <v>1225</v>
      </c>
    </row>
  </sheetData>
  <sheetProtection algorithmName="SHA-512" hashValue="3LvA3BY/gswbwMqlBT2XEGcZwB9aH/4dAimsDxcB5Qz4OUizdTmkB9GJokwZMP9ZaVuA7cuk4Fix03TAjdGoAg==" saltValue="BSK3bWk0Bz326bAY3gjwWA=="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52 weeks</v>
      </c>
    </row>
    <row r="6" spans="1:3" ht="14.25" customHeight="1" x14ac:dyDescent="0.2"/>
    <row r="7" spans="1:3" ht="14.25" customHeight="1" x14ac:dyDescent="0.2">
      <c r="A7" s="326" t="s">
        <v>186</v>
      </c>
      <c r="B7" s="391"/>
      <c r="C7" s="391"/>
    </row>
    <row r="8" spans="1:3" ht="14.25" customHeight="1" x14ac:dyDescent="0.2">
      <c r="A8" s="326" t="s">
        <v>187</v>
      </c>
      <c r="B8" s="391"/>
      <c r="C8" s="391" t="str">
        <f ca="1">IF('SPC background (hide)'!H7&lt;&gt;"",'SPC background (hide)'!H7&amp;" weeks","")</f>
        <v/>
      </c>
    </row>
    <row r="9" spans="1:3" ht="14.25" customHeight="1" x14ac:dyDescent="0.2">
      <c r="A9" s="326"/>
      <c r="B9" s="391"/>
      <c r="C9" s="391"/>
    </row>
    <row r="10" spans="1:3" ht="14.25" customHeight="1" x14ac:dyDescent="0.2">
      <c r="A10" s="326" t="s">
        <v>188</v>
      </c>
      <c r="B10" s="391"/>
      <c r="C10" s="391"/>
    </row>
    <row r="11" spans="1:3" ht="14.25" customHeight="1" x14ac:dyDescent="0.2">
      <c r="A11" s="326" t="s">
        <v>189</v>
      </c>
      <c r="B11" s="391"/>
      <c r="C11" s="391" t="str">
        <f ca="1">IF('SPC background (hide)'!H9&lt;&gt;"",'SPC background (hide)'!H9&amp;" weeks","")</f>
        <v/>
      </c>
    </row>
    <row r="12" spans="1:3" ht="14.25" customHeight="1" x14ac:dyDescent="0.2">
      <c r="A12" s="326"/>
      <c r="B12" s="391"/>
      <c r="C12" s="391"/>
    </row>
    <row r="13" spans="1:3" ht="14.25" customHeight="1" x14ac:dyDescent="0.2">
      <c r="A13" s="326" t="s">
        <v>190</v>
      </c>
      <c r="B13" s="391"/>
      <c r="C13" s="391"/>
    </row>
    <row r="14" spans="1:3" ht="14.25" customHeight="1" x14ac:dyDescent="0.2">
      <c r="A14" s="326" t="s">
        <v>191</v>
      </c>
      <c r="B14" s="391"/>
      <c r="C14" s="391"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52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QLF8VP2Wg5PyMKlTPqXnX2WKqB8aR7O2v/Bn+xNI06HCg+MLLJByOgdCYyDCy8WnhFcUUFGdkGG1emY1poSMBw==" saltValue="KveHpYhmdKrP1mgOYKGyDA=="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6</v>
      </c>
      <c r="AH2" s="67">
        <v>1</v>
      </c>
      <c r="AI2" s="67">
        <f ca="1">IF(AH2&lt;=($M$4-$L$4+1),1,IF(AND($M$10&gt;=2,AH2&lt;=$M$5-$L$4+1),2,IF(AND($M$10&gt;=3,AH2&lt;=$M$6-$L$4+1),3,IF(AND($M$10=4,AH2&lt;=$M$7-$L$4+1),4,5))))</f>
        <v>1</v>
      </c>
      <c r="AJ2" s="39">
        <f ca="1">VLOOKUP(AI2,$K$4:$Q$9,4,0)</f>
        <v>902.95962902345889</v>
      </c>
      <c r="AK2" s="39">
        <f ca="1">IF($AN2-(3*$AJ2)&lt;=0,0,$AN2-(3*$AJ2))</f>
        <v>11778.005728314238</v>
      </c>
      <c r="AL2" s="39">
        <f ca="1">IF($AN2-(2*$AJ2)&lt;=0,0,$AN2-(2*$AJ2))</f>
        <v>12680.965357337698</v>
      </c>
      <c r="AM2" s="39">
        <f ca="1">IF($AN2-(1*$AJ2)&lt;=0,0,$AN2-(1*$AJ2))</f>
        <v>13583.924986361157</v>
      </c>
      <c r="AN2" s="39">
        <f ca="1">VLOOKUP(AI2,$K$4:$Q$9,5,0)</f>
        <v>14486.884615384615</v>
      </c>
      <c r="AO2" s="39">
        <f t="shared" ref="AO2:AO54" ca="1" si="0">$AN2+(1*$AJ2)</f>
        <v>15389.844244408074</v>
      </c>
      <c r="AP2" s="39">
        <f t="shared" ref="AP2:AP54" ca="1" si="1">$AN2+(2*$AJ2)</f>
        <v>16292.803873431532</v>
      </c>
      <c r="AQ2" s="39">
        <f t="shared" ref="AQ2:AQ54" ca="1" si="2">$AN2+(3*$AJ2)</f>
        <v>17195.763502454993</v>
      </c>
      <c r="AR2" s="5">
        <f ca="1">VLOOKUP($AI2,$K$4:$Q$8,6,0)</f>
        <v>14765</v>
      </c>
      <c r="AS2" s="5">
        <f t="shared" ref="AS2:AS54" ca="1" si="3">VLOOKUP($AI2,$K$4:$Q$8,7,0)</f>
        <v>15657.95</v>
      </c>
      <c r="AT2" s="5">
        <f ca="1">VLOOKUP(AI2,$K$4:$R$8,8,0)</f>
        <v>0</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7</v>
      </c>
      <c r="AH3" s="67">
        <v>2</v>
      </c>
      <c r="AI3" s="67">
        <f t="shared" ref="AI3:AI54" ca="1" si="4">IF(AH3&lt;=($M$4-$L$4+1),1,IF(AND($M$10&gt;=2,AH3&lt;=$M$5-$L$4+1),2,IF(AND($M$10&gt;=3,AH3&lt;=$M$6-$L$4+1),3,IF(AND($M$10=4,AH3&lt;=$M$7-$L$4+1),4,5))))</f>
        <v>1</v>
      </c>
      <c r="AJ3" s="39">
        <f t="shared" ref="AJ3:AJ54" ca="1" si="5">VLOOKUP(AI3,$K$4:$Q$9,4,0)</f>
        <v>902.95962902345889</v>
      </c>
      <c r="AK3" s="39">
        <f t="shared" ref="AK3:AK54" ca="1" si="6">IF($AN3-(3*$AJ3)&lt;=0,0,$AN3-(3*$AJ3))</f>
        <v>11778.005728314238</v>
      </c>
      <c r="AL3" s="39">
        <f t="shared" ref="AL3:AL54" ca="1" si="7">IF($AN3-(2*$AJ3)&lt;=0,0,$AN3-(2*$AJ3))</f>
        <v>12680.965357337698</v>
      </c>
      <c r="AM3" s="39">
        <f t="shared" ref="AM3:AM54" ca="1" si="8">IF($AN3-(1*$AJ3)&lt;=0,0,$AN3-(1*$AJ3))</f>
        <v>13583.924986361157</v>
      </c>
      <c r="AN3" s="39">
        <f t="shared" ref="AN3:AN54" ca="1" si="9">VLOOKUP(AI3,$K$4:$Q$9,5,0)</f>
        <v>14486.884615384615</v>
      </c>
      <c r="AO3" s="39">
        <f t="shared" ca="1" si="0"/>
        <v>15389.844244408074</v>
      </c>
      <c r="AP3" s="39">
        <f t="shared" ca="1" si="1"/>
        <v>16292.803873431532</v>
      </c>
      <c r="AQ3" s="39">
        <f t="shared" ca="1" si="2"/>
        <v>17195.763502454993</v>
      </c>
      <c r="AR3" s="5">
        <f t="shared" ref="AR3:AR54" ca="1" si="10">VLOOKUP($AI3,$K$4:$Q$8,6,0)</f>
        <v>14765</v>
      </c>
      <c r="AS3" s="5">
        <f t="shared" ca="1" si="3"/>
        <v>15657.95</v>
      </c>
      <c r="AT3" s="5">
        <f t="shared" ref="AT3:AT54" ca="1" si="11">VLOOKUP(AI3,$K$4:$R$8,8,0)</f>
        <v>0</v>
      </c>
    </row>
    <row r="4" spans="1:46" x14ac:dyDescent="0.2">
      <c r="B4" s="67" t="s">
        <v>118</v>
      </c>
      <c r="C4" s="67">
        <v>45</v>
      </c>
      <c r="D4" s="67">
        <v>1</v>
      </c>
      <c r="E4" s="67">
        <f ca="1">MAX(0,MaxRows-9)</f>
        <v>156</v>
      </c>
      <c r="F4" s="67">
        <f ca="1">E4-D4+1</f>
        <v>156</v>
      </c>
      <c r="K4" s="67">
        <v>1</v>
      </c>
      <c r="L4" s="67">
        <f>C4</f>
        <v>45</v>
      </c>
      <c r="M4" s="67">
        <f ca="1">H5+L4-1</f>
        <v>96</v>
      </c>
      <c r="N4" s="5">
        <f ca="1">Sigma1</f>
        <v>902.95962902345889</v>
      </c>
      <c r="O4" s="5">
        <f ca="1">Mean1</f>
        <v>14486.884615384615</v>
      </c>
      <c r="P4" s="5">
        <f ca="1">PercLower1</f>
        <v>14765</v>
      </c>
      <c r="Q4" s="5">
        <f ca="1">PercUpper1</f>
        <v>15657.95</v>
      </c>
      <c r="R4" s="5">
        <f ca="1">Emergency1</f>
        <v>0</v>
      </c>
      <c r="S4" s="5">
        <f ca="1">O4*H5</f>
        <v>753318</v>
      </c>
      <c r="T4" s="5"/>
      <c r="AG4" s="67">
        <f t="shared" ref="AG4:AG54" ca="1" si="12">IF(MOD(AG3+1,53)=0,53,MOD(AG3+1,53))</f>
        <v>8</v>
      </c>
      <c r="AH4" s="67">
        <v>3</v>
      </c>
      <c r="AI4" s="67">
        <f t="shared" ca="1" si="4"/>
        <v>1</v>
      </c>
      <c r="AJ4" s="39">
        <f t="shared" ca="1" si="5"/>
        <v>902.95962902345889</v>
      </c>
      <c r="AK4" s="39">
        <f t="shared" ca="1" si="6"/>
        <v>11778.005728314238</v>
      </c>
      <c r="AL4" s="39">
        <f t="shared" ca="1" si="7"/>
        <v>12680.965357337698</v>
      </c>
      <c r="AM4" s="39">
        <f t="shared" ca="1" si="8"/>
        <v>13583.924986361157</v>
      </c>
      <c r="AN4" s="39">
        <f t="shared" ca="1" si="9"/>
        <v>14486.884615384615</v>
      </c>
      <c r="AO4" s="39">
        <f t="shared" ca="1" si="0"/>
        <v>15389.844244408074</v>
      </c>
      <c r="AP4" s="39">
        <f t="shared" ca="1" si="1"/>
        <v>16292.803873431532</v>
      </c>
      <c r="AQ4" s="39">
        <f t="shared" ca="1" si="2"/>
        <v>17195.763502454993</v>
      </c>
      <c r="AR4" s="5">
        <f t="shared" ca="1" si="10"/>
        <v>14765</v>
      </c>
      <c r="AS4" s="5">
        <f t="shared" ca="1" si="3"/>
        <v>15657.95</v>
      </c>
      <c r="AT4" s="5">
        <f t="shared" ca="1" si="11"/>
        <v>0</v>
      </c>
    </row>
    <row r="5" spans="1:46" x14ac:dyDescent="0.2">
      <c r="B5" s="67" t="s">
        <v>119</v>
      </c>
      <c r="C5" s="67">
        <v>43</v>
      </c>
      <c r="D5" s="67">
        <f>C4+9</f>
        <v>54</v>
      </c>
      <c r="E5" s="67">
        <f ca="1">MIN(C4+52,MaxRows+1)</f>
        <v>97</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9</v>
      </c>
      <c r="AH5" s="67">
        <v>4</v>
      </c>
      <c r="AI5" s="67">
        <f t="shared" ca="1" si="4"/>
        <v>1</v>
      </c>
      <c r="AJ5" s="39">
        <f t="shared" ca="1" si="5"/>
        <v>902.95962902345889</v>
      </c>
      <c r="AK5" s="39">
        <f t="shared" ca="1" si="6"/>
        <v>11778.005728314238</v>
      </c>
      <c r="AL5" s="39">
        <f t="shared" ca="1" si="7"/>
        <v>12680.965357337698</v>
      </c>
      <c r="AM5" s="39">
        <f t="shared" ca="1" si="8"/>
        <v>13583.924986361157</v>
      </c>
      <c r="AN5" s="39">
        <f t="shared" ca="1" si="9"/>
        <v>14486.884615384615</v>
      </c>
      <c r="AO5" s="39">
        <f t="shared" ca="1" si="0"/>
        <v>15389.844244408074</v>
      </c>
      <c r="AP5" s="39">
        <f t="shared" ca="1" si="1"/>
        <v>16292.803873431532</v>
      </c>
      <c r="AQ5" s="39">
        <f t="shared" ca="1" si="2"/>
        <v>17195.763502454993</v>
      </c>
      <c r="AR5" s="5">
        <f t="shared" ca="1" si="10"/>
        <v>14765</v>
      </c>
      <c r="AS5" s="5">
        <f t="shared" ca="1" si="3"/>
        <v>15657.95</v>
      </c>
      <c r="AT5" s="5">
        <f t="shared" ca="1" si="11"/>
        <v>0</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10</v>
      </c>
      <c r="AH6" s="67">
        <v>5</v>
      </c>
      <c r="AI6" s="67">
        <f t="shared" ca="1" si="4"/>
        <v>1</v>
      </c>
      <c r="AJ6" s="39">
        <f t="shared" ca="1" si="5"/>
        <v>902.95962902345889</v>
      </c>
      <c r="AK6" s="39">
        <f t="shared" ca="1" si="6"/>
        <v>11778.005728314238</v>
      </c>
      <c r="AL6" s="39">
        <f t="shared" ca="1" si="7"/>
        <v>12680.965357337698</v>
      </c>
      <c r="AM6" s="39">
        <f t="shared" ca="1" si="8"/>
        <v>13583.924986361157</v>
      </c>
      <c r="AN6" s="39">
        <f t="shared" ca="1" si="9"/>
        <v>14486.884615384615</v>
      </c>
      <c r="AO6" s="39">
        <f t="shared" ca="1" si="0"/>
        <v>15389.844244408074</v>
      </c>
      <c r="AP6" s="39">
        <f t="shared" ca="1" si="1"/>
        <v>16292.803873431532</v>
      </c>
      <c r="AQ6" s="39">
        <f t="shared" ca="1" si="2"/>
        <v>17195.763502454993</v>
      </c>
      <c r="AR6" s="5">
        <f t="shared" ca="1" si="10"/>
        <v>14765</v>
      </c>
      <c r="AS6" s="5">
        <f t="shared" ca="1" si="3"/>
        <v>15657.95</v>
      </c>
      <c r="AT6" s="5">
        <f t="shared" ca="1" si="11"/>
        <v>0</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11</v>
      </c>
      <c r="AH7" s="67">
        <v>6</v>
      </c>
      <c r="AI7" s="67">
        <f t="shared" ca="1" si="4"/>
        <v>1</v>
      </c>
      <c r="AJ7" s="39">
        <f t="shared" ca="1" si="5"/>
        <v>902.95962902345889</v>
      </c>
      <c r="AK7" s="39">
        <f t="shared" ca="1" si="6"/>
        <v>11778.005728314238</v>
      </c>
      <c r="AL7" s="39">
        <f t="shared" ca="1" si="7"/>
        <v>12680.965357337698</v>
      </c>
      <c r="AM7" s="39">
        <f t="shared" ca="1" si="8"/>
        <v>13583.924986361157</v>
      </c>
      <c r="AN7" s="39">
        <f t="shared" ca="1" si="9"/>
        <v>14486.884615384615</v>
      </c>
      <c r="AO7" s="39">
        <f t="shared" ca="1" si="0"/>
        <v>15389.844244408074</v>
      </c>
      <c r="AP7" s="39">
        <f t="shared" ca="1" si="1"/>
        <v>16292.803873431532</v>
      </c>
      <c r="AQ7" s="39">
        <f t="shared" ca="1" si="2"/>
        <v>17195.763502454993</v>
      </c>
      <c r="AR7" s="5">
        <f t="shared" ca="1" si="10"/>
        <v>14765</v>
      </c>
      <c r="AS7" s="5">
        <f t="shared" ca="1" si="3"/>
        <v>15657.95</v>
      </c>
      <c r="AT7" s="5">
        <f t="shared" ca="1" si="11"/>
        <v>0</v>
      </c>
    </row>
    <row r="8" spans="1:46" x14ac:dyDescent="0.2">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902.95962902345889</v>
      </c>
      <c r="O8" s="70">
        <f ca="1">IF(M8&gt;0,INDIRECT("Mean"&amp;$M$11),"")</f>
        <v>14486.884615384615</v>
      </c>
      <c r="P8" s="67">
        <f ca="1">IF(N8&gt;0,INDIRECT("PercLower"&amp;$M$11),"")</f>
        <v>14765</v>
      </c>
      <c r="Q8" s="67">
        <f ca="1">IF(O8&gt;0,INDIRECT("PercUpper"&amp;$M$11),"")</f>
        <v>15657.95</v>
      </c>
      <c r="R8" s="67">
        <f ca="1">IF(O8&gt;0,INDIRECT("Emergency"&amp;$M$11),"")</f>
        <v>0</v>
      </c>
      <c r="S8" s="5"/>
      <c r="AG8" s="67">
        <f t="shared" ca="1" si="12"/>
        <v>12</v>
      </c>
      <c r="AH8" s="67">
        <v>7</v>
      </c>
      <c r="AI8" s="67">
        <f t="shared" ca="1" si="4"/>
        <v>1</v>
      </c>
      <c r="AJ8" s="39">
        <f t="shared" ca="1" si="5"/>
        <v>902.95962902345889</v>
      </c>
      <c r="AK8" s="39">
        <f t="shared" ca="1" si="6"/>
        <v>11778.005728314238</v>
      </c>
      <c r="AL8" s="39">
        <f t="shared" ca="1" si="7"/>
        <v>12680.965357337698</v>
      </c>
      <c r="AM8" s="39">
        <f t="shared" ca="1" si="8"/>
        <v>13583.924986361157</v>
      </c>
      <c r="AN8" s="39">
        <f t="shared" ca="1" si="9"/>
        <v>14486.884615384615</v>
      </c>
      <c r="AO8" s="39">
        <f t="shared" ca="1" si="0"/>
        <v>15389.844244408074</v>
      </c>
      <c r="AP8" s="39">
        <f t="shared" ca="1" si="1"/>
        <v>16292.803873431532</v>
      </c>
      <c r="AQ8" s="39">
        <f t="shared" ca="1" si="2"/>
        <v>17195.763502454993</v>
      </c>
      <c r="AR8" s="5">
        <f t="shared" ca="1" si="10"/>
        <v>14765</v>
      </c>
      <c r="AS8" s="5">
        <f t="shared" ca="1" si="3"/>
        <v>15657.95</v>
      </c>
      <c r="AT8" s="5">
        <f t="shared" ca="1" si="11"/>
        <v>0</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13</v>
      </c>
      <c r="AH9" s="67">
        <v>8</v>
      </c>
      <c r="AI9" s="67">
        <f t="shared" ca="1" si="4"/>
        <v>1</v>
      </c>
      <c r="AJ9" s="39">
        <f t="shared" ca="1" si="5"/>
        <v>902.95962902345889</v>
      </c>
      <c r="AK9" s="39">
        <f t="shared" ca="1" si="6"/>
        <v>11778.005728314238</v>
      </c>
      <c r="AL9" s="39">
        <f t="shared" ca="1" si="7"/>
        <v>12680.965357337698</v>
      </c>
      <c r="AM9" s="39">
        <f t="shared" ca="1" si="8"/>
        <v>13583.924986361157</v>
      </c>
      <c r="AN9" s="39">
        <f t="shared" ca="1" si="9"/>
        <v>14486.884615384615</v>
      </c>
      <c r="AO9" s="39">
        <f t="shared" ca="1" si="0"/>
        <v>15389.844244408074</v>
      </c>
      <c r="AP9" s="39">
        <f t="shared" ca="1" si="1"/>
        <v>16292.803873431532</v>
      </c>
      <c r="AQ9" s="39">
        <f t="shared" ca="1" si="2"/>
        <v>17195.763502454993</v>
      </c>
      <c r="AR9" s="5">
        <f t="shared" ca="1" si="10"/>
        <v>14765</v>
      </c>
      <c r="AS9" s="5">
        <f t="shared" ca="1" si="3"/>
        <v>15657.95</v>
      </c>
      <c r="AT9" s="5">
        <f t="shared" ca="1" si="11"/>
        <v>0</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753318</v>
      </c>
      <c r="AG10" s="67">
        <f t="shared" ca="1" si="12"/>
        <v>14</v>
      </c>
      <c r="AH10" s="67">
        <v>9</v>
      </c>
      <c r="AI10" s="67">
        <f t="shared" ca="1" si="4"/>
        <v>1</v>
      </c>
      <c r="AJ10" s="39">
        <f t="shared" ca="1" si="5"/>
        <v>902.95962902345889</v>
      </c>
      <c r="AK10" s="39">
        <f t="shared" ca="1" si="6"/>
        <v>11778.005728314238</v>
      </c>
      <c r="AL10" s="39">
        <f t="shared" ca="1" si="7"/>
        <v>12680.965357337698</v>
      </c>
      <c r="AM10" s="39">
        <f t="shared" ca="1" si="8"/>
        <v>13583.924986361157</v>
      </c>
      <c r="AN10" s="39">
        <f t="shared" ca="1" si="9"/>
        <v>14486.884615384615</v>
      </c>
      <c r="AO10" s="39">
        <f t="shared" ca="1" si="0"/>
        <v>15389.844244408074</v>
      </c>
      <c r="AP10" s="39">
        <f t="shared" ca="1" si="1"/>
        <v>16292.803873431532</v>
      </c>
      <c r="AQ10" s="39">
        <f t="shared" ca="1" si="2"/>
        <v>17195.763502454993</v>
      </c>
      <c r="AR10" s="5">
        <f t="shared" ca="1" si="10"/>
        <v>14765</v>
      </c>
      <c r="AS10" s="5">
        <f t="shared" ca="1" si="3"/>
        <v>15657.95</v>
      </c>
      <c r="AT10" s="5">
        <f t="shared" ca="1" si="11"/>
        <v>0</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14486.884615384615</v>
      </c>
      <c r="AG11" s="67">
        <f t="shared" ca="1" si="12"/>
        <v>15</v>
      </c>
      <c r="AH11" s="67">
        <v>10</v>
      </c>
      <c r="AI11" s="67">
        <f t="shared" ca="1" si="4"/>
        <v>1</v>
      </c>
      <c r="AJ11" s="39">
        <f t="shared" ca="1" si="5"/>
        <v>902.95962902345889</v>
      </c>
      <c r="AK11" s="39">
        <f t="shared" ca="1" si="6"/>
        <v>11778.005728314238</v>
      </c>
      <c r="AL11" s="39">
        <f t="shared" ca="1" si="7"/>
        <v>12680.965357337698</v>
      </c>
      <c r="AM11" s="39">
        <f t="shared" ca="1" si="8"/>
        <v>13583.924986361157</v>
      </c>
      <c r="AN11" s="39">
        <f t="shared" ca="1" si="9"/>
        <v>14486.884615384615</v>
      </c>
      <c r="AO11" s="39">
        <f t="shared" ca="1" si="0"/>
        <v>15389.844244408074</v>
      </c>
      <c r="AP11" s="39">
        <f t="shared" ca="1" si="1"/>
        <v>16292.803873431532</v>
      </c>
      <c r="AQ11" s="39">
        <f t="shared" ca="1" si="2"/>
        <v>17195.763502454993</v>
      </c>
      <c r="AR11" s="5">
        <f t="shared" ca="1" si="10"/>
        <v>14765</v>
      </c>
      <c r="AS11" s="5">
        <f t="shared" ca="1" si="3"/>
        <v>15657.95</v>
      </c>
      <c r="AT11" s="5">
        <f t="shared" ca="1" si="11"/>
        <v>0</v>
      </c>
    </row>
    <row r="12" spans="1:46" x14ac:dyDescent="0.2">
      <c r="S12" s="5"/>
      <c r="AG12" s="67">
        <f t="shared" ca="1" si="12"/>
        <v>16</v>
      </c>
      <c r="AH12" s="67">
        <v>11</v>
      </c>
      <c r="AI12" s="67">
        <f t="shared" ca="1" si="4"/>
        <v>1</v>
      </c>
      <c r="AJ12" s="39">
        <f t="shared" ca="1" si="5"/>
        <v>902.95962902345889</v>
      </c>
      <c r="AK12" s="39">
        <f t="shared" ca="1" si="6"/>
        <v>11778.005728314238</v>
      </c>
      <c r="AL12" s="39">
        <f t="shared" ca="1" si="7"/>
        <v>12680.965357337698</v>
      </c>
      <c r="AM12" s="39">
        <f t="shared" ca="1" si="8"/>
        <v>13583.924986361157</v>
      </c>
      <c r="AN12" s="39">
        <f t="shared" ca="1" si="9"/>
        <v>14486.884615384615</v>
      </c>
      <c r="AO12" s="39">
        <f t="shared" ca="1" si="0"/>
        <v>15389.844244408074</v>
      </c>
      <c r="AP12" s="39">
        <f t="shared" ca="1" si="1"/>
        <v>16292.803873431532</v>
      </c>
      <c r="AQ12" s="39">
        <f t="shared" ca="1" si="2"/>
        <v>17195.763502454993</v>
      </c>
      <c r="AR12" s="5">
        <f t="shared" ca="1" si="10"/>
        <v>14765</v>
      </c>
      <c r="AS12" s="5">
        <f t="shared" ca="1" si="3"/>
        <v>15657.95</v>
      </c>
      <c r="AT12" s="5">
        <f t="shared" ca="1" si="11"/>
        <v>0</v>
      </c>
    </row>
    <row r="13" spans="1:46" x14ac:dyDescent="0.2">
      <c r="Q13" s="67" t="s">
        <v>161</v>
      </c>
      <c r="AG13" s="67">
        <f t="shared" ca="1" si="12"/>
        <v>17</v>
      </c>
      <c r="AH13" s="67">
        <v>12</v>
      </c>
      <c r="AI13" s="67">
        <f t="shared" ca="1" si="4"/>
        <v>1</v>
      </c>
      <c r="AJ13" s="39">
        <f t="shared" ca="1" si="5"/>
        <v>902.95962902345889</v>
      </c>
      <c r="AK13" s="39">
        <f t="shared" ca="1" si="6"/>
        <v>11778.005728314238</v>
      </c>
      <c r="AL13" s="39">
        <f t="shared" ca="1" si="7"/>
        <v>12680.965357337698</v>
      </c>
      <c r="AM13" s="39">
        <f t="shared" ca="1" si="8"/>
        <v>13583.924986361157</v>
      </c>
      <c r="AN13" s="39">
        <f t="shared" ca="1" si="9"/>
        <v>14486.884615384615</v>
      </c>
      <c r="AO13" s="39">
        <f t="shared" ca="1" si="0"/>
        <v>15389.844244408074</v>
      </c>
      <c r="AP13" s="39">
        <f t="shared" ca="1" si="1"/>
        <v>16292.803873431532</v>
      </c>
      <c r="AQ13" s="39">
        <f t="shared" ca="1" si="2"/>
        <v>17195.763502454993</v>
      </c>
      <c r="AR13" s="5">
        <f t="shared" ca="1" si="10"/>
        <v>14765</v>
      </c>
      <c r="AS13" s="5">
        <f t="shared" ca="1" si="3"/>
        <v>15657.95</v>
      </c>
      <c r="AT13" s="5">
        <f t="shared" ca="1" si="11"/>
        <v>0</v>
      </c>
    </row>
    <row r="14" spans="1:46" x14ac:dyDescent="0.2">
      <c r="Q14" s="67" t="s">
        <v>171</v>
      </c>
      <c r="R14" s="67" t="s">
        <v>172</v>
      </c>
      <c r="T14" s="67" t="s">
        <v>173</v>
      </c>
      <c r="V14" s="67" t="s">
        <v>180</v>
      </c>
      <c r="X14" s="67" t="s">
        <v>179</v>
      </c>
      <c r="Z14" s="67" t="s">
        <v>174</v>
      </c>
      <c r="AC14" s="67" t="s">
        <v>162</v>
      </c>
      <c r="AG14" s="67">
        <f t="shared" ca="1" si="12"/>
        <v>18</v>
      </c>
      <c r="AH14" s="67">
        <v>13</v>
      </c>
      <c r="AI14" s="67">
        <f t="shared" ca="1" si="4"/>
        <v>1</v>
      </c>
      <c r="AJ14" s="39">
        <f t="shared" ca="1" si="5"/>
        <v>902.95962902345889</v>
      </c>
      <c r="AK14" s="39">
        <f t="shared" ca="1" si="6"/>
        <v>11778.005728314238</v>
      </c>
      <c r="AL14" s="39">
        <f t="shared" ca="1" si="7"/>
        <v>12680.965357337698</v>
      </c>
      <c r="AM14" s="39">
        <f t="shared" ca="1" si="8"/>
        <v>13583.924986361157</v>
      </c>
      <c r="AN14" s="39">
        <f t="shared" ca="1" si="9"/>
        <v>14486.884615384615</v>
      </c>
      <c r="AO14" s="39">
        <f t="shared" ca="1" si="0"/>
        <v>15389.844244408074</v>
      </c>
      <c r="AP14" s="39">
        <f t="shared" ca="1" si="1"/>
        <v>16292.803873431532</v>
      </c>
      <c r="AQ14" s="39">
        <f t="shared" ca="1" si="2"/>
        <v>17195.763502454993</v>
      </c>
      <c r="AR14" s="5">
        <f t="shared" ca="1" si="10"/>
        <v>14765</v>
      </c>
      <c r="AS14" s="5">
        <f t="shared" ca="1" si="3"/>
        <v>15657.95</v>
      </c>
      <c r="AT14" s="5">
        <f t="shared" ca="1" si="11"/>
        <v>0</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19</v>
      </c>
      <c r="AH15" s="67">
        <v>14</v>
      </c>
      <c r="AI15" s="67">
        <f t="shared" ca="1" si="4"/>
        <v>1</v>
      </c>
      <c r="AJ15" s="39">
        <f t="shared" ca="1" si="5"/>
        <v>902.95962902345889</v>
      </c>
      <c r="AK15" s="39">
        <f t="shared" ca="1" si="6"/>
        <v>11778.005728314238</v>
      </c>
      <c r="AL15" s="39">
        <f t="shared" ca="1" si="7"/>
        <v>12680.965357337698</v>
      </c>
      <c r="AM15" s="39">
        <f t="shared" ca="1" si="8"/>
        <v>13583.924986361157</v>
      </c>
      <c r="AN15" s="39">
        <f t="shared" ca="1" si="9"/>
        <v>14486.884615384615</v>
      </c>
      <c r="AO15" s="39">
        <f t="shared" ca="1" si="0"/>
        <v>15389.844244408074</v>
      </c>
      <c r="AP15" s="39">
        <f t="shared" ca="1" si="1"/>
        <v>16292.803873431532</v>
      </c>
      <c r="AQ15" s="39">
        <f t="shared" ca="1" si="2"/>
        <v>17195.763502454993</v>
      </c>
      <c r="AR15" s="5">
        <f t="shared" ca="1" si="10"/>
        <v>14765</v>
      </c>
      <c r="AS15" s="5">
        <f t="shared" ca="1" si="3"/>
        <v>15657.95</v>
      </c>
      <c r="AT15" s="5">
        <f t="shared" ca="1" si="11"/>
        <v>0</v>
      </c>
    </row>
    <row r="16" spans="1:46" x14ac:dyDescent="0.2">
      <c r="A16" s="67">
        <f>Demand!C13</f>
        <v>14</v>
      </c>
      <c r="B16" s="67">
        <v>1</v>
      </c>
      <c r="C16" s="5">
        <f ca="1">'Demand background (hide)'!Y4</f>
        <v>1095</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11778.005728314238</v>
      </c>
      <c r="K16" s="5">
        <f t="shared" ca="1" si="13"/>
        <v>12680.965357337698</v>
      </c>
      <c r="L16" s="5">
        <f t="shared" ca="1" si="13"/>
        <v>13583.924986361157</v>
      </c>
      <c r="M16" s="5">
        <f t="shared" ca="1" si="13"/>
        <v>14486.884615384615</v>
      </c>
      <c r="N16" s="5">
        <f t="shared" ca="1" si="13"/>
        <v>15389.844244408074</v>
      </c>
      <c r="O16" s="5">
        <f t="shared" ca="1" si="13"/>
        <v>16292.803873431532</v>
      </c>
      <c r="P16" s="5">
        <f t="shared" ca="1" si="13"/>
        <v>17195.763502454993</v>
      </c>
      <c r="Q16" s="5">
        <f ca="1">IF(ISNA(H16)=TRUE,IF(OR(C16&gt;P16,C16&lt;J16),C16,NA()),NA())</f>
        <v>1095</v>
      </c>
      <c r="V16" s="5">
        <f t="shared" ref="V16:V79" ca="1" si="14">IF(C16&lt;M16,-1,IF(C16&gt;M16,1,0))</f>
        <v>-1</v>
      </c>
      <c r="W16" s="5" t="e">
        <f ca="1">IF(ISNA(H16)=TRUE,IF(ABS(SUM(V16:V24))=9,C16,NA()),NA())</f>
        <v>#N/A</v>
      </c>
      <c r="AA16" s="5" t="str">
        <f>IF(Setup!$I$15="Yes",'Demand background (hide)'!AJ4+'SPC background (hide)'!C16,"")</f>
        <v/>
      </c>
      <c r="AC16" s="5">
        <f ca="1">VLOOKUP($A16,$AG$2:$AS$54,12,0)</f>
        <v>14765</v>
      </c>
      <c r="AD16" s="5">
        <f ca="1">VLOOKUP($A16,$AG$2:$AS$54,13,0)</f>
        <v>15657.95</v>
      </c>
      <c r="AG16" s="67">
        <f t="shared" ca="1" si="12"/>
        <v>20</v>
      </c>
      <c r="AH16" s="67">
        <v>15</v>
      </c>
      <c r="AI16" s="67">
        <f t="shared" ca="1" si="4"/>
        <v>1</v>
      </c>
      <c r="AJ16" s="39">
        <f t="shared" ca="1" si="5"/>
        <v>902.95962902345889</v>
      </c>
      <c r="AK16" s="39">
        <f t="shared" ca="1" si="6"/>
        <v>11778.005728314238</v>
      </c>
      <c r="AL16" s="39">
        <f t="shared" ca="1" si="7"/>
        <v>12680.965357337698</v>
      </c>
      <c r="AM16" s="39">
        <f t="shared" ca="1" si="8"/>
        <v>13583.924986361157</v>
      </c>
      <c r="AN16" s="39">
        <f t="shared" ca="1" si="9"/>
        <v>14486.884615384615</v>
      </c>
      <c r="AO16" s="39">
        <f t="shared" ca="1" si="0"/>
        <v>15389.844244408074</v>
      </c>
      <c r="AP16" s="39">
        <f t="shared" ca="1" si="1"/>
        <v>16292.803873431532</v>
      </c>
      <c r="AQ16" s="39">
        <f t="shared" ca="1" si="2"/>
        <v>17195.763502454993</v>
      </c>
      <c r="AR16" s="5">
        <f t="shared" ca="1" si="10"/>
        <v>14765</v>
      </c>
      <c r="AS16" s="5">
        <f t="shared" ca="1" si="3"/>
        <v>15657.95</v>
      </c>
      <c r="AT16" s="5">
        <f t="shared" ca="1" si="11"/>
        <v>0</v>
      </c>
    </row>
    <row r="17" spans="1:46" x14ac:dyDescent="0.2">
      <c r="A17" s="67">
        <f ca="1">Demand!C14</f>
        <v>15</v>
      </c>
      <c r="B17" s="67">
        <v>2</v>
      </c>
      <c r="C17" s="5">
        <f ca="1">'Demand background (hide)'!Y5</f>
        <v>11341</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11778.005728314238</v>
      </c>
      <c r="K17" s="5">
        <f t="shared" ref="K17:K80" ca="1" si="21">VLOOKUP($A17,$AG$2:$AQ$54,COLUMN(F$1),0)</f>
        <v>12680.965357337698</v>
      </c>
      <c r="L17" s="5">
        <f t="shared" ref="L17:L80" ca="1" si="22">VLOOKUP($A17,$AG$2:$AQ$54,COLUMN(G$1),0)</f>
        <v>13583.924986361157</v>
      </c>
      <c r="M17" s="5">
        <f t="shared" ref="M17:M80" ca="1" si="23">VLOOKUP($A17,$AG$2:$AQ$54,COLUMN(H$1),0)</f>
        <v>14486.884615384615</v>
      </c>
      <c r="N17" s="5">
        <f t="shared" ref="N17:N80" ca="1" si="24">VLOOKUP($A17,$AG$2:$AQ$54,COLUMN(I$1),0)</f>
        <v>15389.844244408074</v>
      </c>
      <c r="O17" s="5">
        <f t="shared" ref="O17:O80" ca="1" si="25">VLOOKUP($A17,$AG$2:$AQ$54,COLUMN(J$1),0)</f>
        <v>16292.803873431532</v>
      </c>
      <c r="P17" s="5">
        <f t="shared" ref="P17:P80" ca="1" si="26">VLOOKUP($A17,$AG$2:$AQ$54,COLUMN(K$1),0)</f>
        <v>17195.763502454993</v>
      </c>
      <c r="Q17" s="5">
        <f t="shared" ref="Q17:Q80" ca="1" si="27">IF(ISNA(H17)=TRUE,IF(OR(C17&gt;P17,C17&lt;J17),C17,NA()),NA())</f>
        <v>11341</v>
      </c>
      <c r="R17" s="5">
        <f ca="1">IF(C17&gt;O17,2,IF(C17&lt;K17,-2,IF(C17&gt;M17,1,IF(C17&lt;M17,-1,0))))</f>
        <v>-2</v>
      </c>
      <c r="S17" s="67" t="e">
        <f ca="1">IF(ISNA(H17),IF(ABS(SUM(R17:R19))&gt;=5,C17,NA()),NA())</f>
        <v>#N/A</v>
      </c>
      <c r="T17" s="67">
        <f ca="1">IF(C17&gt;N17,2,IF(C17&lt;L17,-2,IF(C17&gt;M17,1,IF(C17&lt;M17,-1,0))))</f>
        <v>-2</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14765</v>
      </c>
      <c r="AD17" s="5">
        <f t="shared" ref="AD17:AD80" ca="1" si="31">VLOOKUP($A17,$AG$2:$AS$54,13,0)</f>
        <v>15657.95</v>
      </c>
      <c r="AG17" s="67">
        <f t="shared" ca="1" si="12"/>
        <v>21</v>
      </c>
      <c r="AH17" s="67">
        <v>16</v>
      </c>
      <c r="AI17" s="67">
        <f t="shared" ca="1" si="4"/>
        <v>1</v>
      </c>
      <c r="AJ17" s="39">
        <f t="shared" ca="1" si="5"/>
        <v>902.95962902345889</v>
      </c>
      <c r="AK17" s="39">
        <f t="shared" ca="1" si="6"/>
        <v>11778.005728314238</v>
      </c>
      <c r="AL17" s="39">
        <f t="shared" ca="1" si="7"/>
        <v>12680.965357337698</v>
      </c>
      <c r="AM17" s="39">
        <f t="shared" ca="1" si="8"/>
        <v>13583.924986361157</v>
      </c>
      <c r="AN17" s="39">
        <f t="shared" ca="1" si="9"/>
        <v>14486.884615384615</v>
      </c>
      <c r="AO17" s="39">
        <f t="shared" ca="1" si="0"/>
        <v>15389.844244408074</v>
      </c>
      <c r="AP17" s="39">
        <f t="shared" ca="1" si="1"/>
        <v>16292.803873431532</v>
      </c>
      <c r="AQ17" s="39">
        <f t="shared" ca="1" si="2"/>
        <v>17195.763502454993</v>
      </c>
      <c r="AR17" s="5">
        <f t="shared" ca="1" si="10"/>
        <v>14765</v>
      </c>
      <c r="AS17" s="5">
        <f t="shared" ca="1" si="3"/>
        <v>15657.95</v>
      </c>
      <c r="AT17" s="5">
        <f t="shared" ca="1" si="11"/>
        <v>0</v>
      </c>
    </row>
    <row r="18" spans="1:46" x14ac:dyDescent="0.2">
      <c r="A18" s="67">
        <f ca="1">Demand!C15</f>
        <v>16</v>
      </c>
      <c r="B18" s="67">
        <v>3</v>
      </c>
      <c r="C18" s="5">
        <f ca="1">'Demand background (hide)'!Y6</f>
        <v>14326</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11778.005728314238</v>
      </c>
      <c r="K18" s="5">
        <f t="shared" ca="1" si="21"/>
        <v>12680.965357337698</v>
      </c>
      <c r="L18" s="5">
        <f t="shared" ca="1" si="22"/>
        <v>13583.924986361157</v>
      </c>
      <c r="M18" s="5">
        <f t="shared" ca="1" si="23"/>
        <v>14486.884615384615</v>
      </c>
      <c r="N18" s="5">
        <f t="shared" ca="1" si="24"/>
        <v>15389.844244408074</v>
      </c>
      <c r="O18" s="5">
        <f t="shared" ca="1" si="25"/>
        <v>16292.803873431532</v>
      </c>
      <c r="P18" s="5">
        <f t="shared" ca="1" si="26"/>
        <v>17195.763502454993</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14765</v>
      </c>
      <c r="AD18" s="5">
        <f t="shared" ca="1" si="31"/>
        <v>15657.95</v>
      </c>
      <c r="AG18" s="67">
        <f t="shared" ca="1" si="12"/>
        <v>22</v>
      </c>
      <c r="AH18" s="67">
        <v>17</v>
      </c>
      <c r="AI18" s="67">
        <f t="shared" ca="1" si="4"/>
        <v>1</v>
      </c>
      <c r="AJ18" s="39">
        <f t="shared" ca="1" si="5"/>
        <v>902.95962902345889</v>
      </c>
      <c r="AK18" s="39">
        <f t="shared" ca="1" si="6"/>
        <v>11778.005728314238</v>
      </c>
      <c r="AL18" s="39">
        <f t="shared" ca="1" si="7"/>
        <v>12680.965357337698</v>
      </c>
      <c r="AM18" s="39">
        <f t="shared" ca="1" si="8"/>
        <v>13583.924986361157</v>
      </c>
      <c r="AN18" s="39">
        <f t="shared" ca="1" si="9"/>
        <v>14486.884615384615</v>
      </c>
      <c r="AO18" s="39">
        <f t="shared" ca="1" si="0"/>
        <v>15389.844244408074</v>
      </c>
      <c r="AP18" s="39">
        <f t="shared" ca="1" si="1"/>
        <v>16292.803873431532</v>
      </c>
      <c r="AQ18" s="39">
        <f t="shared" ca="1" si="2"/>
        <v>17195.763502454993</v>
      </c>
      <c r="AR18" s="5">
        <f t="shared" ca="1" si="10"/>
        <v>14765</v>
      </c>
      <c r="AS18" s="5">
        <f t="shared" ca="1" si="3"/>
        <v>15657.95</v>
      </c>
      <c r="AT18" s="5">
        <f t="shared" ca="1" si="11"/>
        <v>0</v>
      </c>
    </row>
    <row r="19" spans="1:46" x14ac:dyDescent="0.2">
      <c r="A19" s="67">
        <f ca="1">Demand!C16</f>
        <v>17</v>
      </c>
      <c r="B19" s="67">
        <v>4</v>
      </c>
      <c r="C19" s="5">
        <f ca="1">'Demand background (hide)'!Y7</f>
        <v>14643</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11778.005728314238</v>
      </c>
      <c r="K19" s="5">
        <f t="shared" ca="1" si="21"/>
        <v>12680.965357337698</v>
      </c>
      <c r="L19" s="5">
        <f t="shared" ca="1" si="22"/>
        <v>13583.924986361157</v>
      </c>
      <c r="M19" s="5">
        <f t="shared" ca="1" si="23"/>
        <v>14486.884615384615</v>
      </c>
      <c r="N19" s="5">
        <f t="shared" ca="1" si="24"/>
        <v>15389.844244408074</v>
      </c>
      <c r="O19" s="5">
        <f t="shared" ca="1" si="25"/>
        <v>16292.803873431532</v>
      </c>
      <c r="P19" s="5">
        <f t="shared" ca="1" si="26"/>
        <v>17195.763502454993</v>
      </c>
      <c r="Q19" s="5" t="e">
        <f t="shared" ca="1" si="27"/>
        <v>#N/A</v>
      </c>
      <c r="R19" s="5">
        <f t="shared" ca="1" si="32"/>
        <v>1</v>
      </c>
      <c r="S19" s="67" t="e">
        <f t="shared" ca="1" si="33"/>
        <v>#N/A</v>
      </c>
      <c r="T19" s="67">
        <f t="shared" ca="1" si="34"/>
        <v>1</v>
      </c>
      <c r="U19" s="67" t="e">
        <f t="shared" ca="1" si="35"/>
        <v>#N/A</v>
      </c>
      <c r="V19" s="5">
        <f t="shared" ca="1" si="14"/>
        <v>1</v>
      </c>
      <c r="W19" s="5" t="e">
        <f t="shared" ca="1" si="28"/>
        <v>#N/A</v>
      </c>
      <c r="X19" s="67">
        <f t="shared" ca="1" si="29"/>
        <v>1</v>
      </c>
      <c r="Y19" s="67" t="e">
        <f t="shared" ca="1" si="36"/>
        <v>#N/A</v>
      </c>
      <c r="Z19" s="67">
        <f t="shared" ca="1" si="37"/>
        <v>14643</v>
      </c>
      <c r="AA19" s="5" t="str">
        <f>IF(Setup!$I$15="Yes",'Demand background (hide)'!AJ7+'SPC background (hide)'!C19,"")</f>
        <v/>
      </c>
      <c r="AC19" s="5">
        <f t="shared" ca="1" si="30"/>
        <v>14765</v>
      </c>
      <c r="AD19" s="5">
        <f t="shared" ca="1" si="31"/>
        <v>15657.95</v>
      </c>
      <c r="AG19" s="67">
        <f t="shared" ca="1" si="12"/>
        <v>23</v>
      </c>
      <c r="AH19" s="67">
        <v>18</v>
      </c>
      <c r="AI19" s="67">
        <f t="shared" ca="1" si="4"/>
        <v>1</v>
      </c>
      <c r="AJ19" s="39">
        <f t="shared" ca="1" si="5"/>
        <v>902.95962902345889</v>
      </c>
      <c r="AK19" s="39">
        <f t="shared" ca="1" si="6"/>
        <v>11778.005728314238</v>
      </c>
      <c r="AL19" s="39">
        <f t="shared" ca="1" si="7"/>
        <v>12680.965357337698</v>
      </c>
      <c r="AM19" s="39">
        <f t="shared" ca="1" si="8"/>
        <v>13583.924986361157</v>
      </c>
      <c r="AN19" s="39">
        <f t="shared" ca="1" si="9"/>
        <v>14486.884615384615</v>
      </c>
      <c r="AO19" s="39">
        <f t="shared" ca="1" si="0"/>
        <v>15389.844244408074</v>
      </c>
      <c r="AP19" s="39">
        <f t="shared" ca="1" si="1"/>
        <v>16292.803873431532</v>
      </c>
      <c r="AQ19" s="39">
        <f t="shared" ca="1" si="2"/>
        <v>17195.763502454993</v>
      </c>
      <c r="AR19" s="5">
        <f t="shared" ca="1" si="10"/>
        <v>14765</v>
      </c>
      <c r="AS19" s="5">
        <f t="shared" ca="1" si="3"/>
        <v>15657.95</v>
      </c>
      <c r="AT19" s="5">
        <f t="shared" ca="1" si="11"/>
        <v>0</v>
      </c>
    </row>
    <row r="20" spans="1:46" x14ac:dyDescent="0.2">
      <c r="A20" s="67">
        <f ca="1">Demand!C17</f>
        <v>18</v>
      </c>
      <c r="B20" s="67">
        <v>5</v>
      </c>
      <c r="C20" s="5">
        <f ca="1">'Demand background (hide)'!Y8</f>
        <v>13635</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11778.005728314238</v>
      </c>
      <c r="K20" s="5">
        <f t="shared" ca="1" si="21"/>
        <v>12680.965357337698</v>
      </c>
      <c r="L20" s="5">
        <f t="shared" ca="1" si="22"/>
        <v>13583.924986361157</v>
      </c>
      <c r="M20" s="5">
        <f t="shared" ca="1" si="23"/>
        <v>14486.884615384615</v>
      </c>
      <c r="N20" s="5">
        <f t="shared" ca="1" si="24"/>
        <v>15389.844244408074</v>
      </c>
      <c r="O20" s="5">
        <f t="shared" ca="1" si="25"/>
        <v>16292.803873431532</v>
      </c>
      <c r="P20" s="5">
        <f t="shared" ca="1" si="26"/>
        <v>17195.763502454993</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14765</v>
      </c>
      <c r="AD20" s="5">
        <f t="shared" ca="1" si="31"/>
        <v>15657.95</v>
      </c>
      <c r="AG20" s="67">
        <f t="shared" ca="1" si="12"/>
        <v>24</v>
      </c>
      <c r="AH20" s="67">
        <v>19</v>
      </c>
      <c r="AI20" s="67">
        <f t="shared" ca="1" si="4"/>
        <v>1</v>
      </c>
      <c r="AJ20" s="39">
        <f t="shared" ca="1" si="5"/>
        <v>902.95962902345889</v>
      </c>
      <c r="AK20" s="39">
        <f t="shared" ca="1" si="6"/>
        <v>11778.005728314238</v>
      </c>
      <c r="AL20" s="39">
        <f t="shared" ca="1" si="7"/>
        <v>12680.965357337698</v>
      </c>
      <c r="AM20" s="39">
        <f t="shared" ca="1" si="8"/>
        <v>13583.924986361157</v>
      </c>
      <c r="AN20" s="39">
        <f t="shared" ca="1" si="9"/>
        <v>14486.884615384615</v>
      </c>
      <c r="AO20" s="39">
        <f t="shared" ca="1" si="0"/>
        <v>15389.844244408074</v>
      </c>
      <c r="AP20" s="39">
        <f t="shared" ca="1" si="1"/>
        <v>16292.803873431532</v>
      </c>
      <c r="AQ20" s="39">
        <f t="shared" ca="1" si="2"/>
        <v>17195.763502454993</v>
      </c>
      <c r="AR20" s="5">
        <f t="shared" ca="1" si="10"/>
        <v>14765</v>
      </c>
      <c r="AS20" s="5">
        <f t="shared" ca="1" si="3"/>
        <v>15657.95</v>
      </c>
      <c r="AT20" s="5">
        <f t="shared" ca="1" si="11"/>
        <v>0</v>
      </c>
    </row>
    <row r="21" spans="1:46" x14ac:dyDescent="0.2">
      <c r="A21" s="67">
        <f ca="1">Demand!C18</f>
        <v>19</v>
      </c>
      <c r="B21" s="67">
        <v>6</v>
      </c>
      <c r="C21" s="5">
        <f ca="1">'Demand background (hide)'!Y9</f>
        <v>14655</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11778.005728314238</v>
      </c>
      <c r="K21" s="5">
        <f t="shared" ca="1" si="21"/>
        <v>12680.965357337698</v>
      </c>
      <c r="L21" s="5">
        <f t="shared" ca="1" si="22"/>
        <v>13583.924986361157</v>
      </c>
      <c r="M21" s="5">
        <f t="shared" ca="1" si="23"/>
        <v>14486.884615384615</v>
      </c>
      <c r="N21" s="5">
        <f t="shared" ca="1" si="24"/>
        <v>15389.844244408074</v>
      </c>
      <c r="O21" s="5">
        <f t="shared" ca="1" si="25"/>
        <v>16292.803873431532</v>
      </c>
      <c r="P21" s="5">
        <f t="shared" ca="1" si="26"/>
        <v>17195.763502454993</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14765</v>
      </c>
      <c r="AD21" s="5">
        <f t="shared" ca="1" si="31"/>
        <v>15657.95</v>
      </c>
      <c r="AG21" s="67">
        <f t="shared" ca="1" si="12"/>
        <v>25</v>
      </c>
      <c r="AH21" s="67">
        <v>20</v>
      </c>
      <c r="AI21" s="67">
        <f t="shared" ca="1" si="4"/>
        <v>1</v>
      </c>
      <c r="AJ21" s="39">
        <f t="shared" ca="1" si="5"/>
        <v>902.95962902345889</v>
      </c>
      <c r="AK21" s="39">
        <f t="shared" ca="1" si="6"/>
        <v>11778.005728314238</v>
      </c>
      <c r="AL21" s="39">
        <f t="shared" ca="1" si="7"/>
        <v>12680.965357337698</v>
      </c>
      <c r="AM21" s="39">
        <f t="shared" ca="1" si="8"/>
        <v>13583.924986361157</v>
      </c>
      <c r="AN21" s="39">
        <f t="shared" ca="1" si="9"/>
        <v>14486.884615384615</v>
      </c>
      <c r="AO21" s="39">
        <f t="shared" ca="1" si="0"/>
        <v>15389.844244408074</v>
      </c>
      <c r="AP21" s="39">
        <f t="shared" ca="1" si="1"/>
        <v>16292.803873431532</v>
      </c>
      <c r="AQ21" s="39">
        <f t="shared" ca="1" si="2"/>
        <v>17195.763502454993</v>
      </c>
      <c r="AR21" s="5">
        <f t="shared" ca="1" si="10"/>
        <v>14765</v>
      </c>
      <c r="AS21" s="5">
        <f t="shared" ca="1" si="3"/>
        <v>15657.95</v>
      </c>
      <c r="AT21" s="5">
        <f t="shared" ca="1" si="11"/>
        <v>0</v>
      </c>
    </row>
    <row r="22" spans="1:46" x14ac:dyDescent="0.2">
      <c r="A22" s="67">
        <f ca="1">Demand!C19</f>
        <v>20</v>
      </c>
      <c r="B22" s="67">
        <v>7</v>
      </c>
      <c r="C22" s="5">
        <f ca="1">'Demand background (hide)'!Y10</f>
        <v>12946</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11778.005728314238</v>
      </c>
      <c r="K22" s="5">
        <f t="shared" ca="1" si="21"/>
        <v>12680.965357337698</v>
      </c>
      <c r="L22" s="5">
        <f t="shared" ca="1" si="22"/>
        <v>13583.924986361157</v>
      </c>
      <c r="M22" s="5">
        <f t="shared" ca="1" si="23"/>
        <v>14486.884615384615</v>
      </c>
      <c r="N22" s="5">
        <f t="shared" ca="1" si="24"/>
        <v>15389.844244408074</v>
      </c>
      <c r="O22" s="5">
        <f t="shared" ca="1" si="25"/>
        <v>16292.803873431532</v>
      </c>
      <c r="P22" s="5">
        <f t="shared" ca="1" si="26"/>
        <v>17195.763502454993</v>
      </c>
      <c r="Q22" s="5" t="e">
        <f t="shared" ca="1" si="27"/>
        <v>#N/A</v>
      </c>
      <c r="R22" s="5">
        <f t="shared" ca="1" si="32"/>
        <v>-1</v>
      </c>
      <c r="S22" s="67" t="e">
        <f t="shared" ca="1" si="33"/>
        <v>#N/A</v>
      </c>
      <c r="T22" s="67">
        <f t="shared" ca="1" si="34"/>
        <v>-2</v>
      </c>
      <c r="U22" s="67">
        <f t="shared" ca="1" si="35"/>
        <v>12946</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14765</v>
      </c>
      <c r="AD22" s="5">
        <f t="shared" ca="1" si="31"/>
        <v>15657.95</v>
      </c>
      <c r="AG22" s="67">
        <f t="shared" ca="1" si="12"/>
        <v>26</v>
      </c>
      <c r="AH22" s="67">
        <v>21</v>
      </c>
      <c r="AI22" s="67">
        <f t="shared" ca="1" si="4"/>
        <v>1</v>
      </c>
      <c r="AJ22" s="39">
        <f t="shared" ca="1" si="5"/>
        <v>902.95962902345889</v>
      </c>
      <c r="AK22" s="39">
        <f t="shared" ca="1" si="6"/>
        <v>11778.005728314238</v>
      </c>
      <c r="AL22" s="39">
        <f t="shared" ca="1" si="7"/>
        <v>12680.965357337698</v>
      </c>
      <c r="AM22" s="39">
        <f t="shared" ca="1" si="8"/>
        <v>13583.924986361157</v>
      </c>
      <c r="AN22" s="39">
        <f t="shared" ca="1" si="9"/>
        <v>14486.884615384615</v>
      </c>
      <c r="AO22" s="39">
        <f t="shared" ca="1" si="0"/>
        <v>15389.844244408074</v>
      </c>
      <c r="AP22" s="39">
        <f t="shared" ca="1" si="1"/>
        <v>16292.803873431532</v>
      </c>
      <c r="AQ22" s="39">
        <f t="shared" ca="1" si="2"/>
        <v>17195.763502454993</v>
      </c>
      <c r="AR22" s="5">
        <f t="shared" ca="1" si="10"/>
        <v>14765</v>
      </c>
      <c r="AS22" s="5">
        <f t="shared" ca="1" si="3"/>
        <v>15657.95</v>
      </c>
      <c r="AT22" s="5">
        <f t="shared" ca="1" si="11"/>
        <v>0</v>
      </c>
    </row>
    <row r="23" spans="1:46" x14ac:dyDescent="0.2">
      <c r="A23" s="67">
        <f ca="1">Demand!C20</f>
        <v>21</v>
      </c>
      <c r="B23" s="67">
        <v>8</v>
      </c>
      <c r="C23" s="5">
        <f ca="1">'Demand background (hide)'!Y11</f>
        <v>14221</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11778.005728314238</v>
      </c>
      <c r="K23" s="5">
        <f t="shared" ca="1" si="21"/>
        <v>12680.965357337698</v>
      </c>
      <c r="L23" s="5">
        <f t="shared" ca="1" si="22"/>
        <v>13583.924986361157</v>
      </c>
      <c r="M23" s="5">
        <f t="shared" ca="1" si="23"/>
        <v>14486.884615384615</v>
      </c>
      <c r="N23" s="5">
        <f t="shared" ca="1" si="24"/>
        <v>15389.844244408074</v>
      </c>
      <c r="O23" s="5">
        <f t="shared" ca="1" si="25"/>
        <v>16292.803873431532</v>
      </c>
      <c r="P23" s="5">
        <f t="shared" ca="1" si="26"/>
        <v>17195.763502454993</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14765</v>
      </c>
      <c r="AD23" s="5">
        <f t="shared" ca="1" si="31"/>
        <v>15657.95</v>
      </c>
      <c r="AG23" s="67">
        <f t="shared" ca="1" si="12"/>
        <v>27</v>
      </c>
      <c r="AH23" s="67">
        <v>22</v>
      </c>
      <c r="AI23" s="67">
        <f t="shared" ca="1" si="4"/>
        <v>1</v>
      </c>
      <c r="AJ23" s="39">
        <f t="shared" ca="1" si="5"/>
        <v>902.95962902345889</v>
      </c>
      <c r="AK23" s="39">
        <f t="shared" ca="1" si="6"/>
        <v>11778.005728314238</v>
      </c>
      <c r="AL23" s="39">
        <f t="shared" ca="1" si="7"/>
        <v>12680.965357337698</v>
      </c>
      <c r="AM23" s="39">
        <f t="shared" ca="1" si="8"/>
        <v>13583.924986361157</v>
      </c>
      <c r="AN23" s="39">
        <f t="shared" ca="1" si="9"/>
        <v>14486.884615384615</v>
      </c>
      <c r="AO23" s="39">
        <f t="shared" ca="1" si="0"/>
        <v>15389.844244408074</v>
      </c>
      <c r="AP23" s="39">
        <f t="shared" ca="1" si="1"/>
        <v>16292.803873431532</v>
      </c>
      <c r="AQ23" s="39">
        <f t="shared" ca="1" si="2"/>
        <v>17195.763502454993</v>
      </c>
      <c r="AR23" s="5">
        <f t="shared" ca="1" si="10"/>
        <v>14765</v>
      </c>
      <c r="AS23" s="5">
        <f t="shared" ca="1" si="3"/>
        <v>15657.95</v>
      </c>
      <c r="AT23" s="5">
        <f t="shared" ca="1" si="11"/>
        <v>0</v>
      </c>
    </row>
    <row r="24" spans="1:46" x14ac:dyDescent="0.2">
      <c r="A24" s="67">
        <f ca="1">Demand!C21</f>
        <v>22</v>
      </c>
      <c r="B24" s="67">
        <v>9</v>
      </c>
      <c r="C24" s="5">
        <f ca="1">'Demand background (hide)'!Y12</f>
        <v>13246</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11778.005728314238</v>
      </c>
      <c r="K24" s="5">
        <f t="shared" ca="1" si="21"/>
        <v>12680.965357337698</v>
      </c>
      <c r="L24" s="5">
        <f t="shared" ca="1" si="22"/>
        <v>13583.924986361157</v>
      </c>
      <c r="M24" s="5">
        <f t="shared" ca="1" si="23"/>
        <v>14486.884615384615</v>
      </c>
      <c r="N24" s="5">
        <f t="shared" ca="1" si="24"/>
        <v>15389.844244408074</v>
      </c>
      <c r="O24" s="5">
        <f t="shared" ca="1" si="25"/>
        <v>16292.803873431532</v>
      </c>
      <c r="P24" s="5">
        <f t="shared" ca="1" si="26"/>
        <v>17195.763502454993</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14765</v>
      </c>
      <c r="AD24" s="5">
        <f t="shared" ca="1" si="31"/>
        <v>15657.95</v>
      </c>
      <c r="AG24" s="67">
        <f t="shared" ca="1" si="12"/>
        <v>28</v>
      </c>
      <c r="AH24" s="67">
        <v>23</v>
      </c>
      <c r="AI24" s="67">
        <f t="shared" ca="1" si="4"/>
        <v>1</v>
      </c>
      <c r="AJ24" s="39">
        <f t="shared" ca="1" si="5"/>
        <v>902.95962902345889</v>
      </c>
      <c r="AK24" s="39">
        <f t="shared" ca="1" si="6"/>
        <v>11778.005728314238</v>
      </c>
      <c r="AL24" s="39">
        <f t="shared" ca="1" si="7"/>
        <v>12680.965357337698</v>
      </c>
      <c r="AM24" s="39">
        <f t="shared" ca="1" si="8"/>
        <v>13583.924986361157</v>
      </c>
      <c r="AN24" s="39">
        <f t="shared" ca="1" si="9"/>
        <v>14486.884615384615</v>
      </c>
      <c r="AO24" s="39">
        <f t="shared" ca="1" si="0"/>
        <v>15389.844244408074</v>
      </c>
      <c r="AP24" s="39">
        <f t="shared" ca="1" si="1"/>
        <v>16292.803873431532</v>
      </c>
      <c r="AQ24" s="39">
        <f t="shared" ca="1" si="2"/>
        <v>17195.763502454993</v>
      </c>
      <c r="AR24" s="5">
        <f t="shared" ca="1" si="10"/>
        <v>14765</v>
      </c>
      <c r="AS24" s="5">
        <f t="shared" ca="1" si="3"/>
        <v>15657.95</v>
      </c>
      <c r="AT24" s="5">
        <f t="shared" ca="1" si="11"/>
        <v>0</v>
      </c>
    </row>
    <row r="25" spans="1:46" x14ac:dyDescent="0.2">
      <c r="A25" s="67">
        <f ca="1">Demand!C22</f>
        <v>23</v>
      </c>
      <c r="B25" s="67">
        <v>10</v>
      </c>
      <c r="C25" s="5">
        <f ca="1">'Demand background (hide)'!Y13</f>
        <v>12271</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11778.005728314238</v>
      </c>
      <c r="K25" s="5">
        <f t="shared" ca="1" si="21"/>
        <v>12680.965357337698</v>
      </c>
      <c r="L25" s="5">
        <f t="shared" ca="1" si="22"/>
        <v>13583.924986361157</v>
      </c>
      <c r="M25" s="5">
        <f t="shared" ca="1" si="23"/>
        <v>14486.884615384615</v>
      </c>
      <c r="N25" s="5">
        <f t="shared" ca="1" si="24"/>
        <v>15389.844244408074</v>
      </c>
      <c r="O25" s="5">
        <f t="shared" ca="1" si="25"/>
        <v>16292.803873431532</v>
      </c>
      <c r="P25" s="5">
        <f t="shared" ca="1" si="26"/>
        <v>17195.763502454993</v>
      </c>
      <c r="Q25" s="5" t="e">
        <f t="shared" ca="1" si="27"/>
        <v>#N/A</v>
      </c>
      <c r="R25" s="5">
        <f t="shared" ca="1" si="32"/>
        <v>-2</v>
      </c>
      <c r="S25" s="67" t="e">
        <f t="shared" ca="1" si="33"/>
        <v>#N/A</v>
      </c>
      <c r="T25" s="67">
        <f t="shared" ca="1" si="34"/>
        <v>-2</v>
      </c>
      <c r="U25" s="67" t="e">
        <f t="shared" ca="1" si="35"/>
        <v>#N/A</v>
      </c>
      <c r="V25" s="5">
        <f t="shared" ca="1" si="14"/>
        <v>-1</v>
      </c>
      <c r="W25" s="5" t="e">
        <f t="shared" ca="1" si="28"/>
        <v>#N/A</v>
      </c>
      <c r="X25" s="67">
        <f t="shared" ca="1" si="29"/>
        <v>-1</v>
      </c>
      <c r="Y25" s="67" t="e">
        <f t="shared" ca="1" si="36"/>
        <v>#N/A</v>
      </c>
      <c r="Z25" s="67">
        <f t="shared" ca="1" si="37"/>
        <v>12271</v>
      </c>
      <c r="AA25" s="5" t="str">
        <f>IF(Setup!$I$15="Yes",'Demand background (hide)'!AJ13+'SPC background (hide)'!C25,"")</f>
        <v/>
      </c>
      <c r="AC25" s="5">
        <f t="shared" ca="1" si="30"/>
        <v>14765</v>
      </c>
      <c r="AD25" s="5">
        <f t="shared" ca="1" si="31"/>
        <v>15657.95</v>
      </c>
      <c r="AG25" s="67">
        <f t="shared" ca="1" si="12"/>
        <v>29</v>
      </c>
      <c r="AH25" s="67">
        <v>24</v>
      </c>
      <c r="AI25" s="67">
        <f t="shared" ca="1" si="4"/>
        <v>1</v>
      </c>
      <c r="AJ25" s="39">
        <f t="shared" ca="1" si="5"/>
        <v>902.95962902345889</v>
      </c>
      <c r="AK25" s="39">
        <f t="shared" ca="1" si="6"/>
        <v>11778.005728314238</v>
      </c>
      <c r="AL25" s="39">
        <f t="shared" ca="1" si="7"/>
        <v>12680.965357337698</v>
      </c>
      <c r="AM25" s="39">
        <f t="shared" ca="1" si="8"/>
        <v>13583.924986361157</v>
      </c>
      <c r="AN25" s="39">
        <f t="shared" ca="1" si="9"/>
        <v>14486.884615384615</v>
      </c>
      <c r="AO25" s="39">
        <f t="shared" ca="1" si="0"/>
        <v>15389.844244408074</v>
      </c>
      <c r="AP25" s="39">
        <f t="shared" ca="1" si="1"/>
        <v>16292.803873431532</v>
      </c>
      <c r="AQ25" s="39">
        <f t="shared" ca="1" si="2"/>
        <v>17195.763502454993</v>
      </c>
      <c r="AR25" s="5">
        <f t="shared" ca="1" si="10"/>
        <v>14765</v>
      </c>
      <c r="AS25" s="5">
        <f t="shared" ca="1" si="3"/>
        <v>15657.95</v>
      </c>
      <c r="AT25" s="5">
        <f t="shared" ca="1" si="11"/>
        <v>0</v>
      </c>
    </row>
    <row r="26" spans="1:46" x14ac:dyDescent="0.2">
      <c r="A26" s="67">
        <f ca="1">Demand!C23</f>
        <v>24</v>
      </c>
      <c r="B26" s="67">
        <v>11</v>
      </c>
      <c r="C26" s="5">
        <f ca="1">'Demand background (hide)'!Y14</f>
        <v>13262</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11778.005728314238</v>
      </c>
      <c r="K26" s="5">
        <f t="shared" ca="1" si="21"/>
        <v>12680.965357337698</v>
      </c>
      <c r="L26" s="5">
        <f t="shared" ca="1" si="22"/>
        <v>13583.924986361157</v>
      </c>
      <c r="M26" s="5">
        <f t="shared" ca="1" si="23"/>
        <v>14486.884615384615</v>
      </c>
      <c r="N26" s="5">
        <f t="shared" ca="1" si="24"/>
        <v>15389.844244408074</v>
      </c>
      <c r="O26" s="5">
        <f t="shared" ca="1" si="25"/>
        <v>16292.803873431532</v>
      </c>
      <c r="P26" s="5">
        <f t="shared" ca="1" si="26"/>
        <v>17195.763502454993</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14765</v>
      </c>
      <c r="AD26" s="5">
        <f t="shared" ca="1" si="31"/>
        <v>15657.95</v>
      </c>
      <c r="AG26" s="67">
        <f t="shared" ca="1" si="12"/>
        <v>30</v>
      </c>
      <c r="AH26" s="67">
        <v>25</v>
      </c>
      <c r="AI26" s="67">
        <f t="shared" ca="1" si="4"/>
        <v>1</v>
      </c>
      <c r="AJ26" s="39">
        <f t="shared" ca="1" si="5"/>
        <v>902.95962902345889</v>
      </c>
      <c r="AK26" s="39">
        <f t="shared" ca="1" si="6"/>
        <v>11778.005728314238</v>
      </c>
      <c r="AL26" s="39">
        <f t="shared" ca="1" si="7"/>
        <v>12680.965357337698</v>
      </c>
      <c r="AM26" s="39">
        <f t="shared" ca="1" si="8"/>
        <v>13583.924986361157</v>
      </c>
      <c r="AN26" s="39">
        <f t="shared" ca="1" si="9"/>
        <v>14486.884615384615</v>
      </c>
      <c r="AO26" s="39">
        <f t="shared" ca="1" si="0"/>
        <v>15389.844244408074</v>
      </c>
      <c r="AP26" s="39">
        <f t="shared" ca="1" si="1"/>
        <v>16292.803873431532</v>
      </c>
      <c r="AQ26" s="39">
        <f t="shared" ca="1" si="2"/>
        <v>17195.763502454993</v>
      </c>
      <c r="AR26" s="5">
        <f t="shared" ca="1" si="10"/>
        <v>14765</v>
      </c>
      <c r="AS26" s="5">
        <f t="shared" ca="1" si="3"/>
        <v>15657.95</v>
      </c>
      <c r="AT26" s="5">
        <f t="shared" ca="1" si="11"/>
        <v>0</v>
      </c>
    </row>
    <row r="27" spans="1:46" x14ac:dyDescent="0.2">
      <c r="A27" s="67">
        <f ca="1">Demand!C24</f>
        <v>25</v>
      </c>
      <c r="B27" s="67">
        <v>12</v>
      </c>
      <c r="C27" s="5">
        <f ca="1">'Demand background (hide)'!Y15</f>
        <v>13861</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11778.005728314238</v>
      </c>
      <c r="K27" s="5">
        <f t="shared" ca="1" si="21"/>
        <v>12680.965357337698</v>
      </c>
      <c r="L27" s="5">
        <f t="shared" ca="1" si="22"/>
        <v>13583.924986361157</v>
      </c>
      <c r="M27" s="5">
        <f t="shared" ca="1" si="23"/>
        <v>14486.884615384615</v>
      </c>
      <c r="N27" s="5">
        <f t="shared" ca="1" si="24"/>
        <v>15389.844244408074</v>
      </c>
      <c r="O27" s="5">
        <f t="shared" ca="1" si="25"/>
        <v>16292.803873431532</v>
      </c>
      <c r="P27" s="5">
        <f t="shared" ca="1" si="26"/>
        <v>17195.763502454993</v>
      </c>
      <c r="Q27" s="5" t="e">
        <f t="shared" ca="1" si="27"/>
        <v>#N/A</v>
      </c>
      <c r="R27" s="5">
        <f t="shared" ca="1" si="32"/>
        <v>-1</v>
      </c>
      <c r="S27" s="67" t="e">
        <f t="shared" ca="1" si="33"/>
        <v>#N/A</v>
      </c>
      <c r="T27" s="67">
        <f t="shared" ca="1" si="34"/>
        <v>-1</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14765</v>
      </c>
      <c r="AD27" s="5">
        <f t="shared" ca="1" si="31"/>
        <v>15657.95</v>
      </c>
      <c r="AG27" s="67">
        <f t="shared" ca="1" si="12"/>
        <v>31</v>
      </c>
      <c r="AH27" s="67">
        <v>26</v>
      </c>
      <c r="AI27" s="67">
        <f t="shared" ca="1" si="4"/>
        <v>1</v>
      </c>
      <c r="AJ27" s="39">
        <f t="shared" ca="1" si="5"/>
        <v>902.95962902345889</v>
      </c>
      <c r="AK27" s="39">
        <f t="shared" ca="1" si="6"/>
        <v>11778.005728314238</v>
      </c>
      <c r="AL27" s="39">
        <f t="shared" ca="1" si="7"/>
        <v>12680.965357337698</v>
      </c>
      <c r="AM27" s="39">
        <f t="shared" ca="1" si="8"/>
        <v>13583.924986361157</v>
      </c>
      <c r="AN27" s="39">
        <f t="shared" ca="1" si="9"/>
        <v>14486.884615384615</v>
      </c>
      <c r="AO27" s="39">
        <f t="shared" ca="1" si="0"/>
        <v>15389.844244408074</v>
      </c>
      <c r="AP27" s="39">
        <f t="shared" ca="1" si="1"/>
        <v>16292.803873431532</v>
      </c>
      <c r="AQ27" s="39">
        <f t="shared" ca="1" si="2"/>
        <v>17195.763502454993</v>
      </c>
      <c r="AR27" s="5">
        <f t="shared" ca="1" si="10"/>
        <v>14765</v>
      </c>
      <c r="AS27" s="5">
        <f t="shared" ca="1" si="3"/>
        <v>15657.95</v>
      </c>
      <c r="AT27" s="5">
        <f t="shared" ca="1" si="11"/>
        <v>0</v>
      </c>
    </row>
    <row r="28" spans="1:46" x14ac:dyDescent="0.2">
      <c r="A28" s="67">
        <f ca="1">Demand!C25</f>
        <v>26</v>
      </c>
      <c r="B28" s="67">
        <v>13</v>
      </c>
      <c r="C28" s="5">
        <f ca="1">'Demand background (hide)'!Y16</f>
        <v>14284</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11778.005728314238</v>
      </c>
      <c r="K28" s="5">
        <f t="shared" ca="1" si="21"/>
        <v>12680.965357337698</v>
      </c>
      <c r="L28" s="5">
        <f t="shared" ca="1" si="22"/>
        <v>13583.924986361157</v>
      </c>
      <c r="M28" s="5">
        <f t="shared" ca="1" si="23"/>
        <v>14486.884615384615</v>
      </c>
      <c r="N28" s="5">
        <f t="shared" ca="1" si="24"/>
        <v>15389.844244408074</v>
      </c>
      <c r="O28" s="5">
        <f t="shared" ca="1" si="25"/>
        <v>16292.803873431532</v>
      </c>
      <c r="P28" s="5">
        <f t="shared" ca="1" si="26"/>
        <v>17195.763502454993</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14765</v>
      </c>
      <c r="AD28" s="5">
        <f t="shared" ca="1" si="31"/>
        <v>15657.95</v>
      </c>
      <c r="AG28" s="67">
        <f t="shared" ca="1" si="12"/>
        <v>32</v>
      </c>
      <c r="AH28" s="67">
        <v>27</v>
      </c>
      <c r="AI28" s="67">
        <f t="shared" ca="1" si="4"/>
        <v>1</v>
      </c>
      <c r="AJ28" s="39">
        <f t="shared" ca="1" si="5"/>
        <v>902.95962902345889</v>
      </c>
      <c r="AK28" s="39">
        <f t="shared" ca="1" si="6"/>
        <v>11778.005728314238</v>
      </c>
      <c r="AL28" s="39">
        <f t="shared" ca="1" si="7"/>
        <v>12680.965357337698</v>
      </c>
      <c r="AM28" s="39">
        <f t="shared" ca="1" si="8"/>
        <v>13583.924986361157</v>
      </c>
      <c r="AN28" s="39">
        <f t="shared" ca="1" si="9"/>
        <v>14486.884615384615</v>
      </c>
      <c r="AO28" s="39">
        <f t="shared" ca="1" si="0"/>
        <v>15389.844244408074</v>
      </c>
      <c r="AP28" s="39">
        <f t="shared" ca="1" si="1"/>
        <v>16292.803873431532</v>
      </c>
      <c r="AQ28" s="39">
        <f t="shared" ca="1" si="2"/>
        <v>17195.763502454993</v>
      </c>
      <c r="AR28" s="5">
        <f t="shared" ca="1" si="10"/>
        <v>14765</v>
      </c>
      <c r="AS28" s="5">
        <f t="shared" ca="1" si="3"/>
        <v>15657.95</v>
      </c>
      <c r="AT28" s="5">
        <f t="shared" ca="1" si="11"/>
        <v>0</v>
      </c>
    </row>
    <row r="29" spans="1:46" x14ac:dyDescent="0.2">
      <c r="A29" s="67">
        <f ca="1">Demand!C26</f>
        <v>27</v>
      </c>
      <c r="B29" s="67">
        <v>14</v>
      </c>
      <c r="C29" s="5">
        <f ca="1">'Demand background (hide)'!Y17</f>
        <v>13260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11778.005728314238</v>
      </c>
      <c r="K29" s="5">
        <f t="shared" ca="1" si="21"/>
        <v>12680.965357337698</v>
      </c>
      <c r="L29" s="5">
        <f t="shared" ca="1" si="22"/>
        <v>13583.924986361157</v>
      </c>
      <c r="M29" s="5">
        <f t="shared" ca="1" si="23"/>
        <v>14486.884615384615</v>
      </c>
      <c r="N29" s="5">
        <f t="shared" ca="1" si="24"/>
        <v>15389.844244408074</v>
      </c>
      <c r="O29" s="5">
        <f t="shared" ca="1" si="25"/>
        <v>16292.803873431532</v>
      </c>
      <c r="P29" s="5">
        <f t="shared" ca="1" si="26"/>
        <v>17195.763502454993</v>
      </c>
      <c r="Q29" s="5" t="e">
        <f t="shared" ca="1" si="27"/>
        <v>#N/A</v>
      </c>
      <c r="R29" s="5">
        <f t="shared" ca="1" si="32"/>
        <v>-1</v>
      </c>
      <c r="S29" s="67" t="e">
        <f t="shared" ca="1" si="33"/>
        <v>#N/A</v>
      </c>
      <c r="T29" s="67">
        <f t="shared" ca="1" si="34"/>
        <v>-2</v>
      </c>
      <c r="U29" s="67" t="e">
        <f t="shared" ca="1" si="35"/>
        <v>#N/A</v>
      </c>
      <c r="V29" s="5">
        <f t="shared" ca="1" si="14"/>
        <v>-1</v>
      </c>
      <c r="W29" s="5" t="e">
        <f t="shared" ca="1" si="28"/>
        <v>#N/A</v>
      </c>
      <c r="X29" s="67">
        <f t="shared" ca="1" si="29"/>
        <v>-1</v>
      </c>
      <c r="Y29" s="67" t="e">
        <f t="shared" ca="1" si="36"/>
        <v>#N/A</v>
      </c>
      <c r="Z29" s="67" t="e">
        <f t="shared" ca="1" si="37"/>
        <v>#N/A</v>
      </c>
      <c r="AA29" s="5" t="str">
        <f>IF(Setup!$I$15="Yes",'Demand background (hide)'!AJ17+'SPC background (hide)'!C29,"")</f>
        <v/>
      </c>
      <c r="AC29" s="5">
        <f t="shared" ca="1" si="30"/>
        <v>14765</v>
      </c>
      <c r="AD29" s="5">
        <f t="shared" ca="1" si="31"/>
        <v>15657.95</v>
      </c>
      <c r="AG29" s="67">
        <f t="shared" ca="1" si="12"/>
        <v>33</v>
      </c>
      <c r="AH29" s="67">
        <v>28</v>
      </c>
      <c r="AI29" s="67">
        <f t="shared" ca="1" si="4"/>
        <v>1</v>
      </c>
      <c r="AJ29" s="39">
        <f t="shared" ca="1" si="5"/>
        <v>902.95962902345889</v>
      </c>
      <c r="AK29" s="39">
        <f t="shared" ca="1" si="6"/>
        <v>11778.005728314238</v>
      </c>
      <c r="AL29" s="39">
        <f t="shared" ca="1" si="7"/>
        <v>12680.965357337698</v>
      </c>
      <c r="AM29" s="39">
        <f t="shared" ca="1" si="8"/>
        <v>13583.924986361157</v>
      </c>
      <c r="AN29" s="39">
        <f t="shared" ca="1" si="9"/>
        <v>14486.884615384615</v>
      </c>
      <c r="AO29" s="39">
        <f t="shared" ca="1" si="0"/>
        <v>15389.844244408074</v>
      </c>
      <c r="AP29" s="39">
        <f t="shared" ca="1" si="1"/>
        <v>16292.803873431532</v>
      </c>
      <c r="AQ29" s="39">
        <f t="shared" ca="1" si="2"/>
        <v>17195.763502454993</v>
      </c>
      <c r="AR29" s="5">
        <f t="shared" ca="1" si="10"/>
        <v>14765</v>
      </c>
      <c r="AS29" s="5">
        <f t="shared" ca="1" si="3"/>
        <v>15657.95</v>
      </c>
      <c r="AT29" s="5">
        <f t="shared" ca="1" si="11"/>
        <v>0</v>
      </c>
    </row>
    <row r="30" spans="1:46" x14ac:dyDescent="0.2">
      <c r="A30" s="67">
        <f ca="1">Demand!C27</f>
        <v>28</v>
      </c>
      <c r="B30" s="67">
        <v>15</v>
      </c>
      <c r="C30" s="5">
        <f ca="1">'Demand background (hide)'!Y18</f>
        <v>14610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11778.005728314238</v>
      </c>
      <c r="K30" s="5">
        <f t="shared" ca="1" si="21"/>
        <v>12680.965357337698</v>
      </c>
      <c r="L30" s="5">
        <f t="shared" ca="1" si="22"/>
        <v>13583.924986361157</v>
      </c>
      <c r="M30" s="5">
        <f t="shared" ca="1" si="23"/>
        <v>14486.884615384615</v>
      </c>
      <c r="N30" s="5">
        <f t="shared" ca="1" si="24"/>
        <v>15389.844244408074</v>
      </c>
      <c r="O30" s="5">
        <f t="shared" ca="1" si="25"/>
        <v>16292.803873431532</v>
      </c>
      <c r="P30" s="5">
        <f t="shared" ca="1" si="26"/>
        <v>17195.763502454993</v>
      </c>
      <c r="Q30" s="5" t="e">
        <f t="shared" ca="1" si="27"/>
        <v>#N/A</v>
      </c>
      <c r="R30" s="5">
        <f t="shared" ca="1" si="32"/>
        <v>1</v>
      </c>
      <c r="S30" s="67" t="e">
        <f t="shared" ca="1" si="33"/>
        <v>#N/A</v>
      </c>
      <c r="T30" s="67">
        <f t="shared" ca="1" si="34"/>
        <v>1</v>
      </c>
      <c r="U30" s="67" t="e">
        <f t="shared" ca="1" si="35"/>
        <v>#N/A</v>
      </c>
      <c r="V30" s="5">
        <f t="shared" ca="1" si="14"/>
        <v>1</v>
      </c>
      <c r="W30" s="5" t="e">
        <f t="shared" ca="1" si="28"/>
        <v>#N/A</v>
      </c>
      <c r="X30" s="67">
        <f t="shared" ca="1" si="29"/>
        <v>1</v>
      </c>
      <c r="Y30" s="67" t="e">
        <f t="shared" ca="1" si="36"/>
        <v>#N/A</v>
      </c>
      <c r="Z30" s="67" t="e">
        <f t="shared" ca="1" si="37"/>
        <v>#N/A</v>
      </c>
      <c r="AA30" s="5" t="str">
        <f>IF(Setup!$I$15="Yes",'Demand background (hide)'!AJ18+'SPC background (hide)'!C30,"")</f>
        <v/>
      </c>
      <c r="AC30" s="5">
        <f t="shared" ca="1" si="30"/>
        <v>14765</v>
      </c>
      <c r="AD30" s="5">
        <f t="shared" ca="1" si="31"/>
        <v>15657.95</v>
      </c>
      <c r="AG30" s="67">
        <f t="shared" ca="1" si="12"/>
        <v>34</v>
      </c>
      <c r="AH30" s="67">
        <v>29</v>
      </c>
      <c r="AI30" s="67">
        <f t="shared" ca="1" si="4"/>
        <v>1</v>
      </c>
      <c r="AJ30" s="39">
        <f t="shared" ca="1" si="5"/>
        <v>902.95962902345889</v>
      </c>
      <c r="AK30" s="39">
        <f t="shared" ca="1" si="6"/>
        <v>11778.005728314238</v>
      </c>
      <c r="AL30" s="39">
        <f t="shared" ca="1" si="7"/>
        <v>12680.965357337698</v>
      </c>
      <c r="AM30" s="39">
        <f t="shared" ca="1" si="8"/>
        <v>13583.924986361157</v>
      </c>
      <c r="AN30" s="39">
        <f t="shared" ca="1" si="9"/>
        <v>14486.884615384615</v>
      </c>
      <c r="AO30" s="39">
        <f t="shared" ca="1" si="0"/>
        <v>15389.844244408074</v>
      </c>
      <c r="AP30" s="39">
        <f t="shared" ca="1" si="1"/>
        <v>16292.803873431532</v>
      </c>
      <c r="AQ30" s="39">
        <f t="shared" ca="1" si="2"/>
        <v>17195.763502454993</v>
      </c>
      <c r="AR30" s="5">
        <f t="shared" ca="1" si="10"/>
        <v>14765</v>
      </c>
      <c r="AS30" s="5">
        <f t="shared" ca="1" si="3"/>
        <v>15657.95</v>
      </c>
      <c r="AT30" s="5">
        <f t="shared" ca="1" si="11"/>
        <v>0</v>
      </c>
    </row>
    <row r="31" spans="1:46" x14ac:dyDescent="0.2">
      <c r="A31" s="67">
        <f ca="1">Demand!C28</f>
        <v>29</v>
      </c>
      <c r="B31" s="67">
        <v>16</v>
      </c>
      <c r="C31" s="5">
        <f ca="1">'Demand background (hide)'!Y19</f>
        <v>13276</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11778.005728314238</v>
      </c>
      <c r="K31" s="5">
        <f t="shared" ca="1" si="21"/>
        <v>12680.965357337698</v>
      </c>
      <c r="L31" s="5">
        <f t="shared" ca="1" si="22"/>
        <v>13583.924986361157</v>
      </c>
      <c r="M31" s="5">
        <f t="shared" ca="1" si="23"/>
        <v>14486.884615384615</v>
      </c>
      <c r="N31" s="5">
        <f t="shared" ca="1" si="24"/>
        <v>15389.844244408074</v>
      </c>
      <c r="O31" s="5">
        <f t="shared" ca="1" si="25"/>
        <v>16292.803873431532</v>
      </c>
      <c r="P31" s="5">
        <f t="shared" ca="1" si="26"/>
        <v>17195.763502454993</v>
      </c>
      <c r="Q31" s="5" t="e">
        <f t="shared" ca="1" si="27"/>
        <v>#N/A</v>
      </c>
      <c r="R31" s="5">
        <f t="shared" ca="1" si="32"/>
        <v>-1</v>
      </c>
      <c r="S31" s="67" t="e">
        <f t="shared" ca="1" si="33"/>
        <v>#N/A</v>
      </c>
      <c r="T31" s="67">
        <f t="shared" ca="1" si="34"/>
        <v>-2</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14765</v>
      </c>
      <c r="AD31" s="5">
        <f t="shared" ca="1" si="31"/>
        <v>15657.95</v>
      </c>
      <c r="AG31" s="67">
        <f t="shared" ca="1" si="12"/>
        <v>35</v>
      </c>
      <c r="AH31" s="67">
        <v>30</v>
      </c>
      <c r="AI31" s="67">
        <f t="shared" ca="1" si="4"/>
        <v>1</v>
      </c>
      <c r="AJ31" s="39">
        <f t="shared" ca="1" si="5"/>
        <v>902.95962902345889</v>
      </c>
      <c r="AK31" s="39">
        <f t="shared" ca="1" si="6"/>
        <v>11778.005728314238</v>
      </c>
      <c r="AL31" s="39">
        <f t="shared" ca="1" si="7"/>
        <v>12680.965357337698</v>
      </c>
      <c r="AM31" s="39">
        <f t="shared" ca="1" si="8"/>
        <v>13583.924986361157</v>
      </c>
      <c r="AN31" s="39">
        <f t="shared" ca="1" si="9"/>
        <v>14486.884615384615</v>
      </c>
      <c r="AO31" s="39">
        <f t="shared" ca="1" si="0"/>
        <v>15389.844244408074</v>
      </c>
      <c r="AP31" s="39">
        <f t="shared" ca="1" si="1"/>
        <v>16292.803873431532</v>
      </c>
      <c r="AQ31" s="39">
        <f t="shared" ca="1" si="2"/>
        <v>17195.763502454993</v>
      </c>
      <c r="AR31" s="5">
        <f t="shared" ca="1" si="10"/>
        <v>14765</v>
      </c>
      <c r="AS31" s="5">
        <f t="shared" ca="1" si="3"/>
        <v>15657.95</v>
      </c>
      <c r="AT31" s="5">
        <f t="shared" ca="1" si="11"/>
        <v>0</v>
      </c>
    </row>
    <row r="32" spans="1:46" x14ac:dyDescent="0.2">
      <c r="A32" s="67">
        <f ca="1">Demand!C29</f>
        <v>30</v>
      </c>
      <c r="B32" s="67">
        <v>17</v>
      </c>
      <c r="C32" s="5">
        <f ca="1">'Demand background (hide)'!Y20</f>
        <v>14687</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11778.005728314238</v>
      </c>
      <c r="K32" s="5">
        <f t="shared" ca="1" si="21"/>
        <v>12680.965357337698</v>
      </c>
      <c r="L32" s="5">
        <f t="shared" ca="1" si="22"/>
        <v>13583.924986361157</v>
      </c>
      <c r="M32" s="5">
        <f t="shared" ca="1" si="23"/>
        <v>14486.884615384615</v>
      </c>
      <c r="N32" s="5">
        <f t="shared" ca="1" si="24"/>
        <v>15389.844244408074</v>
      </c>
      <c r="O32" s="5">
        <f t="shared" ca="1" si="25"/>
        <v>16292.803873431532</v>
      </c>
      <c r="P32" s="5">
        <f t="shared" ca="1" si="26"/>
        <v>17195.763502454993</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14765</v>
      </c>
      <c r="AD32" s="5">
        <f t="shared" ca="1" si="31"/>
        <v>15657.95</v>
      </c>
      <c r="AG32" s="67">
        <f t="shared" ca="1" si="12"/>
        <v>36</v>
      </c>
      <c r="AH32" s="67">
        <v>31</v>
      </c>
      <c r="AI32" s="67">
        <f t="shared" ca="1" si="4"/>
        <v>1</v>
      </c>
      <c r="AJ32" s="39">
        <f t="shared" ca="1" si="5"/>
        <v>902.95962902345889</v>
      </c>
      <c r="AK32" s="39">
        <f t="shared" ca="1" si="6"/>
        <v>11778.005728314238</v>
      </c>
      <c r="AL32" s="39">
        <f t="shared" ca="1" si="7"/>
        <v>12680.965357337698</v>
      </c>
      <c r="AM32" s="39">
        <f t="shared" ca="1" si="8"/>
        <v>13583.924986361157</v>
      </c>
      <c r="AN32" s="39">
        <f t="shared" ca="1" si="9"/>
        <v>14486.884615384615</v>
      </c>
      <c r="AO32" s="39">
        <f t="shared" ca="1" si="0"/>
        <v>15389.844244408074</v>
      </c>
      <c r="AP32" s="39">
        <f t="shared" ca="1" si="1"/>
        <v>16292.803873431532</v>
      </c>
      <c r="AQ32" s="39">
        <f t="shared" ca="1" si="2"/>
        <v>17195.763502454993</v>
      </c>
      <c r="AR32" s="5">
        <f t="shared" ca="1" si="10"/>
        <v>14765</v>
      </c>
      <c r="AS32" s="5">
        <f t="shared" ca="1" si="3"/>
        <v>15657.95</v>
      </c>
      <c r="AT32" s="5">
        <f t="shared" ca="1" si="11"/>
        <v>0</v>
      </c>
    </row>
    <row r="33" spans="1:46" x14ac:dyDescent="0.2">
      <c r="A33" s="67">
        <f ca="1">Demand!C30</f>
        <v>31</v>
      </c>
      <c r="B33" s="67">
        <v>18</v>
      </c>
      <c r="C33" s="5">
        <f ca="1">'Demand background (hide)'!Y21</f>
        <v>14790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11778.005728314238</v>
      </c>
      <c r="K33" s="5">
        <f t="shared" ca="1" si="21"/>
        <v>12680.965357337698</v>
      </c>
      <c r="L33" s="5">
        <f t="shared" ca="1" si="22"/>
        <v>13583.924986361157</v>
      </c>
      <c r="M33" s="5">
        <f t="shared" ca="1" si="23"/>
        <v>14486.884615384615</v>
      </c>
      <c r="N33" s="5">
        <f t="shared" ca="1" si="24"/>
        <v>15389.844244408074</v>
      </c>
      <c r="O33" s="5">
        <f t="shared" ca="1" si="25"/>
        <v>16292.803873431532</v>
      </c>
      <c r="P33" s="5">
        <f t="shared" ca="1" si="26"/>
        <v>17195.763502454993</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14765</v>
      </c>
      <c r="AD33" s="5">
        <f t="shared" ca="1" si="31"/>
        <v>15657.95</v>
      </c>
      <c r="AG33" s="67">
        <f t="shared" ca="1" si="12"/>
        <v>37</v>
      </c>
      <c r="AH33" s="67">
        <v>32</v>
      </c>
      <c r="AI33" s="67">
        <f t="shared" ca="1" si="4"/>
        <v>1</v>
      </c>
      <c r="AJ33" s="39">
        <f t="shared" ca="1" si="5"/>
        <v>902.95962902345889</v>
      </c>
      <c r="AK33" s="39">
        <f t="shared" ca="1" si="6"/>
        <v>11778.005728314238</v>
      </c>
      <c r="AL33" s="39">
        <f t="shared" ca="1" si="7"/>
        <v>12680.965357337698</v>
      </c>
      <c r="AM33" s="39">
        <f t="shared" ca="1" si="8"/>
        <v>13583.924986361157</v>
      </c>
      <c r="AN33" s="39">
        <f t="shared" ca="1" si="9"/>
        <v>14486.884615384615</v>
      </c>
      <c r="AO33" s="39">
        <f t="shared" ca="1" si="0"/>
        <v>15389.844244408074</v>
      </c>
      <c r="AP33" s="39">
        <f t="shared" ca="1" si="1"/>
        <v>16292.803873431532</v>
      </c>
      <c r="AQ33" s="39">
        <f t="shared" ca="1" si="2"/>
        <v>17195.763502454993</v>
      </c>
      <c r="AR33" s="5">
        <f t="shared" ca="1" si="10"/>
        <v>14765</v>
      </c>
      <c r="AS33" s="5">
        <f t="shared" ca="1" si="3"/>
        <v>15657.95</v>
      </c>
      <c r="AT33" s="5">
        <f t="shared" ca="1" si="11"/>
        <v>0</v>
      </c>
    </row>
    <row r="34" spans="1:46" x14ac:dyDescent="0.2">
      <c r="A34" s="67">
        <f ca="1">Demand!C31</f>
        <v>32</v>
      </c>
      <c r="B34" s="67">
        <v>19</v>
      </c>
      <c r="C34" s="5">
        <f ca="1">'Demand background (hide)'!Y22</f>
        <v>12481</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11778.005728314238</v>
      </c>
      <c r="K34" s="5">
        <f t="shared" ca="1" si="21"/>
        <v>12680.965357337698</v>
      </c>
      <c r="L34" s="5">
        <f t="shared" ca="1" si="22"/>
        <v>13583.924986361157</v>
      </c>
      <c r="M34" s="5">
        <f t="shared" ca="1" si="23"/>
        <v>14486.884615384615</v>
      </c>
      <c r="N34" s="5">
        <f t="shared" ca="1" si="24"/>
        <v>15389.844244408074</v>
      </c>
      <c r="O34" s="5">
        <f t="shared" ca="1" si="25"/>
        <v>16292.803873431532</v>
      </c>
      <c r="P34" s="5">
        <f t="shared" ca="1" si="26"/>
        <v>17195.763502454993</v>
      </c>
      <c r="Q34" s="5" t="e">
        <f t="shared" ca="1" si="27"/>
        <v>#N/A</v>
      </c>
      <c r="R34" s="5">
        <f t="shared" ca="1" si="32"/>
        <v>-2</v>
      </c>
      <c r="S34" s="67" t="e">
        <f t="shared" ca="1" si="33"/>
        <v>#N/A</v>
      </c>
      <c r="T34" s="67">
        <f t="shared" ca="1" si="34"/>
        <v>-2</v>
      </c>
      <c r="U34" s="67" t="e">
        <f t="shared" ca="1" si="35"/>
        <v>#N/A</v>
      </c>
      <c r="V34" s="5">
        <f t="shared" ca="1" si="14"/>
        <v>-1</v>
      </c>
      <c r="W34" s="5" t="e">
        <f t="shared" ca="1" si="28"/>
        <v>#N/A</v>
      </c>
      <c r="X34" s="67">
        <f t="shared" ca="1" si="29"/>
        <v>-1</v>
      </c>
      <c r="Y34" s="67" t="e">
        <f t="shared" ca="1" si="36"/>
        <v>#N/A</v>
      </c>
      <c r="Z34" s="67">
        <f t="shared" ca="1" si="37"/>
        <v>12481</v>
      </c>
      <c r="AA34" s="5" t="str">
        <f>IF(Setup!$I$15="Yes",'Demand background (hide)'!AJ22+'SPC background (hide)'!C34,"")</f>
        <v/>
      </c>
      <c r="AC34" s="5">
        <f t="shared" ca="1" si="30"/>
        <v>14765</v>
      </c>
      <c r="AD34" s="5">
        <f t="shared" ca="1" si="31"/>
        <v>15657.95</v>
      </c>
      <c r="AG34" s="67">
        <f ca="1">IF(MOD(AG33+1,53)=0,53,MOD(AG33+1,53))</f>
        <v>38</v>
      </c>
      <c r="AH34" s="67">
        <v>33</v>
      </c>
      <c r="AI34" s="67">
        <f t="shared" ca="1" si="4"/>
        <v>1</v>
      </c>
      <c r="AJ34" s="39">
        <f t="shared" ca="1" si="5"/>
        <v>902.95962902345889</v>
      </c>
      <c r="AK34" s="39">
        <f t="shared" ca="1" si="6"/>
        <v>11778.005728314238</v>
      </c>
      <c r="AL34" s="39">
        <f t="shared" ca="1" si="7"/>
        <v>12680.965357337698</v>
      </c>
      <c r="AM34" s="39">
        <f t="shared" ca="1" si="8"/>
        <v>13583.924986361157</v>
      </c>
      <c r="AN34" s="39">
        <f t="shared" ca="1" si="9"/>
        <v>14486.884615384615</v>
      </c>
      <c r="AO34" s="39">
        <f t="shared" ca="1" si="0"/>
        <v>15389.844244408074</v>
      </c>
      <c r="AP34" s="39">
        <f t="shared" ca="1" si="1"/>
        <v>16292.803873431532</v>
      </c>
      <c r="AQ34" s="39">
        <f t="shared" ca="1" si="2"/>
        <v>17195.763502454993</v>
      </c>
      <c r="AR34" s="5">
        <f t="shared" ca="1" si="10"/>
        <v>14765</v>
      </c>
      <c r="AS34" s="5">
        <f t="shared" ca="1" si="3"/>
        <v>15657.95</v>
      </c>
      <c r="AT34" s="5">
        <f t="shared" ca="1" si="11"/>
        <v>0</v>
      </c>
    </row>
    <row r="35" spans="1:46" x14ac:dyDescent="0.2">
      <c r="A35" s="67">
        <f ca="1">Demand!C32</f>
        <v>33</v>
      </c>
      <c r="B35" s="67">
        <v>20</v>
      </c>
      <c r="C35" s="5">
        <f ca="1">'Demand background (hide)'!Y23</f>
        <v>13516</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11778.005728314238</v>
      </c>
      <c r="K35" s="5">
        <f t="shared" ca="1" si="21"/>
        <v>12680.965357337698</v>
      </c>
      <c r="L35" s="5">
        <f t="shared" ca="1" si="22"/>
        <v>13583.924986361157</v>
      </c>
      <c r="M35" s="5">
        <f t="shared" ca="1" si="23"/>
        <v>14486.884615384615</v>
      </c>
      <c r="N35" s="5">
        <f t="shared" ca="1" si="24"/>
        <v>15389.844244408074</v>
      </c>
      <c r="O35" s="5">
        <f t="shared" ca="1" si="25"/>
        <v>16292.803873431532</v>
      </c>
      <c r="P35" s="5">
        <f t="shared" ca="1" si="26"/>
        <v>17195.763502454993</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14765</v>
      </c>
      <c r="AD35" s="5">
        <f t="shared" ca="1" si="31"/>
        <v>15657.95</v>
      </c>
      <c r="AG35" s="67">
        <f t="shared" ca="1" si="12"/>
        <v>39</v>
      </c>
      <c r="AH35" s="67">
        <v>34</v>
      </c>
      <c r="AI35" s="67">
        <f t="shared" ca="1" si="4"/>
        <v>1</v>
      </c>
      <c r="AJ35" s="39">
        <f t="shared" ca="1" si="5"/>
        <v>902.95962902345889</v>
      </c>
      <c r="AK35" s="39">
        <f t="shared" ca="1" si="6"/>
        <v>11778.005728314238</v>
      </c>
      <c r="AL35" s="39">
        <f t="shared" ca="1" si="7"/>
        <v>12680.965357337698</v>
      </c>
      <c r="AM35" s="39">
        <f t="shared" ca="1" si="8"/>
        <v>13583.924986361157</v>
      </c>
      <c r="AN35" s="39">
        <f t="shared" ca="1" si="9"/>
        <v>14486.884615384615</v>
      </c>
      <c r="AO35" s="39">
        <f t="shared" ca="1" si="0"/>
        <v>15389.844244408074</v>
      </c>
      <c r="AP35" s="39">
        <f t="shared" ca="1" si="1"/>
        <v>16292.803873431532</v>
      </c>
      <c r="AQ35" s="39">
        <f t="shared" ca="1" si="2"/>
        <v>17195.763502454993</v>
      </c>
      <c r="AR35" s="5">
        <f t="shared" ca="1" si="10"/>
        <v>14765</v>
      </c>
      <c r="AS35" s="5">
        <f t="shared" ca="1" si="3"/>
        <v>15657.95</v>
      </c>
      <c r="AT35" s="5">
        <f t="shared" ca="1" si="11"/>
        <v>0</v>
      </c>
    </row>
    <row r="36" spans="1:46" x14ac:dyDescent="0.2">
      <c r="A36" s="67">
        <f ca="1">Demand!C33</f>
        <v>34</v>
      </c>
      <c r="B36" s="67">
        <v>21</v>
      </c>
      <c r="C36" s="5">
        <f ca="1">'Demand background (hide)'!Y24</f>
        <v>14821</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11778.005728314238</v>
      </c>
      <c r="K36" s="5">
        <f t="shared" ca="1" si="21"/>
        <v>12680.965357337698</v>
      </c>
      <c r="L36" s="5">
        <f t="shared" ca="1" si="22"/>
        <v>13583.924986361157</v>
      </c>
      <c r="M36" s="5">
        <f t="shared" ca="1" si="23"/>
        <v>14486.884615384615</v>
      </c>
      <c r="N36" s="5">
        <f t="shared" ca="1" si="24"/>
        <v>15389.844244408074</v>
      </c>
      <c r="O36" s="5">
        <f t="shared" ca="1" si="25"/>
        <v>16292.803873431532</v>
      </c>
      <c r="P36" s="5">
        <f t="shared" ca="1" si="26"/>
        <v>17195.763502454993</v>
      </c>
      <c r="Q36" s="5" t="e">
        <f t="shared" ca="1" si="27"/>
        <v>#N/A</v>
      </c>
      <c r="R36" s="5">
        <f t="shared" ca="1" si="32"/>
        <v>1</v>
      </c>
      <c r="S36" s="67" t="e">
        <f t="shared" ca="1" si="33"/>
        <v>#N/A</v>
      </c>
      <c r="T36" s="67">
        <f t="shared" ca="1" si="34"/>
        <v>1</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14765</v>
      </c>
      <c r="AD36" s="5">
        <f t="shared" ca="1" si="31"/>
        <v>15657.95</v>
      </c>
      <c r="AG36" s="67">
        <f t="shared" ca="1" si="12"/>
        <v>40</v>
      </c>
      <c r="AH36" s="67">
        <v>35</v>
      </c>
      <c r="AI36" s="67">
        <f t="shared" ca="1" si="4"/>
        <v>1</v>
      </c>
      <c r="AJ36" s="39">
        <f t="shared" ca="1" si="5"/>
        <v>902.95962902345889</v>
      </c>
      <c r="AK36" s="39">
        <f t="shared" ca="1" si="6"/>
        <v>11778.005728314238</v>
      </c>
      <c r="AL36" s="39">
        <f t="shared" ca="1" si="7"/>
        <v>12680.965357337698</v>
      </c>
      <c r="AM36" s="39">
        <f t="shared" ca="1" si="8"/>
        <v>13583.924986361157</v>
      </c>
      <c r="AN36" s="39">
        <f t="shared" ca="1" si="9"/>
        <v>14486.884615384615</v>
      </c>
      <c r="AO36" s="39">
        <f t="shared" ca="1" si="0"/>
        <v>15389.844244408074</v>
      </c>
      <c r="AP36" s="39">
        <f t="shared" ca="1" si="1"/>
        <v>16292.803873431532</v>
      </c>
      <c r="AQ36" s="39">
        <f t="shared" ca="1" si="2"/>
        <v>17195.763502454993</v>
      </c>
      <c r="AR36" s="5">
        <f t="shared" ca="1" si="10"/>
        <v>14765</v>
      </c>
      <c r="AS36" s="5">
        <f t="shared" ca="1" si="3"/>
        <v>15657.95</v>
      </c>
      <c r="AT36" s="5">
        <f t="shared" ca="1" si="11"/>
        <v>0</v>
      </c>
    </row>
    <row r="37" spans="1:46" x14ac:dyDescent="0.2">
      <c r="A37" s="67">
        <f ca="1">Demand!C34</f>
        <v>35</v>
      </c>
      <c r="B37" s="67">
        <v>22</v>
      </c>
      <c r="C37" s="5">
        <f ca="1">'Demand background (hide)'!Y25</f>
        <v>14551</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11778.005728314238</v>
      </c>
      <c r="K37" s="5">
        <f t="shared" ca="1" si="21"/>
        <v>12680.965357337698</v>
      </c>
      <c r="L37" s="5">
        <f t="shared" ca="1" si="22"/>
        <v>13583.924986361157</v>
      </c>
      <c r="M37" s="5">
        <f t="shared" ca="1" si="23"/>
        <v>14486.884615384615</v>
      </c>
      <c r="N37" s="5">
        <f t="shared" ca="1" si="24"/>
        <v>15389.844244408074</v>
      </c>
      <c r="O37" s="5">
        <f t="shared" ca="1" si="25"/>
        <v>16292.803873431532</v>
      </c>
      <c r="P37" s="5">
        <f t="shared" ca="1" si="26"/>
        <v>17195.763502454993</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14765</v>
      </c>
      <c r="AD37" s="5">
        <f t="shared" ca="1" si="31"/>
        <v>15657.95</v>
      </c>
      <c r="AG37" s="67">
        <f t="shared" ca="1" si="12"/>
        <v>41</v>
      </c>
      <c r="AH37" s="67">
        <v>36</v>
      </c>
      <c r="AI37" s="67">
        <f t="shared" ca="1" si="4"/>
        <v>1</v>
      </c>
      <c r="AJ37" s="39">
        <f t="shared" ca="1" si="5"/>
        <v>902.95962902345889</v>
      </c>
      <c r="AK37" s="39">
        <f t="shared" ca="1" si="6"/>
        <v>11778.005728314238</v>
      </c>
      <c r="AL37" s="39">
        <f t="shared" ca="1" si="7"/>
        <v>12680.965357337698</v>
      </c>
      <c r="AM37" s="39">
        <f t="shared" ca="1" si="8"/>
        <v>13583.924986361157</v>
      </c>
      <c r="AN37" s="39">
        <f t="shared" ca="1" si="9"/>
        <v>14486.884615384615</v>
      </c>
      <c r="AO37" s="39">
        <f t="shared" ca="1" si="0"/>
        <v>15389.844244408074</v>
      </c>
      <c r="AP37" s="39">
        <f t="shared" ca="1" si="1"/>
        <v>16292.803873431532</v>
      </c>
      <c r="AQ37" s="39">
        <f t="shared" ca="1" si="2"/>
        <v>17195.763502454993</v>
      </c>
      <c r="AR37" s="5">
        <f t="shared" ca="1" si="10"/>
        <v>14765</v>
      </c>
      <c r="AS37" s="5">
        <f t="shared" ca="1" si="3"/>
        <v>15657.95</v>
      </c>
      <c r="AT37" s="5">
        <f t="shared" ca="1" si="11"/>
        <v>0</v>
      </c>
    </row>
    <row r="38" spans="1:46" x14ac:dyDescent="0.2">
      <c r="A38" s="67">
        <f ca="1">Demand!C35</f>
        <v>36</v>
      </c>
      <c r="B38" s="67">
        <v>23</v>
      </c>
      <c r="C38" s="5">
        <f ca="1">'Demand background (hide)'!Y26</f>
        <v>13456</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11778.005728314238</v>
      </c>
      <c r="K38" s="5">
        <f t="shared" ca="1" si="21"/>
        <v>12680.965357337698</v>
      </c>
      <c r="L38" s="5">
        <f t="shared" ca="1" si="22"/>
        <v>13583.924986361157</v>
      </c>
      <c r="M38" s="5">
        <f t="shared" ca="1" si="23"/>
        <v>14486.884615384615</v>
      </c>
      <c r="N38" s="5">
        <f t="shared" ca="1" si="24"/>
        <v>15389.844244408074</v>
      </c>
      <c r="O38" s="5">
        <f t="shared" ca="1" si="25"/>
        <v>16292.803873431532</v>
      </c>
      <c r="P38" s="5">
        <f t="shared" ca="1" si="26"/>
        <v>17195.763502454993</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14765</v>
      </c>
      <c r="AD38" s="5">
        <f t="shared" ca="1" si="31"/>
        <v>15657.95</v>
      </c>
      <c r="AG38" s="67">
        <f t="shared" ca="1" si="12"/>
        <v>42</v>
      </c>
      <c r="AH38" s="67">
        <v>37</v>
      </c>
      <c r="AI38" s="67">
        <f t="shared" ca="1" si="4"/>
        <v>1</v>
      </c>
      <c r="AJ38" s="39">
        <f t="shared" ca="1" si="5"/>
        <v>902.95962902345889</v>
      </c>
      <c r="AK38" s="39">
        <f t="shared" ca="1" si="6"/>
        <v>11778.005728314238</v>
      </c>
      <c r="AL38" s="39">
        <f t="shared" ca="1" si="7"/>
        <v>12680.965357337698</v>
      </c>
      <c r="AM38" s="39">
        <f t="shared" ca="1" si="8"/>
        <v>13583.924986361157</v>
      </c>
      <c r="AN38" s="39">
        <f t="shared" ca="1" si="9"/>
        <v>14486.884615384615</v>
      </c>
      <c r="AO38" s="39">
        <f t="shared" ca="1" si="0"/>
        <v>15389.844244408074</v>
      </c>
      <c r="AP38" s="39">
        <f t="shared" ca="1" si="1"/>
        <v>16292.803873431532</v>
      </c>
      <c r="AQ38" s="39">
        <f t="shared" ca="1" si="2"/>
        <v>17195.763502454993</v>
      </c>
      <c r="AR38" s="5">
        <f t="shared" ca="1" si="10"/>
        <v>14765</v>
      </c>
      <c r="AS38" s="5">
        <f t="shared" ca="1" si="3"/>
        <v>15657.95</v>
      </c>
      <c r="AT38" s="5">
        <f t="shared" ca="1" si="11"/>
        <v>0</v>
      </c>
    </row>
    <row r="39" spans="1:46" x14ac:dyDescent="0.2">
      <c r="A39" s="67">
        <f ca="1">Demand!C36</f>
        <v>37</v>
      </c>
      <c r="B39" s="67">
        <v>24</v>
      </c>
      <c r="C39" s="5">
        <f ca="1">'Demand background (hide)'!Y27</f>
        <v>14011</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11778.005728314238</v>
      </c>
      <c r="K39" s="5">
        <f t="shared" ca="1" si="21"/>
        <v>12680.965357337698</v>
      </c>
      <c r="L39" s="5">
        <f t="shared" ca="1" si="22"/>
        <v>13583.924986361157</v>
      </c>
      <c r="M39" s="5">
        <f t="shared" ca="1" si="23"/>
        <v>14486.884615384615</v>
      </c>
      <c r="N39" s="5">
        <f t="shared" ca="1" si="24"/>
        <v>15389.844244408074</v>
      </c>
      <c r="O39" s="5">
        <f t="shared" ca="1" si="25"/>
        <v>16292.803873431532</v>
      </c>
      <c r="P39" s="5">
        <f t="shared" ca="1" si="26"/>
        <v>17195.763502454993</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14765</v>
      </c>
      <c r="AD39" s="5">
        <f t="shared" ca="1" si="31"/>
        <v>15657.95</v>
      </c>
      <c r="AG39" s="67">
        <f t="shared" ca="1" si="12"/>
        <v>43</v>
      </c>
      <c r="AH39" s="67">
        <v>38</v>
      </c>
      <c r="AI39" s="67">
        <f t="shared" ca="1" si="4"/>
        <v>1</v>
      </c>
      <c r="AJ39" s="39">
        <f t="shared" ca="1" si="5"/>
        <v>902.95962902345889</v>
      </c>
      <c r="AK39" s="39">
        <f t="shared" ca="1" si="6"/>
        <v>11778.005728314238</v>
      </c>
      <c r="AL39" s="39">
        <f t="shared" ca="1" si="7"/>
        <v>12680.965357337698</v>
      </c>
      <c r="AM39" s="39">
        <f t="shared" ca="1" si="8"/>
        <v>13583.924986361157</v>
      </c>
      <c r="AN39" s="39">
        <f t="shared" ca="1" si="9"/>
        <v>14486.884615384615</v>
      </c>
      <c r="AO39" s="39">
        <f t="shared" ca="1" si="0"/>
        <v>15389.844244408074</v>
      </c>
      <c r="AP39" s="39">
        <f t="shared" ca="1" si="1"/>
        <v>16292.803873431532</v>
      </c>
      <c r="AQ39" s="39">
        <f t="shared" ca="1" si="2"/>
        <v>17195.763502454993</v>
      </c>
      <c r="AR39" s="5">
        <f t="shared" ca="1" si="10"/>
        <v>14765</v>
      </c>
      <c r="AS39" s="5">
        <f t="shared" ca="1" si="3"/>
        <v>15657.95</v>
      </c>
      <c r="AT39" s="5">
        <f t="shared" ca="1" si="11"/>
        <v>0</v>
      </c>
    </row>
    <row r="40" spans="1:46" x14ac:dyDescent="0.2">
      <c r="A40" s="67">
        <f ca="1">Demand!C37</f>
        <v>38</v>
      </c>
      <c r="B40" s="67">
        <v>25</v>
      </c>
      <c r="C40" s="5">
        <f ca="1">'Demand background (hide)'!Y28</f>
        <v>13546</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11778.005728314238</v>
      </c>
      <c r="K40" s="5">
        <f t="shared" ca="1" si="21"/>
        <v>12680.965357337698</v>
      </c>
      <c r="L40" s="5">
        <f t="shared" ca="1" si="22"/>
        <v>13583.924986361157</v>
      </c>
      <c r="M40" s="5">
        <f t="shared" ca="1" si="23"/>
        <v>14486.884615384615</v>
      </c>
      <c r="N40" s="5">
        <f t="shared" ca="1" si="24"/>
        <v>15389.844244408074</v>
      </c>
      <c r="O40" s="5">
        <f t="shared" ca="1" si="25"/>
        <v>16292.803873431532</v>
      </c>
      <c r="P40" s="5">
        <f t="shared" ca="1" si="26"/>
        <v>17195.763502454993</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14765</v>
      </c>
      <c r="AD40" s="5">
        <f t="shared" ca="1" si="31"/>
        <v>15657.95</v>
      </c>
      <c r="AG40" s="67">
        <f t="shared" ca="1" si="12"/>
        <v>44</v>
      </c>
      <c r="AH40" s="67">
        <v>39</v>
      </c>
      <c r="AI40" s="67">
        <f t="shared" ca="1" si="4"/>
        <v>1</v>
      </c>
      <c r="AJ40" s="39">
        <f t="shared" ca="1" si="5"/>
        <v>902.95962902345889</v>
      </c>
      <c r="AK40" s="39">
        <f t="shared" ca="1" si="6"/>
        <v>11778.005728314238</v>
      </c>
      <c r="AL40" s="39">
        <f t="shared" ca="1" si="7"/>
        <v>12680.965357337698</v>
      </c>
      <c r="AM40" s="39">
        <f t="shared" ca="1" si="8"/>
        <v>13583.924986361157</v>
      </c>
      <c r="AN40" s="39">
        <f t="shared" ca="1" si="9"/>
        <v>14486.884615384615</v>
      </c>
      <c r="AO40" s="39">
        <f t="shared" ca="1" si="0"/>
        <v>15389.844244408074</v>
      </c>
      <c r="AP40" s="39">
        <f t="shared" ca="1" si="1"/>
        <v>16292.803873431532</v>
      </c>
      <c r="AQ40" s="39">
        <f t="shared" ca="1" si="2"/>
        <v>17195.763502454993</v>
      </c>
      <c r="AR40" s="5">
        <f t="shared" ca="1" si="10"/>
        <v>14765</v>
      </c>
      <c r="AS40" s="5">
        <f t="shared" ca="1" si="3"/>
        <v>15657.95</v>
      </c>
      <c r="AT40" s="5">
        <f t="shared" ca="1" si="11"/>
        <v>0</v>
      </c>
    </row>
    <row r="41" spans="1:46" x14ac:dyDescent="0.2">
      <c r="A41" s="67">
        <f ca="1">Demand!C38</f>
        <v>39</v>
      </c>
      <c r="B41" s="67">
        <v>26</v>
      </c>
      <c r="C41" s="5">
        <f ca="1">'Demand background (hide)'!Y29</f>
        <v>13845</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11778.005728314238</v>
      </c>
      <c r="K41" s="5">
        <f t="shared" ca="1" si="21"/>
        <v>12680.965357337698</v>
      </c>
      <c r="L41" s="5">
        <f t="shared" ca="1" si="22"/>
        <v>13583.924986361157</v>
      </c>
      <c r="M41" s="5">
        <f t="shared" ca="1" si="23"/>
        <v>14486.884615384615</v>
      </c>
      <c r="N41" s="5">
        <f t="shared" ca="1" si="24"/>
        <v>15389.844244408074</v>
      </c>
      <c r="O41" s="5">
        <f t="shared" ca="1" si="25"/>
        <v>16292.803873431532</v>
      </c>
      <c r="P41" s="5">
        <f t="shared" ca="1" si="26"/>
        <v>17195.763502454993</v>
      </c>
      <c r="Q41" s="5" t="e">
        <f t="shared" ca="1" si="27"/>
        <v>#N/A</v>
      </c>
      <c r="R41" s="5">
        <f t="shared" ca="1" si="32"/>
        <v>-1</v>
      </c>
      <c r="S41" s="67" t="e">
        <f t="shared" ca="1" si="33"/>
        <v>#N/A</v>
      </c>
      <c r="T41" s="67">
        <f t="shared" ca="1" si="34"/>
        <v>-1</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14765</v>
      </c>
      <c r="AD41" s="5">
        <f t="shared" ca="1" si="31"/>
        <v>15657.95</v>
      </c>
      <c r="AG41" s="67">
        <f t="shared" ca="1" si="12"/>
        <v>45</v>
      </c>
      <c r="AH41" s="67">
        <v>40</v>
      </c>
      <c r="AI41" s="67">
        <f t="shared" ca="1" si="4"/>
        <v>1</v>
      </c>
      <c r="AJ41" s="39">
        <f t="shared" ca="1" si="5"/>
        <v>902.95962902345889</v>
      </c>
      <c r="AK41" s="39">
        <f t="shared" ca="1" si="6"/>
        <v>11778.005728314238</v>
      </c>
      <c r="AL41" s="39">
        <f t="shared" ca="1" si="7"/>
        <v>12680.965357337698</v>
      </c>
      <c r="AM41" s="39">
        <f t="shared" ca="1" si="8"/>
        <v>13583.924986361157</v>
      </c>
      <c r="AN41" s="39">
        <f t="shared" ca="1" si="9"/>
        <v>14486.884615384615</v>
      </c>
      <c r="AO41" s="39">
        <f t="shared" ca="1" si="0"/>
        <v>15389.844244408074</v>
      </c>
      <c r="AP41" s="39">
        <f t="shared" ca="1" si="1"/>
        <v>16292.803873431532</v>
      </c>
      <c r="AQ41" s="39">
        <f t="shared" ca="1" si="2"/>
        <v>17195.763502454993</v>
      </c>
      <c r="AR41" s="5">
        <f t="shared" ca="1" si="10"/>
        <v>14765</v>
      </c>
      <c r="AS41" s="5">
        <f t="shared" ca="1" si="3"/>
        <v>15657.95</v>
      </c>
      <c r="AT41" s="5">
        <f t="shared" ca="1" si="11"/>
        <v>0</v>
      </c>
    </row>
    <row r="42" spans="1:46" x14ac:dyDescent="0.2">
      <c r="A42" s="67">
        <f ca="1">Demand!C39</f>
        <v>40</v>
      </c>
      <c r="B42" s="67">
        <v>27</v>
      </c>
      <c r="C42" s="5">
        <f ca="1">'Demand background (hide)'!Y30</f>
        <v>14670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11778.005728314238</v>
      </c>
      <c r="K42" s="5">
        <f t="shared" ca="1" si="21"/>
        <v>12680.965357337698</v>
      </c>
      <c r="L42" s="5">
        <f t="shared" ca="1" si="22"/>
        <v>13583.924986361157</v>
      </c>
      <c r="M42" s="5">
        <f t="shared" ca="1" si="23"/>
        <v>14486.884615384615</v>
      </c>
      <c r="N42" s="5">
        <f t="shared" ca="1" si="24"/>
        <v>15389.844244408074</v>
      </c>
      <c r="O42" s="5">
        <f t="shared" ca="1" si="25"/>
        <v>16292.803873431532</v>
      </c>
      <c r="P42" s="5">
        <f t="shared" ca="1" si="26"/>
        <v>17195.763502454993</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14765</v>
      </c>
      <c r="AD42" s="5">
        <f t="shared" ca="1" si="31"/>
        <v>15657.95</v>
      </c>
      <c r="AG42" s="67">
        <f t="shared" ca="1" si="12"/>
        <v>46</v>
      </c>
      <c r="AH42" s="67">
        <v>41</v>
      </c>
      <c r="AI42" s="67">
        <f t="shared" ca="1" si="4"/>
        <v>1</v>
      </c>
      <c r="AJ42" s="39">
        <f t="shared" ca="1" si="5"/>
        <v>902.95962902345889</v>
      </c>
      <c r="AK42" s="39">
        <f t="shared" ca="1" si="6"/>
        <v>11778.005728314238</v>
      </c>
      <c r="AL42" s="39">
        <f t="shared" ca="1" si="7"/>
        <v>12680.965357337698</v>
      </c>
      <c r="AM42" s="39">
        <f t="shared" ca="1" si="8"/>
        <v>13583.924986361157</v>
      </c>
      <c r="AN42" s="39">
        <f t="shared" ca="1" si="9"/>
        <v>14486.884615384615</v>
      </c>
      <c r="AO42" s="39">
        <f t="shared" ca="1" si="0"/>
        <v>15389.844244408074</v>
      </c>
      <c r="AP42" s="39">
        <f t="shared" ca="1" si="1"/>
        <v>16292.803873431532</v>
      </c>
      <c r="AQ42" s="39">
        <f t="shared" ca="1" si="2"/>
        <v>17195.763502454993</v>
      </c>
      <c r="AR42" s="5">
        <f t="shared" ca="1" si="10"/>
        <v>14765</v>
      </c>
      <c r="AS42" s="5">
        <f t="shared" ca="1" si="3"/>
        <v>15657.95</v>
      </c>
      <c r="AT42" s="5">
        <f t="shared" ca="1" si="11"/>
        <v>0</v>
      </c>
    </row>
    <row r="43" spans="1:46" x14ac:dyDescent="0.2">
      <c r="A43" s="67">
        <f ca="1">Demand!C40</f>
        <v>41</v>
      </c>
      <c r="B43" s="67">
        <v>28</v>
      </c>
      <c r="C43" s="5">
        <f ca="1">'Demand background (hide)'!Y31</f>
        <v>14628</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11778.005728314238</v>
      </c>
      <c r="K43" s="5">
        <f t="shared" ca="1" si="21"/>
        <v>12680.965357337698</v>
      </c>
      <c r="L43" s="5">
        <f t="shared" ca="1" si="22"/>
        <v>13583.924986361157</v>
      </c>
      <c r="M43" s="5">
        <f t="shared" ca="1" si="23"/>
        <v>14486.884615384615</v>
      </c>
      <c r="N43" s="5">
        <f t="shared" ca="1" si="24"/>
        <v>15389.844244408074</v>
      </c>
      <c r="O43" s="5">
        <f t="shared" ca="1" si="25"/>
        <v>16292.803873431532</v>
      </c>
      <c r="P43" s="5">
        <f t="shared" ca="1" si="26"/>
        <v>17195.763502454993</v>
      </c>
      <c r="Q43" s="5" t="e">
        <f t="shared" ca="1" si="27"/>
        <v>#N/A</v>
      </c>
      <c r="R43" s="5">
        <f t="shared" ca="1" si="32"/>
        <v>1</v>
      </c>
      <c r="S43" s="67" t="e">
        <f t="shared" ca="1" si="33"/>
        <v>#N/A</v>
      </c>
      <c r="T43" s="67">
        <f t="shared" ca="1" si="34"/>
        <v>1</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14765</v>
      </c>
      <c r="AD43" s="5">
        <f t="shared" ca="1" si="31"/>
        <v>15657.95</v>
      </c>
      <c r="AG43" s="67">
        <f t="shared" ca="1" si="12"/>
        <v>47</v>
      </c>
      <c r="AH43" s="67">
        <v>42</v>
      </c>
      <c r="AI43" s="67">
        <f t="shared" ca="1" si="4"/>
        <v>1</v>
      </c>
      <c r="AJ43" s="39">
        <f t="shared" ca="1" si="5"/>
        <v>902.95962902345889</v>
      </c>
      <c r="AK43" s="39">
        <f t="shared" ca="1" si="6"/>
        <v>11778.005728314238</v>
      </c>
      <c r="AL43" s="39">
        <f t="shared" ca="1" si="7"/>
        <v>12680.965357337698</v>
      </c>
      <c r="AM43" s="39">
        <f t="shared" ca="1" si="8"/>
        <v>13583.924986361157</v>
      </c>
      <c r="AN43" s="39">
        <f t="shared" ca="1" si="9"/>
        <v>14486.884615384615</v>
      </c>
      <c r="AO43" s="39">
        <f t="shared" ca="1" si="0"/>
        <v>15389.844244408074</v>
      </c>
      <c r="AP43" s="39">
        <f t="shared" ca="1" si="1"/>
        <v>16292.803873431532</v>
      </c>
      <c r="AQ43" s="39">
        <f t="shared" ca="1" si="2"/>
        <v>17195.763502454993</v>
      </c>
      <c r="AR43" s="5">
        <f t="shared" ca="1" si="10"/>
        <v>14765</v>
      </c>
      <c r="AS43" s="5">
        <f t="shared" ca="1" si="3"/>
        <v>15657.95</v>
      </c>
      <c r="AT43" s="5">
        <f t="shared" ca="1" si="11"/>
        <v>0</v>
      </c>
    </row>
    <row r="44" spans="1:46" x14ac:dyDescent="0.2">
      <c r="A44" s="67">
        <f ca="1">Demand!C41</f>
        <v>42</v>
      </c>
      <c r="B44" s="67">
        <v>29</v>
      </c>
      <c r="C44" s="5">
        <f ca="1">'Demand background (hide)'!Y32</f>
        <v>15586</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11778.005728314238</v>
      </c>
      <c r="K44" s="5">
        <f t="shared" ca="1" si="21"/>
        <v>12680.965357337698</v>
      </c>
      <c r="L44" s="5">
        <f t="shared" ca="1" si="22"/>
        <v>13583.924986361157</v>
      </c>
      <c r="M44" s="5">
        <f t="shared" ca="1" si="23"/>
        <v>14486.884615384615</v>
      </c>
      <c r="N44" s="5">
        <f t="shared" ca="1" si="24"/>
        <v>15389.844244408074</v>
      </c>
      <c r="O44" s="5">
        <f t="shared" ca="1" si="25"/>
        <v>16292.803873431532</v>
      </c>
      <c r="P44" s="5">
        <f t="shared" ca="1" si="26"/>
        <v>17195.763502454993</v>
      </c>
      <c r="Q44" s="5" t="e">
        <f t="shared" ca="1" si="27"/>
        <v>#N/A</v>
      </c>
      <c r="R44" s="5">
        <f t="shared" ca="1" si="32"/>
        <v>1</v>
      </c>
      <c r="S44" s="67" t="e">
        <f t="shared" ca="1" si="33"/>
        <v>#N/A</v>
      </c>
      <c r="T44" s="67">
        <f t="shared" ca="1" si="34"/>
        <v>2</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14765</v>
      </c>
      <c r="AD44" s="5">
        <f t="shared" ca="1" si="31"/>
        <v>15657.95</v>
      </c>
      <c r="AG44" s="67">
        <f t="shared" ca="1" si="12"/>
        <v>48</v>
      </c>
      <c r="AH44" s="67">
        <v>43</v>
      </c>
      <c r="AI44" s="67">
        <f t="shared" ca="1" si="4"/>
        <v>1</v>
      </c>
      <c r="AJ44" s="39">
        <f t="shared" ca="1" si="5"/>
        <v>902.95962902345889</v>
      </c>
      <c r="AK44" s="39">
        <f t="shared" ca="1" si="6"/>
        <v>11778.005728314238</v>
      </c>
      <c r="AL44" s="39">
        <f t="shared" ca="1" si="7"/>
        <v>12680.965357337698</v>
      </c>
      <c r="AM44" s="39">
        <f t="shared" ca="1" si="8"/>
        <v>13583.924986361157</v>
      </c>
      <c r="AN44" s="39">
        <f t="shared" ca="1" si="9"/>
        <v>14486.884615384615</v>
      </c>
      <c r="AO44" s="39">
        <f t="shared" ca="1" si="0"/>
        <v>15389.844244408074</v>
      </c>
      <c r="AP44" s="39">
        <f t="shared" ca="1" si="1"/>
        <v>16292.803873431532</v>
      </c>
      <c r="AQ44" s="39">
        <f t="shared" ca="1" si="2"/>
        <v>17195.763502454993</v>
      </c>
      <c r="AR44" s="5">
        <f t="shared" ca="1" si="10"/>
        <v>14765</v>
      </c>
      <c r="AS44" s="5">
        <f t="shared" ca="1" si="3"/>
        <v>15657.95</v>
      </c>
      <c r="AT44" s="5">
        <f t="shared" ca="1" si="11"/>
        <v>0</v>
      </c>
    </row>
    <row r="45" spans="1:46" x14ac:dyDescent="0.2">
      <c r="A45" s="67">
        <f ca="1">Demand!C42</f>
        <v>43</v>
      </c>
      <c r="B45" s="67">
        <v>30</v>
      </c>
      <c r="C45" s="5">
        <f ca="1">'Demand background (hide)'!Y33</f>
        <v>14446</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11778.005728314238</v>
      </c>
      <c r="K45" s="5">
        <f t="shared" ca="1" si="21"/>
        <v>12680.965357337698</v>
      </c>
      <c r="L45" s="5">
        <f t="shared" ca="1" si="22"/>
        <v>13583.924986361157</v>
      </c>
      <c r="M45" s="5">
        <f t="shared" ca="1" si="23"/>
        <v>14486.884615384615</v>
      </c>
      <c r="N45" s="5">
        <f t="shared" ca="1" si="24"/>
        <v>15389.844244408074</v>
      </c>
      <c r="O45" s="5">
        <f t="shared" ca="1" si="25"/>
        <v>16292.803873431532</v>
      </c>
      <c r="P45" s="5">
        <f t="shared" ca="1" si="26"/>
        <v>17195.763502454993</v>
      </c>
      <c r="Q45" s="5" t="e">
        <f t="shared" ca="1" si="27"/>
        <v>#N/A</v>
      </c>
      <c r="R45" s="5">
        <f t="shared" ca="1" si="32"/>
        <v>-1</v>
      </c>
      <c r="S45" s="67" t="e">
        <f t="shared" ca="1" si="33"/>
        <v>#N/A</v>
      </c>
      <c r="T45" s="67">
        <f t="shared" ca="1" si="34"/>
        <v>-1</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14765</v>
      </c>
      <c r="AD45" s="5">
        <f t="shared" ca="1" si="31"/>
        <v>15657.95</v>
      </c>
      <c r="AG45" s="67">
        <f t="shared" ca="1" si="12"/>
        <v>49</v>
      </c>
      <c r="AH45" s="67">
        <v>44</v>
      </c>
      <c r="AI45" s="67">
        <f t="shared" ca="1" si="4"/>
        <v>1</v>
      </c>
      <c r="AJ45" s="39">
        <f t="shared" ca="1" si="5"/>
        <v>902.95962902345889</v>
      </c>
      <c r="AK45" s="39">
        <f t="shared" ca="1" si="6"/>
        <v>11778.005728314238</v>
      </c>
      <c r="AL45" s="39">
        <f t="shared" ca="1" si="7"/>
        <v>12680.965357337698</v>
      </c>
      <c r="AM45" s="39">
        <f t="shared" ca="1" si="8"/>
        <v>13583.924986361157</v>
      </c>
      <c r="AN45" s="39">
        <f t="shared" ca="1" si="9"/>
        <v>14486.884615384615</v>
      </c>
      <c r="AO45" s="39">
        <f t="shared" ca="1" si="0"/>
        <v>15389.844244408074</v>
      </c>
      <c r="AP45" s="39">
        <f t="shared" ca="1" si="1"/>
        <v>16292.803873431532</v>
      </c>
      <c r="AQ45" s="39">
        <f t="shared" ca="1" si="2"/>
        <v>17195.763502454993</v>
      </c>
      <c r="AR45" s="5">
        <f t="shared" ca="1" si="10"/>
        <v>14765</v>
      </c>
      <c r="AS45" s="5">
        <f t="shared" ca="1" si="3"/>
        <v>15657.95</v>
      </c>
      <c r="AT45" s="5">
        <f t="shared" ca="1" si="11"/>
        <v>0</v>
      </c>
    </row>
    <row r="46" spans="1:46" x14ac:dyDescent="0.2">
      <c r="A46" s="67">
        <f ca="1">Demand!C43</f>
        <v>44</v>
      </c>
      <c r="B46" s="67">
        <v>31</v>
      </c>
      <c r="C46" s="5">
        <f ca="1">'Demand background (hide)'!Y34</f>
        <v>14013</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11778.005728314238</v>
      </c>
      <c r="K46" s="5">
        <f t="shared" ca="1" si="21"/>
        <v>12680.965357337698</v>
      </c>
      <c r="L46" s="5">
        <f t="shared" ca="1" si="22"/>
        <v>13583.924986361157</v>
      </c>
      <c r="M46" s="5">
        <f t="shared" ca="1" si="23"/>
        <v>14486.884615384615</v>
      </c>
      <c r="N46" s="5">
        <f t="shared" ca="1" si="24"/>
        <v>15389.844244408074</v>
      </c>
      <c r="O46" s="5">
        <f t="shared" ca="1" si="25"/>
        <v>16292.803873431532</v>
      </c>
      <c r="P46" s="5">
        <f t="shared" ca="1" si="26"/>
        <v>17195.763502454993</v>
      </c>
      <c r="Q46" s="5" t="e">
        <f t="shared" ca="1" si="27"/>
        <v>#N/A</v>
      </c>
      <c r="R46" s="5">
        <f t="shared" ca="1" si="32"/>
        <v>-1</v>
      </c>
      <c r="S46" s="67" t="e">
        <f t="shared" ca="1" si="33"/>
        <v>#N/A</v>
      </c>
      <c r="T46" s="67">
        <f t="shared" ca="1" si="34"/>
        <v>-1</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14765</v>
      </c>
      <c r="AD46" s="5">
        <f t="shared" ca="1" si="31"/>
        <v>15657.95</v>
      </c>
      <c r="AG46" s="67">
        <f t="shared" ca="1" si="12"/>
        <v>50</v>
      </c>
      <c r="AH46" s="67">
        <v>45</v>
      </c>
      <c r="AI46" s="67">
        <f t="shared" ca="1" si="4"/>
        <v>1</v>
      </c>
      <c r="AJ46" s="39">
        <f t="shared" ca="1" si="5"/>
        <v>902.95962902345889</v>
      </c>
      <c r="AK46" s="39">
        <f t="shared" ca="1" si="6"/>
        <v>11778.005728314238</v>
      </c>
      <c r="AL46" s="39">
        <f t="shared" ca="1" si="7"/>
        <v>12680.965357337698</v>
      </c>
      <c r="AM46" s="39">
        <f t="shared" ca="1" si="8"/>
        <v>13583.924986361157</v>
      </c>
      <c r="AN46" s="39">
        <f t="shared" ca="1" si="9"/>
        <v>14486.884615384615</v>
      </c>
      <c r="AO46" s="39">
        <f t="shared" ca="1" si="0"/>
        <v>15389.844244408074</v>
      </c>
      <c r="AP46" s="39">
        <f t="shared" ca="1" si="1"/>
        <v>16292.803873431532</v>
      </c>
      <c r="AQ46" s="39">
        <f t="shared" ca="1" si="2"/>
        <v>17195.763502454993</v>
      </c>
      <c r="AR46" s="5">
        <f t="shared" ca="1" si="10"/>
        <v>14765</v>
      </c>
      <c r="AS46" s="5">
        <f t="shared" ca="1" si="3"/>
        <v>15657.95</v>
      </c>
      <c r="AT46" s="5">
        <f t="shared" ca="1" si="11"/>
        <v>0</v>
      </c>
    </row>
    <row r="47" spans="1:46" x14ac:dyDescent="0.2">
      <c r="A47" s="67">
        <f ca="1">Demand!C44</f>
        <v>45</v>
      </c>
      <c r="B47" s="67">
        <v>32</v>
      </c>
      <c r="C47" s="5">
        <f ca="1">'Demand background (hide)'!Y35</f>
        <v>13111</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11778.005728314238</v>
      </c>
      <c r="K47" s="5">
        <f t="shared" ca="1" si="21"/>
        <v>12680.965357337698</v>
      </c>
      <c r="L47" s="5">
        <f t="shared" ca="1" si="22"/>
        <v>13583.924986361157</v>
      </c>
      <c r="M47" s="5">
        <f t="shared" ca="1" si="23"/>
        <v>14486.884615384615</v>
      </c>
      <c r="N47" s="5">
        <f t="shared" ca="1" si="24"/>
        <v>15389.844244408074</v>
      </c>
      <c r="O47" s="5">
        <f t="shared" ca="1" si="25"/>
        <v>16292.803873431532</v>
      </c>
      <c r="P47" s="5">
        <f t="shared" ca="1" si="26"/>
        <v>17195.763502454993</v>
      </c>
      <c r="Q47" s="5" t="e">
        <f t="shared" ca="1" si="27"/>
        <v>#N/A</v>
      </c>
      <c r="R47" s="5">
        <f t="shared" ca="1" si="32"/>
        <v>-1</v>
      </c>
      <c r="S47" s="67" t="e">
        <f t="shared" ca="1" si="33"/>
        <v>#N/A</v>
      </c>
      <c r="T47" s="67">
        <f t="shared" ca="1" si="34"/>
        <v>-2</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14765</v>
      </c>
      <c r="AD47" s="5">
        <f t="shared" ca="1" si="31"/>
        <v>15657.95</v>
      </c>
      <c r="AG47" s="67">
        <f t="shared" ca="1" si="12"/>
        <v>51</v>
      </c>
      <c r="AH47" s="67">
        <v>46</v>
      </c>
      <c r="AI47" s="67">
        <f t="shared" ca="1" si="4"/>
        <v>1</v>
      </c>
      <c r="AJ47" s="39">
        <f t="shared" ca="1" si="5"/>
        <v>902.95962902345889</v>
      </c>
      <c r="AK47" s="39">
        <f t="shared" ca="1" si="6"/>
        <v>11778.005728314238</v>
      </c>
      <c r="AL47" s="39">
        <f t="shared" ca="1" si="7"/>
        <v>12680.965357337698</v>
      </c>
      <c r="AM47" s="39">
        <f t="shared" ca="1" si="8"/>
        <v>13583.924986361157</v>
      </c>
      <c r="AN47" s="39">
        <f t="shared" ca="1" si="9"/>
        <v>14486.884615384615</v>
      </c>
      <c r="AO47" s="39">
        <f t="shared" ca="1" si="0"/>
        <v>15389.844244408074</v>
      </c>
      <c r="AP47" s="39">
        <f t="shared" ca="1" si="1"/>
        <v>16292.803873431532</v>
      </c>
      <c r="AQ47" s="39">
        <f t="shared" ca="1" si="2"/>
        <v>17195.763502454993</v>
      </c>
      <c r="AR47" s="5">
        <f t="shared" ca="1" si="10"/>
        <v>14765</v>
      </c>
      <c r="AS47" s="5">
        <f t="shared" ca="1" si="3"/>
        <v>15657.95</v>
      </c>
      <c r="AT47" s="5">
        <f t="shared" ca="1" si="11"/>
        <v>0</v>
      </c>
    </row>
    <row r="48" spans="1:46" x14ac:dyDescent="0.2">
      <c r="A48" s="67">
        <f ca="1">Demand!C45</f>
        <v>46</v>
      </c>
      <c r="B48" s="67">
        <v>33</v>
      </c>
      <c r="C48" s="5">
        <f ca="1">'Demand background (hide)'!Y36</f>
        <v>14370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11778.005728314238</v>
      </c>
      <c r="K48" s="5">
        <f t="shared" ca="1" si="21"/>
        <v>12680.965357337698</v>
      </c>
      <c r="L48" s="5">
        <f t="shared" ca="1" si="22"/>
        <v>13583.924986361157</v>
      </c>
      <c r="M48" s="5">
        <f t="shared" ca="1" si="23"/>
        <v>14486.884615384615</v>
      </c>
      <c r="N48" s="5">
        <f t="shared" ca="1" si="24"/>
        <v>15389.844244408074</v>
      </c>
      <c r="O48" s="5">
        <f t="shared" ca="1" si="25"/>
        <v>16292.803873431532</v>
      </c>
      <c r="P48" s="5">
        <f t="shared" ca="1" si="26"/>
        <v>17195.763502454993</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14765</v>
      </c>
      <c r="AD48" s="5">
        <f t="shared" ca="1" si="31"/>
        <v>15657.95</v>
      </c>
      <c r="AG48" s="67">
        <f t="shared" ca="1" si="12"/>
        <v>52</v>
      </c>
      <c r="AH48" s="67">
        <v>47</v>
      </c>
      <c r="AI48" s="67">
        <f t="shared" ca="1" si="4"/>
        <v>1</v>
      </c>
      <c r="AJ48" s="39">
        <f t="shared" ca="1" si="5"/>
        <v>902.95962902345889</v>
      </c>
      <c r="AK48" s="39">
        <f t="shared" ca="1" si="6"/>
        <v>11778.005728314238</v>
      </c>
      <c r="AL48" s="39">
        <f t="shared" ca="1" si="7"/>
        <v>12680.965357337698</v>
      </c>
      <c r="AM48" s="39">
        <f t="shared" ca="1" si="8"/>
        <v>13583.924986361157</v>
      </c>
      <c r="AN48" s="39">
        <f t="shared" ca="1" si="9"/>
        <v>14486.884615384615</v>
      </c>
      <c r="AO48" s="39">
        <f t="shared" ca="1" si="0"/>
        <v>15389.844244408074</v>
      </c>
      <c r="AP48" s="39">
        <f t="shared" ca="1" si="1"/>
        <v>16292.803873431532</v>
      </c>
      <c r="AQ48" s="39">
        <f t="shared" ca="1" si="2"/>
        <v>17195.763502454993</v>
      </c>
      <c r="AR48" s="5">
        <f t="shared" ca="1" si="10"/>
        <v>14765</v>
      </c>
      <c r="AS48" s="5">
        <f t="shared" ca="1" si="3"/>
        <v>15657.95</v>
      </c>
      <c r="AT48" s="5">
        <f t="shared" ca="1" si="11"/>
        <v>0</v>
      </c>
    </row>
    <row r="49" spans="1:46" x14ac:dyDescent="0.2">
      <c r="A49" s="67">
        <f ca="1">Demand!C46</f>
        <v>47</v>
      </c>
      <c r="B49" s="67">
        <v>34</v>
      </c>
      <c r="C49" s="5">
        <f ca="1">'Demand background (hide)'!Y37</f>
        <v>14822</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11778.005728314238</v>
      </c>
      <c r="K49" s="5">
        <f t="shared" ca="1" si="21"/>
        <v>12680.965357337698</v>
      </c>
      <c r="L49" s="5">
        <f t="shared" ca="1" si="22"/>
        <v>13583.924986361157</v>
      </c>
      <c r="M49" s="5">
        <f t="shared" ca="1" si="23"/>
        <v>14486.884615384615</v>
      </c>
      <c r="N49" s="5">
        <f t="shared" ca="1" si="24"/>
        <v>15389.844244408074</v>
      </c>
      <c r="O49" s="5">
        <f t="shared" ca="1" si="25"/>
        <v>16292.803873431532</v>
      </c>
      <c r="P49" s="5">
        <f t="shared" ca="1" si="26"/>
        <v>17195.763502454993</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14765</v>
      </c>
      <c r="AD49" s="5">
        <f t="shared" ca="1" si="31"/>
        <v>15657.95</v>
      </c>
      <c r="AG49" s="67">
        <f t="shared" ca="1" si="12"/>
        <v>53</v>
      </c>
      <c r="AH49" s="67">
        <v>48</v>
      </c>
      <c r="AI49" s="67">
        <f t="shared" ca="1" si="4"/>
        <v>1</v>
      </c>
      <c r="AJ49" s="39">
        <f t="shared" ca="1" si="5"/>
        <v>902.95962902345889</v>
      </c>
      <c r="AK49" s="39">
        <f t="shared" ca="1" si="6"/>
        <v>11778.005728314238</v>
      </c>
      <c r="AL49" s="39">
        <f t="shared" ca="1" si="7"/>
        <v>12680.965357337698</v>
      </c>
      <c r="AM49" s="39">
        <f t="shared" ca="1" si="8"/>
        <v>13583.924986361157</v>
      </c>
      <c r="AN49" s="39">
        <f t="shared" ca="1" si="9"/>
        <v>14486.884615384615</v>
      </c>
      <c r="AO49" s="39">
        <f t="shared" ca="1" si="0"/>
        <v>15389.844244408074</v>
      </c>
      <c r="AP49" s="39">
        <f t="shared" ca="1" si="1"/>
        <v>16292.803873431532</v>
      </c>
      <c r="AQ49" s="39">
        <f t="shared" ca="1" si="2"/>
        <v>17195.763502454993</v>
      </c>
      <c r="AR49" s="5">
        <f t="shared" ca="1" si="10"/>
        <v>14765</v>
      </c>
      <c r="AS49" s="5">
        <f t="shared" ca="1" si="3"/>
        <v>15657.95</v>
      </c>
      <c r="AT49" s="5">
        <f t="shared" ca="1" si="11"/>
        <v>0</v>
      </c>
    </row>
    <row r="50" spans="1:46" x14ac:dyDescent="0.2">
      <c r="A50" s="67">
        <f ca="1">Demand!C47</f>
        <v>48</v>
      </c>
      <c r="B50" s="67">
        <v>35</v>
      </c>
      <c r="C50" s="5">
        <f ca="1">'Demand background (hide)'!Y38</f>
        <v>14357</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11778.005728314238</v>
      </c>
      <c r="K50" s="5">
        <f t="shared" ca="1" si="21"/>
        <v>12680.965357337698</v>
      </c>
      <c r="L50" s="5">
        <f t="shared" ca="1" si="22"/>
        <v>13583.924986361157</v>
      </c>
      <c r="M50" s="5">
        <f t="shared" ca="1" si="23"/>
        <v>14486.884615384615</v>
      </c>
      <c r="N50" s="5">
        <f t="shared" ca="1" si="24"/>
        <v>15389.844244408074</v>
      </c>
      <c r="O50" s="5">
        <f t="shared" ca="1" si="25"/>
        <v>16292.803873431532</v>
      </c>
      <c r="P50" s="5">
        <f t="shared" ca="1" si="26"/>
        <v>17195.763502454993</v>
      </c>
      <c r="Q50" s="5" t="e">
        <f t="shared" ca="1" si="27"/>
        <v>#N/A</v>
      </c>
      <c r="R50" s="5">
        <f t="shared" ca="1" si="32"/>
        <v>-1</v>
      </c>
      <c r="S50" s="67" t="e">
        <f t="shared" ca="1" si="33"/>
        <v>#N/A</v>
      </c>
      <c r="T50" s="67">
        <f t="shared" ca="1" si="34"/>
        <v>-1</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14765</v>
      </c>
      <c r="AD50" s="5">
        <f t="shared" ca="1" si="31"/>
        <v>15657.95</v>
      </c>
      <c r="AG50" s="67">
        <f t="shared" ca="1" si="12"/>
        <v>1</v>
      </c>
      <c r="AH50" s="67">
        <v>49</v>
      </c>
      <c r="AI50" s="67">
        <f t="shared" ca="1" si="4"/>
        <v>1</v>
      </c>
      <c r="AJ50" s="39">
        <f t="shared" ca="1" si="5"/>
        <v>902.95962902345889</v>
      </c>
      <c r="AK50" s="39">
        <f t="shared" ca="1" si="6"/>
        <v>11778.005728314238</v>
      </c>
      <c r="AL50" s="39">
        <f t="shared" ca="1" si="7"/>
        <v>12680.965357337698</v>
      </c>
      <c r="AM50" s="39">
        <f t="shared" ca="1" si="8"/>
        <v>13583.924986361157</v>
      </c>
      <c r="AN50" s="39">
        <f t="shared" ca="1" si="9"/>
        <v>14486.884615384615</v>
      </c>
      <c r="AO50" s="39">
        <f t="shared" ca="1" si="0"/>
        <v>15389.844244408074</v>
      </c>
      <c r="AP50" s="39">
        <f t="shared" ca="1" si="1"/>
        <v>16292.803873431532</v>
      </c>
      <c r="AQ50" s="39">
        <f t="shared" ca="1" si="2"/>
        <v>17195.763502454993</v>
      </c>
      <c r="AR50" s="5">
        <f t="shared" ca="1" si="10"/>
        <v>14765</v>
      </c>
      <c r="AS50" s="5">
        <f t="shared" ca="1" si="3"/>
        <v>15657.95</v>
      </c>
      <c r="AT50" s="5">
        <f t="shared" ca="1" si="11"/>
        <v>0</v>
      </c>
    </row>
    <row r="51" spans="1:46" x14ac:dyDescent="0.2">
      <c r="A51" s="67">
        <f ca="1">Demand!C48</f>
        <v>49</v>
      </c>
      <c r="B51" s="67">
        <v>36</v>
      </c>
      <c r="C51" s="5">
        <f ca="1">'Demand background (hide)'!Y39</f>
        <v>14671</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11778.005728314238</v>
      </c>
      <c r="K51" s="5">
        <f t="shared" ca="1" si="21"/>
        <v>12680.965357337698</v>
      </c>
      <c r="L51" s="5">
        <f t="shared" ca="1" si="22"/>
        <v>13583.924986361157</v>
      </c>
      <c r="M51" s="5">
        <f t="shared" ca="1" si="23"/>
        <v>14486.884615384615</v>
      </c>
      <c r="N51" s="5">
        <f t="shared" ca="1" si="24"/>
        <v>15389.844244408074</v>
      </c>
      <c r="O51" s="5">
        <f t="shared" ca="1" si="25"/>
        <v>16292.803873431532</v>
      </c>
      <c r="P51" s="5">
        <f t="shared" ca="1" si="26"/>
        <v>17195.763502454993</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14765</v>
      </c>
      <c r="AD51" s="5">
        <f t="shared" ca="1" si="31"/>
        <v>15657.95</v>
      </c>
      <c r="AG51" s="67">
        <f t="shared" ca="1" si="12"/>
        <v>2</v>
      </c>
      <c r="AH51" s="67">
        <v>50</v>
      </c>
      <c r="AI51" s="67">
        <f t="shared" ca="1" si="4"/>
        <v>1</v>
      </c>
      <c r="AJ51" s="39">
        <f t="shared" ca="1" si="5"/>
        <v>902.95962902345889</v>
      </c>
      <c r="AK51" s="39">
        <f t="shared" ca="1" si="6"/>
        <v>11778.005728314238</v>
      </c>
      <c r="AL51" s="39">
        <f t="shared" ca="1" si="7"/>
        <v>12680.965357337698</v>
      </c>
      <c r="AM51" s="39">
        <f t="shared" ca="1" si="8"/>
        <v>13583.924986361157</v>
      </c>
      <c r="AN51" s="39">
        <f t="shared" ca="1" si="9"/>
        <v>14486.884615384615</v>
      </c>
      <c r="AO51" s="39">
        <f t="shared" ca="1" si="0"/>
        <v>15389.844244408074</v>
      </c>
      <c r="AP51" s="39">
        <f t="shared" ca="1" si="1"/>
        <v>16292.803873431532</v>
      </c>
      <c r="AQ51" s="39">
        <f t="shared" ca="1" si="2"/>
        <v>17195.763502454993</v>
      </c>
      <c r="AR51" s="5">
        <f t="shared" ca="1" si="10"/>
        <v>14765</v>
      </c>
      <c r="AS51" s="5">
        <f t="shared" ca="1" si="3"/>
        <v>15657.95</v>
      </c>
      <c r="AT51" s="5">
        <f t="shared" ca="1" si="11"/>
        <v>0</v>
      </c>
    </row>
    <row r="52" spans="1:46" x14ac:dyDescent="0.2">
      <c r="A52" s="67">
        <f ca="1">Demand!C49</f>
        <v>50</v>
      </c>
      <c r="B52" s="67">
        <v>37</v>
      </c>
      <c r="C52" s="5">
        <f ca="1">'Demand background (hide)'!Y40</f>
        <v>13907</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11778.005728314238</v>
      </c>
      <c r="K52" s="5">
        <f t="shared" ca="1" si="21"/>
        <v>12680.965357337698</v>
      </c>
      <c r="L52" s="5">
        <f t="shared" ca="1" si="22"/>
        <v>13583.924986361157</v>
      </c>
      <c r="M52" s="5">
        <f t="shared" ca="1" si="23"/>
        <v>14486.884615384615</v>
      </c>
      <c r="N52" s="5">
        <f t="shared" ca="1" si="24"/>
        <v>15389.844244408074</v>
      </c>
      <c r="O52" s="5">
        <f t="shared" ca="1" si="25"/>
        <v>16292.803873431532</v>
      </c>
      <c r="P52" s="5">
        <f t="shared" ca="1" si="26"/>
        <v>17195.763502454993</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14765</v>
      </c>
      <c r="AD52" s="5">
        <f t="shared" ca="1" si="31"/>
        <v>15657.95</v>
      </c>
      <c r="AG52" s="67">
        <f t="shared" ca="1" si="12"/>
        <v>3</v>
      </c>
      <c r="AH52" s="67">
        <v>51</v>
      </c>
      <c r="AI52" s="67">
        <f t="shared" ca="1" si="4"/>
        <v>1</v>
      </c>
      <c r="AJ52" s="39">
        <f t="shared" ca="1" si="5"/>
        <v>902.95962902345889</v>
      </c>
      <c r="AK52" s="39">
        <f t="shared" ca="1" si="6"/>
        <v>11778.005728314238</v>
      </c>
      <c r="AL52" s="39">
        <f t="shared" ca="1" si="7"/>
        <v>12680.965357337698</v>
      </c>
      <c r="AM52" s="39">
        <f t="shared" ca="1" si="8"/>
        <v>13583.924986361157</v>
      </c>
      <c r="AN52" s="39">
        <f t="shared" ca="1" si="9"/>
        <v>14486.884615384615</v>
      </c>
      <c r="AO52" s="39">
        <f t="shared" ca="1" si="0"/>
        <v>15389.844244408074</v>
      </c>
      <c r="AP52" s="39">
        <f t="shared" ca="1" si="1"/>
        <v>16292.803873431532</v>
      </c>
      <c r="AQ52" s="39">
        <f t="shared" ca="1" si="2"/>
        <v>17195.763502454993</v>
      </c>
      <c r="AR52" s="5">
        <f t="shared" ca="1" si="10"/>
        <v>14765</v>
      </c>
      <c r="AS52" s="5">
        <f t="shared" ca="1" si="3"/>
        <v>15657.95</v>
      </c>
      <c r="AT52" s="5">
        <f t="shared" ca="1" si="11"/>
        <v>0</v>
      </c>
    </row>
    <row r="53" spans="1:46" x14ac:dyDescent="0.2">
      <c r="A53" s="67">
        <f ca="1">Demand!C50</f>
        <v>51</v>
      </c>
      <c r="B53" s="67">
        <v>38</v>
      </c>
      <c r="C53" s="5">
        <f ca="1">'Demand background (hide)'!Y41</f>
        <v>15285</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11778.005728314238</v>
      </c>
      <c r="K53" s="5">
        <f t="shared" ca="1" si="21"/>
        <v>12680.965357337698</v>
      </c>
      <c r="L53" s="5">
        <f t="shared" ca="1" si="22"/>
        <v>13583.924986361157</v>
      </c>
      <c r="M53" s="5">
        <f t="shared" ca="1" si="23"/>
        <v>14486.884615384615</v>
      </c>
      <c r="N53" s="5">
        <f t="shared" ca="1" si="24"/>
        <v>15389.844244408074</v>
      </c>
      <c r="O53" s="5">
        <f t="shared" ca="1" si="25"/>
        <v>16292.803873431532</v>
      </c>
      <c r="P53" s="5">
        <f t="shared" ca="1" si="26"/>
        <v>17195.763502454993</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14765</v>
      </c>
      <c r="AD53" s="5">
        <f t="shared" ca="1" si="31"/>
        <v>15657.95</v>
      </c>
      <c r="AG53" s="67">
        <f t="shared" ca="1" si="12"/>
        <v>4</v>
      </c>
      <c r="AH53" s="67">
        <v>52</v>
      </c>
      <c r="AI53" s="67">
        <f t="shared" ca="1" si="4"/>
        <v>1</v>
      </c>
      <c r="AJ53" s="39">
        <f t="shared" ca="1" si="5"/>
        <v>902.95962902345889</v>
      </c>
      <c r="AK53" s="39">
        <f t="shared" ca="1" si="6"/>
        <v>11778.005728314238</v>
      </c>
      <c r="AL53" s="39">
        <f t="shared" ca="1" si="7"/>
        <v>12680.965357337698</v>
      </c>
      <c r="AM53" s="39">
        <f t="shared" ca="1" si="8"/>
        <v>13583.924986361157</v>
      </c>
      <c r="AN53" s="39">
        <f t="shared" ca="1" si="9"/>
        <v>14486.884615384615</v>
      </c>
      <c r="AO53" s="39">
        <f t="shared" ca="1" si="0"/>
        <v>15389.844244408074</v>
      </c>
      <c r="AP53" s="39">
        <f t="shared" ca="1" si="1"/>
        <v>16292.803873431532</v>
      </c>
      <c r="AQ53" s="39">
        <f t="shared" ca="1" si="2"/>
        <v>17195.763502454993</v>
      </c>
      <c r="AR53" s="5">
        <f t="shared" ca="1" si="10"/>
        <v>14765</v>
      </c>
      <c r="AS53" s="5">
        <f t="shared" ca="1" si="3"/>
        <v>15657.95</v>
      </c>
      <c r="AT53" s="5">
        <f t="shared" ca="1" si="11"/>
        <v>0</v>
      </c>
    </row>
    <row r="54" spans="1:46" x14ac:dyDescent="0.2">
      <c r="A54" s="67">
        <f ca="1">Demand!C51</f>
        <v>52</v>
      </c>
      <c r="B54" s="67">
        <v>39</v>
      </c>
      <c r="C54" s="5">
        <f ca="1">'Demand background (hide)'!Y42</f>
        <v>14040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11778.005728314238</v>
      </c>
      <c r="K54" s="5">
        <f t="shared" ca="1" si="21"/>
        <v>12680.965357337698</v>
      </c>
      <c r="L54" s="5">
        <f t="shared" ca="1" si="22"/>
        <v>13583.924986361157</v>
      </c>
      <c r="M54" s="5">
        <f t="shared" ca="1" si="23"/>
        <v>14486.884615384615</v>
      </c>
      <c r="N54" s="5">
        <f t="shared" ca="1" si="24"/>
        <v>15389.844244408074</v>
      </c>
      <c r="O54" s="5">
        <f t="shared" ca="1" si="25"/>
        <v>16292.803873431532</v>
      </c>
      <c r="P54" s="5">
        <f t="shared" ca="1" si="26"/>
        <v>17195.763502454993</v>
      </c>
      <c r="Q54" s="5" t="e">
        <f t="shared" ca="1" si="27"/>
        <v>#N/A</v>
      </c>
      <c r="R54" s="5">
        <f t="shared" ca="1" si="32"/>
        <v>-1</v>
      </c>
      <c r="S54" s="67">
        <f t="shared" ca="1" si="33"/>
        <v>14040</v>
      </c>
      <c r="T54" s="67">
        <f t="shared" ca="1" si="34"/>
        <v>-1</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14765</v>
      </c>
      <c r="AD54" s="5">
        <f t="shared" ca="1" si="31"/>
        <v>15657.95</v>
      </c>
      <c r="AG54" s="67">
        <f t="shared" ca="1" si="12"/>
        <v>5</v>
      </c>
      <c r="AH54" s="67">
        <v>53</v>
      </c>
      <c r="AI54" s="67">
        <f t="shared" ca="1" si="4"/>
        <v>5</v>
      </c>
      <c r="AJ54" s="39">
        <f t="shared" ca="1" si="5"/>
        <v>902.95962902345889</v>
      </c>
      <c r="AK54" s="39">
        <f t="shared" ca="1" si="6"/>
        <v>11778.005728314238</v>
      </c>
      <c r="AL54" s="39">
        <f t="shared" ca="1" si="7"/>
        <v>12680.965357337698</v>
      </c>
      <c r="AM54" s="39">
        <f t="shared" ca="1" si="8"/>
        <v>13583.924986361157</v>
      </c>
      <c r="AN54" s="39">
        <f t="shared" ca="1" si="9"/>
        <v>14486.884615384615</v>
      </c>
      <c r="AO54" s="39">
        <f t="shared" ca="1" si="0"/>
        <v>15389.844244408074</v>
      </c>
      <c r="AP54" s="39">
        <f t="shared" ca="1" si="1"/>
        <v>16292.803873431532</v>
      </c>
      <c r="AQ54" s="39">
        <f t="shared" ca="1" si="2"/>
        <v>17195.763502454993</v>
      </c>
      <c r="AR54" s="5">
        <f t="shared" ca="1" si="10"/>
        <v>14765</v>
      </c>
      <c r="AS54" s="5">
        <f t="shared" ca="1" si="3"/>
        <v>15657.95</v>
      </c>
      <c r="AT54" s="5">
        <f t="shared" ca="1" si="11"/>
        <v>0</v>
      </c>
    </row>
    <row r="55" spans="1:46" x14ac:dyDescent="0.2">
      <c r="A55" s="67">
        <f ca="1">Demand!C52</f>
        <v>1</v>
      </c>
      <c r="B55" s="67">
        <v>40</v>
      </c>
      <c r="C55" s="5">
        <f ca="1">'Demand background (hide)'!Y43</f>
        <v>10845</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11778.005728314238</v>
      </c>
      <c r="K55" s="5">
        <f t="shared" ca="1" si="21"/>
        <v>12680.965357337698</v>
      </c>
      <c r="L55" s="5">
        <f t="shared" ca="1" si="22"/>
        <v>13583.924986361157</v>
      </c>
      <c r="M55" s="5">
        <f t="shared" ca="1" si="23"/>
        <v>14486.884615384615</v>
      </c>
      <c r="N55" s="5">
        <f t="shared" ca="1" si="24"/>
        <v>15389.844244408074</v>
      </c>
      <c r="O55" s="5">
        <f t="shared" ca="1" si="25"/>
        <v>16292.803873431532</v>
      </c>
      <c r="P55" s="5">
        <f t="shared" ca="1" si="26"/>
        <v>17195.763502454993</v>
      </c>
      <c r="Q55" s="5">
        <f t="shared" ca="1" si="27"/>
        <v>10845</v>
      </c>
      <c r="R55" s="5">
        <f t="shared" ca="1" si="32"/>
        <v>-2</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14765</v>
      </c>
      <c r="AD55" s="5">
        <f t="shared" ca="1" si="31"/>
        <v>15657.95</v>
      </c>
    </row>
    <row r="56" spans="1:46" x14ac:dyDescent="0.2">
      <c r="A56" s="67">
        <f ca="1">Demand!C53</f>
        <v>2</v>
      </c>
      <c r="B56" s="67">
        <v>41</v>
      </c>
      <c r="C56" s="5">
        <f ca="1">'Demand background (hide)'!Y44</f>
        <v>11282</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11778.005728314238</v>
      </c>
      <c r="K56" s="5">
        <f t="shared" ca="1" si="21"/>
        <v>12680.965357337698</v>
      </c>
      <c r="L56" s="5">
        <f t="shared" ca="1" si="22"/>
        <v>13583.924986361157</v>
      </c>
      <c r="M56" s="5">
        <f t="shared" ca="1" si="23"/>
        <v>14486.884615384615</v>
      </c>
      <c r="N56" s="5">
        <f t="shared" ca="1" si="24"/>
        <v>15389.844244408074</v>
      </c>
      <c r="O56" s="5">
        <f t="shared" ca="1" si="25"/>
        <v>16292.803873431532</v>
      </c>
      <c r="P56" s="5">
        <f t="shared" ca="1" si="26"/>
        <v>17195.763502454993</v>
      </c>
      <c r="Q56" s="5">
        <f t="shared" ca="1" si="27"/>
        <v>11282</v>
      </c>
      <c r="R56" s="5">
        <f t="shared" ca="1" si="32"/>
        <v>-2</v>
      </c>
      <c r="S56" s="67" t="e">
        <f t="shared" ca="1" si="33"/>
        <v>#N/A</v>
      </c>
      <c r="T56" s="67">
        <f t="shared" ca="1" si="34"/>
        <v>-2</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14765</v>
      </c>
      <c r="AD56" s="5">
        <f t="shared" ca="1" si="31"/>
        <v>15657.95</v>
      </c>
    </row>
    <row r="57" spans="1:46" x14ac:dyDescent="0.2">
      <c r="A57" s="67">
        <f ca="1">Demand!C54</f>
        <v>3</v>
      </c>
      <c r="B57" s="67">
        <v>42</v>
      </c>
      <c r="C57" s="5">
        <f ca="1">'Demand background (hide)'!Y45</f>
        <v>14760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11778.005728314238</v>
      </c>
      <c r="K57" s="5">
        <f t="shared" ca="1" si="21"/>
        <v>12680.965357337698</v>
      </c>
      <c r="L57" s="5">
        <f t="shared" ca="1" si="22"/>
        <v>13583.924986361157</v>
      </c>
      <c r="M57" s="5">
        <f t="shared" ca="1" si="23"/>
        <v>14486.884615384615</v>
      </c>
      <c r="N57" s="5">
        <f t="shared" ca="1" si="24"/>
        <v>15389.844244408074</v>
      </c>
      <c r="O57" s="5">
        <f t="shared" ca="1" si="25"/>
        <v>16292.803873431532</v>
      </c>
      <c r="P57" s="5">
        <f t="shared" ca="1" si="26"/>
        <v>17195.763502454993</v>
      </c>
      <c r="Q57" s="5" t="e">
        <f t="shared" ca="1" si="27"/>
        <v>#N/A</v>
      </c>
      <c r="R57" s="5">
        <f t="shared" ca="1" si="32"/>
        <v>1</v>
      </c>
      <c r="S57" s="67" t="e">
        <f t="shared" ca="1" si="33"/>
        <v>#N/A</v>
      </c>
      <c r="T57" s="67">
        <f t="shared" ca="1" si="34"/>
        <v>1</v>
      </c>
      <c r="U57" s="67" t="e">
        <f t="shared" ca="1" si="35"/>
        <v>#N/A</v>
      </c>
      <c r="V57" s="5">
        <f t="shared" ca="1" si="14"/>
        <v>1</v>
      </c>
      <c r="W57" s="5">
        <f t="shared" ca="1" si="28"/>
        <v>14760</v>
      </c>
      <c r="X57" s="67">
        <f t="shared" ca="1" si="29"/>
        <v>1</v>
      </c>
      <c r="Y57" s="67" t="e">
        <f t="shared" ca="1" si="36"/>
        <v>#N/A</v>
      </c>
      <c r="Z57" s="67" t="e">
        <f t="shared" ca="1" si="37"/>
        <v>#N/A</v>
      </c>
      <c r="AA57" s="5" t="str">
        <f>IF(Setup!$I$15="Yes",'Demand background (hide)'!AJ45+'SPC background (hide)'!C57,"")</f>
        <v/>
      </c>
      <c r="AC57" s="5">
        <f t="shared" ca="1" si="30"/>
        <v>14765</v>
      </c>
      <c r="AD57" s="5">
        <f t="shared" ca="1" si="31"/>
        <v>15657.95</v>
      </c>
    </row>
    <row r="58" spans="1:46" x14ac:dyDescent="0.2">
      <c r="A58" s="67">
        <f ca="1">Demand!C55</f>
        <v>4</v>
      </c>
      <c r="B58" s="67">
        <v>43</v>
      </c>
      <c r="C58" s="5">
        <f ca="1">'Demand background (hide)'!Y46</f>
        <v>15992</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11778.005728314238</v>
      </c>
      <c r="K58" s="5">
        <f t="shared" ca="1" si="21"/>
        <v>12680.965357337698</v>
      </c>
      <c r="L58" s="5">
        <f t="shared" ca="1" si="22"/>
        <v>13583.924986361157</v>
      </c>
      <c r="M58" s="5">
        <f t="shared" ca="1" si="23"/>
        <v>14486.884615384615</v>
      </c>
      <c r="N58" s="5">
        <f t="shared" ca="1" si="24"/>
        <v>15389.844244408074</v>
      </c>
      <c r="O58" s="5">
        <f t="shared" ca="1" si="25"/>
        <v>16292.803873431532</v>
      </c>
      <c r="P58" s="5">
        <f t="shared" ca="1" si="26"/>
        <v>17195.763502454993</v>
      </c>
      <c r="Q58" s="5" t="e">
        <f t="shared" ca="1" si="27"/>
        <v>#N/A</v>
      </c>
      <c r="R58" s="5">
        <f t="shared" ca="1" si="32"/>
        <v>1</v>
      </c>
      <c r="S58" s="67" t="e">
        <f t="shared" ca="1" si="33"/>
        <v>#N/A</v>
      </c>
      <c r="T58" s="67">
        <f t="shared" ca="1" si="34"/>
        <v>2</v>
      </c>
      <c r="U58" s="67">
        <f t="shared" ca="1" si="35"/>
        <v>15992</v>
      </c>
      <c r="V58" s="5">
        <f t="shared" ca="1" si="14"/>
        <v>1</v>
      </c>
      <c r="W58" s="5">
        <f t="shared" ca="1" si="28"/>
        <v>15992</v>
      </c>
      <c r="X58" s="67">
        <f t="shared" ca="1" si="29"/>
        <v>1</v>
      </c>
      <c r="Y58" s="67" t="e">
        <f t="shared" ca="1" si="36"/>
        <v>#N/A</v>
      </c>
      <c r="Z58" s="67" t="e">
        <f t="shared" ca="1" si="37"/>
        <v>#N/A</v>
      </c>
      <c r="AA58" s="5" t="str">
        <f>IF(Setup!$I$15="Yes",'Demand background (hide)'!AJ46+'SPC background (hide)'!C58,"")</f>
        <v/>
      </c>
      <c r="AC58" s="5">
        <f t="shared" ca="1" si="30"/>
        <v>14765</v>
      </c>
      <c r="AD58" s="5">
        <f t="shared" ca="1" si="31"/>
        <v>15657.95</v>
      </c>
    </row>
    <row r="59" spans="1:46" x14ac:dyDescent="0.2">
      <c r="A59" s="67">
        <f ca="1">Demand!C56</f>
        <v>5</v>
      </c>
      <c r="B59" s="67">
        <v>44</v>
      </c>
      <c r="C59" s="5">
        <f ca="1">'Demand background (hide)'!Y47</f>
        <v>16202</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11778.005728314238</v>
      </c>
      <c r="K59" s="5">
        <f t="shared" ca="1" si="21"/>
        <v>12680.965357337698</v>
      </c>
      <c r="L59" s="5">
        <f t="shared" ca="1" si="22"/>
        <v>13583.924986361157</v>
      </c>
      <c r="M59" s="5">
        <f t="shared" ca="1" si="23"/>
        <v>14486.884615384615</v>
      </c>
      <c r="N59" s="5">
        <f t="shared" ca="1" si="24"/>
        <v>15389.844244408074</v>
      </c>
      <c r="O59" s="5">
        <f t="shared" ca="1" si="25"/>
        <v>16292.803873431532</v>
      </c>
      <c r="P59" s="5">
        <f t="shared" ca="1" si="26"/>
        <v>17195.763502454993</v>
      </c>
      <c r="Q59" s="5" t="e">
        <f t="shared" ca="1" si="27"/>
        <v>#N/A</v>
      </c>
      <c r="R59" s="5">
        <f t="shared" ca="1" si="32"/>
        <v>1</v>
      </c>
      <c r="S59" s="67" t="e">
        <f t="shared" ca="1" si="33"/>
        <v>#N/A</v>
      </c>
      <c r="T59" s="67">
        <f t="shared" ca="1" si="34"/>
        <v>2</v>
      </c>
      <c r="U59" s="67" t="e">
        <f t="shared" ca="1" si="35"/>
        <v>#N/A</v>
      </c>
      <c r="V59" s="5">
        <f t="shared" ca="1" si="14"/>
        <v>1</v>
      </c>
      <c r="W59" s="5">
        <f t="shared" ca="1" si="28"/>
        <v>16202</v>
      </c>
      <c r="X59" s="67">
        <f t="shared" ca="1" si="29"/>
        <v>1</v>
      </c>
      <c r="Y59" s="67" t="e">
        <f t="shared" ca="1" si="36"/>
        <v>#N/A</v>
      </c>
      <c r="Z59" s="67" t="e">
        <f t="shared" ca="1" si="37"/>
        <v>#N/A</v>
      </c>
      <c r="AA59" s="5" t="str">
        <f>IF(Setup!$I$15="Yes",'Demand background (hide)'!AJ47+'SPC background (hide)'!C59,"")</f>
        <v/>
      </c>
      <c r="AC59" s="5">
        <f t="shared" ca="1" si="30"/>
        <v>14765</v>
      </c>
      <c r="AD59" s="5">
        <f t="shared" ca="1" si="31"/>
        <v>15657.95</v>
      </c>
    </row>
    <row r="60" spans="1:46" x14ac:dyDescent="0.2">
      <c r="A60" s="67">
        <f ca="1">Demand!C57</f>
        <v>6</v>
      </c>
      <c r="B60" s="67">
        <v>45</v>
      </c>
      <c r="C60" s="5">
        <f ca="1">'Demand background (hide)'!Y48</f>
        <v>16472</v>
      </c>
      <c r="D60" s="67">
        <f t="shared" si="15"/>
        <v>1</v>
      </c>
      <c r="E60" s="67" t="e">
        <f t="shared" ca="1" si="16"/>
        <v>#N/A</v>
      </c>
      <c r="F60" s="67" t="e">
        <f t="shared" ca="1" si="17"/>
        <v>#N/A</v>
      </c>
      <c r="G60" s="67" t="e">
        <f t="shared" ca="1" si="18"/>
        <v>#N/A</v>
      </c>
      <c r="H60" s="67" t="e">
        <f>IF('Demand background (hide)'!AN48&lt;&gt;"",'SPC background (hide)'!C60,NA())</f>
        <v>#N/A</v>
      </c>
      <c r="I60" s="67">
        <f t="shared" ca="1" si="19"/>
        <v>1</v>
      </c>
      <c r="J60" s="5">
        <f t="shared" ca="1" si="20"/>
        <v>11778.005728314238</v>
      </c>
      <c r="K60" s="5">
        <f t="shared" ca="1" si="21"/>
        <v>12680.965357337698</v>
      </c>
      <c r="L60" s="5">
        <f t="shared" ca="1" si="22"/>
        <v>13583.924986361157</v>
      </c>
      <c r="M60" s="5">
        <f t="shared" ca="1" si="23"/>
        <v>14486.884615384615</v>
      </c>
      <c r="N60" s="5">
        <f t="shared" ca="1" si="24"/>
        <v>15389.844244408074</v>
      </c>
      <c r="O60" s="5">
        <f t="shared" ca="1" si="25"/>
        <v>16292.803873431532</v>
      </c>
      <c r="P60" s="5">
        <f t="shared" ca="1" si="26"/>
        <v>17195.763502454993</v>
      </c>
      <c r="Q60" s="5" t="e">
        <f t="shared" ca="1" si="27"/>
        <v>#N/A</v>
      </c>
      <c r="R60" s="5">
        <f t="shared" ca="1" si="32"/>
        <v>2</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14765</v>
      </c>
      <c r="AD60" s="5">
        <f t="shared" ca="1" si="31"/>
        <v>15657.95</v>
      </c>
    </row>
    <row r="61" spans="1:46" x14ac:dyDescent="0.2">
      <c r="A61" s="67">
        <f ca="1">Demand!C58</f>
        <v>7</v>
      </c>
      <c r="B61" s="67">
        <v>46</v>
      </c>
      <c r="C61" s="5">
        <f ca="1">'Demand background (hide)'!Y49</f>
        <v>15092</v>
      </c>
      <c r="D61" s="67">
        <f t="shared" si="15"/>
        <v>1</v>
      </c>
      <c r="E61" s="67" t="e">
        <f t="shared" ca="1" si="16"/>
        <v>#N/A</v>
      </c>
      <c r="F61" s="67" t="e">
        <f t="shared" ca="1" si="17"/>
        <v>#N/A</v>
      </c>
      <c r="G61" s="67" t="e">
        <f t="shared" ca="1" si="18"/>
        <v>#N/A</v>
      </c>
      <c r="H61" s="67" t="e">
        <f>IF('Demand background (hide)'!AN49&lt;&gt;"",'SPC background (hide)'!C61,NA())</f>
        <v>#N/A</v>
      </c>
      <c r="I61" s="67">
        <f t="shared" ca="1" si="19"/>
        <v>1</v>
      </c>
      <c r="J61" s="5">
        <f t="shared" ca="1" si="20"/>
        <v>11778.005728314238</v>
      </c>
      <c r="K61" s="5">
        <f t="shared" ca="1" si="21"/>
        <v>12680.965357337698</v>
      </c>
      <c r="L61" s="5">
        <f t="shared" ca="1" si="22"/>
        <v>13583.924986361157</v>
      </c>
      <c r="M61" s="5">
        <f t="shared" ca="1" si="23"/>
        <v>14486.884615384615</v>
      </c>
      <c r="N61" s="5">
        <f t="shared" ca="1" si="24"/>
        <v>15389.844244408074</v>
      </c>
      <c r="O61" s="5">
        <f t="shared" ca="1" si="25"/>
        <v>16292.803873431532</v>
      </c>
      <c r="P61" s="5">
        <f t="shared" ca="1" si="26"/>
        <v>17195.763502454993</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14765</v>
      </c>
      <c r="AD61" s="5">
        <f t="shared" ca="1" si="31"/>
        <v>15657.95</v>
      </c>
    </row>
    <row r="62" spans="1:46" x14ac:dyDescent="0.2">
      <c r="A62" s="67">
        <f ca="1">Demand!C59</f>
        <v>8</v>
      </c>
      <c r="B62" s="67">
        <v>47</v>
      </c>
      <c r="C62" s="5">
        <f ca="1">'Demand background (hide)'!Y50</f>
        <v>15558</v>
      </c>
      <c r="D62" s="67">
        <f t="shared" si="15"/>
        <v>1</v>
      </c>
      <c r="E62" s="67" t="e">
        <f t="shared" ca="1" si="16"/>
        <v>#N/A</v>
      </c>
      <c r="F62" s="67" t="e">
        <f t="shared" ca="1" si="17"/>
        <v>#N/A</v>
      </c>
      <c r="G62" s="67" t="e">
        <f t="shared" ca="1" si="18"/>
        <v>#N/A</v>
      </c>
      <c r="H62" s="67" t="e">
        <f>IF('Demand background (hide)'!AN50&lt;&gt;"",'SPC background (hide)'!C62,NA())</f>
        <v>#N/A</v>
      </c>
      <c r="I62" s="67">
        <f t="shared" ca="1" si="19"/>
        <v>1</v>
      </c>
      <c r="J62" s="5">
        <f t="shared" ca="1" si="20"/>
        <v>11778.005728314238</v>
      </c>
      <c r="K62" s="5">
        <f t="shared" ca="1" si="21"/>
        <v>12680.965357337698</v>
      </c>
      <c r="L62" s="5">
        <f t="shared" ca="1" si="22"/>
        <v>13583.924986361157</v>
      </c>
      <c r="M62" s="5">
        <f t="shared" ca="1" si="23"/>
        <v>14486.884615384615</v>
      </c>
      <c r="N62" s="5">
        <f t="shared" ca="1" si="24"/>
        <v>15389.844244408074</v>
      </c>
      <c r="O62" s="5">
        <f t="shared" ca="1" si="25"/>
        <v>16292.803873431532</v>
      </c>
      <c r="P62" s="5">
        <f t="shared" ca="1" si="26"/>
        <v>17195.763502454993</v>
      </c>
      <c r="Q62" s="5" t="e">
        <f t="shared" ca="1" si="27"/>
        <v>#N/A</v>
      </c>
      <c r="R62" s="5">
        <f t="shared" ca="1" si="32"/>
        <v>1</v>
      </c>
      <c r="S62" s="67" t="e">
        <f t="shared" ca="1" si="33"/>
        <v>#N/A</v>
      </c>
      <c r="T62" s="67">
        <f t="shared" ca="1" si="34"/>
        <v>2</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14765</v>
      </c>
      <c r="AD62" s="5">
        <f t="shared" ca="1" si="31"/>
        <v>15657.95</v>
      </c>
    </row>
    <row r="63" spans="1:46" x14ac:dyDescent="0.2">
      <c r="A63" s="67">
        <f ca="1">Demand!C60</f>
        <v>9</v>
      </c>
      <c r="B63" s="67">
        <v>48</v>
      </c>
      <c r="C63" s="5">
        <f ca="1">'Demand background (hide)'!Y51</f>
        <v>15362</v>
      </c>
      <c r="D63" s="67">
        <f t="shared" si="15"/>
        <v>1</v>
      </c>
      <c r="E63" s="67" t="e">
        <f t="shared" ca="1" si="16"/>
        <v>#N/A</v>
      </c>
      <c r="F63" s="67" t="e">
        <f t="shared" ca="1" si="17"/>
        <v>#N/A</v>
      </c>
      <c r="G63" s="67" t="e">
        <f t="shared" ca="1" si="18"/>
        <v>#N/A</v>
      </c>
      <c r="H63" s="67" t="e">
        <f>IF('Demand background (hide)'!AN51&lt;&gt;"",'SPC background (hide)'!C63,NA())</f>
        <v>#N/A</v>
      </c>
      <c r="I63" s="67">
        <f t="shared" ca="1" si="19"/>
        <v>1</v>
      </c>
      <c r="J63" s="5">
        <f t="shared" ca="1" si="20"/>
        <v>11778.005728314238</v>
      </c>
      <c r="K63" s="5">
        <f t="shared" ca="1" si="21"/>
        <v>12680.965357337698</v>
      </c>
      <c r="L63" s="5">
        <f t="shared" ca="1" si="22"/>
        <v>13583.924986361157</v>
      </c>
      <c r="M63" s="5">
        <f t="shared" ca="1" si="23"/>
        <v>14486.884615384615</v>
      </c>
      <c r="N63" s="5">
        <f t="shared" ca="1" si="24"/>
        <v>15389.844244408074</v>
      </c>
      <c r="O63" s="5">
        <f t="shared" ca="1" si="25"/>
        <v>16292.803873431532</v>
      </c>
      <c r="P63" s="5">
        <f t="shared" ca="1" si="26"/>
        <v>17195.763502454993</v>
      </c>
      <c r="Q63" s="5" t="e">
        <f t="shared" ca="1" si="27"/>
        <v>#N/A</v>
      </c>
      <c r="R63" s="5">
        <f t="shared" ca="1" si="32"/>
        <v>1</v>
      </c>
      <c r="S63" s="67" t="e">
        <f t="shared" ca="1" si="33"/>
        <v>#N/A</v>
      </c>
      <c r="T63" s="67">
        <f t="shared" ca="1" si="34"/>
        <v>1</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14765</v>
      </c>
      <c r="AD63" s="5">
        <f t="shared" ca="1" si="31"/>
        <v>15657.95</v>
      </c>
    </row>
    <row r="64" spans="1:46" x14ac:dyDescent="0.2">
      <c r="A64" s="67">
        <f ca="1">Demand!C61</f>
        <v>10</v>
      </c>
      <c r="B64" s="67">
        <v>49</v>
      </c>
      <c r="C64" s="5">
        <f ca="1">'Demand background (hide)'!Y52</f>
        <v>14628</v>
      </c>
      <c r="D64" s="67">
        <f t="shared" si="15"/>
        <v>1</v>
      </c>
      <c r="E64" s="67" t="e">
        <f t="shared" ca="1" si="16"/>
        <v>#N/A</v>
      </c>
      <c r="F64" s="67" t="e">
        <f t="shared" ca="1" si="17"/>
        <v>#N/A</v>
      </c>
      <c r="G64" s="67" t="e">
        <f t="shared" ca="1" si="18"/>
        <v>#N/A</v>
      </c>
      <c r="H64" s="67" t="e">
        <f>IF('Demand background (hide)'!AN52&lt;&gt;"",'SPC background (hide)'!C64,NA())</f>
        <v>#N/A</v>
      </c>
      <c r="I64" s="67">
        <f t="shared" ca="1" si="19"/>
        <v>1</v>
      </c>
      <c r="J64" s="5">
        <f t="shared" ca="1" si="20"/>
        <v>11778.005728314238</v>
      </c>
      <c r="K64" s="5">
        <f t="shared" ca="1" si="21"/>
        <v>12680.965357337698</v>
      </c>
      <c r="L64" s="5">
        <f t="shared" ca="1" si="22"/>
        <v>13583.924986361157</v>
      </c>
      <c r="M64" s="5">
        <f t="shared" ca="1" si="23"/>
        <v>14486.884615384615</v>
      </c>
      <c r="N64" s="5">
        <f t="shared" ca="1" si="24"/>
        <v>15389.844244408074</v>
      </c>
      <c r="O64" s="5">
        <f t="shared" ca="1" si="25"/>
        <v>16292.803873431532</v>
      </c>
      <c r="P64" s="5">
        <f t="shared" ca="1" si="26"/>
        <v>17195.763502454993</v>
      </c>
      <c r="Q64" s="5" t="e">
        <f t="shared" ca="1" si="27"/>
        <v>#N/A</v>
      </c>
      <c r="R64" s="5">
        <f t="shared" ca="1" si="32"/>
        <v>1</v>
      </c>
      <c r="S64" s="67" t="e">
        <f t="shared" ca="1" si="33"/>
        <v>#N/A</v>
      </c>
      <c r="T64" s="67">
        <f t="shared" ca="1" si="34"/>
        <v>1</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14765</v>
      </c>
      <c r="AD64" s="5">
        <f t="shared" ca="1" si="31"/>
        <v>15657.95</v>
      </c>
    </row>
    <row r="65" spans="1:30" x14ac:dyDescent="0.2">
      <c r="A65" s="67">
        <f ca="1">Demand!C62</f>
        <v>11</v>
      </c>
      <c r="B65" s="67">
        <v>50</v>
      </c>
      <c r="C65" s="5">
        <f ca="1">'Demand background (hide)'!Y53</f>
        <v>16833</v>
      </c>
      <c r="D65" s="67">
        <f t="shared" si="15"/>
        <v>1</v>
      </c>
      <c r="E65" s="67" t="e">
        <f t="shared" ca="1" si="16"/>
        <v>#N/A</v>
      </c>
      <c r="F65" s="67" t="e">
        <f t="shared" ca="1" si="17"/>
        <v>#N/A</v>
      </c>
      <c r="G65" s="67" t="e">
        <f t="shared" ca="1" si="18"/>
        <v>#N/A</v>
      </c>
      <c r="H65" s="67" t="e">
        <f>IF('Demand background (hide)'!AN53&lt;&gt;"",'SPC background (hide)'!C65,NA())</f>
        <v>#N/A</v>
      </c>
      <c r="I65" s="67">
        <f t="shared" ca="1" si="19"/>
        <v>1</v>
      </c>
      <c r="J65" s="5">
        <f t="shared" ca="1" si="20"/>
        <v>11778.005728314238</v>
      </c>
      <c r="K65" s="5">
        <f t="shared" ca="1" si="21"/>
        <v>12680.965357337698</v>
      </c>
      <c r="L65" s="5">
        <f t="shared" ca="1" si="22"/>
        <v>13583.924986361157</v>
      </c>
      <c r="M65" s="5">
        <f t="shared" ca="1" si="23"/>
        <v>14486.884615384615</v>
      </c>
      <c r="N65" s="5">
        <f t="shared" ca="1" si="24"/>
        <v>15389.844244408074</v>
      </c>
      <c r="O65" s="5">
        <f t="shared" ca="1" si="25"/>
        <v>16292.803873431532</v>
      </c>
      <c r="P65" s="5">
        <f t="shared" ca="1" si="26"/>
        <v>17195.763502454993</v>
      </c>
      <c r="Q65" s="5" t="e">
        <f t="shared" ca="1" si="27"/>
        <v>#N/A</v>
      </c>
      <c r="R65" s="5">
        <f t="shared" ca="1" si="32"/>
        <v>2</v>
      </c>
      <c r="S65" s="67" t="e">
        <f t="shared" ca="1" si="33"/>
        <v>#N/A</v>
      </c>
      <c r="T65" s="67">
        <f t="shared" ca="1" si="34"/>
        <v>2</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14765</v>
      </c>
      <c r="AD65" s="5">
        <f t="shared" ca="1" si="31"/>
        <v>15657.95</v>
      </c>
    </row>
    <row r="66" spans="1:30" x14ac:dyDescent="0.2">
      <c r="A66" s="67">
        <f ca="1">Demand!C63</f>
        <v>12</v>
      </c>
      <c r="B66" s="67">
        <v>51</v>
      </c>
      <c r="C66" s="5">
        <f ca="1">'Demand background (hide)'!Y54</f>
        <v>16035</v>
      </c>
      <c r="D66" s="67">
        <f t="shared" si="15"/>
        <v>1</v>
      </c>
      <c r="E66" s="67" t="e">
        <f t="shared" ca="1" si="16"/>
        <v>#N/A</v>
      </c>
      <c r="F66" s="67" t="e">
        <f t="shared" ca="1" si="17"/>
        <v>#N/A</v>
      </c>
      <c r="G66" s="67" t="e">
        <f t="shared" ca="1" si="18"/>
        <v>#N/A</v>
      </c>
      <c r="H66" s="67" t="e">
        <f>IF('Demand background (hide)'!AN54&lt;&gt;"",'SPC background (hide)'!C66,NA())</f>
        <v>#N/A</v>
      </c>
      <c r="I66" s="67">
        <f t="shared" ca="1" si="19"/>
        <v>1</v>
      </c>
      <c r="J66" s="5">
        <f t="shared" ca="1" si="20"/>
        <v>11778.005728314238</v>
      </c>
      <c r="K66" s="5">
        <f t="shared" ca="1" si="21"/>
        <v>12680.965357337698</v>
      </c>
      <c r="L66" s="5">
        <f t="shared" ca="1" si="22"/>
        <v>13583.924986361157</v>
      </c>
      <c r="M66" s="5">
        <f t="shared" ca="1" si="23"/>
        <v>14486.884615384615</v>
      </c>
      <c r="N66" s="5">
        <f t="shared" ca="1" si="24"/>
        <v>15389.844244408074</v>
      </c>
      <c r="O66" s="5">
        <f t="shared" ca="1" si="25"/>
        <v>16292.803873431532</v>
      </c>
      <c r="P66" s="5">
        <f t="shared" ca="1" si="26"/>
        <v>17195.763502454993</v>
      </c>
      <c r="Q66" s="5" t="e">
        <f t="shared" ca="1" si="27"/>
        <v>#N/A</v>
      </c>
      <c r="R66" s="5">
        <f t="shared" ca="1" si="32"/>
        <v>1</v>
      </c>
      <c r="S66" s="67" t="e">
        <f t="shared" ca="1" si="33"/>
        <v>#N/A</v>
      </c>
      <c r="T66" s="67">
        <f t="shared" ca="1" si="34"/>
        <v>2</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14765</v>
      </c>
      <c r="AD66" s="5">
        <f t="shared" ca="1" si="31"/>
        <v>15657.95</v>
      </c>
    </row>
    <row r="67" spans="1:30" x14ac:dyDescent="0.2">
      <c r="A67" s="67">
        <f ca="1">Demand!C64</f>
        <v>13</v>
      </c>
      <c r="B67" s="67">
        <v>52</v>
      </c>
      <c r="C67" s="5">
        <f ca="1">'Demand background (hide)'!Y55</f>
        <v>14867</v>
      </c>
      <c r="D67" s="67">
        <f t="shared" si="15"/>
        <v>1</v>
      </c>
      <c r="E67" s="67" t="e">
        <f t="shared" ca="1" si="16"/>
        <v>#N/A</v>
      </c>
      <c r="F67" s="67" t="e">
        <f t="shared" ca="1" si="17"/>
        <v>#N/A</v>
      </c>
      <c r="G67" s="67" t="e">
        <f t="shared" ca="1" si="18"/>
        <v>#N/A</v>
      </c>
      <c r="H67" s="67" t="e">
        <f>IF('Demand background (hide)'!AN55&lt;&gt;"",'SPC background (hide)'!C67,NA())</f>
        <v>#N/A</v>
      </c>
      <c r="I67" s="67">
        <f t="shared" ca="1" si="19"/>
        <v>1</v>
      </c>
      <c r="J67" s="5">
        <f t="shared" ca="1" si="20"/>
        <v>11778.005728314238</v>
      </c>
      <c r="K67" s="5">
        <f t="shared" ca="1" si="21"/>
        <v>12680.965357337698</v>
      </c>
      <c r="L67" s="5">
        <f t="shared" ca="1" si="22"/>
        <v>13583.924986361157</v>
      </c>
      <c r="M67" s="5">
        <f t="shared" ca="1" si="23"/>
        <v>14486.884615384615</v>
      </c>
      <c r="N67" s="5">
        <f t="shared" ca="1" si="24"/>
        <v>15389.844244408074</v>
      </c>
      <c r="O67" s="5">
        <f t="shared" ca="1" si="25"/>
        <v>16292.803873431532</v>
      </c>
      <c r="P67" s="5">
        <f t="shared" ca="1" si="26"/>
        <v>17195.763502454993</v>
      </c>
      <c r="Q67" s="5" t="e">
        <f t="shared" ca="1" si="27"/>
        <v>#N/A</v>
      </c>
      <c r="R67" s="5">
        <f t="shared" ca="1" si="32"/>
        <v>1</v>
      </c>
      <c r="S67" s="67" t="e">
        <f t="shared" ca="1" si="33"/>
        <v>#N/A</v>
      </c>
      <c r="T67" s="67">
        <f t="shared" ca="1" si="34"/>
        <v>1</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14765</v>
      </c>
      <c r="AD67" s="5">
        <f t="shared" ca="1" si="31"/>
        <v>15657.95</v>
      </c>
    </row>
    <row r="68" spans="1:30" x14ac:dyDescent="0.2">
      <c r="A68" s="67">
        <f ca="1">Demand!C65</f>
        <v>14</v>
      </c>
      <c r="B68" s="67">
        <v>53</v>
      </c>
      <c r="C68" s="5">
        <f ca="1">'Demand background (hide)'!Y56</f>
        <v>14221</v>
      </c>
      <c r="D68" s="67">
        <f t="shared" si="15"/>
        <v>1</v>
      </c>
      <c r="E68" s="67" t="e">
        <f t="shared" ca="1" si="16"/>
        <v>#N/A</v>
      </c>
      <c r="F68" s="67" t="e">
        <f t="shared" ca="1" si="17"/>
        <v>#N/A</v>
      </c>
      <c r="G68" s="67" t="e">
        <f t="shared" ca="1" si="18"/>
        <v>#N/A</v>
      </c>
      <c r="H68" s="67" t="e">
        <f>IF('Demand background (hide)'!AN56&lt;&gt;"",'SPC background (hide)'!C68,NA())</f>
        <v>#N/A</v>
      </c>
      <c r="I68" s="67">
        <f t="shared" ca="1" si="19"/>
        <v>1</v>
      </c>
      <c r="J68" s="5">
        <f t="shared" ca="1" si="20"/>
        <v>11778.005728314238</v>
      </c>
      <c r="K68" s="5">
        <f t="shared" ca="1" si="21"/>
        <v>12680.965357337698</v>
      </c>
      <c r="L68" s="5">
        <f t="shared" ca="1" si="22"/>
        <v>13583.924986361157</v>
      </c>
      <c r="M68" s="5">
        <f t="shared" ca="1" si="23"/>
        <v>14486.884615384615</v>
      </c>
      <c r="N68" s="5">
        <f t="shared" ca="1" si="24"/>
        <v>15389.844244408074</v>
      </c>
      <c r="O68" s="5">
        <f t="shared" ca="1" si="25"/>
        <v>16292.803873431532</v>
      </c>
      <c r="P68" s="5">
        <f t="shared" ca="1" si="26"/>
        <v>17195.763502454993</v>
      </c>
      <c r="Q68" s="5" t="e">
        <f t="shared" ca="1" si="27"/>
        <v>#N/A</v>
      </c>
      <c r="R68" s="5">
        <f t="shared" ca="1" si="32"/>
        <v>-1</v>
      </c>
      <c r="S68" s="67" t="e">
        <f t="shared" ca="1" si="33"/>
        <v>#N/A</v>
      </c>
      <c r="T68" s="67">
        <f t="shared" ca="1" si="34"/>
        <v>-1</v>
      </c>
      <c r="U68" s="67" t="e">
        <f t="shared" ca="1" si="35"/>
        <v>#N/A</v>
      </c>
      <c r="V68" s="5">
        <f t="shared" ca="1" si="14"/>
        <v>-1</v>
      </c>
      <c r="W68" s="5">
        <f t="shared" ca="1" si="28"/>
        <v>14221</v>
      </c>
      <c r="X68" s="67">
        <f t="shared" ca="1" si="29"/>
        <v>-1</v>
      </c>
      <c r="Y68" s="67" t="e">
        <f t="shared" ca="1" si="36"/>
        <v>#N/A</v>
      </c>
      <c r="Z68" s="67" t="e">
        <f t="shared" ca="1" si="37"/>
        <v>#N/A</v>
      </c>
      <c r="AA68" s="5" t="str">
        <f>IF(Setup!$I$15="Yes",'Demand background (hide)'!AJ56+'SPC background (hide)'!C68,"")</f>
        <v/>
      </c>
      <c r="AC68" s="5">
        <f t="shared" ca="1" si="30"/>
        <v>14765</v>
      </c>
      <c r="AD68" s="5">
        <f t="shared" ca="1" si="31"/>
        <v>15657.95</v>
      </c>
    </row>
    <row r="69" spans="1:30" x14ac:dyDescent="0.2">
      <c r="A69" s="67">
        <f ca="1">Demand!C66</f>
        <v>15</v>
      </c>
      <c r="B69" s="67">
        <v>54</v>
      </c>
      <c r="C69" s="5">
        <f ca="1">'Demand background (hide)'!Y57</f>
        <v>13501</v>
      </c>
      <c r="D69" s="67">
        <f t="shared" si="15"/>
        <v>1</v>
      </c>
      <c r="E69" s="67" t="e">
        <f t="shared" ca="1" si="16"/>
        <v>#N/A</v>
      </c>
      <c r="F69" s="67" t="e">
        <f t="shared" ca="1" si="17"/>
        <v>#N/A</v>
      </c>
      <c r="G69" s="67" t="e">
        <f t="shared" ca="1" si="18"/>
        <v>#N/A</v>
      </c>
      <c r="H69" s="67" t="e">
        <f>IF('Demand background (hide)'!AN57&lt;&gt;"",'SPC background (hide)'!C69,NA())</f>
        <v>#N/A</v>
      </c>
      <c r="I69" s="67">
        <f t="shared" ca="1" si="19"/>
        <v>1</v>
      </c>
      <c r="J69" s="5">
        <f t="shared" ca="1" si="20"/>
        <v>11778.005728314238</v>
      </c>
      <c r="K69" s="5">
        <f t="shared" ca="1" si="21"/>
        <v>12680.965357337698</v>
      </c>
      <c r="L69" s="5">
        <f t="shared" ca="1" si="22"/>
        <v>13583.924986361157</v>
      </c>
      <c r="M69" s="5">
        <f t="shared" ca="1" si="23"/>
        <v>14486.884615384615</v>
      </c>
      <c r="N69" s="5">
        <f t="shared" ca="1" si="24"/>
        <v>15389.844244408074</v>
      </c>
      <c r="O69" s="5">
        <f t="shared" ca="1" si="25"/>
        <v>16292.803873431532</v>
      </c>
      <c r="P69" s="5">
        <f t="shared" ca="1" si="26"/>
        <v>17195.763502454993</v>
      </c>
      <c r="Q69" s="5" t="e">
        <f t="shared" ca="1" si="27"/>
        <v>#N/A</v>
      </c>
      <c r="R69" s="5">
        <f t="shared" ca="1" si="32"/>
        <v>-1</v>
      </c>
      <c r="S69" s="67" t="e">
        <f t="shared" ca="1" si="33"/>
        <v>#N/A</v>
      </c>
      <c r="T69" s="67">
        <f t="shared" ca="1" si="34"/>
        <v>-2</v>
      </c>
      <c r="U69" s="67" t="e">
        <f t="shared" ca="1" si="35"/>
        <v>#N/A</v>
      </c>
      <c r="V69" s="5">
        <f t="shared" ca="1" si="14"/>
        <v>-1</v>
      </c>
      <c r="W69" s="5">
        <f t="shared" ca="1" si="28"/>
        <v>13501</v>
      </c>
      <c r="X69" s="67">
        <f t="shared" ca="1" si="29"/>
        <v>-1</v>
      </c>
      <c r="Y69" s="67" t="e">
        <f t="shared" ca="1" si="36"/>
        <v>#N/A</v>
      </c>
      <c r="Z69" s="67" t="e">
        <f t="shared" ca="1" si="37"/>
        <v>#N/A</v>
      </c>
      <c r="AA69" s="5" t="str">
        <f>IF(Setup!$I$15="Yes",'Demand background (hide)'!AJ57+'SPC background (hide)'!C69,"")</f>
        <v/>
      </c>
      <c r="AC69" s="5">
        <f t="shared" ca="1" si="30"/>
        <v>14765</v>
      </c>
      <c r="AD69" s="5">
        <f t="shared" ca="1" si="31"/>
        <v>15657.95</v>
      </c>
    </row>
    <row r="70" spans="1:30" x14ac:dyDescent="0.2">
      <c r="A70" s="67">
        <f ca="1">Demand!C67</f>
        <v>16</v>
      </c>
      <c r="B70" s="67">
        <v>55</v>
      </c>
      <c r="C70" s="5">
        <f ca="1">'Demand background (hide)'!Y58</f>
        <v>11702</v>
      </c>
      <c r="D70" s="67">
        <f t="shared" si="15"/>
        <v>1</v>
      </c>
      <c r="E70" s="67" t="e">
        <f t="shared" ca="1" si="16"/>
        <v>#N/A</v>
      </c>
      <c r="F70" s="67" t="e">
        <f t="shared" ca="1" si="17"/>
        <v>#N/A</v>
      </c>
      <c r="G70" s="67" t="e">
        <f t="shared" ca="1" si="18"/>
        <v>#N/A</v>
      </c>
      <c r="H70" s="67" t="e">
        <f>IF('Demand background (hide)'!AN58&lt;&gt;"",'SPC background (hide)'!C70,NA())</f>
        <v>#N/A</v>
      </c>
      <c r="I70" s="67">
        <f t="shared" ca="1" si="19"/>
        <v>1</v>
      </c>
      <c r="J70" s="5">
        <f t="shared" ca="1" si="20"/>
        <v>11778.005728314238</v>
      </c>
      <c r="K70" s="5">
        <f t="shared" ca="1" si="21"/>
        <v>12680.965357337698</v>
      </c>
      <c r="L70" s="5">
        <f t="shared" ca="1" si="22"/>
        <v>13583.924986361157</v>
      </c>
      <c r="M70" s="5">
        <f t="shared" ca="1" si="23"/>
        <v>14486.884615384615</v>
      </c>
      <c r="N70" s="5">
        <f t="shared" ca="1" si="24"/>
        <v>15389.844244408074</v>
      </c>
      <c r="O70" s="5">
        <f t="shared" ca="1" si="25"/>
        <v>16292.803873431532</v>
      </c>
      <c r="P70" s="5">
        <f t="shared" ca="1" si="26"/>
        <v>17195.763502454993</v>
      </c>
      <c r="Q70" s="5">
        <f t="shared" ca="1" si="27"/>
        <v>11702</v>
      </c>
      <c r="R70" s="5">
        <f t="shared" ca="1" si="32"/>
        <v>-2</v>
      </c>
      <c r="S70" s="67" t="e">
        <f t="shared" ca="1" si="33"/>
        <v>#N/A</v>
      </c>
      <c r="T70" s="67">
        <f t="shared" ca="1" si="34"/>
        <v>-2</v>
      </c>
      <c r="U70" s="67" t="e">
        <f t="shared" ca="1" si="35"/>
        <v>#N/A</v>
      </c>
      <c r="V70" s="5">
        <f t="shared" ca="1" si="14"/>
        <v>-1</v>
      </c>
      <c r="W70" s="5">
        <f t="shared" ca="1" si="28"/>
        <v>11702</v>
      </c>
      <c r="X70" s="67">
        <f t="shared" ca="1" si="29"/>
        <v>-1</v>
      </c>
      <c r="Y70" s="67" t="e">
        <f t="shared" ca="1" si="36"/>
        <v>#N/A</v>
      </c>
      <c r="Z70" s="67" t="e">
        <f t="shared" ca="1" si="37"/>
        <v>#N/A</v>
      </c>
      <c r="AA70" s="5" t="str">
        <f>IF(Setup!$I$15="Yes",'Demand background (hide)'!AJ58+'SPC background (hide)'!C70,"")</f>
        <v/>
      </c>
      <c r="AC70" s="5">
        <f t="shared" ca="1" si="30"/>
        <v>14765</v>
      </c>
      <c r="AD70" s="5">
        <f t="shared" ca="1" si="31"/>
        <v>15657.95</v>
      </c>
    </row>
    <row r="71" spans="1:30" x14ac:dyDescent="0.2">
      <c r="A71" s="67">
        <f ca="1">Demand!C68</f>
        <v>17</v>
      </c>
      <c r="B71" s="67">
        <v>56</v>
      </c>
      <c r="C71" s="5">
        <f ca="1">'Demand background (hide)'!Y59</f>
        <v>13981</v>
      </c>
      <c r="D71" s="67">
        <f t="shared" si="15"/>
        <v>1</v>
      </c>
      <c r="E71" s="67" t="e">
        <f t="shared" ca="1" si="16"/>
        <v>#N/A</v>
      </c>
      <c r="F71" s="67" t="e">
        <f t="shared" ca="1" si="17"/>
        <v>#N/A</v>
      </c>
      <c r="G71" s="67" t="e">
        <f t="shared" ca="1" si="18"/>
        <v>#N/A</v>
      </c>
      <c r="H71" s="67" t="e">
        <f>IF('Demand background (hide)'!AN59&lt;&gt;"",'SPC background (hide)'!C71,NA())</f>
        <v>#N/A</v>
      </c>
      <c r="I71" s="67">
        <f t="shared" ca="1" si="19"/>
        <v>1</v>
      </c>
      <c r="J71" s="5">
        <f t="shared" ca="1" si="20"/>
        <v>11778.005728314238</v>
      </c>
      <c r="K71" s="5">
        <f t="shared" ca="1" si="21"/>
        <v>12680.965357337698</v>
      </c>
      <c r="L71" s="5">
        <f t="shared" ca="1" si="22"/>
        <v>13583.924986361157</v>
      </c>
      <c r="M71" s="5">
        <f t="shared" ca="1" si="23"/>
        <v>14486.884615384615</v>
      </c>
      <c r="N71" s="5">
        <f t="shared" ca="1" si="24"/>
        <v>15389.844244408074</v>
      </c>
      <c r="O71" s="5">
        <f t="shared" ca="1" si="25"/>
        <v>16292.803873431532</v>
      </c>
      <c r="P71" s="5">
        <f t="shared" ca="1" si="26"/>
        <v>17195.763502454993</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14765</v>
      </c>
      <c r="AD71" s="5">
        <f t="shared" ca="1" si="31"/>
        <v>15657.95</v>
      </c>
    </row>
    <row r="72" spans="1:30" x14ac:dyDescent="0.2">
      <c r="A72" s="67">
        <f ca="1">Demand!C69</f>
        <v>18</v>
      </c>
      <c r="B72" s="67">
        <v>57</v>
      </c>
      <c r="C72" s="5">
        <f ca="1">'Demand background (hide)'!Y60</f>
        <v>13802</v>
      </c>
      <c r="D72" s="67">
        <f t="shared" si="15"/>
        <v>1</v>
      </c>
      <c r="E72" s="67" t="e">
        <f t="shared" ca="1" si="16"/>
        <v>#N/A</v>
      </c>
      <c r="F72" s="67" t="e">
        <f t="shared" ca="1" si="17"/>
        <v>#N/A</v>
      </c>
      <c r="G72" s="67" t="e">
        <f t="shared" ca="1" si="18"/>
        <v>#N/A</v>
      </c>
      <c r="H72" s="67" t="e">
        <f>IF('Demand background (hide)'!AN60&lt;&gt;"",'SPC background (hide)'!C72,NA())</f>
        <v>#N/A</v>
      </c>
      <c r="I72" s="67">
        <f t="shared" ca="1" si="19"/>
        <v>1</v>
      </c>
      <c r="J72" s="5">
        <f t="shared" ca="1" si="20"/>
        <v>11778.005728314238</v>
      </c>
      <c r="K72" s="5">
        <f t="shared" ca="1" si="21"/>
        <v>12680.965357337698</v>
      </c>
      <c r="L72" s="5">
        <f t="shared" ca="1" si="22"/>
        <v>13583.924986361157</v>
      </c>
      <c r="M72" s="5">
        <f t="shared" ca="1" si="23"/>
        <v>14486.884615384615</v>
      </c>
      <c r="N72" s="5">
        <f t="shared" ca="1" si="24"/>
        <v>15389.844244408074</v>
      </c>
      <c r="O72" s="5">
        <f t="shared" ca="1" si="25"/>
        <v>16292.803873431532</v>
      </c>
      <c r="P72" s="5">
        <f t="shared" ca="1" si="26"/>
        <v>17195.763502454993</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14765</v>
      </c>
      <c r="AD72" s="5">
        <f t="shared" ca="1" si="31"/>
        <v>15657.95</v>
      </c>
    </row>
    <row r="73" spans="1:30" x14ac:dyDescent="0.2">
      <c r="A73" s="67">
        <f ca="1">Demand!C70</f>
        <v>19</v>
      </c>
      <c r="B73" s="67">
        <v>58</v>
      </c>
      <c r="C73" s="5">
        <f ca="1">'Demand background (hide)'!Y61</f>
        <v>13396</v>
      </c>
      <c r="D73" s="67">
        <f t="shared" si="15"/>
        <v>1</v>
      </c>
      <c r="E73" s="67" t="e">
        <f t="shared" ca="1" si="16"/>
        <v>#N/A</v>
      </c>
      <c r="F73" s="67" t="e">
        <f t="shared" ca="1" si="17"/>
        <v>#N/A</v>
      </c>
      <c r="G73" s="67" t="e">
        <f t="shared" ca="1" si="18"/>
        <v>#N/A</v>
      </c>
      <c r="H73" s="67" t="e">
        <f>IF('Demand background (hide)'!AN61&lt;&gt;"",'SPC background (hide)'!C73,NA())</f>
        <v>#N/A</v>
      </c>
      <c r="I73" s="67">
        <f t="shared" ca="1" si="19"/>
        <v>1</v>
      </c>
      <c r="J73" s="5">
        <f t="shared" ca="1" si="20"/>
        <v>11778.005728314238</v>
      </c>
      <c r="K73" s="5">
        <f t="shared" ca="1" si="21"/>
        <v>12680.965357337698</v>
      </c>
      <c r="L73" s="5">
        <f t="shared" ca="1" si="22"/>
        <v>13583.924986361157</v>
      </c>
      <c r="M73" s="5">
        <f t="shared" ca="1" si="23"/>
        <v>14486.884615384615</v>
      </c>
      <c r="N73" s="5">
        <f t="shared" ca="1" si="24"/>
        <v>15389.844244408074</v>
      </c>
      <c r="O73" s="5">
        <f t="shared" ca="1" si="25"/>
        <v>16292.803873431532</v>
      </c>
      <c r="P73" s="5">
        <f t="shared" ca="1" si="26"/>
        <v>17195.763502454993</v>
      </c>
      <c r="Q73" s="5" t="e">
        <f t="shared" ca="1" si="27"/>
        <v>#N/A</v>
      </c>
      <c r="R73" s="5">
        <f t="shared" ca="1" si="32"/>
        <v>-1</v>
      </c>
      <c r="S73" s="67" t="e">
        <f t="shared" ca="1" si="33"/>
        <v>#N/A</v>
      </c>
      <c r="T73" s="67">
        <f t="shared" ca="1" si="34"/>
        <v>-2</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14765</v>
      </c>
      <c r="AD73" s="5">
        <f t="shared" ca="1" si="31"/>
        <v>15657.95</v>
      </c>
    </row>
    <row r="74" spans="1:30" x14ac:dyDescent="0.2">
      <c r="A74" s="67">
        <f ca="1">Demand!C71</f>
        <v>20</v>
      </c>
      <c r="B74" s="67">
        <v>59</v>
      </c>
      <c r="C74" s="5">
        <f ca="1">'Demand background (hide)'!Y62</f>
        <v>14085</v>
      </c>
      <c r="D74" s="67">
        <f t="shared" si="15"/>
        <v>1</v>
      </c>
      <c r="E74" s="67" t="e">
        <f t="shared" ca="1" si="16"/>
        <v>#N/A</v>
      </c>
      <c r="F74" s="67" t="e">
        <f t="shared" ca="1" si="17"/>
        <v>#N/A</v>
      </c>
      <c r="G74" s="67" t="e">
        <f t="shared" ca="1" si="18"/>
        <v>#N/A</v>
      </c>
      <c r="H74" s="67" t="e">
        <f>IF('Demand background (hide)'!AN62&lt;&gt;"",'SPC background (hide)'!C74,NA())</f>
        <v>#N/A</v>
      </c>
      <c r="I74" s="67">
        <f t="shared" ca="1" si="19"/>
        <v>1</v>
      </c>
      <c r="J74" s="5">
        <f t="shared" ca="1" si="20"/>
        <v>11778.005728314238</v>
      </c>
      <c r="K74" s="5">
        <f t="shared" ca="1" si="21"/>
        <v>12680.965357337698</v>
      </c>
      <c r="L74" s="5">
        <f t="shared" ca="1" si="22"/>
        <v>13583.924986361157</v>
      </c>
      <c r="M74" s="5">
        <f t="shared" ca="1" si="23"/>
        <v>14486.884615384615</v>
      </c>
      <c r="N74" s="5">
        <f t="shared" ca="1" si="24"/>
        <v>15389.844244408074</v>
      </c>
      <c r="O74" s="5">
        <f t="shared" ca="1" si="25"/>
        <v>16292.803873431532</v>
      </c>
      <c r="P74" s="5">
        <f t="shared" ca="1" si="26"/>
        <v>17195.763502454993</v>
      </c>
      <c r="Q74" s="5" t="e">
        <f t="shared" ca="1" si="27"/>
        <v>#N/A</v>
      </c>
      <c r="R74" s="5">
        <f t="shared" ca="1" si="32"/>
        <v>-1</v>
      </c>
      <c r="S74" s="67" t="e">
        <f t="shared" ca="1" si="33"/>
        <v>#N/A</v>
      </c>
      <c r="T74" s="67">
        <f t="shared" ca="1" si="34"/>
        <v>-1</v>
      </c>
      <c r="U74" s="67" t="e">
        <f t="shared" ca="1" si="35"/>
        <v>#N/A</v>
      </c>
      <c r="V74" s="5">
        <f t="shared" ca="1" si="14"/>
        <v>-1</v>
      </c>
      <c r="W74" s="5" t="e">
        <f t="shared" ca="1" si="28"/>
        <v>#N/A</v>
      </c>
      <c r="X74" s="67">
        <f t="shared" ca="1" si="29"/>
        <v>1</v>
      </c>
      <c r="Y74" s="67" t="e">
        <f t="shared" ca="1" si="36"/>
        <v>#N/A</v>
      </c>
      <c r="Z74" s="67">
        <f t="shared" ca="1" si="37"/>
        <v>14085</v>
      </c>
      <c r="AA74" s="5" t="str">
        <f>IF(Setup!$I$15="Yes",'Demand background (hide)'!AJ62+'SPC background (hide)'!C74,"")</f>
        <v/>
      </c>
      <c r="AC74" s="5">
        <f t="shared" ca="1" si="30"/>
        <v>14765</v>
      </c>
      <c r="AD74" s="5">
        <f t="shared" ca="1" si="31"/>
        <v>15657.95</v>
      </c>
    </row>
    <row r="75" spans="1:30" x14ac:dyDescent="0.2">
      <c r="A75" s="67">
        <f ca="1">Demand!C72</f>
        <v>21</v>
      </c>
      <c r="B75" s="67">
        <v>60</v>
      </c>
      <c r="C75" s="5">
        <f ca="1">'Demand background (hide)'!Y63</f>
        <v>14250</v>
      </c>
      <c r="D75" s="67">
        <f t="shared" si="15"/>
        <v>1</v>
      </c>
      <c r="E75" s="67" t="e">
        <f t="shared" ca="1" si="16"/>
        <v>#N/A</v>
      </c>
      <c r="F75" s="67" t="e">
        <f t="shared" ca="1" si="17"/>
        <v>#N/A</v>
      </c>
      <c r="G75" s="67" t="e">
        <f t="shared" ca="1" si="18"/>
        <v>#N/A</v>
      </c>
      <c r="H75" s="67" t="e">
        <f>IF('Demand background (hide)'!AN63&lt;&gt;"",'SPC background (hide)'!C75,NA())</f>
        <v>#N/A</v>
      </c>
      <c r="I75" s="67">
        <f t="shared" ca="1" si="19"/>
        <v>1</v>
      </c>
      <c r="J75" s="5">
        <f t="shared" ca="1" si="20"/>
        <v>11778.005728314238</v>
      </c>
      <c r="K75" s="5">
        <f t="shared" ca="1" si="21"/>
        <v>12680.965357337698</v>
      </c>
      <c r="L75" s="5">
        <f t="shared" ca="1" si="22"/>
        <v>13583.924986361157</v>
      </c>
      <c r="M75" s="5">
        <f t="shared" ca="1" si="23"/>
        <v>14486.884615384615</v>
      </c>
      <c r="N75" s="5">
        <f t="shared" ca="1" si="24"/>
        <v>15389.844244408074</v>
      </c>
      <c r="O75" s="5">
        <f t="shared" ca="1" si="25"/>
        <v>16292.803873431532</v>
      </c>
      <c r="P75" s="5">
        <f t="shared" ca="1" si="26"/>
        <v>17195.763502454993</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f t="shared" ca="1" si="37"/>
        <v>14250</v>
      </c>
      <c r="AA75" s="5" t="str">
        <f>IF(Setup!$I$15="Yes",'Demand background (hide)'!AJ63+'SPC background (hide)'!C75,"")</f>
        <v/>
      </c>
      <c r="AC75" s="5">
        <f t="shared" ca="1" si="30"/>
        <v>14765</v>
      </c>
      <c r="AD75" s="5">
        <f t="shared" ca="1" si="31"/>
        <v>15657.95</v>
      </c>
    </row>
    <row r="76" spans="1:30" x14ac:dyDescent="0.2">
      <c r="A76" s="67">
        <f ca="1">Demand!C73</f>
        <v>22</v>
      </c>
      <c r="B76" s="67">
        <v>61</v>
      </c>
      <c r="C76" s="5">
        <f ca="1">'Demand background (hide)'!Y64</f>
        <v>12285</v>
      </c>
      <c r="D76" s="67">
        <f t="shared" si="15"/>
        <v>1</v>
      </c>
      <c r="E76" s="67" t="e">
        <f t="shared" ca="1" si="16"/>
        <v>#N/A</v>
      </c>
      <c r="F76" s="67" t="e">
        <f t="shared" ca="1" si="17"/>
        <v>#N/A</v>
      </c>
      <c r="G76" s="67" t="e">
        <f t="shared" ca="1" si="18"/>
        <v>#N/A</v>
      </c>
      <c r="H76" s="67" t="e">
        <f>IF('Demand background (hide)'!AN64&lt;&gt;"",'SPC background (hide)'!C76,NA())</f>
        <v>#N/A</v>
      </c>
      <c r="I76" s="67">
        <f t="shared" ca="1" si="19"/>
        <v>1</v>
      </c>
      <c r="J76" s="5">
        <f t="shared" ca="1" si="20"/>
        <v>11778.005728314238</v>
      </c>
      <c r="K76" s="5">
        <f t="shared" ca="1" si="21"/>
        <v>12680.965357337698</v>
      </c>
      <c r="L76" s="5">
        <f t="shared" ca="1" si="22"/>
        <v>13583.924986361157</v>
      </c>
      <c r="M76" s="5">
        <f t="shared" ca="1" si="23"/>
        <v>14486.884615384615</v>
      </c>
      <c r="N76" s="5">
        <f t="shared" ca="1" si="24"/>
        <v>15389.844244408074</v>
      </c>
      <c r="O76" s="5">
        <f t="shared" ca="1" si="25"/>
        <v>16292.803873431532</v>
      </c>
      <c r="P76" s="5">
        <f t="shared" ca="1" si="26"/>
        <v>17195.763502454993</v>
      </c>
      <c r="Q76" s="5" t="e">
        <f t="shared" ca="1" si="27"/>
        <v>#N/A</v>
      </c>
      <c r="R76" s="5">
        <f t="shared" ca="1" si="32"/>
        <v>-2</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f t="shared" ca="1" si="37"/>
        <v>12285</v>
      </c>
      <c r="AA76" s="5" t="str">
        <f>IF(Setup!$I$15="Yes",'Demand background (hide)'!AJ64+'SPC background (hide)'!C76,"")</f>
        <v/>
      </c>
      <c r="AC76" s="5">
        <f t="shared" ca="1" si="30"/>
        <v>14765</v>
      </c>
      <c r="AD76" s="5">
        <f t="shared" ca="1" si="31"/>
        <v>15657.95</v>
      </c>
    </row>
    <row r="77" spans="1:30" x14ac:dyDescent="0.2">
      <c r="A77" s="67">
        <f ca="1">Demand!C74</f>
        <v>23</v>
      </c>
      <c r="B77" s="67">
        <v>62</v>
      </c>
      <c r="C77" s="5">
        <f ca="1">'Demand background (hide)'!Y65</f>
        <v>13846</v>
      </c>
      <c r="D77" s="67">
        <f t="shared" si="15"/>
        <v>1</v>
      </c>
      <c r="E77" s="67" t="e">
        <f t="shared" ca="1" si="16"/>
        <v>#N/A</v>
      </c>
      <c r="F77" s="67" t="e">
        <f t="shared" ca="1" si="17"/>
        <v>#N/A</v>
      </c>
      <c r="G77" s="67" t="e">
        <f t="shared" ca="1" si="18"/>
        <v>#N/A</v>
      </c>
      <c r="H77" s="67" t="e">
        <f>IF('Demand background (hide)'!AN65&lt;&gt;"",'SPC background (hide)'!C77,NA())</f>
        <v>#N/A</v>
      </c>
      <c r="I77" s="67">
        <f t="shared" ca="1" si="19"/>
        <v>1</v>
      </c>
      <c r="J77" s="5">
        <f t="shared" ca="1" si="20"/>
        <v>11778.005728314238</v>
      </c>
      <c r="K77" s="5">
        <f t="shared" ca="1" si="21"/>
        <v>12680.965357337698</v>
      </c>
      <c r="L77" s="5">
        <f t="shared" ca="1" si="22"/>
        <v>13583.924986361157</v>
      </c>
      <c r="M77" s="5">
        <f t="shared" ca="1" si="23"/>
        <v>14486.884615384615</v>
      </c>
      <c r="N77" s="5">
        <f t="shared" ca="1" si="24"/>
        <v>15389.844244408074</v>
      </c>
      <c r="O77" s="5">
        <f t="shared" ca="1" si="25"/>
        <v>16292.803873431532</v>
      </c>
      <c r="P77" s="5">
        <f t="shared" ca="1" si="26"/>
        <v>17195.763502454993</v>
      </c>
      <c r="Q77" s="5" t="e">
        <f t="shared" ca="1" si="27"/>
        <v>#N/A</v>
      </c>
      <c r="R77" s="5">
        <f t="shared" ca="1" si="32"/>
        <v>-1</v>
      </c>
      <c r="S77" s="67" t="e">
        <f t="shared" ca="1" si="33"/>
        <v>#N/A</v>
      </c>
      <c r="T77" s="67">
        <f t="shared" ca="1" si="34"/>
        <v>-1</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14765</v>
      </c>
      <c r="AD77" s="5">
        <f t="shared" ca="1" si="31"/>
        <v>15657.95</v>
      </c>
    </row>
    <row r="78" spans="1:30" x14ac:dyDescent="0.2">
      <c r="A78" s="67">
        <f ca="1">Demand!C75</f>
        <v>24</v>
      </c>
      <c r="B78" s="67">
        <v>63</v>
      </c>
      <c r="C78" s="5">
        <f ca="1">'Demand background (hide)'!Y66</f>
        <v>13532</v>
      </c>
      <c r="D78" s="67">
        <f t="shared" si="15"/>
        <v>1</v>
      </c>
      <c r="E78" s="67" t="e">
        <f t="shared" ca="1" si="16"/>
        <v>#N/A</v>
      </c>
      <c r="F78" s="67" t="e">
        <f t="shared" ca="1" si="17"/>
        <v>#N/A</v>
      </c>
      <c r="G78" s="67" t="e">
        <f t="shared" ca="1" si="18"/>
        <v>#N/A</v>
      </c>
      <c r="H78" s="67" t="e">
        <f>IF('Demand background (hide)'!AN66&lt;&gt;"",'SPC background (hide)'!C78,NA())</f>
        <v>#N/A</v>
      </c>
      <c r="I78" s="67">
        <f t="shared" ca="1" si="19"/>
        <v>1</v>
      </c>
      <c r="J78" s="5">
        <f t="shared" ca="1" si="20"/>
        <v>11778.005728314238</v>
      </c>
      <c r="K78" s="5">
        <f t="shared" ca="1" si="21"/>
        <v>12680.965357337698</v>
      </c>
      <c r="L78" s="5">
        <f t="shared" ca="1" si="22"/>
        <v>13583.924986361157</v>
      </c>
      <c r="M78" s="5">
        <f t="shared" ca="1" si="23"/>
        <v>14486.884615384615</v>
      </c>
      <c r="N78" s="5">
        <f t="shared" ca="1" si="24"/>
        <v>15389.844244408074</v>
      </c>
      <c r="O78" s="5">
        <f t="shared" ca="1" si="25"/>
        <v>16292.803873431532</v>
      </c>
      <c r="P78" s="5">
        <f t="shared" ca="1" si="26"/>
        <v>17195.763502454993</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14765</v>
      </c>
      <c r="AD78" s="5">
        <f t="shared" ca="1" si="31"/>
        <v>15657.95</v>
      </c>
    </row>
    <row r="79" spans="1:30" x14ac:dyDescent="0.2">
      <c r="A79" s="67">
        <f ca="1">Demand!C76</f>
        <v>25</v>
      </c>
      <c r="B79" s="67">
        <v>64</v>
      </c>
      <c r="C79" s="5">
        <f ca="1">'Demand background (hide)'!Y67</f>
        <v>14584</v>
      </c>
      <c r="D79" s="67">
        <f t="shared" si="15"/>
        <v>1</v>
      </c>
      <c r="E79" s="67" t="e">
        <f t="shared" ca="1" si="16"/>
        <v>#N/A</v>
      </c>
      <c r="F79" s="67" t="e">
        <f t="shared" ca="1" si="17"/>
        <v>#N/A</v>
      </c>
      <c r="G79" s="67" t="e">
        <f t="shared" ca="1" si="18"/>
        <v>#N/A</v>
      </c>
      <c r="H79" s="67" t="e">
        <f>IF('Demand background (hide)'!AN67&lt;&gt;"",'SPC background (hide)'!C79,NA())</f>
        <v>#N/A</v>
      </c>
      <c r="I79" s="67">
        <f t="shared" ca="1" si="19"/>
        <v>1</v>
      </c>
      <c r="J79" s="5">
        <f t="shared" ca="1" si="20"/>
        <v>11778.005728314238</v>
      </c>
      <c r="K79" s="5">
        <f t="shared" ca="1" si="21"/>
        <v>12680.965357337698</v>
      </c>
      <c r="L79" s="5">
        <f t="shared" ca="1" si="22"/>
        <v>13583.924986361157</v>
      </c>
      <c r="M79" s="5">
        <f t="shared" ca="1" si="23"/>
        <v>14486.884615384615</v>
      </c>
      <c r="N79" s="5">
        <f t="shared" ca="1" si="24"/>
        <v>15389.844244408074</v>
      </c>
      <c r="O79" s="5">
        <f t="shared" ca="1" si="25"/>
        <v>16292.803873431532</v>
      </c>
      <c r="P79" s="5">
        <f t="shared" ca="1" si="26"/>
        <v>17195.763502454993</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14765</v>
      </c>
      <c r="AD79" s="5">
        <f t="shared" ca="1" si="31"/>
        <v>15657.95</v>
      </c>
    </row>
    <row r="80" spans="1:30" x14ac:dyDescent="0.2">
      <c r="A80" s="67">
        <f ca="1">Demand!C77</f>
        <v>26</v>
      </c>
      <c r="B80" s="67">
        <v>65</v>
      </c>
      <c r="C80" s="5">
        <f ca="1">'Demand background (hide)'!Y68</f>
        <v>14328</v>
      </c>
      <c r="D80" s="67">
        <f t="shared" si="15"/>
        <v>1</v>
      </c>
      <c r="E80" s="67" t="e">
        <f t="shared" ca="1" si="16"/>
        <v>#N/A</v>
      </c>
      <c r="F80" s="67" t="e">
        <f t="shared" ca="1" si="17"/>
        <v>#N/A</v>
      </c>
      <c r="G80" s="67" t="e">
        <f t="shared" ca="1" si="18"/>
        <v>#N/A</v>
      </c>
      <c r="H80" s="67" t="e">
        <f>IF('Demand background (hide)'!AN68&lt;&gt;"",'SPC background (hide)'!C80,NA())</f>
        <v>#N/A</v>
      </c>
      <c r="I80" s="67">
        <f t="shared" ca="1" si="19"/>
        <v>1</v>
      </c>
      <c r="J80" s="5">
        <f t="shared" ca="1" si="20"/>
        <v>11778.005728314238</v>
      </c>
      <c r="K80" s="5">
        <f t="shared" ca="1" si="21"/>
        <v>12680.965357337698</v>
      </c>
      <c r="L80" s="5">
        <f t="shared" ca="1" si="22"/>
        <v>13583.924986361157</v>
      </c>
      <c r="M80" s="5">
        <f t="shared" ca="1" si="23"/>
        <v>14486.884615384615</v>
      </c>
      <c r="N80" s="5">
        <f t="shared" ca="1" si="24"/>
        <v>15389.844244408074</v>
      </c>
      <c r="O80" s="5">
        <f t="shared" ca="1" si="25"/>
        <v>16292.803873431532</v>
      </c>
      <c r="P80" s="5">
        <f t="shared" ca="1" si="26"/>
        <v>17195.763502454993</v>
      </c>
      <c r="Q80" s="5" t="e">
        <f t="shared" ca="1" si="27"/>
        <v>#N/A</v>
      </c>
      <c r="R80" s="5">
        <f t="shared" ca="1" si="32"/>
        <v>-1</v>
      </c>
      <c r="S80" s="67" t="e">
        <f t="shared" ca="1" si="33"/>
        <v>#N/A</v>
      </c>
      <c r="T80" s="67">
        <f t="shared" ca="1" si="34"/>
        <v>-1</v>
      </c>
      <c r="U80" s="67" t="e">
        <f t="shared" ca="1" si="35"/>
        <v>#N/A</v>
      </c>
      <c r="V80" s="5">
        <f t="shared" ref="V80:V143" ca="1" si="38">IF(C80&lt;M80,-1,IF(C80&gt;M80,1,0))</f>
        <v>-1</v>
      </c>
      <c r="W80" s="5">
        <f t="shared" ca="1" si="28"/>
        <v>14328</v>
      </c>
      <c r="X80" s="67">
        <f t="shared" ca="1" si="29"/>
        <v>-1</v>
      </c>
      <c r="Y80" s="67" t="e">
        <f t="shared" ca="1" si="36"/>
        <v>#N/A</v>
      </c>
      <c r="Z80" s="67">
        <f t="shared" ca="1" si="37"/>
        <v>14328</v>
      </c>
      <c r="AA80" s="5" t="str">
        <f>IF(Setup!$I$15="Yes",'Demand background (hide)'!AJ68+'SPC background (hide)'!C80,"")</f>
        <v/>
      </c>
      <c r="AC80" s="5">
        <f t="shared" ca="1" si="30"/>
        <v>14765</v>
      </c>
      <c r="AD80" s="5">
        <f t="shared" ca="1" si="31"/>
        <v>15657.95</v>
      </c>
    </row>
    <row r="81" spans="1:30" x14ac:dyDescent="0.2">
      <c r="A81" s="67">
        <f ca="1">Demand!C78</f>
        <v>27</v>
      </c>
      <c r="B81" s="67">
        <v>66</v>
      </c>
      <c r="C81" s="5">
        <f ca="1">'Demand background (hide)'!Y69</f>
        <v>13877</v>
      </c>
      <c r="D81" s="67">
        <f t="shared" ref="D81:D144" si="39">IF(AND($B81&gt;=$C$4,$B81&lt;=$D$5+$C$5-1),1,0)</f>
        <v>1</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11778.005728314238</v>
      </c>
      <c r="K81" s="5">
        <f t="shared" ref="K81:K144" ca="1" si="45">VLOOKUP($A81,$AG$2:$AQ$54,COLUMN(F$1),0)</f>
        <v>12680.965357337698</v>
      </c>
      <c r="L81" s="5">
        <f t="shared" ref="L81:L144" ca="1" si="46">VLOOKUP($A81,$AG$2:$AQ$54,COLUMN(G$1),0)</f>
        <v>13583.924986361157</v>
      </c>
      <c r="M81" s="5">
        <f t="shared" ref="M81:M144" ca="1" si="47">VLOOKUP($A81,$AG$2:$AQ$54,COLUMN(H$1),0)</f>
        <v>14486.884615384615</v>
      </c>
      <c r="N81" s="5">
        <f t="shared" ref="N81:N144" ca="1" si="48">VLOOKUP($A81,$AG$2:$AQ$54,COLUMN(I$1),0)</f>
        <v>15389.844244408074</v>
      </c>
      <c r="O81" s="5">
        <f t="shared" ref="O81:O144" ca="1" si="49">VLOOKUP($A81,$AG$2:$AQ$54,COLUMN(J$1),0)</f>
        <v>16292.803873431532</v>
      </c>
      <c r="P81" s="5">
        <f t="shared" ref="P81:P144" ca="1" si="50">VLOOKUP($A81,$AG$2:$AQ$54,COLUMN(K$1),0)</f>
        <v>17195.763502454993</v>
      </c>
      <c r="Q81" s="5" t="e">
        <f t="shared" ref="Q81:Q144" ca="1" si="51">IF(ISNA(H81)=TRUE,IF(OR(C81&gt;P81,C81&lt;J81),C81,NA()),NA())</f>
        <v>#N/A</v>
      </c>
      <c r="R81" s="5">
        <f t="shared" ca="1" si="32"/>
        <v>-1</v>
      </c>
      <c r="S81" s="67" t="e">
        <f t="shared" ca="1" si="33"/>
        <v>#N/A</v>
      </c>
      <c r="T81" s="67">
        <f t="shared" ca="1" si="34"/>
        <v>-1</v>
      </c>
      <c r="U81" s="67" t="e">
        <f t="shared" ca="1" si="35"/>
        <v>#N/A</v>
      </c>
      <c r="V81" s="5">
        <f t="shared" ca="1" si="38"/>
        <v>-1</v>
      </c>
      <c r="W81" s="5">
        <f t="shared" ref="W81:W144" ca="1" si="52">IF(ISNA(H81)=TRUE,IF(ABS(SUM(V81:V89))=9,C81,NA()),NA())</f>
        <v>13877</v>
      </c>
      <c r="X81" s="67">
        <f t="shared" ref="X81:X144" ca="1" si="53">IF(C81&gt;C80,1,IF(C81&lt;C80,-1,0))</f>
        <v>-1</v>
      </c>
      <c r="Y81" s="67" t="e">
        <f t="shared" ca="1" si="36"/>
        <v>#N/A</v>
      </c>
      <c r="Z81" s="67">
        <f t="shared" ca="1" si="37"/>
        <v>13877</v>
      </c>
      <c r="AA81" s="5" t="str">
        <f>IF(Setup!$I$15="Yes",'Demand background (hide)'!AJ69+'SPC background (hide)'!C81,"")</f>
        <v/>
      </c>
      <c r="AC81" s="5">
        <f t="shared" ref="AC81:AC144" ca="1" si="54">VLOOKUP($A81,$AG$2:$AS$54,12,0)</f>
        <v>14765</v>
      </c>
      <c r="AD81" s="5">
        <f t="shared" ref="AD81:AD144" ca="1" si="55">VLOOKUP($A81,$AG$2:$AS$54,13,0)</f>
        <v>15657.95</v>
      </c>
    </row>
    <row r="82" spans="1:30" x14ac:dyDescent="0.2">
      <c r="A82" s="67">
        <f ca="1">Demand!C79</f>
        <v>28</v>
      </c>
      <c r="B82" s="67">
        <v>67</v>
      </c>
      <c r="C82" s="5">
        <f ca="1">'Demand background (hide)'!Y70</f>
        <v>13607</v>
      </c>
      <c r="D82" s="67">
        <f t="shared" si="39"/>
        <v>1</v>
      </c>
      <c r="E82" s="67" t="e">
        <f t="shared" ca="1" si="40"/>
        <v>#N/A</v>
      </c>
      <c r="F82" s="67" t="e">
        <f t="shared" ca="1" si="41"/>
        <v>#N/A</v>
      </c>
      <c r="G82" s="67" t="e">
        <f t="shared" ca="1" si="42"/>
        <v>#N/A</v>
      </c>
      <c r="H82" s="67" t="e">
        <f>IF('Demand background (hide)'!AN70&lt;&gt;"",'SPC background (hide)'!C82,NA())</f>
        <v>#N/A</v>
      </c>
      <c r="I82" s="67">
        <f t="shared" ca="1" si="43"/>
        <v>1</v>
      </c>
      <c r="J82" s="5">
        <f t="shared" ca="1" si="44"/>
        <v>11778.005728314238</v>
      </c>
      <c r="K82" s="5">
        <f t="shared" ca="1" si="45"/>
        <v>12680.965357337698</v>
      </c>
      <c r="L82" s="5">
        <f t="shared" ca="1" si="46"/>
        <v>13583.924986361157</v>
      </c>
      <c r="M82" s="5">
        <f t="shared" ca="1" si="47"/>
        <v>14486.884615384615</v>
      </c>
      <c r="N82" s="5">
        <f t="shared" ca="1" si="48"/>
        <v>15389.844244408074</v>
      </c>
      <c r="O82" s="5">
        <f t="shared" ca="1" si="49"/>
        <v>16292.803873431532</v>
      </c>
      <c r="P82" s="5">
        <f t="shared" ca="1" si="50"/>
        <v>17195.763502454993</v>
      </c>
      <c r="Q82" s="5" t="e">
        <f t="shared" ca="1" si="51"/>
        <v>#N/A</v>
      </c>
      <c r="R82" s="5">
        <f t="shared" ref="R82:R145" ca="1" si="56">IF(C82&gt;O82,2,IF(C82&lt;K82,-2,IF(C82&gt;M82,1,IF(C82&lt;M82,-1,0))))</f>
        <v>-1</v>
      </c>
      <c r="S82" s="67" t="e">
        <f t="shared" ref="S82:S145" ca="1" si="57">IF(ISNA(H82),IF(ABS(SUM(R82:R84))&gt;=5,C82,NA()),NA())</f>
        <v>#N/A</v>
      </c>
      <c r="T82" s="67">
        <f t="shared" ref="T82:T145" ca="1" si="58">IF(C82&gt;N82,2,IF(C82&lt;L82,-2,IF(C82&gt;M82,1,IF(C82&lt;M82,-1,0))))</f>
        <v>-1</v>
      </c>
      <c r="U82" s="67" t="e">
        <f t="shared" ref="U82:U145" ca="1" si="59">IF(ISNA(H82)=TRUE,IF(ABS(SUM(T82:T86))&gt;=9,C82,NA()),NA())</f>
        <v>#N/A</v>
      </c>
      <c r="V82" s="5">
        <f t="shared" ca="1" si="38"/>
        <v>-1</v>
      </c>
      <c r="W82" s="5">
        <f t="shared" ca="1" si="52"/>
        <v>13607</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14765</v>
      </c>
      <c r="AD82" s="5">
        <f t="shared" ca="1" si="55"/>
        <v>15657.95</v>
      </c>
    </row>
    <row r="83" spans="1:30" x14ac:dyDescent="0.2">
      <c r="A83" s="67">
        <f ca="1">Demand!C80</f>
        <v>29</v>
      </c>
      <c r="B83" s="67">
        <v>68</v>
      </c>
      <c r="C83" s="5">
        <f ca="1">'Demand background (hide)'!Y71</f>
        <v>14236</v>
      </c>
      <c r="D83" s="67">
        <f t="shared" si="39"/>
        <v>1</v>
      </c>
      <c r="E83" s="67" t="e">
        <f t="shared" ca="1" si="40"/>
        <v>#N/A</v>
      </c>
      <c r="F83" s="67" t="e">
        <f t="shared" ca="1" si="41"/>
        <v>#N/A</v>
      </c>
      <c r="G83" s="67" t="e">
        <f t="shared" ca="1" si="42"/>
        <v>#N/A</v>
      </c>
      <c r="H83" s="67" t="e">
        <f>IF('Demand background (hide)'!AN71&lt;&gt;"",'SPC background (hide)'!C83,NA())</f>
        <v>#N/A</v>
      </c>
      <c r="I83" s="67">
        <f t="shared" ca="1" si="43"/>
        <v>1</v>
      </c>
      <c r="J83" s="5">
        <f t="shared" ca="1" si="44"/>
        <v>11778.005728314238</v>
      </c>
      <c r="K83" s="5">
        <f t="shared" ca="1" si="45"/>
        <v>12680.965357337698</v>
      </c>
      <c r="L83" s="5">
        <f t="shared" ca="1" si="46"/>
        <v>13583.924986361157</v>
      </c>
      <c r="M83" s="5">
        <f t="shared" ca="1" si="47"/>
        <v>14486.884615384615</v>
      </c>
      <c r="N83" s="5">
        <f t="shared" ca="1" si="48"/>
        <v>15389.844244408074</v>
      </c>
      <c r="O83" s="5">
        <f t="shared" ca="1" si="49"/>
        <v>16292.803873431532</v>
      </c>
      <c r="P83" s="5">
        <f t="shared" ca="1" si="50"/>
        <v>17195.763502454993</v>
      </c>
      <c r="Q83" s="5" t="e">
        <f t="shared" ca="1" si="51"/>
        <v>#N/A</v>
      </c>
      <c r="R83" s="5">
        <f t="shared" ca="1" si="56"/>
        <v>-1</v>
      </c>
      <c r="S83" s="67" t="e">
        <f t="shared" ca="1" si="57"/>
        <v>#N/A</v>
      </c>
      <c r="T83" s="67">
        <f t="shared" ca="1" si="58"/>
        <v>-1</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14765</v>
      </c>
      <c r="AD83" s="5">
        <f t="shared" ca="1" si="55"/>
        <v>15657.95</v>
      </c>
    </row>
    <row r="84" spans="1:30" x14ac:dyDescent="0.2">
      <c r="A84" s="67">
        <f ca="1">Demand!C81</f>
        <v>30</v>
      </c>
      <c r="B84" s="67">
        <v>69</v>
      </c>
      <c r="C84" s="5">
        <f ca="1">'Demand background (hide)'!Y72</f>
        <v>13789</v>
      </c>
      <c r="D84" s="67">
        <f t="shared" si="39"/>
        <v>1</v>
      </c>
      <c r="E84" s="67" t="e">
        <f t="shared" ca="1" si="40"/>
        <v>#N/A</v>
      </c>
      <c r="F84" s="67" t="e">
        <f t="shared" ca="1" si="41"/>
        <v>#N/A</v>
      </c>
      <c r="G84" s="67" t="e">
        <f t="shared" ca="1" si="42"/>
        <v>#N/A</v>
      </c>
      <c r="H84" s="67" t="e">
        <f>IF('Demand background (hide)'!AN72&lt;&gt;"",'SPC background (hide)'!C84,NA())</f>
        <v>#N/A</v>
      </c>
      <c r="I84" s="67">
        <f t="shared" ca="1" si="43"/>
        <v>1</v>
      </c>
      <c r="J84" s="5">
        <f t="shared" ca="1" si="44"/>
        <v>11778.005728314238</v>
      </c>
      <c r="K84" s="5">
        <f t="shared" ca="1" si="45"/>
        <v>12680.965357337698</v>
      </c>
      <c r="L84" s="5">
        <f t="shared" ca="1" si="46"/>
        <v>13583.924986361157</v>
      </c>
      <c r="M84" s="5">
        <f t="shared" ca="1" si="47"/>
        <v>14486.884615384615</v>
      </c>
      <c r="N84" s="5">
        <f t="shared" ca="1" si="48"/>
        <v>15389.844244408074</v>
      </c>
      <c r="O84" s="5">
        <f t="shared" ca="1" si="49"/>
        <v>16292.803873431532</v>
      </c>
      <c r="P84" s="5">
        <f t="shared" ca="1" si="50"/>
        <v>17195.763502454993</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14765</v>
      </c>
      <c r="AD84" s="5">
        <f t="shared" ca="1" si="55"/>
        <v>15657.95</v>
      </c>
    </row>
    <row r="85" spans="1:30" x14ac:dyDescent="0.2">
      <c r="A85" s="67">
        <f ca="1">Demand!C82</f>
        <v>31</v>
      </c>
      <c r="B85" s="67">
        <v>70</v>
      </c>
      <c r="C85" s="5">
        <f ca="1">'Demand background (hide)'!Y73</f>
        <v>13891</v>
      </c>
      <c r="D85" s="67">
        <f t="shared" si="39"/>
        <v>1</v>
      </c>
      <c r="E85" s="67" t="e">
        <f t="shared" ca="1" si="40"/>
        <v>#N/A</v>
      </c>
      <c r="F85" s="67" t="e">
        <f t="shared" ca="1" si="41"/>
        <v>#N/A</v>
      </c>
      <c r="G85" s="67" t="e">
        <f t="shared" ca="1" si="42"/>
        <v>#N/A</v>
      </c>
      <c r="H85" s="67" t="e">
        <f>IF('Demand background (hide)'!AN73&lt;&gt;"",'SPC background (hide)'!C85,NA())</f>
        <v>#N/A</v>
      </c>
      <c r="I85" s="67">
        <f t="shared" ca="1" si="43"/>
        <v>1</v>
      </c>
      <c r="J85" s="5">
        <f t="shared" ca="1" si="44"/>
        <v>11778.005728314238</v>
      </c>
      <c r="K85" s="5">
        <f t="shared" ca="1" si="45"/>
        <v>12680.965357337698</v>
      </c>
      <c r="L85" s="5">
        <f t="shared" ca="1" si="46"/>
        <v>13583.924986361157</v>
      </c>
      <c r="M85" s="5">
        <f t="shared" ca="1" si="47"/>
        <v>14486.884615384615</v>
      </c>
      <c r="N85" s="5">
        <f t="shared" ca="1" si="48"/>
        <v>15389.844244408074</v>
      </c>
      <c r="O85" s="5">
        <f t="shared" ca="1" si="49"/>
        <v>16292.803873431532</v>
      </c>
      <c r="P85" s="5">
        <f t="shared" ca="1" si="50"/>
        <v>17195.763502454993</v>
      </c>
      <c r="Q85" s="5" t="e">
        <f t="shared" ca="1" si="51"/>
        <v>#N/A</v>
      </c>
      <c r="R85" s="5">
        <f t="shared" ca="1" si="56"/>
        <v>-1</v>
      </c>
      <c r="S85" s="67" t="e">
        <f t="shared" ca="1" si="57"/>
        <v>#N/A</v>
      </c>
      <c r="T85" s="67">
        <f t="shared" ca="1" si="58"/>
        <v>-1</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14765</v>
      </c>
      <c r="AD85" s="5">
        <f t="shared" ca="1" si="55"/>
        <v>15657.95</v>
      </c>
    </row>
    <row r="86" spans="1:30" x14ac:dyDescent="0.2">
      <c r="A86" s="67">
        <f ca="1">Demand!C83</f>
        <v>32</v>
      </c>
      <c r="B86" s="67">
        <v>71</v>
      </c>
      <c r="C86" s="5">
        <f ca="1">'Demand background (hide)'!Y74</f>
        <v>13621</v>
      </c>
      <c r="D86" s="67">
        <f t="shared" si="39"/>
        <v>1</v>
      </c>
      <c r="E86" s="67" t="e">
        <f t="shared" ca="1" si="40"/>
        <v>#N/A</v>
      </c>
      <c r="F86" s="67" t="e">
        <f t="shared" ca="1" si="41"/>
        <v>#N/A</v>
      </c>
      <c r="G86" s="67" t="e">
        <f t="shared" ca="1" si="42"/>
        <v>#N/A</v>
      </c>
      <c r="H86" s="67" t="e">
        <f>IF('Demand background (hide)'!AN74&lt;&gt;"",'SPC background (hide)'!C86,NA())</f>
        <v>#N/A</v>
      </c>
      <c r="I86" s="67">
        <f t="shared" ca="1" si="43"/>
        <v>1</v>
      </c>
      <c r="J86" s="5">
        <f t="shared" ca="1" si="44"/>
        <v>11778.005728314238</v>
      </c>
      <c r="K86" s="5">
        <f t="shared" ca="1" si="45"/>
        <v>12680.965357337698</v>
      </c>
      <c r="L86" s="5">
        <f t="shared" ca="1" si="46"/>
        <v>13583.924986361157</v>
      </c>
      <c r="M86" s="5">
        <f t="shared" ca="1" si="47"/>
        <v>14486.884615384615</v>
      </c>
      <c r="N86" s="5">
        <f t="shared" ca="1" si="48"/>
        <v>15389.844244408074</v>
      </c>
      <c r="O86" s="5">
        <f t="shared" ca="1" si="49"/>
        <v>16292.803873431532</v>
      </c>
      <c r="P86" s="5">
        <f t="shared" ca="1" si="50"/>
        <v>17195.763502454993</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14765</v>
      </c>
      <c r="AD86" s="5">
        <f t="shared" ca="1" si="55"/>
        <v>15657.95</v>
      </c>
    </row>
    <row r="87" spans="1:30" x14ac:dyDescent="0.2">
      <c r="A87" s="67">
        <f ca="1">Demand!C84</f>
        <v>33</v>
      </c>
      <c r="B87" s="67">
        <v>72</v>
      </c>
      <c r="C87" s="5">
        <f ca="1">'Demand background (hide)'!Y75</f>
        <v>14146</v>
      </c>
      <c r="D87" s="67">
        <f t="shared" si="39"/>
        <v>1</v>
      </c>
      <c r="E87" s="67" t="e">
        <f t="shared" ca="1" si="40"/>
        <v>#N/A</v>
      </c>
      <c r="F87" s="67" t="e">
        <f t="shared" ca="1" si="41"/>
        <v>#N/A</v>
      </c>
      <c r="G87" s="67" t="e">
        <f t="shared" ca="1" si="42"/>
        <v>#N/A</v>
      </c>
      <c r="H87" s="67" t="e">
        <f>IF('Demand background (hide)'!AN75&lt;&gt;"",'SPC background (hide)'!C87,NA())</f>
        <v>#N/A</v>
      </c>
      <c r="I87" s="67">
        <f t="shared" ca="1" si="43"/>
        <v>1</v>
      </c>
      <c r="J87" s="5">
        <f t="shared" ca="1" si="44"/>
        <v>11778.005728314238</v>
      </c>
      <c r="K87" s="5">
        <f t="shared" ca="1" si="45"/>
        <v>12680.965357337698</v>
      </c>
      <c r="L87" s="5">
        <f t="shared" ca="1" si="46"/>
        <v>13583.924986361157</v>
      </c>
      <c r="M87" s="5">
        <f t="shared" ca="1" si="47"/>
        <v>14486.884615384615</v>
      </c>
      <c r="N87" s="5">
        <f t="shared" ca="1" si="48"/>
        <v>15389.844244408074</v>
      </c>
      <c r="O87" s="5">
        <f t="shared" ca="1" si="49"/>
        <v>16292.803873431532</v>
      </c>
      <c r="P87" s="5">
        <f t="shared" ca="1" si="50"/>
        <v>17195.763502454993</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14765</v>
      </c>
      <c r="AD87" s="5">
        <f t="shared" ca="1" si="55"/>
        <v>15657.95</v>
      </c>
    </row>
    <row r="88" spans="1:30" x14ac:dyDescent="0.2">
      <c r="A88" s="67">
        <f ca="1">Demand!C85</f>
        <v>34</v>
      </c>
      <c r="B88" s="67">
        <v>73</v>
      </c>
      <c r="C88" s="5">
        <f ca="1">'Demand background (hide)'!Y76</f>
        <v>14297</v>
      </c>
      <c r="D88" s="67">
        <f t="shared" si="39"/>
        <v>1</v>
      </c>
      <c r="E88" s="67" t="e">
        <f t="shared" ca="1" si="40"/>
        <v>#N/A</v>
      </c>
      <c r="F88" s="67" t="e">
        <f t="shared" ca="1" si="41"/>
        <v>#N/A</v>
      </c>
      <c r="G88" s="67" t="e">
        <f t="shared" ca="1" si="42"/>
        <v>#N/A</v>
      </c>
      <c r="H88" s="67" t="e">
        <f>IF('Demand background (hide)'!AN76&lt;&gt;"",'SPC background (hide)'!C88,NA())</f>
        <v>#N/A</v>
      </c>
      <c r="I88" s="67">
        <f t="shared" ca="1" si="43"/>
        <v>1</v>
      </c>
      <c r="J88" s="5">
        <f t="shared" ca="1" si="44"/>
        <v>11778.005728314238</v>
      </c>
      <c r="K88" s="5">
        <f t="shared" ca="1" si="45"/>
        <v>12680.965357337698</v>
      </c>
      <c r="L88" s="5">
        <f t="shared" ca="1" si="46"/>
        <v>13583.924986361157</v>
      </c>
      <c r="M88" s="5">
        <f t="shared" ca="1" si="47"/>
        <v>14486.884615384615</v>
      </c>
      <c r="N88" s="5">
        <f t="shared" ca="1" si="48"/>
        <v>15389.844244408074</v>
      </c>
      <c r="O88" s="5">
        <f t="shared" ca="1" si="49"/>
        <v>16292.803873431532</v>
      </c>
      <c r="P88" s="5">
        <f t="shared" ca="1" si="50"/>
        <v>17195.763502454993</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14765</v>
      </c>
      <c r="AD88" s="5">
        <f t="shared" ca="1" si="55"/>
        <v>15657.95</v>
      </c>
    </row>
    <row r="89" spans="1:30" x14ac:dyDescent="0.2">
      <c r="A89" s="67">
        <f ca="1">Demand!C86</f>
        <v>35</v>
      </c>
      <c r="B89" s="67">
        <v>74</v>
      </c>
      <c r="C89" s="5">
        <f ca="1">'Demand background (hide)'!Y77</f>
        <v>12870</v>
      </c>
      <c r="D89" s="67">
        <f t="shared" si="39"/>
        <v>1</v>
      </c>
      <c r="E89" s="67" t="e">
        <f t="shared" ca="1" si="40"/>
        <v>#N/A</v>
      </c>
      <c r="F89" s="67" t="e">
        <f t="shared" ca="1" si="41"/>
        <v>#N/A</v>
      </c>
      <c r="G89" s="67" t="e">
        <f t="shared" ca="1" si="42"/>
        <v>#N/A</v>
      </c>
      <c r="H89" s="67" t="e">
        <f>IF('Demand background (hide)'!AN77&lt;&gt;"",'SPC background (hide)'!C89,NA())</f>
        <v>#N/A</v>
      </c>
      <c r="I89" s="67">
        <f t="shared" ca="1" si="43"/>
        <v>1</v>
      </c>
      <c r="J89" s="5">
        <f t="shared" ca="1" si="44"/>
        <v>11778.005728314238</v>
      </c>
      <c r="K89" s="5">
        <f t="shared" ca="1" si="45"/>
        <v>12680.965357337698</v>
      </c>
      <c r="L89" s="5">
        <f t="shared" ca="1" si="46"/>
        <v>13583.924986361157</v>
      </c>
      <c r="M89" s="5">
        <f t="shared" ca="1" si="47"/>
        <v>14486.884615384615</v>
      </c>
      <c r="N89" s="5">
        <f t="shared" ca="1" si="48"/>
        <v>15389.844244408074</v>
      </c>
      <c r="O89" s="5">
        <f t="shared" ca="1" si="49"/>
        <v>16292.803873431532</v>
      </c>
      <c r="P89" s="5">
        <f t="shared" ca="1" si="50"/>
        <v>17195.763502454993</v>
      </c>
      <c r="Q89" s="5" t="e">
        <f t="shared" ca="1" si="51"/>
        <v>#N/A</v>
      </c>
      <c r="R89" s="5">
        <f t="shared" ca="1" si="56"/>
        <v>-1</v>
      </c>
      <c r="S89" s="67" t="e">
        <f t="shared" ca="1" si="57"/>
        <v>#N/A</v>
      </c>
      <c r="T89" s="67">
        <f t="shared" ca="1" si="58"/>
        <v>-2</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14765</v>
      </c>
      <c r="AD89" s="5">
        <f t="shared" ca="1" si="55"/>
        <v>15657.95</v>
      </c>
    </row>
    <row r="90" spans="1:30" x14ac:dyDescent="0.2">
      <c r="A90" s="67">
        <f ca="1">Demand!C87</f>
        <v>36</v>
      </c>
      <c r="B90" s="67">
        <v>75</v>
      </c>
      <c r="C90" s="5">
        <f ca="1">'Demand background (hide)'!Y78</f>
        <v>14220</v>
      </c>
      <c r="D90" s="67">
        <f t="shared" si="39"/>
        <v>1</v>
      </c>
      <c r="E90" s="67" t="e">
        <f t="shared" ca="1" si="40"/>
        <v>#N/A</v>
      </c>
      <c r="F90" s="67" t="e">
        <f t="shared" ca="1" si="41"/>
        <v>#N/A</v>
      </c>
      <c r="G90" s="67" t="e">
        <f t="shared" ca="1" si="42"/>
        <v>#N/A</v>
      </c>
      <c r="H90" s="67" t="e">
        <f>IF('Demand background (hide)'!AN78&lt;&gt;"",'SPC background (hide)'!C90,NA())</f>
        <v>#N/A</v>
      </c>
      <c r="I90" s="67">
        <f t="shared" ca="1" si="43"/>
        <v>1</v>
      </c>
      <c r="J90" s="5">
        <f t="shared" ca="1" si="44"/>
        <v>11778.005728314238</v>
      </c>
      <c r="K90" s="5">
        <f t="shared" ca="1" si="45"/>
        <v>12680.965357337698</v>
      </c>
      <c r="L90" s="5">
        <f t="shared" ca="1" si="46"/>
        <v>13583.924986361157</v>
      </c>
      <c r="M90" s="5">
        <f t="shared" ca="1" si="47"/>
        <v>14486.884615384615</v>
      </c>
      <c r="N90" s="5">
        <f t="shared" ca="1" si="48"/>
        <v>15389.844244408074</v>
      </c>
      <c r="O90" s="5">
        <f t="shared" ca="1" si="49"/>
        <v>16292.803873431532</v>
      </c>
      <c r="P90" s="5">
        <f t="shared" ca="1" si="50"/>
        <v>17195.763502454993</v>
      </c>
      <c r="Q90" s="5" t="e">
        <f t="shared" ca="1" si="51"/>
        <v>#N/A</v>
      </c>
      <c r="R90" s="5">
        <f t="shared" ca="1" si="56"/>
        <v>-1</v>
      </c>
      <c r="S90" s="67" t="e">
        <f t="shared" ca="1" si="57"/>
        <v>#N/A</v>
      </c>
      <c r="T90" s="67">
        <f t="shared" ca="1" si="58"/>
        <v>-1</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14765</v>
      </c>
      <c r="AD90" s="5">
        <f t="shared" ca="1" si="55"/>
        <v>15657.95</v>
      </c>
    </row>
    <row r="91" spans="1:30" x14ac:dyDescent="0.2">
      <c r="A91" s="67">
        <f ca="1">Demand!C88</f>
        <v>37</v>
      </c>
      <c r="B91" s="67">
        <v>76</v>
      </c>
      <c r="C91" s="5">
        <f ca="1">'Demand background (hide)'!Y79</f>
        <v>14747</v>
      </c>
      <c r="D91" s="67">
        <f t="shared" si="39"/>
        <v>1</v>
      </c>
      <c r="E91" s="67" t="e">
        <f t="shared" ca="1" si="40"/>
        <v>#N/A</v>
      </c>
      <c r="F91" s="67" t="e">
        <f t="shared" ca="1" si="41"/>
        <v>#N/A</v>
      </c>
      <c r="G91" s="67" t="e">
        <f t="shared" ca="1" si="42"/>
        <v>#N/A</v>
      </c>
      <c r="H91" s="67" t="e">
        <f>IF('Demand background (hide)'!AN79&lt;&gt;"",'SPC background (hide)'!C91,NA())</f>
        <v>#N/A</v>
      </c>
      <c r="I91" s="67">
        <f t="shared" ca="1" si="43"/>
        <v>1</v>
      </c>
      <c r="J91" s="5">
        <f t="shared" ca="1" si="44"/>
        <v>11778.005728314238</v>
      </c>
      <c r="K91" s="5">
        <f t="shared" ca="1" si="45"/>
        <v>12680.965357337698</v>
      </c>
      <c r="L91" s="5">
        <f t="shared" ca="1" si="46"/>
        <v>13583.924986361157</v>
      </c>
      <c r="M91" s="5">
        <f t="shared" ca="1" si="47"/>
        <v>14486.884615384615</v>
      </c>
      <c r="N91" s="5">
        <f t="shared" ca="1" si="48"/>
        <v>15389.844244408074</v>
      </c>
      <c r="O91" s="5">
        <f t="shared" ca="1" si="49"/>
        <v>16292.803873431532</v>
      </c>
      <c r="P91" s="5">
        <f t="shared" ca="1" si="50"/>
        <v>17195.763502454993</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14765</v>
      </c>
      <c r="AD91" s="5">
        <f t="shared" ca="1" si="55"/>
        <v>15657.95</v>
      </c>
    </row>
    <row r="92" spans="1:30" x14ac:dyDescent="0.2">
      <c r="A92" s="67">
        <f ca="1">Demand!C89</f>
        <v>38</v>
      </c>
      <c r="B92" s="67">
        <v>77</v>
      </c>
      <c r="C92" s="5">
        <f ca="1">'Demand background (hide)'!Y80</f>
        <v>14116</v>
      </c>
      <c r="D92" s="67">
        <f t="shared" si="39"/>
        <v>1</v>
      </c>
      <c r="E92" s="67" t="e">
        <f t="shared" ca="1" si="40"/>
        <v>#N/A</v>
      </c>
      <c r="F92" s="67" t="e">
        <f t="shared" ca="1" si="41"/>
        <v>#N/A</v>
      </c>
      <c r="G92" s="67" t="e">
        <f t="shared" ca="1" si="42"/>
        <v>#N/A</v>
      </c>
      <c r="H92" s="67" t="e">
        <f>IF('Demand background (hide)'!AN80&lt;&gt;"",'SPC background (hide)'!C92,NA())</f>
        <v>#N/A</v>
      </c>
      <c r="I92" s="67">
        <f t="shared" ca="1" si="43"/>
        <v>1</v>
      </c>
      <c r="J92" s="5">
        <f t="shared" ca="1" si="44"/>
        <v>11778.005728314238</v>
      </c>
      <c r="K92" s="5">
        <f t="shared" ca="1" si="45"/>
        <v>12680.965357337698</v>
      </c>
      <c r="L92" s="5">
        <f t="shared" ca="1" si="46"/>
        <v>13583.924986361157</v>
      </c>
      <c r="M92" s="5">
        <f t="shared" ca="1" si="47"/>
        <v>14486.884615384615</v>
      </c>
      <c r="N92" s="5">
        <f t="shared" ca="1" si="48"/>
        <v>15389.844244408074</v>
      </c>
      <c r="O92" s="5">
        <f t="shared" ca="1" si="49"/>
        <v>16292.803873431532</v>
      </c>
      <c r="P92" s="5">
        <f t="shared" ca="1" si="50"/>
        <v>17195.763502454993</v>
      </c>
      <c r="Q92" s="5" t="e">
        <f t="shared" ca="1" si="51"/>
        <v>#N/A</v>
      </c>
      <c r="R92" s="5">
        <f t="shared" ca="1" si="56"/>
        <v>-1</v>
      </c>
      <c r="S92" s="67" t="e">
        <f t="shared" ca="1" si="57"/>
        <v>#N/A</v>
      </c>
      <c r="T92" s="67">
        <f t="shared" ca="1" si="58"/>
        <v>-1</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14765</v>
      </c>
      <c r="AD92" s="5">
        <f t="shared" ca="1" si="55"/>
        <v>15657.95</v>
      </c>
    </row>
    <row r="93" spans="1:30" x14ac:dyDescent="0.2">
      <c r="A93" s="67">
        <f ca="1">Demand!C90</f>
        <v>39</v>
      </c>
      <c r="B93" s="67">
        <v>78</v>
      </c>
      <c r="C93" s="5">
        <f ca="1">'Demand background (hide)'!Y81</f>
        <v>15631</v>
      </c>
      <c r="D93" s="67">
        <f t="shared" si="39"/>
        <v>1</v>
      </c>
      <c r="E93" s="67" t="e">
        <f t="shared" ca="1" si="40"/>
        <v>#N/A</v>
      </c>
      <c r="F93" s="67" t="e">
        <f t="shared" ca="1" si="41"/>
        <v>#N/A</v>
      </c>
      <c r="G93" s="67" t="e">
        <f t="shared" ca="1" si="42"/>
        <v>#N/A</v>
      </c>
      <c r="H93" s="67" t="e">
        <f>IF('Demand background (hide)'!AN81&lt;&gt;"",'SPC background (hide)'!C93,NA())</f>
        <v>#N/A</v>
      </c>
      <c r="I93" s="67">
        <f t="shared" ca="1" si="43"/>
        <v>1</v>
      </c>
      <c r="J93" s="5">
        <f t="shared" ca="1" si="44"/>
        <v>11778.005728314238</v>
      </c>
      <c r="K93" s="5">
        <f t="shared" ca="1" si="45"/>
        <v>12680.965357337698</v>
      </c>
      <c r="L93" s="5">
        <f t="shared" ca="1" si="46"/>
        <v>13583.924986361157</v>
      </c>
      <c r="M93" s="5">
        <f t="shared" ca="1" si="47"/>
        <v>14486.884615384615</v>
      </c>
      <c r="N93" s="5">
        <f t="shared" ca="1" si="48"/>
        <v>15389.844244408074</v>
      </c>
      <c r="O93" s="5">
        <f t="shared" ca="1" si="49"/>
        <v>16292.803873431532</v>
      </c>
      <c r="P93" s="5">
        <f t="shared" ca="1" si="50"/>
        <v>17195.763502454993</v>
      </c>
      <c r="Q93" s="5" t="e">
        <f t="shared" ca="1" si="51"/>
        <v>#N/A</v>
      </c>
      <c r="R93" s="5">
        <f t="shared" ca="1" si="56"/>
        <v>1</v>
      </c>
      <c r="S93" s="67" t="e">
        <f t="shared" ca="1" si="57"/>
        <v>#N/A</v>
      </c>
      <c r="T93" s="67">
        <f t="shared" ca="1" si="58"/>
        <v>2</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14765</v>
      </c>
      <c r="AD93" s="5">
        <f t="shared" ca="1" si="55"/>
        <v>15657.95</v>
      </c>
    </row>
    <row r="94" spans="1:30" x14ac:dyDescent="0.2">
      <c r="A94" s="67">
        <f ca="1">Demand!C91</f>
        <v>40</v>
      </c>
      <c r="B94" s="67">
        <v>79</v>
      </c>
      <c r="C94" s="5">
        <f ca="1">'Demand background (hide)'!Y82</f>
        <v>13950</v>
      </c>
      <c r="D94" s="67">
        <f t="shared" si="39"/>
        <v>1</v>
      </c>
      <c r="E94" s="67" t="e">
        <f t="shared" ca="1" si="40"/>
        <v>#N/A</v>
      </c>
      <c r="F94" s="67" t="e">
        <f t="shared" ca="1" si="41"/>
        <v>#N/A</v>
      </c>
      <c r="G94" s="67" t="e">
        <f t="shared" ca="1" si="42"/>
        <v>#N/A</v>
      </c>
      <c r="H94" s="67" t="e">
        <f>IF('Demand background (hide)'!AN82&lt;&gt;"",'SPC background (hide)'!C94,NA())</f>
        <v>#N/A</v>
      </c>
      <c r="I94" s="67">
        <f t="shared" ca="1" si="43"/>
        <v>1</v>
      </c>
      <c r="J94" s="5">
        <f t="shared" ca="1" si="44"/>
        <v>11778.005728314238</v>
      </c>
      <c r="K94" s="5">
        <f t="shared" ca="1" si="45"/>
        <v>12680.965357337698</v>
      </c>
      <c r="L94" s="5">
        <f t="shared" ca="1" si="46"/>
        <v>13583.924986361157</v>
      </c>
      <c r="M94" s="5">
        <f t="shared" ca="1" si="47"/>
        <v>14486.884615384615</v>
      </c>
      <c r="N94" s="5">
        <f t="shared" ca="1" si="48"/>
        <v>15389.844244408074</v>
      </c>
      <c r="O94" s="5">
        <f t="shared" ca="1" si="49"/>
        <v>16292.803873431532</v>
      </c>
      <c r="P94" s="5">
        <f t="shared" ca="1" si="50"/>
        <v>17195.763502454993</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14765</v>
      </c>
      <c r="AD94" s="5">
        <f t="shared" ca="1" si="55"/>
        <v>15657.95</v>
      </c>
    </row>
    <row r="95" spans="1:30" x14ac:dyDescent="0.2">
      <c r="A95" s="67">
        <f ca="1">Demand!C92</f>
        <v>41</v>
      </c>
      <c r="B95" s="67">
        <v>80</v>
      </c>
      <c r="C95" s="5">
        <f ca="1">'Demand background (hide)'!Y83</f>
        <v>15390</v>
      </c>
      <c r="D95" s="67">
        <f t="shared" si="39"/>
        <v>1</v>
      </c>
      <c r="E95" s="67" t="e">
        <f t="shared" ca="1" si="40"/>
        <v>#N/A</v>
      </c>
      <c r="F95" s="67" t="e">
        <f t="shared" ca="1" si="41"/>
        <v>#N/A</v>
      </c>
      <c r="G95" s="67" t="e">
        <f t="shared" ca="1" si="42"/>
        <v>#N/A</v>
      </c>
      <c r="H95" s="67" t="e">
        <f>IF('Demand background (hide)'!AN83&lt;&gt;"",'SPC background (hide)'!C95,NA())</f>
        <v>#N/A</v>
      </c>
      <c r="I95" s="67">
        <f t="shared" ca="1" si="43"/>
        <v>1</v>
      </c>
      <c r="J95" s="5">
        <f t="shared" ca="1" si="44"/>
        <v>11778.005728314238</v>
      </c>
      <c r="K95" s="5">
        <f t="shared" ca="1" si="45"/>
        <v>12680.965357337698</v>
      </c>
      <c r="L95" s="5">
        <f t="shared" ca="1" si="46"/>
        <v>13583.924986361157</v>
      </c>
      <c r="M95" s="5">
        <f t="shared" ca="1" si="47"/>
        <v>14486.884615384615</v>
      </c>
      <c r="N95" s="5">
        <f t="shared" ca="1" si="48"/>
        <v>15389.844244408074</v>
      </c>
      <c r="O95" s="5">
        <f t="shared" ca="1" si="49"/>
        <v>16292.803873431532</v>
      </c>
      <c r="P95" s="5">
        <f t="shared" ca="1" si="50"/>
        <v>17195.763502454993</v>
      </c>
      <c r="Q95" s="5" t="e">
        <f t="shared" ca="1" si="51"/>
        <v>#N/A</v>
      </c>
      <c r="R95" s="5">
        <f t="shared" ca="1" si="56"/>
        <v>1</v>
      </c>
      <c r="S95" s="67" t="e">
        <f t="shared" ca="1" si="57"/>
        <v>#N/A</v>
      </c>
      <c r="T95" s="67">
        <f t="shared" ca="1" si="58"/>
        <v>2</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14765</v>
      </c>
      <c r="AD95" s="5">
        <f t="shared" ca="1" si="55"/>
        <v>15657.95</v>
      </c>
    </row>
    <row r="96" spans="1:30" x14ac:dyDescent="0.2">
      <c r="A96" s="67">
        <f ca="1">Demand!C93</f>
        <v>42</v>
      </c>
      <c r="B96" s="67">
        <v>81</v>
      </c>
      <c r="C96" s="5">
        <f ca="1">'Demand background (hide)'!Y84</f>
        <v>14868</v>
      </c>
      <c r="D96" s="67">
        <f t="shared" si="39"/>
        <v>1</v>
      </c>
      <c r="E96" s="67" t="e">
        <f t="shared" ca="1" si="40"/>
        <v>#N/A</v>
      </c>
      <c r="F96" s="67" t="e">
        <f t="shared" ca="1" si="41"/>
        <v>#N/A</v>
      </c>
      <c r="G96" s="67" t="e">
        <f t="shared" ca="1" si="42"/>
        <v>#N/A</v>
      </c>
      <c r="H96" s="67" t="e">
        <f>IF('Demand background (hide)'!AN84&lt;&gt;"",'SPC background (hide)'!C96,NA())</f>
        <v>#N/A</v>
      </c>
      <c r="I96" s="67">
        <f t="shared" ca="1" si="43"/>
        <v>1</v>
      </c>
      <c r="J96" s="5">
        <f t="shared" ca="1" si="44"/>
        <v>11778.005728314238</v>
      </c>
      <c r="K96" s="5">
        <f t="shared" ca="1" si="45"/>
        <v>12680.965357337698</v>
      </c>
      <c r="L96" s="5">
        <f t="shared" ca="1" si="46"/>
        <v>13583.924986361157</v>
      </c>
      <c r="M96" s="5">
        <f t="shared" ca="1" si="47"/>
        <v>14486.884615384615</v>
      </c>
      <c r="N96" s="5">
        <f t="shared" ca="1" si="48"/>
        <v>15389.844244408074</v>
      </c>
      <c r="O96" s="5">
        <f t="shared" ca="1" si="49"/>
        <v>16292.803873431532</v>
      </c>
      <c r="P96" s="5">
        <f t="shared" ca="1" si="50"/>
        <v>17195.763502454993</v>
      </c>
      <c r="Q96" s="5" t="e">
        <f t="shared" ca="1" si="51"/>
        <v>#N/A</v>
      </c>
      <c r="R96" s="5">
        <f t="shared" ca="1" si="56"/>
        <v>1</v>
      </c>
      <c r="S96" s="67" t="e">
        <f t="shared" ca="1" si="57"/>
        <v>#N/A</v>
      </c>
      <c r="T96" s="67">
        <f t="shared" ca="1" si="58"/>
        <v>1</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14765</v>
      </c>
      <c r="AD96" s="5">
        <f t="shared" ca="1" si="55"/>
        <v>15657.95</v>
      </c>
    </row>
    <row r="97" spans="1:30" x14ac:dyDescent="0.2">
      <c r="A97" s="67">
        <f ca="1">Demand!C94</f>
        <v>43</v>
      </c>
      <c r="B97" s="67">
        <v>82</v>
      </c>
      <c r="C97" s="5">
        <f ca="1">'Demand background (hide)'!Y85</f>
        <v>14461</v>
      </c>
      <c r="D97" s="67">
        <f t="shared" si="39"/>
        <v>1</v>
      </c>
      <c r="E97" s="67" t="e">
        <f t="shared" ca="1" si="40"/>
        <v>#N/A</v>
      </c>
      <c r="F97" s="67" t="e">
        <f t="shared" ca="1" si="41"/>
        <v>#N/A</v>
      </c>
      <c r="G97" s="67" t="e">
        <f t="shared" ca="1" si="42"/>
        <v>#N/A</v>
      </c>
      <c r="H97" s="67" t="e">
        <f>IF('Demand background (hide)'!AN85&lt;&gt;"",'SPC background (hide)'!C97,NA())</f>
        <v>#N/A</v>
      </c>
      <c r="I97" s="67">
        <f t="shared" ca="1" si="43"/>
        <v>1</v>
      </c>
      <c r="J97" s="5">
        <f t="shared" ca="1" si="44"/>
        <v>11778.005728314238</v>
      </c>
      <c r="K97" s="5">
        <f t="shared" ca="1" si="45"/>
        <v>12680.965357337698</v>
      </c>
      <c r="L97" s="5">
        <f t="shared" ca="1" si="46"/>
        <v>13583.924986361157</v>
      </c>
      <c r="M97" s="5">
        <f t="shared" ca="1" si="47"/>
        <v>14486.884615384615</v>
      </c>
      <c r="N97" s="5">
        <f t="shared" ca="1" si="48"/>
        <v>15389.844244408074</v>
      </c>
      <c r="O97" s="5">
        <f t="shared" ca="1" si="49"/>
        <v>16292.803873431532</v>
      </c>
      <c r="P97" s="5">
        <f t="shared" ca="1" si="50"/>
        <v>17195.763502454993</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14765</v>
      </c>
      <c r="AD97" s="5">
        <f t="shared" ca="1" si="55"/>
        <v>15657.95</v>
      </c>
    </row>
    <row r="98" spans="1:30" x14ac:dyDescent="0.2">
      <c r="A98" s="67">
        <f ca="1">Demand!C95</f>
        <v>44</v>
      </c>
      <c r="B98" s="67">
        <v>83</v>
      </c>
      <c r="C98" s="5">
        <f ca="1">'Demand background (hide)'!Y86</f>
        <v>14535</v>
      </c>
      <c r="D98" s="67">
        <f t="shared" si="39"/>
        <v>1</v>
      </c>
      <c r="E98" s="67" t="e">
        <f t="shared" ca="1" si="40"/>
        <v>#N/A</v>
      </c>
      <c r="F98" s="67" t="e">
        <f t="shared" ca="1" si="41"/>
        <v>#N/A</v>
      </c>
      <c r="G98" s="67" t="e">
        <f t="shared" ca="1" si="42"/>
        <v>#N/A</v>
      </c>
      <c r="H98" s="67" t="e">
        <f>IF('Demand background (hide)'!AN86&lt;&gt;"",'SPC background (hide)'!C98,NA())</f>
        <v>#N/A</v>
      </c>
      <c r="I98" s="67">
        <f t="shared" ca="1" si="43"/>
        <v>1</v>
      </c>
      <c r="J98" s="5">
        <f t="shared" ca="1" si="44"/>
        <v>11778.005728314238</v>
      </c>
      <c r="K98" s="5">
        <f t="shared" ca="1" si="45"/>
        <v>12680.965357337698</v>
      </c>
      <c r="L98" s="5">
        <f t="shared" ca="1" si="46"/>
        <v>13583.924986361157</v>
      </c>
      <c r="M98" s="5">
        <f t="shared" ca="1" si="47"/>
        <v>14486.884615384615</v>
      </c>
      <c r="N98" s="5">
        <f t="shared" ca="1" si="48"/>
        <v>15389.844244408074</v>
      </c>
      <c r="O98" s="5">
        <f t="shared" ca="1" si="49"/>
        <v>16292.803873431532</v>
      </c>
      <c r="P98" s="5">
        <f t="shared" ca="1" si="50"/>
        <v>17195.763502454993</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14765</v>
      </c>
      <c r="AD98" s="5">
        <f t="shared" ca="1" si="55"/>
        <v>15657.95</v>
      </c>
    </row>
    <row r="99" spans="1:30" x14ac:dyDescent="0.2">
      <c r="A99" s="67">
        <f ca="1">Demand!C96</f>
        <v>45</v>
      </c>
      <c r="B99" s="67">
        <v>84</v>
      </c>
      <c r="C99" s="5">
        <f ca="1">'Demand background (hide)'!Y87</f>
        <v>14148</v>
      </c>
      <c r="D99" s="67">
        <f t="shared" si="39"/>
        <v>1</v>
      </c>
      <c r="E99" s="67" t="e">
        <f t="shared" ca="1" si="40"/>
        <v>#N/A</v>
      </c>
      <c r="F99" s="67" t="e">
        <f t="shared" ca="1" si="41"/>
        <v>#N/A</v>
      </c>
      <c r="G99" s="67" t="e">
        <f t="shared" ca="1" si="42"/>
        <v>#N/A</v>
      </c>
      <c r="H99" s="67" t="e">
        <f>IF('Demand background (hide)'!AN87&lt;&gt;"",'SPC background (hide)'!C99,NA())</f>
        <v>#N/A</v>
      </c>
      <c r="I99" s="67">
        <f t="shared" ca="1" si="43"/>
        <v>1</v>
      </c>
      <c r="J99" s="5">
        <f t="shared" ca="1" si="44"/>
        <v>11778.005728314238</v>
      </c>
      <c r="K99" s="5">
        <f t="shared" ca="1" si="45"/>
        <v>12680.965357337698</v>
      </c>
      <c r="L99" s="5">
        <f t="shared" ca="1" si="46"/>
        <v>13583.924986361157</v>
      </c>
      <c r="M99" s="5">
        <f t="shared" ca="1" si="47"/>
        <v>14486.884615384615</v>
      </c>
      <c r="N99" s="5">
        <f t="shared" ca="1" si="48"/>
        <v>15389.844244408074</v>
      </c>
      <c r="O99" s="5">
        <f t="shared" ca="1" si="49"/>
        <v>16292.803873431532</v>
      </c>
      <c r="P99" s="5">
        <f t="shared" ca="1" si="50"/>
        <v>17195.763502454993</v>
      </c>
      <c r="Q99" s="5" t="e">
        <f t="shared" ca="1" si="51"/>
        <v>#N/A</v>
      </c>
      <c r="R99" s="5">
        <f t="shared" ca="1" si="56"/>
        <v>-1</v>
      </c>
      <c r="S99" s="67" t="e">
        <f t="shared" ca="1" si="57"/>
        <v>#N/A</v>
      </c>
      <c r="T99" s="67">
        <f t="shared" ca="1" si="58"/>
        <v>-1</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14765</v>
      </c>
      <c r="AD99" s="5">
        <f t="shared" ca="1" si="55"/>
        <v>15657.95</v>
      </c>
    </row>
    <row r="100" spans="1:30" x14ac:dyDescent="0.2">
      <c r="A100" s="67">
        <f ca="1">Demand!C97</f>
        <v>46</v>
      </c>
      <c r="B100" s="67">
        <v>85</v>
      </c>
      <c r="C100" s="5">
        <f ca="1">'Demand background (hide)'!Y88</f>
        <v>15525</v>
      </c>
      <c r="D100" s="67">
        <f t="shared" si="39"/>
        <v>1</v>
      </c>
      <c r="E100" s="67" t="e">
        <f t="shared" ca="1" si="40"/>
        <v>#N/A</v>
      </c>
      <c r="F100" s="67" t="e">
        <f t="shared" ca="1" si="41"/>
        <v>#N/A</v>
      </c>
      <c r="G100" s="67" t="e">
        <f t="shared" ca="1" si="42"/>
        <v>#N/A</v>
      </c>
      <c r="H100" s="67" t="e">
        <f>IF('Demand background (hide)'!AN88&lt;&gt;"",'SPC background (hide)'!C100,NA())</f>
        <v>#N/A</v>
      </c>
      <c r="I100" s="67">
        <f t="shared" ca="1" si="43"/>
        <v>1</v>
      </c>
      <c r="J100" s="5">
        <f t="shared" ca="1" si="44"/>
        <v>11778.005728314238</v>
      </c>
      <c r="K100" s="5">
        <f t="shared" ca="1" si="45"/>
        <v>12680.965357337698</v>
      </c>
      <c r="L100" s="5">
        <f t="shared" ca="1" si="46"/>
        <v>13583.924986361157</v>
      </c>
      <c r="M100" s="5">
        <f t="shared" ca="1" si="47"/>
        <v>14486.884615384615</v>
      </c>
      <c r="N100" s="5">
        <f t="shared" ca="1" si="48"/>
        <v>15389.844244408074</v>
      </c>
      <c r="O100" s="5">
        <f t="shared" ca="1" si="49"/>
        <v>16292.803873431532</v>
      </c>
      <c r="P100" s="5">
        <f t="shared" ca="1" si="50"/>
        <v>17195.763502454993</v>
      </c>
      <c r="Q100" s="5" t="e">
        <f t="shared" ca="1" si="51"/>
        <v>#N/A</v>
      </c>
      <c r="R100" s="5">
        <f t="shared" ca="1" si="56"/>
        <v>1</v>
      </c>
      <c r="S100" s="67" t="e">
        <f t="shared" ca="1" si="57"/>
        <v>#N/A</v>
      </c>
      <c r="T100" s="67">
        <f t="shared" ca="1" si="58"/>
        <v>2</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14765</v>
      </c>
      <c r="AD100" s="5">
        <f t="shared" ca="1" si="55"/>
        <v>15657.95</v>
      </c>
    </row>
    <row r="101" spans="1:30" x14ac:dyDescent="0.2">
      <c r="A101" s="67">
        <f ca="1">Demand!C98</f>
        <v>47</v>
      </c>
      <c r="B101" s="67">
        <v>86</v>
      </c>
      <c r="C101" s="5">
        <f ca="1">'Demand background (hide)'!Y89</f>
        <v>16592</v>
      </c>
      <c r="D101" s="67">
        <f t="shared" si="39"/>
        <v>1</v>
      </c>
      <c r="E101" s="67" t="e">
        <f t="shared" ca="1" si="40"/>
        <v>#N/A</v>
      </c>
      <c r="F101" s="67" t="e">
        <f t="shared" ca="1" si="41"/>
        <v>#N/A</v>
      </c>
      <c r="G101" s="67" t="e">
        <f t="shared" ca="1" si="42"/>
        <v>#N/A</v>
      </c>
      <c r="H101" s="67" t="e">
        <f>IF('Demand background (hide)'!AN89&lt;&gt;"",'SPC background (hide)'!C101,NA())</f>
        <v>#N/A</v>
      </c>
      <c r="I101" s="67">
        <f t="shared" ca="1" si="43"/>
        <v>1</v>
      </c>
      <c r="J101" s="5">
        <f t="shared" ca="1" si="44"/>
        <v>11778.005728314238</v>
      </c>
      <c r="K101" s="5">
        <f t="shared" ca="1" si="45"/>
        <v>12680.965357337698</v>
      </c>
      <c r="L101" s="5">
        <f t="shared" ca="1" si="46"/>
        <v>13583.924986361157</v>
      </c>
      <c r="M101" s="5">
        <f t="shared" ca="1" si="47"/>
        <v>14486.884615384615</v>
      </c>
      <c r="N101" s="5">
        <f t="shared" ca="1" si="48"/>
        <v>15389.844244408074</v>
      </c>
      <c r="O101" s="5">
        <f t="shared" ca="1" si="49"/>
        <v>16292.803873431532</v>
      </c>
      <c r="P101" s="5">
        <f t="shared" ca="1" si="50"/>
        <v>17195.763502454993</v>
      </c>
      <c r="Q101" s="5" t="e">
        <f t="shared" ca="1" si="51"/>
        <v>#N/A</v>
      </c>
      <c r="R101" s="5">
        <f t="shared" ca="1" si="56"/>
        <v>2</v>
      </c>
      <c r="S101" s="67" t="e">
        <f t="shared" ca="1" si="57"/>
        <v>#N/A</v>
      </c>
      <c r="T101" s="67">
        <f t="shared" ca="1" si="58"/>
        <v>2</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14765</v>
      </c>
      <c r="AD101" s="5">
        <f t="shared" ca="1" si="55"/>
        <v>15657.95</v>
      </c>
    </row>
    <row r="102" spans="1:30" x14ac:dyDescent="0.2">
      <c r="A102" s="67">
        <f ca="1">Demand!C99</f>
        <v>48</v>
      </c>
      <c r="B102" s="67">
        <v>87</v>
      </c>
      <c r="C102" s="5">
        <f ca="1">'Demand background (hide)'!Y90</f>
        <v>14011</v>
      </c>
      <c r="D102" s="67">
        <f t="shared" si="39"/>
        <v>1</v>
      </c>
      <c r="E102" s="67" t="e">
        <f t="shared" ca="1" si="40"/>
        <v>#N/A</v>
      </c>
      <c r="F102" s="67" t="e">
        <f t="shared" ca="1" si="41"/>
        <v>#N/A</v>
      </c>
      <c r="G102" s="67" t="e">
        <f t="shared" ca="1" si="42"/>
        <v>#N/A</v>
      </c>
      <c r="H102" s="67" t="e">
        <f>IF('Demand background (hide)'!AN90&lt;&gt;"",'SPC background (hide)'!C102,NA())</f>
        <v>#N/A</v>
      </c>
      <c r="I102" s="67">
        <f t="shared" ca="1" si="43"/>
        <v>1</v>
      </c>
      <c r="J102" s="5">
        <f t="shared" ca="1" si="44"/>
        <v>11778.005728314238</v>
      </c>
      <c r="K102" s="5">
        <f t="shared" ca="1" si="45"/>
        <v>12680.965357337698</v>
      </c>
      <c r="L102" s="5">
        <f t="shared" ca="1" si="46"/>
        <v>13583.924986361157</v>
      </c>
      <c r="M102" s="5">
        <f t="shared" ca="1" si="47"/>
        <v>14486.884615384615</v>
      </c>
      <c r="N102" s="5">
        <f t="shared" ca="1" si="48"/>
        <v>15389.844244408074</v>
      </c>
      <c r="O102" s="5">
        <f t="shared" ca="1" si="49"/>
        <v>16292.803873431532</v>
      </c>
      <c r="P102" s="5">
        <f t="shared" ca="1" si="50"/>
        <v>17195.763502454993</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14765</v>
      </c>
      <c r="AD102" s="5">
        <f t="shared" ca="1" si="55"/>
        <v>15657.95</v>
      </c>
    </row>
    <row r="103" spans="1:30" x14ac:dyDescent="0.2">
      <c r="A103" s="67">
        <f ca="1">Demand!C100</f>
        <v>49</v>
      </c>
      <c r="B103" s="67">
        <v>88</v>
      </c>
      <c r="C103" s="5">
        <f ca="1">'Demand background (hide)'!Y91</f>
        <v>14370</v>
      </c>
      <c r="D103" s="67">
        <f t="shared" si="39"/>
        <v>1</v>
      </c>
      <c r="E103" s="67" t="e">
        <f t="shared" ca="1" si="40"/>
        <v>#N/A</v>
      </c>
      <c r="F103" s="67" t="e">
        <f t="shared" ca="1" si="41"/>
        <v>#N/A</v>
      </c>
      <c r="G103" s="67" t="e">
        <f t="shared" ca="1" si="42"/>
        <v>#N/A</v>
      </c>
      <c r="H103" s="67" t="e">
        <f>IF('Demand background (hide)'!AN91&lt;&gt;"",'SPC background (hide)'!C103,NA())</f>
        <v>#N/A</v>
      </c>
      <c r="I103" s="67">
        <f t="shared" ca="1" si="43"/>
        <v>1</v>
      </c>
      <c r="J103" s="5">
        <f t="shared" ca="1" si="44"/>
        <v>11778.005728314238</v>
      </c>
      <c r="K103" s="5">
        <f t="shared" ca="1" si="45"/>
        <v>12680.965357337698</v>
      </c>
      <c r="L103" s="5">
        <f t="shared" ca="1" si="46"/>
        <v>13583.924986361157</v>
      </c>
      <c r="M103" s="5">
        <f t="shared" ca="1" si="47"/>
        <v>14486.884615384615</v>
      </c>
      <c r="N103" s="5">
        <f t="shared" ca="1" si="48"/>
        <v>15389.844244408074</v>
      </c>
      <c r="O103" s="5">
        <f t="shared" ca="1" si="49"/>
        <v>16292.803873431532</v>
      </c>
      <c r="P103" s="5">
        <f t="shared" ca="1" si="50"/>
        <v>17195.763502454993</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14765</v>
      </c>
      <c r="AD103" s="5">
        <f t="shared" ca="1" si="55"/>
        <v>15657.95</v>
      </c>
    </row>
    <row r="104" spans="1:30" x14ac:dyDescent="0.2">
      <c r="A104" s="67">
        <f ca="1">Demand!C101</f>
        <v>50</v>
      </c>
      <c r="B104" s="67">
        <v>89</v>
      </c>
      <c r="C104" s="5">
        <f ca="1">'Demand background (hide)'!Y92</f>
        <v>15300</v>
      </c>
      <c r="D104" s="67">
        <f t="shared" si="39"/>
        <v>1</v>
      </c>
      <c r="E104" s="67" t="e">
        <f t="shared" ca="1" si="40"/>
        <v>#N/A</v>
      </c>
      <c r="F104" s="67" t="e">
        <f t="shared" ca="1" si="41"/>
        <v>#N/A</v>
      </c>
      <c r="G104" s="67" t="e">
        <f t="shared" ca="1" si="42"/>
        <v>#N/A</v>
      </c>
      <c r="H104" s="67" t="e">
        <f>IF('Demand background (hide)'!AN92&lt;&gt;"",'SPC background (hide)'!C104,NA())</f>
        <v>#N/A</v>
      </c>
      <c r="I104" s="67">
        <f t="shared" ca="1" si="43"/>
        <v>1</v>
      </c>
      <c r="J104" s="5">
        <f t="shared" ca="1" si="44"/>
        <v>11778.005728314238</v>
      </c>
      <c r="K104" s="5">
        <f t="shared" ca="1" si="45"/>
        <v>12680.965357337698</v>
      </c>
      <c r="L104" s="5">
        <f t="shared" ca="1" si="46"/>
        <v>13583.924986361157</v>
      </c>
      <c r="M104" s="5">
        <f t="shared" ca="1" si="47"/>
        <v>14486.884615384615</v>
      </c>
      <c r="N104" s="5">
        <f t="shared" ca="1" si="48"/>
        <v>15389.844244408074</v>
      </c>
      <c r="O104" s="5">
        <f t="shared" ca="1" si="49"/>
        <v>16292.803873431532</v>
      </c>
      <c r="P104" s="5">
        <f t="shared" ca="1" si="50"/>
        <v>17195.763502454993</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14765</v>
      </c>
      <c r="AD104" s="5">
        <f t="shared" ca="1" si="55"/>
        <v>15657.95</v>
      </c>
    </row>
    <row r="105" spans="1:30" x14ac:dyDescent="0.2">
      <c r="A105" s="67">
        <f ca="1">Demand!C102</f>
        <v>51</v>
      </c>
      <c r="B105" s="67">
        <v>90</v>
      </c>
      <c r="C105" s="5">
        <f ca="1">'Demand background (hide)'!Y93</f>
        <v>15422</v>
      </c>
      <c r="D105" s="67">
        <f t="shared" si="39"/>
        <v>1</v>
      </c>
      <c r="E105" s="67" t="e">
        <f t="shared" ca="1" si="40"/>
        <v>#N/A</v>
      </c>
      <c r="F105" s="67" t="e">
        <f t="shared" ca="1" si="41"/>
        <v>#N/A</v>
      </c>
      <c r="G105" s="67" t="e">
        <f t="shared" ca="1" si="42"/>
        <v>#N/A</v>
      </c>
      <c r="H105" s="67" t="e">
        <f>IF('Demand background (hide)'!AN93&lt;&gt;"",'SPC background (hide)'!C105,NA())</f>
        <v>#N/A</v>
      </c>
      <c r="I105" s="67">
        <f t="shared" ca="1" si="43"/>
        <v>1</v>
      </c>
      <c r="J105" s="5">
        <f t="shared" ca="1" si="44"/>
        <v>11778.005728314238</v>
      </c>
      <c r="K105" s="5">
        <f t="shared" ca="1" si="45"/>
        <v>12680.965357337698</v>
      </c>
      <c r="L105" s="5">
        <f t="shared" ca="1" si="46"/>
        <v>13583.924986361157</v>
      </c>
      <c r="M105" s="5">
        <f t="shared" ca="1" si="47"/>
        <v>14486.884615384615</v>
      </c>
      <c r="N105" s="5">
        <f t="shared" ca="1" si="48"/>
        <v>15389.844244408074</v>
      </c>
      <c r="O105" s="5">
        <f t="shared" ca="1" si="49"/>
        <v>16292.803873431532</v>
      </c>
      <c r="P105" s="5">
        <f t="shared" ca="1" si="50"/>
        <v>17195.763502454993</v>
      </c>
      <c r="Q105" s="5" t="e">
        <f t="shared" ca="1" si="51"/>
        <v>#N/A</v>
      </c>
      <c r="R105" s="5">
        <f t="shared" ca="1" si="56"/>
        <v>1</v>
      </c>
      <c r="S105" s="67" t="e">
        <f t="shared" ca="1" si="57"/>
        <v>#N/A</v>
      </c>
      <c r="T105" s="67">
        <f t="shared" ca="1" si="58"/>
        <v>2</v>
      </c>
      <c r="U105" s="67" t="e">
        <f t="shared" ca="1" si="59"/>
        <v>#N/A</v>
      </c>
      <c r="V105" s="5">
        <f t="shared" ca="1" si="38"/>
        <v>1</v>
      </c>
      <c r="W105" s="5" t="e">
        <f t="shared" ca="1" si="52"/>
        <v>#N/A</v>
      </c>
      <c r="X105" s="67">
        <f t="shared" ca="1" si="53"/>
        <v>1</v>
      </c>
      <c r="Y105" s="67" t="e">
        <f t="shared" ca="1" si="60"/>
        <v>#N/A</v>
      </c>
      <c r="Z105" s="67" t="e">
        <f t="shared" ca="1" si="61"/>
        <v>#N/A</v>
      </c>
      <c r="AA105" s="5" t="str">
        <f>IF(Setup!$I$15="Yes",'Demand background (hide)'!AJ93+'SPC background (hide)'!C105,"")</f>
        <v/>
      </c>
      <c r="AC105" s="5">
        <f t="shared" ca="1" si="54"/>
        <v>14765</v>
      </c>
      <c r="AD105" s="5">
        <f t="shared" ca="1" si="55"/>
        <v>15657.95</v>
      </c>
    </row>
    <row r="106" spans="1:30" x14ac:dyDescent="0.2">
      <c r="A106" s="67">
        <f ca="1">Demand!C103</f>
        <v>52</v>
      </c>
      <c r="B106" s="67">
        <v>91</v>
      </c>
      <c r="C106" s="5">
        <f ca="1">'Demand background (hide)'!Y94</f>
        <v>10351</v>
      </c>
      <c r="D106" s="67">
        <f t="shared" si="39"/>
        <v>1</v>
      </c>
      <c r="E106" s="67" t="e">
        <f t="shared" ca="1" si="40"/>
        <v>#N/A</v>
      </c>
      <c r="F106" s="67" t="e">
        <f t="shared" ca="1" si="41"/>
        <v>#N/A</v>
      </c>
      <c r="G106" s="67" t="e">
        <f t="shared" ca="1" si="42"/>
        <v>#N/A</v>
      </c>
      <c r="H106" s="67" t="e">
        <f>IF('Demand background (hide)'!AN94&lt;&gt;"",'SPC background (hide)'!C106,NA())</f>
        <v>#N/A</v>
      </c>
      <c r="I106" s="67">
        <f t="shared" ca="1" si="43"/>
        <v>1</v>
      </c>
      <c r="J106" s="5">
        <f t="shared" ca="1" si="44"/>
        <v>11778.005728314238</v>
      </c>
      <c r="K106" s="5">
        <f t="shared" ca="1" si="45"/>
        <v>12680.965357337698</v>
      </c>
      <c r="L106" s="5">
        <f t="shared" ca="1" si="46"/>
        <v>13583.924986361157</v>
      </c>
      <c r="M106" s="5">
        <f t="shared" ca="1" si="47"/>
        <v>14486.884615384615</v>
      </c>
      <c r="N106" s="5">
        <f t="shared" ca="1" si="48"/>
        <v>15389.844244408074</v>
      </c>
      <c r="O106" s="5">
        <f t="shared" ca="1" si="49"/>
        <v>16292.803873431532</v>
      </c>
      <c r="P106" s="5">
        <f t="shared" ca="1" si="50"/>
        <v>17195.763502454993</v>
      </c>
      <c r="Q106" s="5">
        <f t="shared" ca="1" si="51"/>
        <v>10351</v>
      </c>
      <c r="R106" s="5">
        <f t="shared" ca="1" si="56"/>
        <v>-2</v>
      </c>
      <c r="S106" s="67" t="e">
        <f t="shared" ca="1" si="57"/>
        <v>#N/A</v>
      </c>
      <c r="T106" s="67">
        <f t="shared" ca="1" si="58"/>
        <v>-2</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14765</v>
      </c>
      <c r="AD106" s="5">
        <f t="shared" ca="1" si="55"/>
        <v>15657.95</v>
      </c>
    </row>
    <row r="107" spans="1:30" x14ac:dyDescent="0.2">
      <c r="A107" s="67">
        <f ca="1">Demand!C104</f>
        <v>1</v>
      </c>
      <c r="B107" s="67">
        <v>92</v>
      </c>
      <c r="C107" s="5">
        <f ca="1">'Demand background (hide)'!Y95</f>
        <v>13261</v>
      </c>
      <c r="D107" s="67">
        <f t="shared" si="39"/>
        <v>1</v>
      </c>
      <c r="E107" s="67" t="e">
        <f t="shared" ca="1" si="40"/>
        <v>#N/A</v>
      </c>
      <c r="F107" s="67" t="e">
        <f t="shared" ca="1" si="41"/>
        <v>#N/A</v>
      </c>
      <c r="G107" s="67" t="e">
        <f t="shared" ca="1" si="42"/>
        <v>#N/A</v>
      </c>
      <c r="H107" s="67" t="e">
        <f>IF('Demand background (hide)'!AN95&lt;&gt;"",'SPC background (hide)'!C107,NA())</f>
        <v>#N/A</v>
      </c>
      <c r="I107" s="67">
        <f t="shared" ca="1" si="43"/>
        <v>1</v>
      </c>
      <c r="J107" s="5">
        <f t="shared" ca="1" si="44"/>
        <v>11778.005728314238</v>
      </c>
      <c r="K107" s="5">
        <f t="shared" ca="1" si="45"/>
        <v>12680.965357337698</v>
      </c>
      <c r="L107" s="5">
        <f t="shared" ca="1" si="46"/>
        <v>13583.924986361157</v>
      </c>
      <c r="M107" s="5">
        <f t="shared" ca="1" si="47"/>
        <v>14486.884615384615</v>
      </c>
      <c r="N107" s="5">
        <f t="shared" ca="1" si="48"/>
        <v>15389.844244408074</v>
      </c>
      <c r="O107" s="5">
        <f t="shared" ca="1" si="49"/>
        <v>16292.803873431532</v>
      </c>
      <c r="P107" s="5">
        <f t="shared" ca="1" si="50"/>
        <v>17195.763502454993</v>
      </c>
      <c r="Q107" s="5" t="e">
        <f t="shared" ca="1" si="51"/>
        <v>#N/A</v>
      </c>
      <c r="R107" s="5">
        <f t="shared" ca="1" si="56"/>
        <v>-1</v>
      </c>
      <c r="S107" s="67" t="e">
        <f t="shared" ca="1" si="57"/>
        <v>#N/A</v>
      </c>
      <c r="T107" s="67">
        <f t="shared" ca="1" si="58"/>
        <v>-2</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14765</v>
      </c>
      <c r="AD107" s="5">
        <f t="shared" ca="1" si="55"/>
        <v>15657.95</v>
      </c>
    </row>
    <row r="108" spans="1:30" x14ac:dyDescent="0.2">
      <c r="A108" s="67">
        <f ca="1">Demand!C105</f>
        <v>2</v>
      </c>
      <c r="B108" s="67">
        <v>93</v>
      </c>
      <c r="C108" s="5">
        <f ca="1">'Demand background (hide)'!Y96</f>
        <v>15708</v>
      </c>
      <c r="D108" s="67">
        <f t="shared" si="39"/>
        <v>1</v>
      </c>
      <c r="E108" s="67" t="e">
        <f t="shared" ca="1" si="40"/>
        <v>#N/A</v>
      </c>
      <c r="F108" s="67" t="e">
        <f t="shared" ca="1" si="41"/>
        <v>#N/A</v>
      </c>
      <c r="G108" s="67" t="e">
        <f t="shared" ca="1" si="42"/>
        <v>#N/A</v>
      </c>
      <c r="H108" s="67" t="e">
        <f>IF('Demand background (hide)'!AN96&lt;&gt;"",'SPC background (hide)'!C108,NA())</f>
        <v>#N/A</v>
      </c>
      <c r="I108" s="67">
        <f t="shared" ca="1" si="43"/>
        <v>1</v>
      </c>
      <c r="J108" s="5">
        <f t="shared" ca="1" si="44"/>
        <v>11778.005728314238</v>
      </c>
      <c r="K108" s="5">
        <f t="shared" ca="1" si="45"/>
        <v>12680.965357337698</v>
      </c>
      <c r="L108" s="5">
        <f t="shared" ca="1" si="46"/>
        <v>13583.924986361157</v>
      </c>
      <c r="M108" s="5">
        <f t="shared" ca="1" si="47"/>
        <v>14486.884615384615</v>
      </c>
      <c r="N108" s="5">
        <f t="shared" ca="1" si="48"/>
        <v>15389.844244408074</v>
      </c>
      <c r="O108" s="5">
        <f t="shared" ca="1" si="49"/>
        <v>16292.803873431532</v>
      </c>
      <c r="P108" s="5">
        <f t="shared" ca="1" si="50"/>
        <v>17195.763502454993</v>
      </c>
      <c r="Q108" s="5" t="e">
        <f t="shared" ca="1" si="51"/>
        <v>#N/A</v>
      </c>
      <c r="R108" s="5">
        <f t="shared" ca="1" si="56"/>
        <v>1</v>
      </c>
      <c r="S108" s="67" t="e">
        <f t="shared" ca="1" si="57"/>
        <v>#N/A</v>
      </c>
      <c r="T108" s="67">
        <f t="shared" ca="1" si="58"/>
        <v>2</v>
      </c>
      <c r="U108" s="67">
        <f t="shared" ca="1" si="59"/>
        <v>15708</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14765</v>
      </c>
      <c r="AD108" s="5">
        <f t="shared" ca="1" si="55"/>
        <v>15657.95</v>
      </c>
    </row>
    <row r="109" spans="1:30" x14ac:dyDescent="0.2">
      <c r="A109" s="67">
        <f ca="1">Demand!C106</f>
        <v>3</v>
      </c>
      <c r="B109" s="67">
        <v>94</v>
      </c>
      <c r="C109" s="5">
        <f ca="1">'Demand background (hide)'!Y97</f>
        <v>15724</v>
      </c>
      <c r="D109" s="67">
        <f t="shared" si="39"/>
        <v>1</v>
      </c>
      <c r="E109" s="67" t="e">
        <f t="shared" ca="1" si="40"/>
        <v>#N/A</v>
      </c>
      <c r="F109" s="67" t="e">
        <f t="shared" ca="1" si="41"/>
        <v>#N/A</v>
      </c>
      <c r="G109" s="67" t="e">
        <f t="shared" ca="1" si="42"/>
        <v>#N/A</v>
      </c>
      <c r="H109" s="67" t="e">
        <f>IF('Demand background (hide)'!AN97&lt;&gt;"",'SPC background (hide)'!C109,NA())</f>
        <v>#N/A</v>
      </c>
      <c r="I109" s="67">
        <f t="shared" ca="1" si="43"/>
        <v>1</v>
      </c>
      <c r="J109" s="5">
        <f t="shared" ca="1" si="44"/>
        <v>11778.005728314238</v>
      </c>
      <c r="K109" s="5">
        <f t="shared" ca="1" si="45"/>
        <v>12680.965357337698</v>
      </c>
      <c r="L109" s="5">
        <f t="shared" ca="1" si="46"/>
        <v>13583.924986361157</v>
      </c>
      <c r="M109" s="5">
        <f t="shared" ca="1" si="47"/>
        <v>14486.884615384615</v>
      </c>
      <c r="N109" s="5">
        <f t="shared" ca="1" si="48"/>
        <v>15389.844244408074</v>
      </c>
      <c r="O109" s="5">
        <f t="shared" ca="1" si="49"/>
        <v>16292.803873431532</v>
      </c>
      <c r="P109" s="5">
        <f t="shared" ca="1" si="50"/>
        <v>17195.763502454993</v>
      </c>
      <c r="Q109" s="5" t="e">
        <f t="shared" ca="1" si="51"/>
        <v>#N/A</v>
      </c>
      <c r="R109" s="5">
        <f t="shared" ca="1" si="56"/>
        <v>1</v>
      </c>
      <c r="S109" s="67" t="e">
        <f t="shared" ca="1" si="57"/>
        <v>#N/A</v>
      </c>
      <c r="T109" s="67">
        <f t="shared" ca="1" si="58"/>
        <v>2</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14765</v>
      </c>
      <c r="AD109" s="5">
        <f t="shared" ca="1" si="55"/>
        <v>15657.95</v>
      </c>
    </row>
    <row r="110" spans="1:30" x14ac:dyDescent="0.2">
      <c r="A110" s="67">
        <f ca="1">Demand!C107</f>
        <v>4</v>
      </c>
      <c r="B110" s="67">
        <v>95</v>
      </c>
      <c r="C110" s="5">
        <f ca="1">'Demand background (hide)'!Y98</f>
        <v>18016</v>
      </c>
      <c r="D110" s="67">
        <f t="shared" si="39"/>
        <v>1</v>
      </c>
      <c r="E110" s="67" t="e">
        <f t="shared" ca="1" si="40"/>
        <v>#N/A</v>
      </c>
      <c r="F110" s="67" t="e">
        <f t="shared" ca="1" si="41"/>
        <v>#N/A</v>
      </c>
      <c r="G110" s="67" t="e">
        <f t="shared" ca="1" si="42"/>
        <v>#N/A</v>
      </c>
      <c r="H110" s="67" t="e">
        <f>IF('Demand background (hide)'!AN98&lt;&gt;"",'SPC background (hide)'!C110,NA())</f>
        <v>#N/A</v>
      </c>
      <c r="I110" s="67">
        <f t="shared" ca="1" si="43"/>
        <v>1</v>
      </c>
      <c r="J110" s="5">
        <f t="shared" ca="1" si="44"/>
        <v>11778.005728314238</v>
      </c>
      <c r="K110" s="5">
        <f t="shared" ca="1" si="45"/>
        <v>12680.965357337698</v>
      </c>
      <c r="L110" s="5">
        <f t="shared" ca="1" si="46"/>
        <v>13583.924986361157</v>
      </c>
      <c r="M110" s="5">
        <f t="shared" ca="1" si="47"/>
        <v>14486.884615384615</v>
      </c>
      <c r="N110" s="5">
        <f t="shared" ca="1" si="48"/>
        <v>15389.844244408074</v>
      </c>
      <c r="O110" s="5">
        <f t="shared" ca="1" si="49"/>
        <v>16292.803873431532</v>
      </c>
      <c r="P110" s="5">
        <f t="shared" ca="1" si="50"/>
        <v>17195.763502454993</v>
      </c>
      <c r="Q110" s="5">
        <f t="shared" ca="1" si="51"/>
        <v>18016</v>
      </c>
      <c r="R110" s="5">
        <f t="shared" ca="1" si="56"/>
        <v>2</v>
      </c>
      <c r="S110" s="67" t="e">
        <f t="shared" ca="1" si="57"/>
        <v>#N/A</v>
      </c>
      <c r="T110" s="67">
        <f t="shared" ca="1" si="58"/>
        <v>2</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14765</v>
      </c>
      <c r="AD110" s="5">
        <f t="shared" ca="1" si="55"/>
        <v>15657.95</v>
      </c>
    </row>
    <row r="111" spans="1:30" x14ac:dyDescent="0.2">
      <c r="A111" s="67">
        <f ca="1">Demand!C108</f>
        <v>5</v>
      </c>
      <c r="B111" s="67">
        <v>96</v>
      </c>
      <c r="C111" s="5">
        <f ca="1">'Demand background (hide)'!Y99</f>
        <v>16278</v>
      </c>
      <c r="D111" s="67">
        <f t="shared" si="39"/>
        <v>1</v>
      </c>
      <c r="E111" s="67" t="e">
        <f t="shared" ca="1" si="40"/>
        <v>#N/A</v>
      </c>
      <c r="F111" s="67" t="e">
        <f t="shared" ca="1" si="41"/>
        <v>#N/A</v>
      </c>
      <c r="G111" s="67" t="e">
        <f t="shared" ca="1" si="42"/>
        <v>#N/A</v>
      </c>
      <c r="H111" s="67" t="e">
        <f>IF('Demand background (hide)'!AN99&lt;&gt;"",'SPC background (hide)'!C111,NA())</f>
        <v>#N/A</v>
      </c>
      <c r="I111" s="67">
        <f t="shared" ca="1" si="43"/>
        <v>5</v>
      </c>
      <c r="J111" s="5">
        <f t="shared" ca="1" si="44"/>
        <v>11778.005728314238</v>
      </c>
      <c r="K111" s="5">
        <f t="shared" ca="1" si="45"/>
        <v>12680.965357337698</v>
      </c>
      <c r="L111" s="5">
        <f t="shared" ca="1" si="46"/>
        <v>13583.924986361157</v>
      </c>
      <c r="M111" s="5">
        <f t="shared" ca="1" si="47"/>
        <v>14486.884615384615</v>
      </c>
      <c r="N111" s="5">
        <f t="shared" ca="1" si="48"/>
        <v>15389.844244408074</v>
      </c>
      <c r="O111" s="5">
        <f t="shared" ca="1" si="49"/>
        <v>16292.803873431532</v>
      </c>
      <c r="P111" s="5">
        <f t="shared" ca="1" si="50"/>
        <v>17195.763502454993</v>
      </c>
      <c r="Q111" s="5" t="e">
        <f t="shared" ca="1" si="51"/>
        <v>#N/A</v>
      </c>
      <c r="R111" s="5">
        <f t="shared" ca="1" si="56"/>
        <v>1</v>
      </c>
      <c r="S111" s="67" t="e">
        <f t="shared" ca="1" si="57"/>
        <v>#N/A</v>
      </c>
      <c r="T111" s="67">
        <f t="shared" ca="1" si="58"/>
        <v>2</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14765</v>
      </c>
      <c r="AD111" s="5">
        <f t="shared" ca="1" si="55"/>
        <v>15657.95</v>
      </c>
    </row>
    <row r="112" spans="1:30" x14ac:dyDescent="0.2">
      <c r="A112" s="67">
        <f ca="1">Demand!C109</f>
        <v>6</v>
      </c>
      <c r="B112" s="67">
        <v>97</v>
      </c>
      <c r="C112" s="5">
        <f ca="1">'Demand background (hide)'!Y100</f>
        <v>14565</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11778.005728314238</v>
      </c>
      <c r="K112" s="5">
        <f t="shared" ca="1" si="45"/>
        <v>12680.965357337698</v>
      </c>
      <c r="L112" s="5">
        <f t="shared" ca="1" si="46"/>
        <v>13583.924986361157</v>
      </c>
      <c r="M112" s="5">
        <f t="shared" ca="1" si="47"/>
        <v>14486.884615384615</v>
      </c>
      <c r="N112" s="5">
        <f t="shared" ca="1" si="48"/>
        <v>15389.844244408074</v>
      </c>
      <c r="O112" s="5">
        <f t="shared" ca="1" si="49"/>
        <v>16292.803873431532</v>
      </c>
      <c r="P112" s="5">
        <f t="shared" ca="1" si="50"/>
        <v>17195.763502454993</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14765</v>
      </c>
      <c r="AD112" s="5">
        <f t="shared" ca="1" si="55"/>
        <v>15657.95</v>
      </c>
    </row>
    <row r="113" spans="1:30" x14ac:dyDescent="0.2">
      <c r="A113" s="67">
        <f ca="1">Demand!C110</f>
        <v>7</v>
      </c>
      <c r="B113" s="67">
        <v>98</v>
      </c>
      <c r="C113" s="5">
        <f ca="1">'Demand background (hide)'!Y101</f>
        <v>15167</v>
      </c>
      <c r="D113" s="67">
        <f t="shared" si="39"/>
        <v>0</v>
      </c>
      <c r="E113" s="67" t="e">
        <f t="shared" ca="1" si="40"/>
        <v>#N/A</v>
      </c>
      <c r="F113" s="67" t="e">
        <f t="shared" ca="1" si="41"/>
        <v>#N/A</v>
      </c>
      <c r="G113" s="67" t="e">
        <f t="shared" ca="1" si="42"/>
        <v>#N/A</v>
      </c>
      <c r="H113" s="67" t="e">
        <f>IF('Demand background (hide)'!AN101&lt;&gt;"",'SPC background (hide)'!C113,NA())</f>
        <v>#N/A</v>
      </c>
      <c r="I113" s="67">
        <f t="shared" ca="1" si="43"/>
        <v>1</v>
      </c>
      <c r="J113" s="5">
        <f t="shared" ca="1" si="44"/>
        <v>11778.005728314238</v>
      </c>
      <c r="K113" s="5">
        <f t="shared" ca="1" si="45"/>
        <v>12680.965357337698</v>
      </c>
      <c r="L113" s="5">
        <f t="shared" ca="1" si="46"/>
        <v>13583.924986361157</v>
      </c>
      <c r="M113" s="5">
        <f t="shared" ca="1" si="47"/>
        <v>14486.884615384615</v>
      </c>
      <c r="N113" s="5">
        <f t="shared" ca="1" si="48"/>
        <v>15389.844244408074</v>
      </c>
      <c r="O113" s="5">
        <f t="shared" ca="1" si="49"/>
        <v>16292.803873431532</v>
      </c>
      <c r="P113" s="5">
        <f t="shared" ca="1" si="50"/>
        <v>17195.763502454993</v>
      </c>
      <c r="Q113" s="5" t="e">
        <f t="shared" ca="1" si="51"/>
        <v>#N/A</v>
      </c>
      <c r="R113" s="5">
        <f t="shared" ca="1" si="56"/>
        <v>1</v>
      </c>
      <c r="S113" s="67" t="e">
        <f t="shared" ca="1" si="57"/>
        <v>#N/A</v>
      </c>
      <c r="T113" s="67">
        <f t="shared" ca="1" si="58"/>
        <v>1</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14765</v>
      </c>
      <c r="AD113" s="5">
        <f t="shared" ca="1" si="55"/>
        <v>15657.95</v>
      </c>
    </row>
    <row r="114" spans="1:30" x14ac:dyDescent="0.2">
      <c r="A114" s="67">
        <f ca="1">Demand!C111</f>
        <v>8</v>
      </c>
      <c r="B114" s="67">
        <v>99</v>
      </c>
      <c r="C114" s="5">
        <f ca="1">'Demand background (hide)'!Y102</f>
        <v>13456</v>
      </c>
      <c r="D114" s="67">
        <f t="shared" si="39"/>
        <v>0</v>
      </c>
      <c r="E114" s="67" t="e">
        <f t="shared" ca="1" si="40"/>
        <v>#N/A</v>
      </c>
      <c r="F114" s="67" t="e">
        <f t="shared" ca="1" si="41"/>
        <v>#N/A</v>
      </c>
      <c r="G114" s="67" t="e">
        <f t="shared" ca="1" si="42"/>
        <v>#N/A</v>
      </c>
      <c r="H114" s="67" t="e">
        <f>IF('Demand background (hide)'!AN102&lt;&gt;"",'SPC background (hide)'!C114,NA())</f>
        <v>#N/A</v>
      </c>
      <c r="I114" s="67">
        <f t="shared" ca="1" si="43"/>
        <v>1</v>
      </c>
      <c r="J114" s="5">
        <f t="shared" ca="1" si="44"/>
        <v>11778.005728314238</v>
      </c>
      <c r="K114" s="5">
        <f t="shared" ca="1" si="45"/>
        <v>12680.965357337698</v>
      </c>
      <c r="L114" s="5">
        <f t="shared" ca="1" si="46"/>
        <v>13583.924986361157</v>
      </c>
      <c r="M114" s="5">
        <f t="shared" ca="1" si="47"/>
        <v>14486.884615384615</v>
      </c>
      <c r="N114" s="5">
        <f t="shared" ca="1" si="48"/>
        <v>15389.844244408074</v>
      </c>
      <c r="O114" s="5">
        <f t="shared" ca="1" si="49"/>
        <v>16292.803873431532</v>
      </c>
      <c r="P114" s="5">
        <f t="shared" ca="1" si="50"/>
        <v>17195.763502454993</v>
      </c>
      <c r="Q114" s="5" t="e">
        <f t="shared" ca="1" si="51"/>
        <v>#N/A</v>
      </c>
      <c r="R114" s="5">
        <f t="shared" ca="1" si="56"/>
        <v>-1</v>
      </c>
      <c r="S114" s="67" t="e">
        <f t="shared" ca="1" si="57"/>
        <v>#N/A</v>
      </c>
      <c r="T114" s="67">
        <f t="shared" ca="1" si="58"/>
        <v>-2</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14765</v>
      </c>
      <c r="AD114" s="5">
        <f t="shared" ca="1" si="55"/>
        <v>15657.95</v>
      </c>
    </row>
    <row r="115" spans="1:30" x14ac:dyDescent="0.2">
      <c r="A115" s="67">
        <f ca="1">Demand!C112</f>
        <v>9</v>
      </c>
      <c r="B115" s="67">
        <v>100</v>
      </c>
      <c r="C115" s="5">
        <f ca="1">'Demand background (hide)'!Y103</f>
        <v>14839</v>
      </c>
      <c r="D115" s="67">
        <f t="shared" si="39"/>
        <v>0</v>
      </c>
      <c r="E115" s="67" t="e">
        <f t="shared" ca="1" si="40"/>
        <v>#N/A</v>
      </c>
      <c r="F115" s="67" t="e">
        <f t="shared" ca="1" si="41"/>
        <v>#N/A</v>
      </c>
      <c r="G115" s="67" t="e">
        <f t="shared" ca="1" si="42"/>
        <v>#N/A</v>
      </c>
      <c r="H115" s="67" t="e">
        <f>IF('Demand background (hide)'!AN103&lt;&gt;"",'SPC background (hide)'!C115,NA())</f>
        <v>#N/A</v>
      </c>
      <c r="I115" s="67">
        <f t="shared" ca="1" si="43"/>
        <v>1</v>
      </c>
      <c r="J115" s="5">
        <f t="shared" ca="1" si="44"/>
        <v>11778.005728314238</v>
      </c>
      <c r="K115" s="5">
        <f t="shared" ca="1" si="45"/>
        <v>12680.965357337698</v>
      </c>
      <c r="L115" s="5">
        <f t="shared" ca="1" si="46"/>
        <v>13583.924986361157</v>
      </c>
      <c r="M115" s="5">
        <f t="shared" ca="1" si="47"/>
        <v>14486.884615384615</v>
      </c>
      <c r="N115" s="5">
        <f t="shared" ca="1" si="48"/>
        <v>15389.844244408074</v>
      </c>
      <c r="O115" s="5">
        <f t="shared" ca="1" si="49"/>
        <v>16292.803873431532</v>
      </c>
      <c r="P115" s="5">
        <f t="shared" ca="1" si="50"/>
        <v>17195.763502454993</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14765</v>
      </c>
      <c r="AD115" s="5">
        <f t="shared" ca="1" si="55"/>
        <v>15657.95</v>
      </c>
    </row>
    <row r="116" spans="1:30" x14ac:dyDescent="0.2">
      <c r="A116" s="67">
        <f ca="1">Demand!C113</f>
        <v>10</v>
      </c>
      <c r="B116" s="67">
        <v>101</v>
      </c>
      <c r="C116" s="5">
        <f ca="1">'Demand background (hide)'!Y104</f>
        <v>14761</v>
      </c>
      <c r="D116" s="67">
        <f t="shared" si="39"/>
        <v>0</v>
      </c>
      <c r="E116" s="67" t="e">
        <f t="shared" ca="1" si="40"/>
        <v>#N/A</v>
      </c>
      <c r="F116" s="67" t="e">
        <f t="shared" ca="1" si="41"/>
        <v>#N/A</v>
      </c>
      <c r="G116" s="67" t="e">
        <f t="shared" ca="1" si="42"/>
        <v>#N/A</v>
      </c>
      <c r="H116" s="67" t="e">
        <f>IF('Demand background (hide)'!AN104&lt;&gt;"",'SPC background (hide)'!C116,NA())</f>
        <v>#N/A</v>
      </c>
      <c r="I116" s="67">
        <f t="shared" ca="1" si="43"/>
        <v>1</v>
      </c>
      <c r="J116" s="5">
        <f t="shared" ca="1" si="44"/>
        <v>11778.005728314238</v>
      </c>
      <c r="K116" s="5">
        <f t="shared" ca="1" si="45"/>
        <v>12680.965357337698</v>
      </c>
      <c r="L116" s="5">
        <f t="shared" ca="1" si="46"/>
        <v>13583.924986361157</v>
      </c>
      <c r="M116" s="5">
        <f t="shared" ca="1" si="47"/>
        <v>14486.884615384615</v>
      </c>
      <c r="N116" s="5">
        <f t="shared" ca="1" si="48"/>
        <v>15389.844244408074</v>
      </c>
      <c r="O116" s="5">
        <f t="shared" ca="1" si="49"/>
        <v>16292.803873431532</v>
      </c>
      <c r="P116" s="5">
        <f t="shared" ca="1" si="50"/>
        <v>17195.763502454993</v>
      </c>
      <c r="Q116" s="5" t="e">
        <f t="shared" ca="1" si="51"/>
        <v>#N/A</v>
      </c>
      <c r="R116" s="5">
        <f t="shared" ca="1" si="56"/>
        <v>1</v>
      </c>
      <c r="S116" s="67" t="e">
        <f t="shared" ca="1" si="57"/>
        <v>#N/A</v>
      </c>
      <c r="T116" s="67">
        <f t="shared" ca="1" si="58"/>
        <v>1</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14765</v>
      </c>
      <c r="AD116" s="5">
        <f t="shared" ca="1" si="55"/>
        <v>15657.95</v>
      </c>
    </row>
    <row r="117" spans="1:30" x14ac:dyDescent="0.2">
      <c r="A117" s="67">
        <f ca="1">Demand!C114</f>
        <v>11</v>
      </c>
      <c r="B117" s="67">
        <v>102</v>
      </c>
      <c r="C117" s="5">
        <f ca="1">'Demand background (hide)'!Y105</f>
        <v>13471</v>
      </c>
      <c r="D117" s="67">
        <f t="shared" si="39"/>
        <v>0</v>
      </c>
      <c r="E117" s="67" t="e">
        <f t="shared" ca="1" si="40"/>
        <v>#N/A</v>
      </c>
      <c r="F117" s="67" t="e">
        <f t="shared" ca="1" si="41"/>
        <v>#N/A</v>
      </c>
      <c r="G117" s="67" t="e">
        <f t="shared" ca="1" si="42"/>
        <v>#N/A</v>
      </c>
      <c r="H117" s="67" t="e">
        <f>IF('Demand background (hide)'!AN105&lt;&gt;"",'SPC background (hide)'!C117,NA())</f>
        <v>#N/A</v>
      </c>
      <c r="I117" s="67">
        <f t="shared" ca="1" si="43"/>
        <v>1</v>
      </c>
      <c r="J117" s="5">
        <f t="shared" ca="1" si="44"/>
        <v>11778.005728314238</v>
      </c>
      <c r="K117" s="5">
        <f t="shared" ca="1" si="45"/>
        <v>12680.965357337698</v>
      </c>
      <c r="L117" s="5">
        <f t="shared" ca="1" si="46"/>
        <v>13583.924986361157</v>
      </c>
      <c r="M117" s="5">
        <f t="shared" ca="1" si="47"/>
        <v>14486.884615384615</v>
      </c>
      <c r="N117" s="5">
        <f t="shared" ca="1" si="48"/>
        <v>15389.844244408074</v>
      </c>
      <c r="O117" s="5">
        <f t="shared" ca="1" si="49"/>
        <v>16292.803873431532</v>
      </c>
      <c r="P117" s="5">
        <f t="shared" ca="1" si="50"/>
        <v>17195.763502454993</v>
      </c>
      <c r="Q117" s="5" t="e">
        <f t="shared" ca="1" si="51"/>
        <v>#N/A</v>
      </c>
      <c r="R117" s="5">
        <f t="shared" ca="1" si="56"/>
        <v>-1</v>
      </c>
      <c r="S117" s="67">
        <f t="shared" ca="1" si="57"/>
        <v>13471</v>
      </c>
      <c r="T117" s="67">
        <f t="shared" ca="1" si="58"/>
        <v>-2</v>
      </c>
      <c r="U117" s="67">
        <f t="shared" ca="1" si="59"/>
        <v>13471</v>
      </c>
      <c r="V117" s="5">
        <f t="shared" ca="1" si="38"/>
        <v>-1</v>
      </c>
      <c r="W117" s="5">
        <f t="shared" ca="1" si="52"/>
        <v>13471</v>
      </c>
      <c r="X117" s="67">
        <f t="shared" ca="1" si="53"/>
        <v>-1</v>
      </c>
      <c r="Y117" s="67" t="e">
        <f t="shared" ca="1" si="60"/>
        <v>#N/A</v>
      </c>
      <c r="Z117" s="67" t="e">
        <f t="shared" ca="1" si="61"/>
        <v>#N/A</v>
      </c>
      <c r="AA117" s="5" t="str">
        <f>IF(Setup!$I$15="Yes",'Demand background (hide)'!AJ105+'SPC background (hide)'!C117,"")</f>
        <v/>
      </c>
      <c r="AC117" s="5">
        <f t="shared" ca="1" si="54"/>
        <v>14765</v>
      </c>
      <c r="AD117" s="5">
        <f t="shared" ca="1" si="55"/>
        <v>15657.95</v>
      </c>
    </row>
    <row r="118" spans="1:30" x14ac:dyDescent="0.2">
      <c r="A118" s="67">
        <f ca="1">Demand!C115</f>
        <v>12</v>
      </c>
      <c r="B118" s="67">
        <v>103</v>
      </c>
      <c r="C118" s="5">
        <f ca="1">'Demand background (hide)'!Y106</f>
        <v>10426</v>
      </c>
      <c r="D118" s="67">
        <f t="shared" si="39"/>
        <v>0</v>
      </c>
      <c r="E118" s="67" t="e">
        <f t="shared" ca="1" si="40"/>
        <v>#N/A</v>
      </c>
      <c r="F118" s="67" t="e">
        <f t="shared" ca="1" si="41"/>
        <v>#N/A</v>
      </c>
      <c r="G118" s="67" t="e">
        <f t="shared" ca="1" si="42"/>
        <v>#N/A</v>
      </c>
      <c r="H118" s="67" t="e">
        <f>IF('Demand background (hide)'!AN106&lt;&gt;"",'SPC background (hide)'!C118,NA())</f>
        <v>#N/A</v>
      </c>
      <c r="I118" s="67">
        <f t="shared" ca="1" si="43"/>
        <v>1</v>
      </c>
      <c r="J118" s="5">
        <f t="shared" ca="1" si="44"/>
        <v>11778.005728314238</v>
      </c>
      <c r="K118" s="5">
        <f t="shared" ca="1" si="45"/>
        <v>12680.965357337698</v>
      </c>
      <c r="L118" s="5">
        <f t="shared" ca="1" si="46"/>
        <v>13583.924986361157</v>
      </c>
      <c r="M118" s="5">
        <f t="shared" ca="1" si="47"/>
        <v>14486.884615384615</v>
      </c>
      <c r="N118" s="5">
        <f t="shared" ca="1" si="48"/>
        <v>15389.844244408074</v>
      </c>
      <c r="O118" s="5">
        <f t="shared" ca="1" si="49"/>
        <v>16292.803873431532</v>
      </c>
      <c r="P118" s="5">
        <f t="shared" ca="1" si="50"/>
        <v>17195.763502454993</v>
      </c>
      <c r="Q118" s="5">
        <f t="shared" ca="1" si="51"/>
        <v>10426</v>
      </c>
      <c r="R118" s="5">
        <f t="shared" ca="1" si="56"/>
        <v>-2</v>
      </c>
      <c r="S118" s="67">
        <f t="shared" ca="1" si="57"/>
        <v>10426</v>
      </c>
      <c r="T118" s="67">
        <f t="shared" ca="1" si="58"/>
        <v>-2</v>
      </c>
      <c r="U118" s="67">
        <f t="shared" ca="1" si="59"/>
        <v>10426</v>
      </c>
      <c r="V118" s="5">
        <f t="shared" ca="1" si="38"/>
        <v>-1</v>
      </c>
      <c r="W118" s="5">
        <f t="shared" ca="1" si="52"/>
        <v>10426</v>
      </c>
      <c r="X118" s="67">
        <f t="shared" ca="1" si="53"/>
        <v>-1</v>
      </c>
      <c r="Y118" s="67" t="e">
        <f t="shared" ca="1" si="60"/>
        <v>#N/A</v>
      </c>
      <c r="Z118" s="67" t="e">
        <f t="shared" ca="1" si="61"/>
        <v>#N/A</v>
      </c>
      <c r="AA118" s="5" t="str">
        <f>IF(Setup!$I$15="Yes",'Demand background (hide)'!AJ106+'SPC background (hide)'!C118,"")</f>
        <v/>
      </c>
      <c r="AC118" s="5">
        <f t="shared" ca="1" si="54"/>
        <v>14765</v>
      </c>
      <c r="AD118" s="5">
        <f t="shared" ca="1" si="55"/>
        <v>15657.95</v>
      </c>
    </row>
    <row r="119" spans="1:30" x14ac:dyDescent="0.2">
      <c r="A119" s="67">
        <f ca="1">Demand!C116</f>
        <v>13</v>
      </c>
      <c r="B119" s="67">
        <v>104</v>
      </c>
      <c r="C119" s="5">
        <f ca="1">'Demand background (hide)'!Y107</f>
        <v>7575</v>
      </c>
      <c r="D119" s="67">
        <f t="shared" si="39"/>
        <v>0</v>
      </c>
      <c r="E119" s="67" t="e">
        <f t="shared" ca="1" si="40"/>
        <v>#N/A</v>
      </c>
      <c r="F119" s="67" t="e">
        <f t="shared" ca="1" si="41"/>
        <v>#N/A</v>
      </c>
      <c r="G119" s="67" t="e">
        <f t="shared" ca="1" si="42"/>
        <v>#N/A</v>
      </c>
      <c r="H119" s="67" t="e">
        <f>IF('Demand background (hide)'!AN107&lt;&gt;"",'SPC background (hide)'!C119,NA())</f>
        <v>#N/A</v>
      </c>
      <c r="I119" s="67">
        <f t="shared" ca="1" si="43"/>
        <v>1</v>
      </c>
      <c r="J119" s="5">
        <f t="shared" ca="1" si="44"/>
        <v>11778.005728314238</v>
      </c>
      <c r="K119" s="5">
        <f t="shared" ca="1" si="45"/>
        <v>12680.965357337698</v>
      </c>
      <c r="L119" s="5">
        <f t="shared" ca="1" si="46"/>
        <v>13583.924986361157</v>
      </c>
      <c r="M119" s="5">
        <f t="shared" ca="1" si="47"/>
        <v>14486.884615384615</v>
      </c>
      <c r="N119" s="5">
        <f t="shared" ca="1" si="48"/>
        <v>15389.844244408074</v>
      </c>
      <c r="O119" s="5">
        <f t="shared" ca="1" si="49"/>
        <v>16292.803873431532</v>
      </c>
      <c r="P119" s="5">
        <f t="shared" ca="1" si="50"/>
        <v>17195.763502454993</v>
      </c>
      <c r="Q119" s="5">
        <f t="shared" ca="1" si="51"/>
        <v>7575</v>
      </c>
      <c r="R119" s="5">
        <f t="shared" ca="1" si="56"/>
        <v>-2</v>
      </c>
      <c r="S119" s="67">
        <f t="shared" ca="1" si="57"/>
        <v>7575</v>
      </c>
      <c r="T119" s="67">
        <f t="shared" ca="1" si="58"/>
        <v>-2</v>
      </c>
      <c r="U119" s="67">
        <f t="shared" ca="1" si="59"/>
        <v>7575</v>
      </c>
      <c r="V119" s="5">
        <f t="shared" ca="1" si="38"/>
        <v>-1</v>
      </c>
      <c r="W119" s="5">
        <f t="shared" ca="1" si="52"/>
        <v>7575</v>
      </c>
      <c r="X119" s="67">
        <f t="shared" ca="1" si="53"/>
        <v>-1</v>
      </c>
      <c r="Y119" s="67" t="e">
        <f t="shared" ca="1" si="60"/>
        <v>#N/A</v>
      </c>
      <c r="Z119" s="67" t="e">
        <f t="shared" ca="1" si="61"/>
        <v>#N/A</v>
      </c>
      <c r="AA119" s="5" t="str">
        <f>IF(Setup!$I$15="Yes",'Demand background (hide)'!AJ107+'SPC background (hide)'!C119,"")</f>
        <v/>
      </c>
      <c r="AC119" s="5">
        <f t="shared" ca="1" si="54"/>
        <v>14765</v>
      </c>
      <c r="AD119" s="5">
        <f t="shared" ca="1" si="55"/>
        <v>15657.95</v>
      </c>
    </row>
    <row r="120" spans="1:30" x14ac:dyDescent="0.2">
      <c r="A120" s="67">
        <f ca="1">Demand!C117</f>
        <v>14</v>
      </c>
      <c r="B120" s="67">
        <v>105</v>
      </c>
      <c r="C120" s="5">
        <f ca="1">'Demand background (hide)'!Y108</f>
        <v>3300</v>
      </c>
      <c r="D120" s="67">
        <f t="shared" si="39"/>
        <v>0</v>
      </c>
      <c r="E120" s="67" t="e">
        <f t="shared" ca="1" si="40"/>
        <v>#N/A</v>
      </c>
      <c r="F120" s="67" t="e">
        <f t="shared" ca="1" si="41"/>
        <v>#N/A</v>
      </c>
      <c r="G120" s="67" t="e">
        <f t="shared" ca="1" si="42"/>
        <v>#N/A</v>
      </c>
      <c r="H120" s="67" t="e">
        <f>IF('Demand background (hide)'!AN108&lt;&gt;"",'SPC background (hide)'!C120,NA())</f>
        <v>#N/A</v>
      </c>
      <c r="I120" s="67">
        <f t="shared" ca="1" si="43"/>
        <v>1</v>
      </c>
      <c r="J120" s="5">
        <f t="shared" ca="1" si="44"/>
        <v>11778.005728314238</v>
      </c>
      <c r="K120" s="5">
        <f t="shared" ca="1" si="45"/>
        <v>12680.965357337698</v>
      </c>
      <c r="L120" s="5">
        <f t="shared" ca="1" si="46"/>
        <v>13583.924986361157</v>
      </c>
      <c r="M120" s="5">
        <f t="shared" ca="1" si="47"/>
        <v>14486.884615384615</v>
      </c>
      <c r="N120" s="5">
        <f t="shared" ca="1" si="48"/>
        <v>15389.844244408074</v>
      </c>
      <c r="O120" s="5">
        <f t="shared" ca="1" si="49"/>
        <v>16292.803873431532</v>
      </c>
      <c r="P120" s="5">
        <f t="shared" ca="1" si="50"/>
        <v>17195.763502454993</v>
      </c>
      <c r="Q120" s="5">
        <f t="shared" ca="1" si="51"/>
        <v>3300</v>
      </c>
      <c r="R120" s="5">
        <f t="shared" ca="1" si="56"/>
        <v>-2</v>
      </c>
      <c r="S120" s="67">
        <f t="shared" ca="1" si="57"/>
        <v>3300</v>
      </c>
      <c r="T120" s="67">
        <f t="shared" ca="1" si="58"/>
        <v>-2</v>
      </c>
      <c r="U120" s="67">
        <f t="shared" ca="1" si="59"/>
        <v>3300</v>
      </c>
      <c r="V120" s="5">
        <f t="shared" ca="1" si="38"/>
        <v>-1</v>
      </c>
      <c r="W120" s="5">
        <f t="shared" ca="1" si="52"/>
        <v>3300</v>
      </c>
      <c r="X120" s="67">
        <f t="shared" ca="1" si="53"/>
        <v>-1</v>
      </c>
      <c r="Y120" s="67" t="e">
        <f t="shared" ca="1" si="60"/>
        <v>#N/A</v>
      </c>
      <c r="Z120" s="67" t="e">
        <f t="shared" ca="1" si="61"/>
        <v>#N/A</v>
      </c>
      <c r="AA120" s="5" t="str">
        <f>IF(Setup!$I$15="Yes",'Demand background (hide)'!AJ108+'SPC background (hide)'!C120,"")</f>
        <v/>
      </c>
      <c r="AC120" s="5">
        <f t="shared" ca="1" si="54"/>
        <v>14765</v>
      </c>
      <c r="AD120" s="5">
        <f t="shared" ca="1" si="55"/>
        <v>15657.95</v>
      </c>
    </row>
    <row r="121" spans="1:30" x14ac:dyDescent="0.2">
      <c r="A121" s="67">
        <f ca="1">Demand!C118</f>
        <v>15</v>
      </c>
      <c r="B121" s="67">
        <v>106</v>
      </c>
      <c r="C121" s="5">
        <f ca="1">'Demand background (hide)'!Y109</f>
        <v>7290</v>
      </c>
      <c r="D121" s="67">
        <f t="shared" si="39"/>
        <v>0</v>
      </c>
      <c r="E121" s="67" t="e">
        <f t="shared" ca="1" si="40"/>
        <v>#N/A</v>
      </c>
      <c r="F121" s="67" t="e">
        <f t="shared" ca="1" si="41"/>
        <v>#N/A</v>
      </c>
      <c r="G121" s="67" t="e">
        <f t="shared" ca="1" si="42"/>
        <v>#N/A</v>
      </c>
      <c r="H121" s="67" t="e">
        <f>IF('Demand background (hide)'!AN109&lt;&gt;"",'SPC background (hide)'!C121,NA())</f>
        <v>#N/A</v>
      </c>
      <c r="I121" s="67">
        <f t="shared" ca="1" si="43"/>
        <v>1</v>
      </c>
      <c r="J121" s="5">
        <f t="shared" ca="1" si="44"/>
        <v>11778.005728314238</v>
      </c>
      <c r="K121" s="5">
        <f t="shared" ca="1" si="45"/>
        <v>12680.965357337698</v>
      </c>
      <c r="L121" s="5">
        <f t="shared" ca="1" si="46"/>
        <v>13583.924986361157</v>
      </c>
      <c r="M121" s="5">
        <f t="shared" ca="1" si="47"/>
        <v>14486.884615384615</v>
      </c>
      <c r="N121" s="5">
        <f t="shared" ca="1" si="48"/>
        <v>15389.844244408074</v>
      </c>
      <c r="O121" s="5">
        <f t="shared" ca="1" si="49"/>
        <v>16292.803873431532</v>
      </c>
      <c r="P121" s="5">
        <f t="shared" ca="1" si="50"/>
        <v>17195.763502454993</v>
      </c>
      <c r="Q121" s="5">
        <f t="shared" ca="1" si="51"/>
        <v>7290</v>
      </c>
      <c r="R121" s="5">
        <f t="shared" ca="1" si="56"/>
        <v>-2</v>
      </c>
      <c r="S121" s="67">
        <f t="shared" ca="1" si="57"/>
        <v>7290</v>
      </c>
      <c r="T121" s="67">
        <f t="shared" ca="1" si="58"/>
        <v>-2</v>
      </c>
      <c r="U121" s="67">
        <f t="shared" ca="1" si="59"/>
        <v>7290</v>
      </c>
      <c r="V121" s="5">
        <f t="shared" ca="1" si="38"/>
        <v>-1</v>
      </c>
      <c r="W121" s="5">
        <f t="shared" ca="1" si="52"/>
        <v>7290</v>
      </c>
      <c r="X121" s="67">
        <f t="shared" ca="1" si="53"/>
        <v>1</v>
      </c>
      <c r="Y121" s="67">
        <f t="shared" ca="1" si="60"/>
        <v>7290</v>
      </c>
      <c r="Z121" s="67" t="e">
        <f t="shared" ca="1" si="61"/>
        <v>#N/A</v>
      </c>
      <c r="AA121" s="5" t="str">
        <f>IF(Setup!$I$15="Yes",'Demand background (hide)'!AJ109+'SPC background (hide)'!C121,"")</f>
        <v/>
      </c>
      <c r="AC121" s="5">
        <f t="shared" ca="1" si="54"/>
        <v>14765</v>
      </c>
      <c r="AD121" s="5">
        <f t="shared" ca="1" si="55"/>
        <v>15657.95</v>
      </c>
    </row>
    <row r="122" spans="1:30" x14ac:dyDescent="0.2">
      <c r="A122" s="67">
        <f ca="1">Demand!C119</f>
        <v>16</v>
      </c>
      <c r="B122" s="67">
        <v>107</v>
      </c>
      <c r="C122" s="5">
        <f ca="1">'Demand background (hide)'!Y110</f>
        <v>7875</v>
      </c>
      <c r="D122" s="67">
        <f t="shared" si="39"/>
        <v>0</v>
      </c>
      <c r="E122" s="67" t="e">
        <f t="shared" ca="1" si="40"/>
        <v>#N/A</v>
      </c>
      <c r="F122" s="67" t="e">
        <f t="shared" ca="1" si="41"/>
        <v>#N/A</v>
      </c>
      <c r="G122" s="67" t="e">
        <f t="shared" ca="1" si="42"/>
        <v>#N/A</v>
      </c>
      <c r="H122" s="67" t="e">
        <f>IF('Demand background (hide)'!AN110&lt;&gt;"",'SPC background (hide)'!C122,NA())</f>
        <v>#N/A</v>
      </c>
      <c r="I122" s="67">
        <f t="shared" ca="1" si="43"/>
        <v>1</v>
      </c>
      <c r="J122" s="5">
        <f t="shared" ca="1" si="44"/>
        <v>11778.005728314238</v>
      </c>
      <c r="K122" s="5">
        <f t="shared" ca="1" si="45"/>
        <v>12680.965357337698</v>
      </c>
      <c r="L122" s="5">
        <f t="shared" ca="1" si="46"/>
        <v>13583.924986361157</v>
      </c>
      <c r="M122" s="5">
        <f t="shared" ca="1" si="47"/>
        <v>14486.884615384615</v>
      </c>
      <c r="N122" s="5">
        <f t="shared" ca="1" si="48"/>
        <v>15389.844244408074</v>
      </c>
      <c r="O122" s="5">
        <f t="shared" ca="1" si="49"/>
        <v>16292.803873431532</v>
      </c>
      <c r="P122" s="5">
        <f t="shared" ca="1" si="50"/>
        <v>17195.763502454993</v>
      </c>
      <c r="Q122" s="5">
        <f t="shared" ca="1" si="51"/>
        <v>7875</v>
      </c>
      <c r="R122" s="5">
        <f t="shared" ca="1" si="56"/>
        <v>-2</v>
      </c>
      <c r="S122" s="67">
        <f t="shared" ca="1" si="57"/>
        <v>7875</v>
      </c>
      <c r="T122" s="67">
        <f t="shared" ca="1" si="58"/>
        <v>-2</v>
      </c>
      <c r="U122" s="67">
        <f t="shared" ca="1" si="59"/>
        <v>7875</v>
      </c>
      <c r="V122" s="5">
        <f t="shared" ca="1" si="38"/>
        <v>-1</v>
      </c>
      <c r="W122" s="5">
        <f t="shared" ca="1" si="52"/>
        <v>7875</v>
      </c>
      <c r="X122" s="67">
        <f t="shared" ca="1" si="53"/>
        <v>1</v>
      </c>
      <c r="Y122" s="67">
        <f t="shared" ca="1" si="60"/>
        <v>7875</v>
      </c>
      <c r="Z122" s="67" t="e">
        <f t="shared" ca="1" si="61"/>
        <v>#N/A</v>
      </c>
      <c r="AA122" s="5" t="str">
        <f>IF(Setup!$I$15="Yes",'Demand background (hide)'!AJ110+'SPC background (hide)'!C122,"")</f>
        <v/>
      </c>
      <c r="AC122" s="5">
        <f t="shared" ca="1" si="54"/>
        <v>14765</v>
      </c>
      <c r="AD122" s="5">
        <f t="shared" ca="1" si="55"/>
        <v>15657.95</v>
      </c>
    </row>
    <row r="123" spans="1:30" x14ac:dyDescent="0.2">
      <c r="A123" s="67">
        <f ca="1">Demand!C120</f>
        <v>17</v>
      </c>
      <c r="B123" s="67">
        <v>108</v>
      </c>
      <c r="C123" s="5">
        <f ca="1">'Demand background (hide)'!Y111</f>
        <v>9360</v>
      </c>
      <c r="D123" s="67">
        <f t="shared" si="39"/>
        <v>0</v>
      </c>
      <c r="E123" s="67" t="e">
        <f t="shared" ca="1" si="40"/>
        <v>#N/A</v>
      </c>
      <c r="F123" s="67" t="e">
        <f t="shared" ca="1" si="41"/>
        <v>#N/A</v>
      </c>
      <c r="G123" s="67" t="e">
        <f t="shared" ca="1" si="42"/>
        <v>#N/A</v>
      </c>
      <c r="H123" s="67" t="e">
        <f>IF('Demand background (hide)'!AN111&lt;&gt;"",'SPC background (hide)'!C123,NA())</f>
        <v>#N/A</v>
      </c>
      <c r="I123" s="67">
        <f t="shared" ca="1" si="43"/>
        <v>1</v>
      </c>
      <c r="J123" s="5">
        <f t="shared" ca="1" si="44"/>
        <v>11778.005728314238</v>
      </c>
      <c r="K123" s="5">
        <f t="shared" ca="1" si="45"/>
        <v>12680.965357337698</v>
      </c>
      <c r="L123" s="5">
        <f t="shared" ca="1" si="46"/>
        <v>13583.924986361157</v>
      </c>
      <c r="M123" s="5">
        <f t="shared" ca="1" si="47"/>
        <v>14486.884615384615</v>
      </c>
      <c r="N123" s="5">
        <f t="shared" ca="1" si="48"/>
        <v>15389.844244408074</v>
      </c>
      <c r="O123" s="5">
        <f t="shared" ca="1" si="49"/>
        <v>16292.803873431532</v>
      </c>
      <c r="P123" s="5">
        <f t="shared" ca="1" si="50"/>
        <v>17195.763502454993</v>
      </c>
      <c r="Q123" s="5">
        <f t="shared" ca="1" si="51"/>
        <v>9360</v>
      </c>
      <c r="R123" s="5">
        <f t="shared" ca="1" si="56"/>
        <v>-2</v>
      </c>
      <c r="S123" s="67">
        <f t="shared" ca="1" si="57"/>
        <v>9360</v>
      </c>
      <c r="T123" s="67">
        <f t="shared" ca="1" si="58"/>
        <v>-2</v>
      </c>
      <c r="U123" s="67">
        <f t="shared" ca="1" si="59"/>
        <v>9360</v>
      </c>
      <c r="V123" s="5">
        <f t="shared" ca="1" si="38"/>
        <v>-1</v>
      </c>
      <c r="W123" s="5">
        <f t="shared" ca="1" si="52"/>
        <v>9360</v>
      </c>
      <c r="X123" s="67">
        <f t="shared" ca="1" si="53"/>
        <v>1</v>
      </c>
      <c r="Y123" s="67" t="e">
        <f t="shared" ca="1" si="60"/>
        <v>#N/A</v>
      </c>
      <c r="Z123" s="67" t="e">
        <f t="shared" ca="1" si="61"/>
        <v>#N/A</v>
      </c>
      <c r="AA123" s="5" t="str">
        <f>IF(Setup!$I$15="Yes",'Demand background (hide)'!AJ111+'SPC background (hide)'!C123,"")</f>
        <v/>
      </c>
      <c r="AC123" s="5">
        <f t="shared" ca="1" si="54"/>
        <v>14765</v>
      </c>
      <c r="AD123" s="5">
        <f t="shared" ca="1" si="55"/>
        <v>15657.95</v>
      </c>
    </row>
    <row r="124" spans="1:30" x14ac:dyDescent="0.2">
      <c r="A124" s="67">
        <f ca="1">Demand!C121</f>
        <v>18</v>
      </c>
      <c r="B124" s="67">
        <v>109</v>
      </c>
      <c r="C124" s="5">
        <f ca="1">'Demand background (hide)'!Y112</f>
        <v>9900</v>
      </c>
      <c r="D124" s="67">
        <f t="shared" si="39"/>
        <v>0</v>
      </c>
      <c r="E124" s="67" t="e">
        <f t="shared" ca="1" si="40"/>
        <v>#N/A</v>
      </c>
      <c r="F124" s="67" t="e">
        <f t="shared" ca="1" si="41"/>
        <v>#N/A</v>
      </c>
      <c r="G124" s="67" t="e">
        <f t="shared" ca="1" si="42"/>
        <v>#N/A</v>
      </c>
      <c r="H124" s="67" t="e">
        <f>IF('Demand background (hide)'!AN112&lt;&gt;"",'SPC background (hide)'!C124,NA())</f>
        <v>#N/A</v>
      </c>
      <c r="I124" s="67">
        <f t="shared" ca="1" si="43"/>
        <v>1</v>
      </c>
      <c r="J124" s="5">
        <f t="shared" ca="1" si="44"/>
        <v>11778.005728314238</v>
      </c>
      <c r="K124" s="5">
        <f t="shared" ca="1" si="45"/>
        <v>12680.965357337698</v>
      </c>
      <c r="L124" s="5">
        <f t="shared" ca="1" si="46"/>
        <v>13583.924986361157</v>
      </c>
      <c r="M124" s="5">
        <f t="shared" ca="1" si="47"/>
        <v>14486.884615384615</v>
      </c>
      <c r="N124" s="5">
        <f t="shared" ca="1" si="48"/>
        <v>15389.844244408074</v>
      </c>
      <c r="O124" s="5">
        <f t="shared" ca="1" si="49"/>
        <v>16292.803873431532</v>
      </c>
      <c r="P124" s="5">
        <f t="shared" ca="1" si="50"/>
        <v>17195.763502454993</v>
      </c>
      <c r="Q124" s="5">
        <f t="shared" ca="1" si="51"/>
        <v>9900</v>
      </c>
      <c r="R124" s="5">
        <f t="shared" ca="1" si="56"/>
        <v>-2</v>
      </c>
      <c r="S124" s="67">
        <f t="shared" ca="1" si="57"/>
        <v>9900</v>
      </c>
      <c r="T124" s="67">
        <f t="shared" ca="1" si="58"/>
        <v>-2</v>
      </c>
      <c r="U124" s="67">
        <f t="shared" ca="1" si="59"/>
        <v>9900</v>
      </c>
      <c r="V124" s="5">
        <f t="shared" ca="1" si="38"/>
        <v>-1</v>
      </c>
      <c r="W124" s="5">
        <f t="shared" ca="1" si="52"/>
        <v>9900</v>
      </c>
      <c r="X124" s="67">
        <f t="shared" ca="1" si="53"/>
        <v>1</v>
      </c>
      <c r="Y124" s="67" t="e">
        <f t="shared" ca="1" si="60"/>
        <v>#N/A</v>
      </c>
      <c r="Z124" s="67" t="e">
        <f t="shared" ca="1" si="61"/>
        <v>#N/A</v>
      </c>
      <c r="AA124" s="5" t="str">
        <f>IF(Setup!$I$15="Yes",'Demand background (hide)'!AJ112+'SPC background (hide)'!C124,"")</f>
        <v/>
      </c>
      <c r="AC124" s="5">
        <f t="shared" ca="1" si="54"/>
        <v>14765</v>
      </c>
      <c r="AD124" s="5">
        <f t="shared" ca="1" si="55"/>
        <v>15657.95</v>
      </c>
    </row>
    <row r="125" spans="1:30" x14ac:dyDescent="0.2">
      <c r="A125" s="67">
        <f ca="1">Demand!C122</f>
        <v>19</v>
      </c>
      <c r="B125" s="67">
        <v>110</v>
      </c>
      <c r="C125" s="5">
        <f ca="1">'Demand background (hide)'!Y113</f>
        <v>10245</v>
      </c>
      <c r="D125" s="67">
        <f t="shared" si="39"/>
        <v>0</v>
      </c>
      <c r="E125" s="67" t="e">
        <f t="shared" ca="1" si="40"/>
        <v>#N/A</v>
      </c>
      <c r="F125" s="67" t="e">
        <f t="shared" ca="1" si="41"/>
        <v>#N/A</v>
      </c>
      <c r="G125" s="67" t="e">
        <f t="shared" ca="1" si="42"/>
        <v>#N/A</v>
      </c>
      <c r="H125" s="67" t="e">
        <f>IF('Demand background (hide)'!AN113&lt;&gt;"",'SPC background (hide)'!C125,NA())</f>
        <v>#N/A</v>
      </c>
      <c r="I125" s="67">
        <f t="shared" ca="1" si="43"/>
        <v>1</v>
      </c>
      <c r="J125" s="5">
        <f t="shared" ca="1" si="44"/>
        <v>11778.005728314238</v>
      </c>
      <c r="K125" s="5">
        <f t="shared" ca="1" si="45"/>
        <v>12680.965357337698</v>
      </c>
      <c r="L125" s="5">
        <f t="shared" ca="1" si="46"/>
        <v>13583.924986361157</v>
      </c>
      <c r="M125" s="5">
        <f t="shared" ca="1" si="47"/>
        <v>14486.884615384615</v>
      </c>
      <c r="N125" s="5">
        <f t="shared" ca="1" si="48"/>
        <v>15389.844244408074</v>
      </c>
      <c r="O125" s="5">
        <f t="shared" ca="1" si="49"/>
        <v>16292.803873431532</v>
      </c>
      <c r="P125" s="5">
        <f t="shared" ca="1" si="50"/>
        <v>17195.763502454993</v>
      </c>
      <c r="Q125" s="5">
        <f t="shared" ca="1" si="51"/>
        <v>10245</v>
      </c>
      <c r="R125" s="5">
        <f t="shared" ca="1" si="56"/>
        <v>-2</v>
      </c>
      <c r="S125" s="67">
        <f t="shared" ca="1" si="57"/>
        <v>10245</v>
      </c>
      <c r="T125" s="67">
        <f t="shared" ca="1" si="58"/>
        <v>-2</v>
      </c>
      <c r="U125" s="67">
        <f t="shared" ca="1" si="59"/>
        <v>10245</v>
      </c>
      <c r="V125" s="5">
        <f t="shared" ca="1" si="38"/>
        <v>-1</v>
      </c>
      <c r="W125" s="5">
        <f t="shared" ca="1" si="52"/>
        <v>10245</v>
      </c>
      <c r="X125" s="67">
        <f t="shared" ca="1" si="53"/>
        <v>1</v>
      </c>
      <c r="Y125" s="67" t="e">
        <f t="shared" ca="1" si="60"/>
        <v>#N/A</v>
      </c>
      <c r="Z125" s="67" t="e">
        <f t="shared" ca="1" si="61"/>
        <v>#N/A</v>
      </c>
      <c r="AA125" s="5" t="str">
        <f>IF(Setup!$I$15="Yes",'Demand background (hide)'!AJ113+'SPC background (hide)'!C125,"")</f>
        <v/>
      </c>
      <c r="AC125" s="5">
        <f t="shared" ca="1" si="54"/>
        <v>14765</v>
      </c>
      <c r="AD125" s="5">
        <f t="shared" ca="1" si="55"/>
        <v>15657.95</v>
      </c>
    </row>
    <row r="126" spans="1:30" x14ac:dyDescent="0.2">
      <c r="A126" s="67">
        <f ca="1">Demand!C123</f>
        <v>20</v>
      </c>
      <c r="B126" s="67">
        <v>111</v>
      </c>
      <c r="C126" s="5">
        <f ca="1">'Demand background (hide)'!Y114</f>
        <v>11385</v>
      </c>
      <c r="D126" s="67">
        <f t="shared" si="39"/>
        <v>0</v>
      </c>
      <c r="E126" s="67" t="e">
        <f t="shared" ca="1" si="40"/>
        <v>#N/A</v>
      </c>
      <c r="F126" s="67" t="e">
        <f t="shared" ca="1" si="41"/>
        <v>#N/A</v>
      </c>
      <c r="G126" s="67" t="e">
        <f t="shared" ca="1" si="42"/>
        <v>#N/A</v>
      </c>
      <c r="H126" s="67" t="e">
        <f>IF('Demand background (hide)'!AN114&lt;&gt;"",'SPC background (hide)'!C126,NA())</f>
        <v>#N/A</v>
      </c>
      <c r="I126" s="67">
        <f t="shared" ca="1" si="43"/>
        <v>1</v>
      </c>
      <c r="J126" s="5">
        <f t="shared" ca="1" si="44"/>
        <v>11778.005728314238</v>
      </c>
      <c r="K126" s="5">
        <f t="shared" ca="1" si="45"/>
        <v>12680.965357337698</v>
      </c>
      <c r="L126" s="5">
        <f t="shared" ca="1" si="46"/>
        <v>13583.924986361157</v>
      </c>
      <c r="M126" s="5">
        <f t="shared" ca="1" si="47"/>
        <v>14486.884615384615</v>
      </c>
      <c r="N126" s="5">
        <f t="shared" ca="1" si="48"/>
        <v>15389.844244408074</v>
      </c>
      <c r="O126" s="5">
        <f t="shared" ca="1" si="49"/>
        <v>16292.803873431532</v>
      </c>
      <c r="P126" s="5">
        <f t="shared" ca="1" si="50"/>
        <v>17195.763502454993</v>
      </c>
      <c r="Q126" s="5">
        <f t="shared" ca="1" si="51"/>
        <v>11385</v>
      </c>
      <c r="R126" s="5">
        <f t="shared" ca="1" si="56"/>
        <v>-2</v>
      </c>
      <c r="S126" s="67">
        <f t="shared" ca="1" si="57"/>
        <v>11385</v>
      </c>
      <c r="T126" s="67">
        <f t="shared" ca="1" si="58"/>
        <v>-2</v>
      </c>
      <c r="U126" s="67">
        <f t="shared" ca="1" si="59"/>
        <v>11385</v>
      </c>
      <c r="V126" s="5">
        <f t="shared" ca="1" si="38"/>
        <v>-1</v>
      </c>
      <c r="W126" s="5">
        <f t="shared" ca="1" si="52"/>
        <v>11385</v>
      </c>
      <c r="X126" s="67">
        <f t="shared" ca="1" si="53"/>
        <v>1</v>
      </c>
      <c r="Y126" s="67" t="e">
        <f t="shared" ca="1" si="60"/>
        <v>#N/A</v>
      </c>
      <c r="Z126" s="67" t="e">
        <f t="shared" ca="1" si="61"/>
        <v>#N/A</v>
      </c>
      <c r="AA126" s="5" t="str">
        <f>IF(Setup!$I$15="Yes",'Demand background (hide)'!AJ114+'SPC background (hide)'!C126,"")</f>
        <v/>
      </c>
      <c r="AC126" s="5">
        <f t="shared" ca="1" si="54"/>
        <v>14765</v>
      </c>
      <c r="AD126" s="5">
        <f t="shared" ca="1" si="55"/>
        <v>15657.95</v>
      </c>
    </row>
    <row r="127" spans="1:30" x14ac:dyDescent="0.2">
      <c r="A127" s="67">
        <f ca="1">Demand!C124</f>
        <v>21</v>
      </c>
      <c r="B127" s="67">
        <v>112</v>
      </c>
      <c r="C127" s="5">
        <f ca="1">'Demand background (hide)'!Y115</f>
        <v>11671</v>
      </c>
      <c r="D127" s="67">
        <f t="shared" si="39"/>
        <v>0</v>
      </c>
      <c r="E127" s="67" t="e">
        <f t="shared" ca="1" si="40"/>
        <v>#N/A</v>
      </c>
      <c r="F127" s="67" t="e">
        <f t="shared" ca="1" si="41"/>
        <v>#N/A</v>
      </c>
      <c r="G127" s="67" t="e">
        <f t="shared" ca="1" si="42"/>
        <v>#N/A</v>
      </c>
      <c r="H127" s="67" t="e">
        <f>IF('Demand background (hide)'!AN115&lt;&gt;"",'SPC background (hide)'!C127,NA())</f>
        <v>#N/A</v>
      </c>
      <c r="I127" s="67">
        <f t="shared" ca="1" si="43"/>
        <v>1</v>
      </c>
      <c r="J127" s="5">
        <f t="shared" ca="1" si="44"/>
        <v>11778.005728314238</v>
      </c>
      <c r="K127" s="5">
        <f t="shared" ca="1" si="45"/>
        <v>12680.965357337698</v>
      </c>
      <c r="L127" s="5">
        <f t="shared" ca="1" si="46"/>
        <v>13583.924986361157</v>
      </c>
      <c r="M127" s="5">
        <f t="shared" ca="1" si="47"/>
        <v>14486.884615384615</v>
      </c>
      <c r="N127" s="5">
        <f t="shared" ca="1" si="48"/>
        <v>15389.844244408074</v>
      </c>
      <c r="O127" s="5">
        <f t="shared" ca="1" si="49"/>
        <v>16292.803873431532</v>
      </c>
      <c r="P127" s="5">
        <f t="shared" ca="1" si="50"/>
        <v>17195.763502454993</v>
      </c>
      <c r="Q127" s="5">
        <f t="shared" ca="1" si="51"/>
        <v>11671</v>
      </c>
      <c r="R127" s="5">
        <f t="shared" ca="1" si="56"/>
        <v>-2</v>
      </c>
      <c r="S127" s="67">
        <f t="shared" ca="1" si="57"/>
        <v>11671</v>
      </c>
      <c r="T127" s="67">
        <f t="shared" ca="1" si="58"/>
        <v>-2</v>
      </c>
      <c r="U127" s="67">
        <f t="shared" ca="1" si="59"/>
        <v>11671</v>
      </c>
      <c r="V127" s="5">
        <f t="shared" ca="1" si="38"/>
        <v>-1</v>
      </c>
      <c r="W127" s="5">
        <f t="shared" ca="1" si="52"/>
        <v>11671</v>
      </c>
      <c r="X127" s="67">
        <f t="shared" ca="1" si="53"/>
        <v>1</v>
      </c>
      <c r="Y127" s="67" t="e">
        <f t="shared" ca="1" si="60"/>
        <v>#N/A</v>
      </c>
      <c r="Z127" s="67" t="e">
        <f t="shared" ca="1" si="61"/>
        <v>#N/A</v>
      </c>
      <c r="AA127" s="5" t="str">
        <f>IF(Setup!$I$15="Yes",'Demand background (hide)'!AJ115+'SPC background (hide)'!C127,"")</f>
        <v/>
      </c>
      <c r="AC127" s="5">
        <f t="shared" ca="1" si="54"/>
        <v>14765</v>
      </c>
      <c r="AD127" s="5">
        <f t="shared" ca="1" si="55"/>
        <v>15657.95</v>
      </c>
    </row>
    <row r="128" spans="1:30" x14ac:dyDescent="0.2">
      <c r="A128" s="67">
        <f ca="1">Demand!C125</f>
        <v>22</v>
      </c>
      <c r="B128" s="67">
        <v>113</v>
      </c>
      <c r="C128" s="5">
        <f ca="1">'Demand background (hide)'!Y116</f>
        <v>10082</v>
      </c>
      <c r="D128" s="67">
        <f t="shared" si="39"/>
        <v>0</v>
      </c>
      <c r="E128" s="67" t="e">
        <f t="shared" ca="1" si="40"/>
        <v>#N/A</v>
      </c>
      <c r="F128" s="67" t="e">
        <f t="shared" ca="1" si="41"/>
        <v>#N/A</v>
      </c>
      <c r="G128" s="67" t="e">
        <f t="shared" ca="1" si="42"/>
        <v>#N/A</v>
      </c>
      <c r="H128" s="67" t="e">
        <f>IF('Demand background (hide)'!AN116&lt;&gt;"",'SPC background (hide)'!C128,NA())</f>
        <v>#N/A</v>
      </c>
      <c r="I128" s="67">
        <f t="shared" ca="1" si="43"/>
        <v>1</v>
      </c>
      <c r="J128" s="5">
        <f t="shared" ca="1" si="44"/>
        <v>11778.005728314238</v>
      </c>
      <c r="K128" s="5">
        <f t="shared" ca="1" si="45"/>
        <v>12680.965357337698</v>
      </c>
      <c r="L128" s="5">
        <f t="shared" ca="1" si="46"/>
        <v>13583.924986361157</v>
      </c>
      <c r="M128" s="5">
        <f t="shared" ca="1" si="47"/>
        <v>14486.884615384615</v>
      </c>
      <c r="N128" s="5">
        <f t="shared" ca="1" si="48"/>
        <v>15389.844244408074</v>
      </c>
      <c r="O128" s="5">
        <f t="shared" ca="1" si="49"/>
        <v>16292.803873431532</v>
      </c>
      <c r="P128" s="5">
        <f t="shared" ca="1" si="50"/>
        <v>17195.763502454993</v>
      </c>
      <c r="Q128" s="5">
        <f t="shared" ca="1" si="51"/>
        <v>10082</v>
      </c>
      <c r="R128" s="5">
        <f t="shared" ca="1" si="56"/>
        <v>-2</v>
      </c>
      <c r="S128" s="67">
        <f t="shared" ca="1" si="57"/>
        <v>10082</v>
      </c>
      <c r="T128" s="67">
        <f t="shared" ca="1" si="58"/>
        <v>-2</v>
      </c>
      <c r="U128" s="67">
        <f t="shared" ca="1" si="59"/>
        <v>10082</v>
      </c>
      <c r="V128" s="5">
        <f t="shared" ca="1" si="38"/>
        <v>-1</v>
      </c>
      <c r="W128" s="5">
        <f t="shared" ca="1" si="52"/>
        <v>10082</v>
      </c>
      <c r="X128" s="67">
        <f t="shared" ca="1" si="53"/>
        <v>-1</v>
      </c>
      <c r="Y128" s="67" t="e">
        <f t="shared" ca="1" si="60"/>
        <v>#N/A</v>
      </c>
      <c r="Z128" s="67" t="e">
        <f t="shared" ca="1" si="61"/>
        <v>#N/A</v>
      </c>
      <c r="AA128" s="5" t="str">
        <f>IF(Setup!$I$15="Yes",'Demand background (hide)'!AJ116+'SPC background (hide)'!C128,"")</f>
        <v/>
      </c>
      <c r="AC128" s="5">
        <f t="shared" ca="1" si="54"/>
        <v>14765</v>
      </c>
      <c r="AD128" s="5">
        <f t="shared" ca="1" si="55"/>
        <v>15657.95</v>
      </c>
    </row>
    <row r="129" spans="1:30" x14ac:dyDescent="0.2">
      <c r="A129" s="67">
        <f ca="1">Demand!C126</f>
        <v>23</v>
      </c>
      <c r="B129" s="67">
        <v>114</v>
      </c>
      <c r="C129" s="5">
        <f ca="1">'Demand background (hide)'!Y117</f>
        <v>11926</v>
      </c>
      <c r="D129" s="67">
        <f t="shared" si="39"/>
        <v>0</v>
      </c>
      <c r="E129" s="67" t="e">
        <f t="shared" ca="1" si="40"/>
        <v>#N/A</v>
      </c>
      <c r="F129" s="67" t="e">
        <f t="shared" ca="1" si="41"/>
        <v>#N/A</v>
      </c>
      <c r="G129" s="67" t="e">
        <f t="shared" ca="1" si="42"/>
        <v>#N/A</v>
      </c>
      <c r="H129" s="67" t="e">
        <f>IF('Demand background (hide)'!AN117&lt;&gt;"",'SPC background (hide)'!C129,NA())</f>
        <v>#N/A</v>
      </c>
      <c r="I129" s="67">
        <f t="shared" ca="1" si="43"/>
        <v>1</v>
      </c>
      <c r="J129" s="5">
        <f t="shared" ca="1" si="44"/>
        <v>11778.005728314238</v>
      </c>
      <c r="K129" s="5">
        <f t="shared" ca="1" si="45"/>
        <v>12680.965357337698</v>
      </c>
      <c r="L129" s="5">
        <f t="shared" ca="1" si="46"/>
        <v>13583.924986361157</v>
      </c>
      <c r="M129" s="5">
        <f t="shared" ca="1" si="47"/>
        <v>14486.884615384615</v>
      </c>
      <c r="N129" s="5">
        <f t="shared" ca="1" si="48"/>
        <v>15389.844244408074</v>
      </c>
      <c r="O129" s="5">
        <f t="shared" ca="1" si="49"/>
        <v>16292.803873431532</v>
      </c>
      <c r="P129" s="5">
        <f t="shared" ca="1" si="50"/>
        <v>17195.763502454993</v>
      </c>
      <c r="Q129" s="5" t="e">
        <f t="shared" ca="1" si="51"/>
        <v>#N/A</v>
      </c>
      <c r="R129" s="5">
        <f t="shared" ca="1" si="56"/>
        <v>-2</v>
      </c>
      <c r="S129" s="67">
        <f t="shared" ca="1" si="57"/>
        <v>11926</v>
      </c>
      <c r="T129" s="67">
        <f t="shared" ca="1" si="58"/>
        <v>-2</v>
      </c>
      <c r="U129" s="67">
        <f t="shared" ca="1" si="59"/>
        <v>11926</v>
      </c>
      <c r="V129" s="5">
        <f t="shared" ca="1" si="38"/>
        <v>-1</v>
      </c>
      <c r="W129" s="5">
        <f t="shared" ca="1" si="52"/>
        <v>11926</v>
      </c>
      <c r="X129" s="67">
        <f t="shared" ca="1" si="53"/>
        <v>1</v>
      </c>
      <c r="Y129" s="67" t="e">
        <f t="shared" ca="1" si="60"/>
        <v>#N/A</v>
      </c>
      <c r="Z129" s="67" t="e">
        <f t="shared" ca="1" si="61"/>
        <v>#N/A</v>
      </c>
      <c r="AA129" s="5" t="str">
        <f>IF(Setup!$I$15="Yes",'Demand background (hide)'!AJ117+'SPC background (hide)'!C129,"")</f>
        <v/>
      </c>
      <c r="AC129" s="5">
        <f t="shared" ca="1" si="54"/>
        <v>14765</v>
      </c>
      <c r="AD129" s="5">
        <f t="shared" ca="1" si="55"/>
        <v>15657.95</v>
      </c>
    </row>
    <row r="130" spans="1:30" x14ac:dyDescent="0.2">
      <c r="A130" s="67">
        <f ca="1">Demand!C127</f>
        <v>24</v>
      </c>
      <c r="B130" s="67">
        <v>115</v>
      </c>
      <c r="C130" s="5">
        <f ca="1">'Demand background (hide)'!Y118</f>
        <v>11507</v>
      </c>
      <c r="D130" s="67">
        <f t="shared" si="39"/>
        <v>0</v>
      </c>
      <c r="E130" s="67" t="e">
        <f t="shared" ca="1" si="40"/>
        <v>#N/A</v>
      </c>
      <c r="F130" s="67" t="e">
        <f t="shared" ca="1" si="41"/>
        <v>#N/A</v>
      </c>
      <c r="G130" s="67" t="e">
        <f t="shared" ca="1" si="42"/>
        <v>#N/A</v>
      </c>
      <c r="H130" s="67" t="e">
        <f>IF('Demand background (hide)'!AN118&lt;&gt;"",'SPC background (hide)'!C130,NA())</f>
        <v>#N/A</v>
      </c>
      <c r="I130" s="67">
        <f t="shared" ca="1" si="43"/>
        <v>1</v>
      </c>
      <c r="J130" s="5">
        <f t="shared" ca="1" si="44"/>
        <v>11778.005728314238</v>
      </c>
      <c r="K130" s="5">
        <f t="shared" ca="1" si="45"/>
        <v>12680.965357337698</v>
      </c>
      <c r="L130" s="5">
        <f t="shared" ca="1" si="46"/>
        <v>13583.924986361157</v>
      </c>
      <c r="M130" s="5">
        <f t="shared" ca="1" si="47"/>
        <v>14486.884615384615</v>
      </c>
      <c r="N130" s="5">
        <f t="shared" ca="1" si="48"/>
        <v>15389.844244408074</v>
      </c>
      <c r="O130" s="5">
        <f t="shared" ca="1" si="49"/>
        <v>16292.803873431532</v>
      </c>
      <c r="P130" s="5">
        <f t="shared" ca="1" si="50"/>
        <v>17195.763502454993</v>
      </c>
      <c r="Q130" s="5">
        <f t="shared" ca="1" si="51"/>
        <v>11507</v>
      </c>
      <c r="R130" s="5">
        <f t="shared" ca="1" si="56"/>
        <v>-2</v>
      </c>
      <c r="S130" s="67">
        <f t="shared" ca="1" si="57"/>
        <v>11507</v>
      </c>
      <c r="T130" s="67">
        <f t="shared" ca="1" si="58"/>
        <v>-2</v>
      </c>
      <c r="U130" s="67">
        <f t="shared" ca="1" si="59"/>
        <v>11507</v>
      </c>
      <c r="V130" s="5">
        <f t="shared" ca="1" si="38"/>
        <v>-1</v>
      </c>
      <c r="W130" s="5">
        <f t="shared" ca="1" si="52"/>
        <v>11507</v>
      </c>
      <c r="X130" s="67">
        <f t="shared" ca="1" si="53"/>
        <v>-1</v>
      </c>
      <c r="Y130" s="67" t="e">
        <f t="shared" ca="1" si="60"/>
        <v>#N/A</v>
      </c>
      <c r="Z130" s="67" t="e">
        <f t="shared" ca="1" si="61"/>
        <v>#N/A</v>
      </c>
      <c r="AA130" s="5" t="str">
        <f>IF(Setup!$I$15="Yes",'Demand background (hide)'!AJ118+'SPC background (hide)'!C130,"")</f>
        <v/>
      </c>
      <c r="AC130" s="5">
        <f t="shared" ca="1" si="54"/>
        <v>14765</v>
      </c>
      <c r="AD130" s="5">
        <f t="shared" ca="1" si="55"/>
        <v>15657.95</v>
      </c>
    </row>
    <row r="131" spans="1:30" x14ac:dyDescent="0.2">
      <c r="A131" s="67">
        <f ca="1">Demand!C128</f>
        <v>25</v>
      </c>
      <c r="B131" s="67">
        <v>116</v>
      </c>
      <c r="C131" s="5">
        <f ca="1">'Demand background (hide)'!Y119</f>
        <v>11912</v>
      </c>
      <c r="D131" s="67">
        <f t="shared" si="39"/>
        <v>0</v>
      </c>
      <c r="E131" s="67" t="e">
        <f t="shared" ca="1" si="40"/>
        <v>#N/A</v>
      </c>
      <c r="F131" s="67" t="e">
        <f t="shared" ca="1" si="41"/>
        <v>#N/A</v>
      </c>
      <c r="G131" s="67" t="e">
        <f t="shared" ca="1" si="42"/>
        <v>#N/A</v>
      </c>
      <c r="H131" s="67" t="e">
        <f>IF('Demand background (hide)'!AN119&lt;&gt;"",'SPC background (hide)'!C131,NA())</f>
        <v>#N/A</v>
      </c>
      <c r="I131" s="67">
        <f t="shared" ca="1" si="43"/>
        <v>1</v>
      </c>
      <c r="J131" s="5">
        <f t="shared" ca="1" si="44"/>
        <v>11778.005728314238</v>
      </c>
      <c r="K131" s="5">
        <f t="shared" ca="1" si="45"/>
        <v>12680.965357337698</v>
      </c>
      <c r="L131" s="5">
        <f t="shared" ca="1" si="46"/>
        <v>13583.924986361157</v>
      </c>
      <c r="M131" s="5">
        <f t="shared" ca="1" si="47"/>
        <v>14486.884615384615</v>
      </c>
      <c r="N131" s="5">
        <f t="shared" ca="1" si="48"/>
        <v>15389.844244408074</v>
      </c>
      <c r="O131" s="5">
        <f t="shared" ca="1" si="49"/>
        <v>16292.803873431532</v>
      </c>
      <c r="P131" s="5">
        <f t="shared" ca="1" si="50"/>
        <v>17195.763502454993</v>
      </c>
      <c r="Q131" s="5" t="e">
        <f t="shared" ca="1" si="51"/>
        <v>#N/A</v>
      </c>
      <c r="R131" s="5">
        <f t="shared" ca="1" si="56"/>
        <v>-2</v>
      </c>
      <c r="S131" s="67">
        <f t="shared" ca="1" si="57"/>
        <v>11912</v>
      </c>
      <c r="T131" s="67">
        <f t="shared" ca="1" si="58"/>
        <v>-2</v>
      </c>
      <c r="U131" s="67">
        <f t="shared" ca="1" si="59"/>
        <v>11912</v>
      </c>
      <c r="V131" s="5">
        <f t="shared" ca="1" si="38"/>
        <v>-1</v>
      </c>
      <c r="W131" s="5">
        <f t="shared" ca="1" si="52"/>
        <v>11912</v>
      </c>
      <c r="X131" s="67">
        <f t="shared" ca="1" si="53"/>
        <v>1</v>
      </c>
      <c r="Y131" s="67" t="e">
        <f t="shared" ca="1" si="60"/>
        <v>#N/A</v>
      </c>
      <c r="Z131" s="67" t="e">
        <f t="shared" ca="1" si="61"/>
        <v>#N/A</v>
      </c>
      <c r="AA131" s="5" t="str">
        <f>IF(Setup!$I$15="Yes",'Demand background (hide)'!AJ119+'SPC background (hide)'!C131,"")</f>
        <v/>
      </c>
      <c r="AC131" s="5">
        <f t="shared" ca="1" si="54"/>
        <v>14765</v>
      </c>
      <c r="AD131" s="5">
        <f t="shared" ca="1" si="55"/>
        <v>15657.95</v>
      </c>
    </row>
    <row r="132" spans="1:30" x14ac:dyDescent="0.2">
      <c r="A132" s="67">
        <f ca="1">Demand!C129</f>
        <v>26</v>
      </c>
      <c r="B132" s="67">
        <v>117</v>
      </c>
      <c r="C132" s="5">
        <f ca="1">'Demand background (hide)'!Y120</f>
        <v>12585</v>
      </c>
      <c r="D132" s="67">
        <f t="shared" si="39"/>
        <v>0</v>
      </c>
      <c r="E132" s="67" t="e">
        <f t="shared" ca="1" si="40"/>
        <v>#N/A</v>
      </c>
      <c r="F132" s="67" t="e">
        <f t="shared" ca="1" si="41"/>
        <v>#N/A</v>
      </c>
      <c r="G132" s="67" t="e">
        <f t="shared" ca="1" si="42"/>
        <v>#N/A</v>
      </c>
      <c r="H132" s="67" t="e">
        <f>IF('Demand background (hide)'!AN120&lt;&gt;"",'SPC background (hide)'!C132,NA())</f>
        <v>#N/A</v>
      </c>
      <c r="I132" s="67">
        <f t="shared" ca="1" si="43"/>
        <v>1</v>
      </c>
      <c r="J132" s="5">
        <f t="shared" ca="1" si="44"/>
        <v>11778.005728314238</v>
      </c>
      <c r="K132" s="5">
        <f t="shared" ca="1" si="45"/>
        <v>12680.965357337698</v>
      </c>
      <c r="L132" s="5">
        <f t="shared" ca="1" si="46"/>
        <v>13583.924986361157</v>
      </c>
      <c r="M132" s="5">
        <f t="shared" ca="1" si="47"/>
        <v>14486.884615384615</v>
      </c>
      <c r="N132" s="5">
        <f t="shared" ca="1" si="48"/>
        <v>15389.844244408074</v>
      </c>
      <c r="O132" s="5">
        <f t="shared" ca="1" si="49"/>
        <v>16292.803873431532</v>
      </c>
      <c r="P132" s="5">
        <f t="shared" ca="1" si="50"/>
        <v>17195.763502454993</v>
      </c>
      <c r="Q132" s="5" t="e">
        <f t="shared" ca="1" si="51"/>
        <v>#N/A</v>
      </c>
      <c r="R132" s="5">
        <f t="shared" ca="1" si="56"/>
        <v>-2</v>
      </c>
      <c r="S132" s="67">
        <f t="shared" ca="1" si="57"/>
        <v>12585</v>
      </c>
      <c r="T132" s="67">
        <f t="shared" ca="1" si="58"/>
        <v>-2</v>
      </c>
      <c r="U132" s="67">
        <f t="shared" ca="1" si="59"/>
        <v>12585</v>
      </c>
      <c r="V132" s="5">
        <f t="shared" ca="1" si="38"/>
        <v>-1</v>
      </c>
      <c r="W132" s="5">
        <f t="shared" ca="1" si="52"/>
        <v>12585</v>
      </c>
      <c r="X132" s="67">
        <f t="shared" ca="1" si="53"/>
        <v>1</v>
      </c>
      <c r="Y132" s="67" t="e">
        <f t="shared" ca="1" si="60"/>
        <v>#N/A</v>
      </c>
      <c r="Z132" s="67" t="e">
        <f t="shared" ca="1" si="61"/>
        <v>#N/A</v>
      </c>
      <c r="AA132" s="5" t="str">
        <f>IF(Setup!$I$15="Yes",'Demand background (hide)'!AJ120+'SPC background (hide)'!C132,"")</f>
        <v/>
      </c>
      <c r="AC132" s="5">
        <f t="shared" ca="1" si="54"/>
        <v>14765</v>
      </c>
      <c r="AD132" s="5">
        <f t="shared" ca="1" si="55"/>
        <v>15657.95</v>
      </c>
    </row>
    <row r="133" spans="1:30" x14ac:dyDescent="0.2">
      <c r="A133" s="67">
        <f ca="1">Demand!C130</f>
        <v>27</v>
      </c>
      <c r="B133" s="67">
        <v>118</v>
      </c>
      <c r="C133" s="5">
        <f ca="1">'Demand background (hide)'!Y121</f>
        <v>12288</v>
      </c>
      <c r="D133" s="67">
        <f t="shared" si="39"/>
        <v>0</v>
      </c>
      <c r="E133" s="67" t="e">
        <f t="shared" ca="1" si="40"/>
        <v>#N/A</v>
      </c>
      <c r="F133" s="67" t="e">
        <f t="shared" ca="1" si="41"/>
        <v>#N/A</v>
      </c>
      <c r="G133" s="67" t="e">
        <f t="shared" ca="1" si="42"/>
        <v>#N/A</v>
      </c>
      <c r="H133" s="67" t="e">
        <f>IF('Demand background (hide)'!AN121&lt;&gt;"",'SPC background (hide)'!C133,NA())</f>
        <v>#N/A</v>
      </c>
      <c r="I133" s="67">
        <f t="shared" ca="1" si="43"/>
        <v>1</v>
      </c>
      <c r="J133" s="5">
        <f t="shared" ca="1" si="44"/>
        <v>11778.005728314238</v>
      </c>
      <c r="K133" s="5">
        <f t="shared" ca="1" si="45"/>
        <v>12680.965357337698</v>
      </c>
      <c r="L133" s="5">
        <f t="shared" ca="1" si="46"/>
        <v>13583.924986361157</v>
      </c>
      <c r="M133" s="5">
        <f t="shared" ca="1" si="47"/>
        <v>14486.884615384615</v>
      </c>
      <c r="N133" s="5">
        <f t="shared" ca="1" si="48"/>
        <v>15389.844244408074</v>
      </c>
      <c r="O133" s="5">
        <f t="shared" ca="1" si="49"/>
        <v>16292.803873431532</v>
      </c>
      <c r="P133" s="5">
        <f t="shared" ca="1" si="50"/>
        <v>17195.763502454993</v>
      </c>
      <c r="Q133" s="5" t="e">
        <f t="shared" ca="1" si="51"/>
        <v>#N/A</v>
      </c>
      <c r="R133" s="5">
        <f t="shared" ca="1" si="56"/>
        <v>-2</v>
      </c>
      <c r="S133" s="67">
        <f t="shared" ca="1" si="57"/>
        <v>12288</v>
      </c>
      <c r="T133" s="67">
        <f t="shared" ca="1" si="58"/>
        <v>-2</v>
      </c>
      <c r="U133" s="67">
        <f t="shared" ca="1" si="59"/>
        <v>12288</v>
      </c>
      <c r="V133" s="5">
        <f t="shared" ca="1" si="38"/>
        <v>-1</v>
      </c>
      <c r="W133" s="5">
        <f t="shared" ca="1" si="52"/>
        <v>12288</v>
      </c>
      <c r="X133" s="67">
        <f t="shared" ca="1" si="53"/>
        <v>-1</v>
      </c>
      <c r="Y133" s="67" t="e">
        <f t="shared" ca="1" si="60"/>
        <v>#N/A</v>
      </c>
      <c r="Z133" s="67" t="e">
        <f t="shared" ca="1" si="61"/>
        <v>#N/A</v>
      </c>
      <c r="AA133" s="5" t="str">
        <f>IF(Setup!$I$15="Yes",'Demand background (hide)'!AJ121+'SPC background (hide)'!C133,"")</f>
        <v/>
      </c>
      <c r="AC133" s="5">
        <f t="shared" ca="1" si="54"/>
        <v>14765</v>
      </c>
      <c r="AD133" s="5">
        <f t="shared" ca="1" si="55"/>
        <v>15657.95</v>
      </c>
    </row>
    <row r="134" spans="1:30" x14ac:dyDescent="0.2">
      <c r="A134" s="67">
        <f ca="1">Demand!C131</f>
        <v>28</v>
      </c>
      <c r="B134" s="67">
        <v>119</v>
      </c>
      <c r="C134" s="5">
        <f ca="1">'Demand background (hide)'!Y122</f>
        <v>12198</v>
      </c>
      <c r="D134" s="67">
        <f t="shared" si="39"/>
        <v>0</v>
      </c>
      <c r="E134" s="67" t="e">
        <f t="shared" ca="1" si="40"/>
        <v>#N/A</v>
      </c>
      <c r="F134" s="67" t="e">
        <f t="shared" ca="1" si="41"/>
        <v>#N/A</v>
      </c>
      <c r="G134" s="67" t="e">
        <f t="shared" ca="1" si="42"/>
        <v>#N/A</v>
      </c>
      <c r="H134" s="67" t="e">
        <f>IF('Demand background (hide)'!AN122&lt;&gt;"",'SPC background (hide)'!C134,NA())</f>
        <v>#N/A</v>
      </c>
      <c r="I134" s="67">
        <f t="shared" ca="1" si="43"/>
        <v>1</v>
      </c>
      <c r="J134" s="5">
        <f t="shared" ca="1" si="44"/>
        <v>11778.005728314238</v>
      </c>
      <c r="K134" s="5">
        <f t="shared" ca="1" si="45"/>
        <v>12680.965357337698</v>
      </c>
      <c r="L134" s="5">
        <f t="shared" ca="1" si="46"/>
        <v>13583.924986361157</v>
      </c>
      <c r="M134" s="5">
        <f t="shared" ca="1" si="47"/>
        <v>14486.884615384615</v>
      </c>
      <c r="N134" s="5">
        <f t="shared" ca="1" si="48"/>
        <v>15389.844244408074</v>
      </c>
      <c r="O134" s="5">
        <f t="shared" ca="1" si="49"/>
        <v>16292.803873431532</v>
      </c>
      <c r="P134" s="5">
        <f t="shared" ca="1" si="50"/>
        <v>17195.763502454993</v>
      </c>
      <c r="Q134" s="5" t="e">
        <f t="shared" ca="1" si="51"/>
        <v>#N/A</v>
      </c>
      <c r="R134" s="5">
        <f t="shared" ca="1" si="56"/>
        <v>-2</v>
      </c>
      <c r="S134" s="67" t="e">
        <f t="shared" ca="1" si="57"/>
        <v>#N/A</v>
      </c>
      <c r="T134" s="67">
        <f t="shared" ca="1" si="58"/>
        <v>-2</v>
      </c>
      <c r="U134" s="67">
        <f t="shared" ca="1" si="59"/>
        <v>12198</v>
      </c>
      <c r="V134" s="5">
        <f t="shared" ca="1" si="38"/>
        <v>-1</v>
      </c>
      <c r="W134" s="5">
        <f t="shared" ca="1" si="52"/>
        <v>12198</v>
      </c>
      <c r="X134" s="67">
        <f t="shared" ca="1" si="53"/>
        <v>-1</v>
      </c>
      <c r="Y134" s="67" t="e">
        <f t="shared" ca="1" si="60"/>
        <v>#N/A</v>
      </c>
      <c r="Z134" s="67" t="e">
        <f t="shared" ca="1" si="61"/>
        <v>#N/A</v>
      </c>
      <c r="AA134" s="5" t="str">
        <f>IF(Setup!$I$15="Yes",'Demand background (hide)'!AJ122+'SPC background (hide)'!C134,"")</f>
        <v/>
      </c>
      <c r="AC134" s="5">
        <f t="shared" ca="1" si="54"/>
        <v>14765</v>
      </c>
      <c r="AD134" s="5">
        <f t="shared" ca="1" si="55"/>
        <v>15657.95</v>
      </c>
    </row>
    <row r="135" spans="1:30" x14ac:dyDescent="0.2">
      <c r="A135" s="67">
        <f ca="1">Demand!C132</f>
        <v>29</v>
      </c>
      <c r="B135" s="67">
        <v>120</v>
      </c>
      <c r="C135" s="5">
        <f ca="1">'Demand background (hide)'!Y123</f>
        <v>12750</v>
      </c>
      <c r="D135" s="67">
        <f t="shared" si="39"/>
        <v>0</v>
      </c>
      <c r="E135" s="67" t="e">
        <f t="shared" ca="1" si="40"/>
        <v>#N/A</v>
      </c>
      <c r="F135" s="67" t="e">
        <f t="shared" ca="1" si="41"/>
        <v>#N/A</v>
      </c>
      <c r="G135" s="67" t="e">
        <f t="shared" ca="1" si="42"/>
        <v>#N/A</v>
      </c>
      <c r="H135" s="67" t="e">
        <f>IF('Demand background (hide)'!AN123&lt;&gt;"",'SPC background (hide)'!C135,NA())</f>
        <v>#N/A</v>
      </c>
      <c r="I135" s="67">
        <f t="shared" ca="1" si="43"/>
        <v>1</v>
      </c>
      <c r="J135" s="5">
        <f t="shared" ca="1" si="44"/>
        <v>11778.005728314238</v>
      </c>
      <c r="K135" s="5">
        <f t="shared" ca="1" si="45"/>
        <v>12680.965357337698</v>
      </c>
      <c r="L135" s="5">
        <f t="shared" ca="1" si="46"/>
        <v>13583.924986361157</v>
      </c>
      <c r="M135" s="5">
        <f t="shared" ca="1" si="47"/>
        <v>14486.884615384615</v>
      </c>
      <c r="N135" s="5">
        <f t="shared" ca="1" si="48"/>
        <v>15389.844244408074</v>
      </c>
      <c r="O135" s="5">
        <f t="shared" ca="1" si="49"/>
        <v>16292.803873431532</v>
      </c>
      <c r="P135" s="5">
        <f t="shared" ca="1" si="50"/>
        <v>17195.763502454993</v>
      </c>
      <c r="Q135" s="5" t="e">
        <f t="shared" ca="1" si="51"/>
        <v>#N/A</v>
      </c>
      <c r="R135" s="5">
        <f t="shared" ca="1" si="56"/>
        <v>-1</v>
      </c>
      <c r="S135" s="67" t="e">
        <f t="shared" ca="1" si="57"/>
        <v>#N/A</v>
      </c>
      <c r="T135" s="67">
        <f t="shared" ca="1" si="58"/>
        <v>-2</v>
      </c>
      <c r="U135" s="67">
        <f t="shared" ca="1" si="59"/>
        <v>12750</v>
      </c>
      <c r="V135" s="5">
        <f t="shared" ca="1" si="38"/>
        <v>-1</v>
      </c>
      <c r="W135" s="5">
        <f t="shared" ca="1" si="52"/>
        <v>12750</v>
      </c>
      <c r="X135" s="67">
        <f t="shared" ca="1" si="53"/>
        <v>1</v>
      </c>
      <c r="Y135" s="67" t="e">
        <f t="shared" ca="1" si="60"/>
        <v>#N/A</v>
      </c>
      <c r="Z135" s="67" t="e">
        <f t="shared" ca="1" si="61"/>
        <v>#N/A</v>
      </c>
      <c r="AA135" s="5" t="str">
        <f>IF(Setup!$I$15="Yes",'Demand background (hide)'!AJ123+'SPC background (hide)'!C135,"")</f>
        <v/>
      </c>
      <c r="AC135" s="5">
        <f t="shared" ca="1" si="54"/>
        <v>14765</v>
      </c>
      <c r="AD135" s="5">
        <f t="shared" ca="1" si="55"/>
        <v>15657.95</v>
      </c>
    </row>
    <row r="136" spans="1:30" x14ac:dyDescent="0.2">
      <c r="A136" s="67">
        <f ca="1">Demand!C133</f>
        <v>30</v>
      </c>
      <c r="B136" s="67">
        <v>121</v>
      </c>
      <c r="C136" s="5">
        <f ca="1">'Demand background (hide)'!Y124</f>
        <v>13320</v>
      </c>
      <c r="D136" s="67">
        <f t="shared" si="39"/>
        <v>0</v>
      </c>
      <c r="E136" s="67" t="e">
        <f t="shared" ca="1" si="40"/>
        <v>#N/A</v>
      </c>
      <c r="F136" s="67" t="e">
        <f t="shared" ca="1" si="41"/>
        <v>#N/A</v>
      </c>
      <c r="G136" s="67" t="e">
        <f t="shared" ca="1" si="42"/>
        <v>#N/A</v>
      </c>
      <c r="H136" s="67" t="e">
        <f>IF('Demand background (hide)'!AN124&lt;&gt;"",'SPC background (hide)'!C136,NA())</f>
        <v>#N/A</v>
      </c>
      <c r="I136" s="67">
        <f t="shared" ca="1" si="43"/>
        <v>1</v>
      </c>
      <c r="J136" s="5">
        <f t="shared" ca="1" si="44"/>
        <v>11778.005728314238</v>
      </c>
      <c r="K136" s="5">
        <f t="shared" ca="1" si="45"/>
        <v>12680.965357337698</v>
      </c>
      <c r="L136" s="5">
        <f t="shared" ca="1" si="46"/>
        <v>13583.924986361157</v>
      </c>
      <c r="M136" s="5">
        <f t="shared" ca="1" si="47"/>
        <v>14486.884615384615</v>
      </c>
      <c r="N136" s="5">
        <f t="shared" ca="1" si="48"/>
        <v>15389.844244408074</v>
      </c>
      <c r="O136" s="5">
        <f t="shared" ca="1" si="49"/>
        <v>16292.803873431532</v>
      </c>
      <c r="P136" s="5">
        <f t="shared" ca="1" si="50"/>
        <v>17195.763502454993</v>
      </c>
      <c r="Q136" s="5" t="e">
        <f t="shared" ca="1" si="51"/>
        <v>#N/A</v>
      </c>
      <c r="R136" s="5">
        <f t="shared" ca="1" si="56"/>
        <v>-1</v>
      </c>
      <c r="S136" s="67" t="e">
        <f t="shared" ca="1" si="57"/>
        <v>#N/A</v>
      </c>
      <c r="T136" s="67">
        <f t="shared" ca="1" si="58"/>
        <v>-2</v>
      </c>
      <c r="U136" s="67">
        <f t="shared" ca="1" si="59"/>
        <v>13320</v>
      </c>
      <c r="V136" s="5">
        <f t="shared" ca="1" si="38"/>
        <v>-1</v>
      </c>
      <c r="W136" s="5">
        <f t="shared" ca="1" si="52"/>
        <v>13320</v>
      </c>
      <c r="X136" s="67">
        <f t="shared" ca="1" si="53"/>
        <v>1</v>
      </c>
      <c r="Y136" s="67" t="e">
        <f t="shared" ca="1" si="60"/>
        <v>#N/A</v>
      </c>
      <c r="Z136" s="67" t="e">
        <f t="shared" ca="1" si="61"/>
        <v>#N/A</v>
      </c>
      <c r="AA136" s="5" t="str">
        <f>IF(Setup!$I$15="Yes",'Demand background (hide)'!AJ124+'SPC background (hide)'!C136,"")</f>
        <v/>
      </c>
      <c r="AC136" s="5">
        <f t="shared" ca="1" si="54"/>
        <v>14765</v>
      </c>
      <c r="AD136" s="5">
        <f t="shared" ca="1" si="55"/>
        <v>15657.95</v>
      </c>
    </row>
    <row r="137" spans="1:30" x14ac:dyDescent="0.2">
      <c r="A137" s="67">
        <f ca="1">Demand!C134</f>
        <v>31</v>
      </c>
      <c r="B137" s="67">
        <v>122</v>
      </c>
      <c r="C137" s="5">
        <f ca="1">'Demand background (hide)'!Y125</f>
        <v>12945</v>
      </c>
      <c r="D137" s="67">
        <f t="shared" si="39"/>
        <v>0</v>
      </c>
      <c r="E137" s="67" t="e">
        <f t="shared" ca="1" si="40"/>
        <v>#N/A</v>
      </c>
      <c r="F137" s="67" t="e">
        <f t="shared" ca="1" si="41"/>
        <v>#N/A</v>
      </c>
      <c r="G137" s="67" t="e">
        <f t="shared" ca="1" si="42"/>
        <v>#N/A</v>
      </c>
      <c r="H137" s="67" t="e">
        <f>IF('Demand background (hide)'!AN125&lt;&gt;"",'SPC background (hide)'!C137,NA())</f>
        <v>#N/A</v>
      </c>
      <c r="I137" s="67">
        <f t="shared" ca="1" si="43"/>
        <v>1</v>
      </c>
      <c r="J137" s="5">
        <f t="shared" ca="1" si="44"/>
        <v>11778.005728314238</v>
      </c>
      <c r="K137" s="5">
        <f t="shared" ca="1" si="45"/>
        <v>12680.965357337698</v>
      </c>
      <c r="L137" s="5">
        <f t="shared" ca="1" si="46"/>
        <v>13583.924986361157</v>
      </c>
      <c r="M137" s="5">
        <f t="shared" ca="1" si="47"/>
        <v>14486.884615384615</v>
      </c>
      <c r="N137" s="5">
        <f t="shared" ca="1" si="48"/>
        <v>15389.844244408074</v>
      </c>
      <c r="O137" s="5">
        <f t="shared" ca="1" si="49"/>
        <v>16292.803873431532</v>
      </c>
      <c r="P137" s="5">
        <f t="shared" ca="1" si="50"/>
        <v>17195.763502454993</v>
      </c>
      <c r="Q137" s="5" t="e">
        <f t="shared" ca="1" si="51"/>
        <v>#N/A</v>
      </c>
      <c r="R137" s="5">
        <f t="shared" ca="1" si="56"/>
        <v>-1</v>
      </c>
      <c r="S137" s="67" t="e">
        <f t="shared" ca="1" si="57"/>
        <v>#N/A</v>
      </c>
      <c r="T137" s="67">
        <f t="shared" ca="1" si="58"/>
        <v>-2</v>
      </c>
      <c r="U137" s="67">
        <f t="shared" ca="1" si="59"/>
        <v>12945</v>
      </c>
      <c r="V137" s="5">
        <f t="shared" ca="1" si="38"/>
        <v>-1</v>
      </c>
      <c r="W137" s="5">
        <f t="shared" ca="1" si="52"/>
        <v>12945</v>
      </c>
      <c r="X137" s="67">
        <f t="shared" ca="1" si="53"/>
        <v>-1</v>
      </c>
      <c r="Y137" s="67" t="e">
        <f t="shared" ca="1" si="60"/>
        <v>#N/A</v>
      </c>
      <c r="Z137" s="67" t="e">
        <f t="shared" ca="1" si="61"/>
        <v>#N/A</v>
      </c>
      <c r="AA137" s="5" t="str">
        <f>IF(Setup!$I$15="Yes",'Demand background (hide)'!AJ125+'SPC background (hide)'!C137,"")</f>
        <v/>
      </c>
      <c r="AC137" s="5">
        <f t="shared" ca="1" si="54"/>
        <v>14765</v>
      </c>
      <c r="AD137" s="5">
        <f t="shared" ca="1" si="55"/>
        <v>15657.95</v>
      </c>
    </row>
    <row r="138" spans="1:30" x14ac:dyDescent="0.2">
      <c r="A138" s="67">
        <f ca="1">Demand!C135</f>
        <v>32</v>
      </c>
      <c r="B138" s="67">
        <v>123</v>
      </c>
      <c r="C138" s="5">
        <f ca="1">'Demand background (hide)'!Y126</f>
        <v>12705</v>
      </c>
      <c r="D138" s="67">
        <f t="shared" si="39"/>
        <v>0</v>
      </c>
      <c r="E138" s="67" t="e">
        <f t="shared" ca="1" si="40"/>
        <v>#N/A</v>
      </c>
      <c r="F138" s="67" t="e">
        <f t="shared" ca="1" si="41"/>
        <v>#N/A</v>
      </c>
      <c r="G138" s="67" t="e">
        <f t="shared" ca="1" si="42"/>
        <v>#N/A</v>
      </c>
      <c r="H138" s="67" t="e">
        <f>IF('Demand background (hide)'!AN126&lt;&gt;"",'SPC background (hide)'!C138,NA())</f>
        <v>#N/A</v>
      </c>
      <c r="I138" s="67">
        <f t="shared" ca="1" si="43"/>
        <v>1</v>
      </c>
      <c r="J138" s="5">
        <f t="shared" ca="1" si="44"/>
        <v>11778.005728314238</v>
      </c>
      <c r="K138" s="5">
        <f t="shared" ca="1" si="45"/>
        <v>12680.965357337698</v>
      </c>
      <c r="L138" s="5">
        <f t="shared" ca="1" si="46"/>
        <v>13583.924986361157</v>
      </c>
      <c r="M138" s="5">
        <f t="shared" ca="1" si="47"/>
        <v>14486.884615384615</v>
      </c>
      <c r="N138" s="5">
        <f t="shared" ca="1" si="48"/>
        <v>15389.844244408074</v>
      </c>
      <c r="O138" s="5">
        <f t="shared" ca="1" si="49"/>
        <v>16292.803873431532</v>
      </c>
      <c r="P138" s="5">
        <f t="shared" ca="1" si="50"/>
        <v>17195.763502454993</v>
      </c>
      <c r="Q138" s="5" t="e">
        <f t="shared" ca="1" si="51"/>
        <v>#N/A</v>
      </c>
      <c r="R138" s="5">
        <f t="shared" ca="1" si="56"/>
        <v>-1</v>
      </c>
      <c r="S138" s="67" t="e">
        <f t="shared" ca="1" si="57"/>
        <v>#N/A</v>
      </c>
      <c r="T138" s="67">
        <f t="shared" ca="1" si="58"/>
        <v>-2</v>
      </c>
      <c r="U138" s="67">
        <f t="shared" ca="1" si="59"/>
        <v>12705</v>
      </c>
      <c r="V138" s="5">
        <f t="shared" ca="1" si="38"/>
        <v>-1</v>
      </c>
      <c r="W138" s="5">
        <f t="shared" ca="1" si="52"/>
        <v>12705</v>
      </c>
      <c r="X138" s="67">
        <f t="shared" ca="1" si="53"/>
        <v>-1</v>
      </c>
      <c r="Y138" s="67" t="e">
        <f t="shared" ca="1" si="60"/>
        <v>#N/A</v>
      </c>
      <c r="Z138" s="67" t="e">
        <f t="shared" ca="1" si="61"/>
        <v>#N/A</v>
      </c>
      <c r="AA138" s="5" t="str">
        <f>IF(Setup!$I$15="Yes",'Demand background (hide)'!AJ126+'SPC background (hide)'!C138,"")</f>
        <v/>
      </c>
      <c r="AC138" s="5">
        <f t="shared" ca="1" si="54"/>
        <v>14765</v>
      </c>
      <c r="AD138" s="5">
        <f t="shared" ca="1" si="55"/>
        <v>15657.95</v>
      </c>
    </row>
    <row r="139" spans="1:30" x14ac:dyDescent="0.2">
      <c r="A139" s="67">
        <f ca="1">Demand!C136</f>
        <v>33</v>
      </c>
      <c r="B139" s="67">
        <v>124</v>
      </c>
      <c r="C139" s="5">
        <f ca="1">'Demand background (hide)'!Y127</f>
        <v>12721</v>
      </c>
      <c r="D139" s="67">
        <f t="shared" si="39"/>
        <v>0</v>
      </c>
      <c r="E139" s="67" t="e">
        <f t="shared" ca="1" si="40"/>
        <v>#N/A</v>
      </c>
      <c r="F139" s="67" t="e">
        <f t="shared" ca="1" si="41"/>
        <v>#N/A</v>
      </c>
      <c r="G139" s="67" t="e">
        <f t="shared" ca="1" si="42"/>
        <v>#N/A</v>
      </c>
      <c r="H139" s="67" t="e">
        <f>IF('Demand background (hide)'!AN127&lt;&gt;"",'SPC background (hide)'!C139,NA())</f>
        <v>#N/A</v>
      </c>
      <c r="I139" s="67">
        <f t="shared" ca="1" si="43"/>
        <v>1</v>
      </c>
      <c r="J139" s="5">
        <f t="shared" ca="1" si="44"/>
        <v>11778.005728314238</v>
      </c>
      <c r="K139" s="5">
        <f t="shared" ca="1" si="45"/>
        <v>12680.965357337698</v>
      </c>
      <c r="L139" s="5">
        <f t="shared" ca="1" si="46"/>
        <v>13583.924986361157</v>
      </c>
      <c r="M139" s="5">
        <f t="shared" ca="1" si="47"/>
        <v>14486.884615384615</v>
      </c>
      <c r="N139" s="5">
        <f t="shared" ca="1" si="48"/>
        <v>15389.844244408074</v>
      </c>
      <c r="O139" s="5">
        <f t="shared" ca="1" si="49"/>
        <v>16292.803873431532</v>
      </c>
      <c r="P139" s="5">
        <f t="shared" ca="1" si="50"/>
        <v>17195.763502454993</v>
      </c>
      <c r="Q139" s="5" t="e">
        <f t="shared" ca="1" si="51"/>
        <v>#N/A</v>
      </c>
      <c r="R139" s="5">
        <f t="shared" ca="1" si="56"/>
        <v>-1</v>
      </c>
      <c r="S139" s="67">
        <f t="shared" ca="1" si="57"/>
        <v>12721</v>
      </c>
      <c r="T139" s="67">
        <f t="shared" ca="1" si="58"/>
        <v>-2</v>
      </c>
      <c r="U139" s="67">
        <f t="shared" ca="1" si="59"/>
        <v>12721</v>
      </c>
      <c r="V139" s="5">
        <f t="shared" ca="1" si="38"/>
        <v>-1</v>
      </c>
      <c r="W139" s="5">
        <f t="shared" ca="1" si="52"/>
        <v>12721</v>
      </c>
      <c r="X139" s="67">
        <f t="shared" ca="1" si="53"/>
        <v>1</v>
      </c>
      <c r="Y139" s="67" t="e">
        <f t="shared" ca="1" si="60"/>
        <v>#N/A</v>
      </c>
      <c r="Z139" s="67" t="e">
        <f t="shared" ca="1" si="61"/>
        <v>#N/A</v>
      </c>
      <c r="AA139" s="5" t="str">
        <f>IF(Setup!$I$15="Yes",'Demand background (hide)'!AJ127+'SPC background (hide)'!C139,"")</f>
        <v/>
      </c>
      <c r="AC139" s="5">
        <f t="shared" ca="1" si="54"/>
        <v>14765</v>
      </c>
      <c r="AD139" s="5">
        <f t="shared" ca="1" si="55"/>
        <v>15657.95</v>
      </c>
    </row>
    <row r="140" spans="1:30" x14ac:dyDescent="0.2">
      <c r="A140" s="67">
        <f ca="1">Demand!C137</f>
        <v>34</v>
      </c>
      <c r="B140" s="67">
        <v>125</v>
      </c>
      <c r="C140" s="5">
        <f ca="1">'Demand background (hide)'!Y128</f>
        <v>12090</v>
      </c>
      <c r="D140" s="67">
        <f t="shared" si="39"/>
        <v>0</v>
      </c>
      <c r="E140" s="67" t="e">
        <f t="shared" ca="1" si="40"/>
        <v>#N/A</v>
      </c>
      <c r="F140" s="67" t="e">
        <f t="shared" ca="1" si="41"/>
        <v>#N/A</v>
      </c>
      <c r="G140" s="67" t="e">
        <f t="shared" ca="1" si="42"/>
        <v>#N/A</v>
      </c>
      <c r="H140" s="67" t="e">
        <f>IF('Demand background (hide)'!AN128&lt;&gt;"",'SPC background (hide)'!C140,NA())</f>
        <v>#N/A</v>
      </c>
      <c r="I140" s="67">
        <f t="shared" ca="1" si="43"/>
        <v>1</v>
      </c>
      <c r="J140" s="5">
        <f t="shared" ca="1" si="44"/>
        <v>11778.005728314238</v>
      </c>
      <c r="K140" s="5">
        <f t="shared" ca="1" si="45"/>
        <v>12680.965357337698</v>
      </c>
      <c r="L140" s="5">
        <f t="shared" ca="1" si="46"/>
        <v>13583.924986361157</v>
      </c>
      <c r="M140" s="5">
        <f t="shared" ca="1" si="47"/>
        <v>14486.884615384615</v>
      </c>
      <c r="N140" s="5">
        <f t="shared" ca="1" si="48"/>
        <v>15389.844244408074</v>
      </c>
      <c r="O140" s="5">
        <f t="shared" ca="1" si="49"/>
        <v>16292.803873431532</v>
      </c>
      <c r="P140" s="5">
        <f t="shared" ca="1" si="50"/>
        <v>17195.763502454993</v>
      </c>
      <c r="Q140" s="5" t="e">
        <f t="shared" ca="1" si="51"/>
        <v>#N/A</v>
      </c>
      <c r="R140" s="5">
        <f t="shared" ca="1" si="56"/>
        <v>-2</v>
      </c>
      <c r="S140" s="67">
        <f t="shared" ca="1" si="57"/>
        <v>12090</v>
      </c>
      <c r="T140" s="67">
        <f t="shared" ca="1" si="58"/>
        <v>-2</v>
      </c>
      <c r="U140" s="67">
        <f t="shared" ca="1" si="59"/>
        <v>12090</v>
      </c>
      <c r="V140" s="5">
        <f t="shared" ca="1" si="38"/>
        <v>-1</v>
      </c>
      <c r="W140" s="5">
        <f t="shared" ca="1" si="52"/>
        <v>12090</v>
      </c>
      <c r="X140" s="67">
        <f t="shared" ca="1" si="53"/>
        <v>-1</v>
      </c>
      <c r="Y140" s="67" t="e">
        <f t="shared" ca="1" si="60"/>
        <v>#N/A</v>
      </c>
      <c r="Z140" s="67" t="e">
        <f t="shared" ca="1" si="61"/>
        <v>#N/A</v>
      </c>
      <c r="AA140" s="5" t="str">
        <f>IF(Setup!$I$15="Yes",'Demand background (hide)'!AJ128+'SPC background (hide)'!C140,"")</f>
        <v/>
      </c>
      <c r="AC140" s="5">
        <f t="shared" ca="1" si="54"/>
        <v>14765</v>
      </c>
      <c r="AD140" s="5">
        <f t="shared" ca="1" si="55"/>
        <v>15657.95</v>
      </c>
    </row>
    <row r="141" spans="1:30" x14ac:dyDescent="0.2">
      <c r="A141" s="67">
        <f ca="1">Demand!C138</f>
        <v>35</v>
      </c>
      <c r="B141" s="67">
        <v>126</v>
      </c>
      <c r="C141" s="5">
        <f ca="1">'Demand background (hide)'!Y129</f>
        <v>11566</v>
      </c>
      <c r="D141" s="67">
        <f t="shared" si="39"/>
        <v>0</v>
      </c>
      <c r="E141" s="67" t="e">
        <f t="shared" ca="1" si="40"/>
        <v>#N/A</v>
      </c>
      <c r="F141" s="67" t="e">
        <f t="shared" ca="1" si="41"/>
        <v>#N/A</v>
      </c>
      <c r="G141" s="67" t="e">
        <f t="shared" ca="1" si="42"/>
        <v>#N/A</v>
      </c>
      <c r="H141" s="67" t="e">
        <f>IF('Demand background (hide)'!AN129&lt;&gt;"",'SPC background (hide)'!C141,NA())</f>
        <v>#N/A</v>
      </c>
      <c r="I141" s="67">
        <f t="shared" ca="1" si="43"/>
        <v>1</v>
      </c>
      <c r="J141" s="5">
        <f t="shared" ca="1" si="44"/>
        <v>11778.005728314238</v>
      </c>
      <c r="K141" s="5">
        <f t="shared" ca="1" si="45"/>
        <v>12680.965357337698</v>
      </c>
      <c r="L141" s="5">
        <f t="shared" ca="1" si="46"/>
        <v>13583.924986361157</v>
      </c>
      <c r="M141" s="5">
        <f t="shared" ca="1" si="47"/>
        <v>14486.884615384615</v>
      </c>
      <c r="N141" s="5">
        <f t="shared" ca="1" si="48"/>
        <v>15389.844244408074</v>
      </c>
      <c r="O141" s="5">
        <f t="shared" ca="1" si="49"/>
        <v>16292.803873431532</v>
      </c>
      <c r="P141" s="5">
        <f t="shared" ca="1" si="50"/>
        <v>17195.763502454993</v>
      </c>
      <c r="Q141" s="5">
        <f t="shared" ca="1" si="51"/>
        <v>11566</v>
      </c>
      <c r="R141" s="5">
        <f t="shared" ca="1" si="56"/>
        <v>-2</v>
      </c>
      <c r="S141" s="67">
        <f t="shared" ca="1" si="57"/>
        <v>11566</v>
      </c>
      <c r="T141" s="67">
        <f t="shared" ca="1" si="58"/>
        <v>-2</v>
      </c>
      <c r="U141" s="67">
        <f t="shared" ca="1" si="59"/>
        <v>11566</v>
      </c>
      <c r="V141" s="5">
        <f t="shared" ca="1" si="38"/>
        <v>-1</v>
      </c>
      <c r="W141" s="5">
        <f t="shared" ca="1" si="52"/>
        <v>11566</v>
      </c>
      <c r="X141" s="67">
        <f t="shared" ca="1" si="53"/>
        <v>-1</v>
      </c>
      <c r="Y141" s="67" t="e">
        <f t="shared" ca="1" si="60"/>
        <v>#N/A</v>
      </c>
      <c r="Z141" s="67" t="e">
        <f t="shared" ca="1" si="61"/>
        <v>#N/A</v>
      </c>
      <c r="AA141" s="5" t="str">
        <f>IF(Setup!$I$15="Yes",'Demand background (hide)'!AJ129+'SPC background (hide)'!C141,"")</f>
        <v/>
      </c>
      <c r="AC141" s="5">
        <f t="shared" ca="1" si="54"/>
        <v>14765</v>
      </c>
      <c r="AD141" s="5">
        <f t="shared" ca="1" si="55"/>
        <v>15657.95</v>
      </c>
    </row>
    <row r="142" spans="1:30" x14ac:dyDescent="0.2">
      <c r="A142" s="67">
        <f ca="1">Demand!C139</f>
        <v>36</v>
      </c>
      <c r="B142" s="67">
        <v>127</v>
      </c>
      <c r="C142" s="5">
        <f ca="1">'Demand background (hide)'!Y130</f>
        <v>11370</v>
      </c>
      <c r="D142" s="67">
        <f t="shared" si="39"/>
        <v>0</v>
      </c>
      <c r="E142" s="67" t="e">
        <f t="shared" ca="1" si="40"/>
        <v>#N/A</v>
      </c>
      <c r="F142" s="67" t="e">
        <f t="shared" ca="1" si="41"/>
        <v>#N/A</v>
      </c>
      <c r="G142" s="67" t="e">
        <f t="shared" ca="1" si="42"/>
        <v>#N/A</v>
      </c>
      <c r="H142" s="67" t="e">
        <f>IF('Demand background (hide)'!AN130&lt;&gt;"",'SPC background (hide)'!C142,NA())</f>
        <v>#N/A</v>
      </c>
      <c r="I142" s="67">
        <f t="shared" ca="1" si="43"/>
        <v>1</v>
      </c>
      <c r="J142" s="5">
        <f t="shared" ca="1" si="44"/>
        <v>11778.005728314238</v>
      </c>
      <c r="K142" s="5">
        <f t="shared" ca="1" si="45"/>
        <v>12680.965357337698</v>
      </c>
      <c r="L142" s="5">
        <f t="shared" ca="1" si="46"/>
        <v>13583.924986361157</v>
      </c>
      <c r="M142" s="5">
        <f t="shared" ca="1" si="47"/>
        <v>14486.884615384615</v>
      </c>
      <c r="N142" s="5">
        <f t="shared" ca="1" si="48"/>
        <v>15389.844244408074</v>
      </c>
      <c r="O142" s="5">
        <f t="shared" ca="1" si="49"/>
        <v>16292.803873431532</v>
      </c>
      <c r="P142" s="5">
        <f t="shared" ca="1" si="50"/>
        <v>17195.763502454993</v>
      </c>
      <c r="Q142" s="5">
        <f t="shared" ca="1" si="51"/>
        <v>11370</v>
      </c>
      <c r="R142" s="5">
        <f t="shared" ca="1" si="56"/>
        <v>-2</v>
      </c>
      <c r="S142" s="67" t="e">
        <f t="shared" ca="1" si="57"/>
        <v>#N/A</v>
      </c>
      <c r="T142" s="67">
        <f t="shared" ca="1" si="58"/>
        <v>-2</v>
      </c>
      <c r="U142" s="67">
        <f t="shared" ca="1" si="59"/>
        <v>11370</v>
      </c>
      <c r="V142" s="5">
        <f t="shared" ca="1" si="38"/>
        <v>-1</v>
      </c>
      <c r="W142" s="5">
        <f t="shared" ca="1" si="52"/>
        <v>11370</v>
      </c>
      <c r="X142" s="67">
        <f t="shared" ca="1" si="53"/>
        <v>-1</v>
      </c>
      <c r="Y142" s="67" t="e">
        <f t="shared" ca="1" si="60"/>
        <v>#N/A</v>
      </c>
      <c r="Z142" s="67" t="e">
        <f t="shared" ca="1" si="61"/>
        <v>#N/A</v>
      </c>
      <c r="AA142" s="5" t="str">
        <f>IF(Setup!$I$15="Yes",'Demand background (hide)'!AJ130+'SPC background (hide)'!C142,"")</f>
        <v/>
      </c>
      <c r="AC142" s="5">
        <f t="shared" ca="1" si="54"/>
        <v>14765</v>
      </c>
      <c r="AD142" s="5">
        <f t="shared" ca="1" si="55"/>
        <v>15657.95</v>
      </c>
    </row>
    <row r="143" spans="1:30" x14ac:dyDescent="0.2">
      <c r="A143" s="67">
        <f ca="1">Demand!C140</f>
        <v>37</v>
      </c>
      <c r="B143" s="67">
        <v>128</v>
      </c>
      <c r="C143" s="5">
        <f ca="1">'Demand background (hide)'!Y131</f>
        <v>13155</v>
      </c>
      <c r="D143" s="67">
        <f t="shared" si="39"/>
        <v>0</v>
      </c>
      <c r="E143" s="67" t="e">
        <f t="shared" ca="1" si="40"/>
        <v>#N/A</v>
      </c>
      <c r="F143" s="67" t="e">
        <f t="shared" ca="1" si="41"/>
        <v>#N/A</v>
      </c>
      <c r="G143" s="67" t="e">
        <f t="shared" ca="1" si="42"/>
        <v>#N/A</v>
      </c>
      <c r="H143" s="67" t="e">
        <f>IF('Demand background (hide)'!AN131&lt;&gt;"",'SPC background (hide)'!C143,NA())</f>
        <v>#N/A</v>
      </c>
      <c r="I143" s="67">
        <f t="shared" ca="1" si="43"/>
        <v>1</v>
      </c>
      <c r="J143" s="5">
        <f t="shared" ca="1" si="44"/>
        <v>11778.005728314238</v>
      </c>
      <c r="K143" s="5">
        <f t="shared" ca="1" si="45"/>
        <v>12680.965357337698</v>
      </c>
      <c r="L143" s="5">
        <f t="shared" ca="1" si="46"/>
        <v>13583.924986361157</v>
      </c>
      <c r="M143" s="5">
        <f t="shared" ca="1" si="47"/>
        <v>14486.884615384615</v>
      </c>
      <c r="N143" s="5">
        <f t="shared" ca="1" si="48"/>
        <v>15389.844244408074</v>
      </c>
      <c r="O143" s="5">
        <f t="shared" ca="1" si="49"/>
        <v>16292.803873431532</v>
      </c>
      <c r="P143" s="5">
        <f t="shared" ca="1" si="50"/>
        <v>17195.763502454993</v>
      </c>
      <c r="Q143" s="5" t="e">
        <f t="shared" ca="1" si="51"/>
        <v>#N/A</v>
      </c>
      <c r="R143" s="5">
        <f t="shared" ca="1" si="56"/>
        <v>-1</v>
      </c>
      <c r="S143" s="67" t="e">
        <f t="shared" ca="1" si="57"/>
        <v>#N/A</v>
      </c>
      <c r="T143" s="67">
        <f t="shared" ca="1" si="58"/>
        <v>-2</v>
      </c>
      <c r="U143" s="67">
        <f t="shared" ca="1" si="59"/>
        <v>13155</v>
      </c>
      <c r="V143" s="5">
        <f t="shared" ca="1" si="38"/>
        <v>-1</v>
      </c>
      <c r="W143" s="5">
        <f t="shared" ca="1" si="52"/>
        <v>13155</v>
      </c>
      <c r="X143" s="67">
        <f t="shared" ca="1" si="53"/>
        <v>1</v>
      </c>
      <c r="Y143" s="67" t="e">
        <f t="shared" ca="1" si="60"/>
        <v>#N/A</v>
      </c>
      <c r="Z143" s="67" t="e">
        <f t="shared" ca="1" si="61"/>
        <v>#N/A</v>
      </c>
      <c r="AA143" s="5" t="str">
        <f>IF(Setup!$I$15="Yes",'Demand background (hide)'!AJ131+'SPC background (hide)'!C143,"")</f>
        <v/>
      </c>
      <c r="AC143" s="5">
        <f t="shared" ca="1" si="54"/>
        <v>14765</v>
      </c>
      <c r="AD143" s="5">
        <f t="shared" ca="1" si="55"/>
        <v>15657.95</v>
      </c>
    </row>
    <row r="144" spans="1:30" x14ac:dyDescent="0.2">
      <c r="A144" s="67">
        <f ca="1">Demand!C141</f>
        <v>38</v>
      </c>
      <c r="B144" s="67">
        <v>129</v>
      </c>
      <c r="C144" s="5">
        <f ca="1">'Demand background (hide)'!Y132</f>
        <v>13068</v>
      </c>
      <c r="D144" s="67">
        <f t="shared" si="39"/>
        <v>0</v>
      </c>
      <c r="E144" s="67" t="e">
        <f t="shared" ca="1" si="40"/>
        <v>#N/A</v>
      </c>
      <c r="F144" s="67" t="e">
        <f t="shared" ca="1" si="41"/>
        <v>#N/A</v>
      </c>
      <c r="G144" s="67" t="e">
        <f t="shared" ca="1" si="42"/>
        <v>#N/A</v>
      </c>
      <c r="H144" s="67" t="e">
        <f>IF('Demand background (hide)'!AN132&lt;&gt;"",'SPC background (hide)'!C144,NA())</f>
        <v>#N/A</v>
      </c>
      <c r="I144" s="67">
        <f t="shared" ca="1" si="43"/>
        <v>1</v>
      </c>
      <c r="J144" s="5">
        <f t="shared" ca="1" si="44"/>
        <v>11778.005728314238</v>
      </c>
      <c r="K144" s="5">
        <f t="shared" ca="1" si="45"/>
        <v>12680.965357337698</v>
      </c>
      <c r="L144" s="5">
        <f t="shared" ca="1" si="46"/>
        <v>13583.924986361157</v>
      </c>
      <c r="M144" s="5">
        <f t="shared" ca="1" si="47"/>
        <v>14486.884615384615</v>
      </c>
      <c r="N144" s="5">
        <f t="shared" ca="1" si="48"/>
        <v>15389.844244408074</v>
      </c>
      <c r="O144" s="5">
        <f t="shared" ca="1" si="49"/>
        <v>16292.803873431532</v>
      </c>
      <c r="P144" s="5">
        <f t="shared" ca="1" si="50"/>
        <v>17195.763502454993</v>
      </c>
      <c r="Q144" s="5" t="e">
        <f t="shared" ca="1" si="51"/>
        <v>#N/A</v>
      </c>
      <c r="R144" s="5">
        <f t="shared" ca="1" si="56"/>
        <v>-1</v>
      </c>
      <c r="S144" s="67" t="e">
        <f t="shared" ca="1" si="57"/>
        <v>#N/A</v>
      </c>
      <c r="T144" s="67">
        <f t="shared" ca="1" si="58"/>
        <v>-2</v>
      </c>
      <c r="U144" s="67">
        <f t="shared" ca="1" si="59"/>
        <v>13068</v>
      </c>
      <c r="V144" s="5">
        <f t="shared" ref="V144:V207" ca="1" si="62">IF(C144&lt;M144,-1,IF(C144&gt;M144,1,0))</f>
        <v>-1</v>
      </c>
      <c r="W144" s="5">
        <f t="shared" ca="1" si="52"/>
        <v>13068</v>
      </c>
      <c r="X144" s="67">
        <f t="shared" ca="1" si="53"/>
        <v>-1</v>
      </c>
      <c r="Y144" s="67" t="e">
        <f t="shared" ca="1" si="60"/>
        <v>#N/A</v>
      </c>
      <c r="Z144" s="67" t="e">
        <f t="shared" ca="1" si="61"/>
        <v>#N/A</v>
      </c>
      <c r="AA144" s="5" t="str">
        <f>IF(Setup!$I$15="Yes",'Demand background (hide)'!AJ132+'SPC background (hide)'!C144,"")</f>
        <v/>
      </c>
      <c r="AC144" s="5">
        <f t="shared" ca="1" si="54"/>
        <v>14765</v>
      </c>
      <c r="AD144" s="5">
        <f t="shared" ca="1" si="55"/>
        <v>15657.95</v>
      </c>
    </row>
    <row r="145" spans="1:30" x14ac:dyDescent="0.2">
      <c r="A145" s="67">
        <f ca="1">Demand!C142</f>
        <v>39</v>
      </c>
      <c r="B145" s="67">
        <v>130</v>
      </c>
      <c r="C145" s="5">
        <f ca="1">'Demand background (hide)'!Y133</f>
        <v>11987</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11778.005728314238</v>
      </c>
      <c r="K145" s="5">
        <f t="shared" ref="K145:K208" ca="1" si="69">VLOOKUP($A145,$AG$2:$AQ$54,COLUMN(F$1),0)</f>
        <v>12680.965357337698</v>
      </c>
      <c r="L145" s="5">
        <f t="shared" ref="L145:L208" ca="1" si="70">VLOOKUP($A145,$AG$2:$AQ$54,COLUMN(G$1),0)</f>
        <v>13583.924986361157</v>
      </c>
      <c r="M145" s="5">
        <f t="shared" ref="M145:M208" ca="1" si="71">VLOOKUP($A145,$AG$2:$AQ$54,COLUMN(H$1),0)</f>
        <v>14486.884615384615</v>
      </c>
      <c r="N145" s="5">
        <f t="shared" ref="N145:N208" ca="1" si="72">VLOOKUP($A145,$AG$2:$AQ$54,COLUMN(I$1),0)</f>
        <v>15389.844244408074</v>
      </c>
      <c r="O145" s="5">
        <f t="shared" ref="O145:O208" ca="1" si="73">VLOOKUP($A145,$AG$2:$AQ$54,COLUMN(J$1),0)</f>
        <v>16292.803873431532</v>
      </c>
      <c r="P145" s="5">
        <f t="shared" ref="P145:P208" ca="1" si="74">VLOOKUP($A145,$AG$2:$AQ$54,COLUMN(K$1),0)</f>
        <v>17195.763502454993</v>
      </c>
      <c r="Q145" s="5" t="e">
        <f t="shared" ref="Q145:Q208" ca="1" si="75">IF(ISNA(H145)=TRUE,IF(OR(C145&gt;P145,C145&lt;J145),C145,NA()),NA())</f>
        <v>#N/A</v>
      </c>
      <c r="R145" s="5">
        <f t="shared" ca="1" si="56"/>
        <v>-2</v>
      </c>
      <c r="S145" s="67" t="e">
        <f t="shared" ca="1" si="57"/>
        <v>#N/A</v>
      </c>
      <c r="T145" s="67">
        <f t="shared" ca="1" si="58"/>
        <v>-2</v>
      </c>
      <c r="U145" s="67">
        <f t="shared" ca="1" si="59"/>
        <v>11987</v>
      </c>
      <c r="V145" s="5">
        <f t="shared" ca="1" si="62"/>
        <v>-1</v>
      </c>
      <c r="W145" s="5">
        <f t="shared" ref="W145:W208" ca="1" si="76">IF(ISNA(H145)=TRUE,IF(ABS(SUM(V145:V153))=9,C145,NA()),NA())</f>
        <v>11987</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14765</v>
      </c>
      <c r="AD145" s="5">
        <f t="shared" ref="AD145:AD208" ca="1" si="79">VLOOKUP($A145,$AG$2:$AS$54,13,0)</f>
        <v>15657.95</v>
      </c>
    </row>
    <row r="146" spans="1:30" x14ac:dyDescent="0.2">
      <c r="A146" s="67">
        <f ca="1">Demand!C143</f>
        <v>40</v>
      </c>
      <c r="B146" s="67">
        <v>131</v>
      </c>
      <c r="C146" s="5">
        <f ca="1">'Demand background (hide)'!Y134</f>
        <v>12932</v>
      </c>
      <c r="D146" s="67">
        <f t="shared" si="63"/>
        <v>0</v>
      </c>
      <c r="E146" s="67" t="e">
        <f t="shared" ca="1" si="64"/>
        <v>#N/A</v>
      </c>
      <c r="F146" s="67" t="e">
        <f t="shared" ca="1" si="65"/>
        <v>#N/A</v>
      </c>
      <c r="G146" s="67" t="e">
        <f t="shared" ca="1" si="66"/>
        <v>#N/A</v>
      </c>
      <c r="H146" s="67" t="e">
        <f>IF('Demand background (hide)'!AN134&lt;&gt;"",'SPC background (hide)'!C146,NA())</f>
        <v>#N/A</v>
      </c>
      <c r="I146" s="67">
        <f t="shared" ca="1" si="67"/>
        <v>1</v>
      </c>
      <c r="J146" s="5">
        <f t="shared" ca="1" si="68"/>
        <v>11778.005728314238</v>
      </c>
      <c r="K146" s="5">
        <f t="shared" ca="1" si="69"/>
        <v>12680.965357337698</v>
      </c>
      <c r="L146" s="5">
        <f t="shared" ca="1" si="70"/>
        <v>13583.924986361157</v>
      </c>
      <c r="M146" s="5">
        <f t="shared" ca="1" si="71"/>
        <v>14486.884615384615</v>
      </c>
      <c r="N146" s="5">
        <f t="shared" ca="1" si="72"/>
        <v>15389.844244408074</v>
      </c>
      <c r="O146" s="5">
        <f t="shared" ca="1" si="73"/>
        <v>16292.803873431532</v>
      </c>
      <c r="P146" s="5">
        <f t="shared" ca="1" si="74"/>
        <v>17195.763502454993</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-2</v>
      </c>
      <c r="U146" s="67">
        <f t="shared" ref="U146:U209" ca="1" si="83">IF(ISNA(H146)=TRUE,IF(ABS(SUM(T146:T150))&gt;=9,C146,NA()),NA())</f>
        <v>12932</v>
      </c>
      <c r="V146" s="5">
        <f t="shared" ca="1" si="62"/>
        <v>-1</v>
      </c>
      <c r="W146" s="5">
        <f t="shared" ca="1" si="76"/>
        <v>12932</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14765</v>
      </c>
      <c r="AD146" s="5">
        <f t="shared" ca="1" si="79"/>
        <v>15657.95</v>
      </c>
    </row>
    <row r="147" spans="1:30" x14ac:dyDescent="0.2">
      <c r="A147" s="67">
        <f ca="1">Demand!C144</f>
        <v>41</v>
      </c>
      <c r="B147" s="67">
        <v>132</v>
      </c>
      <c r="C147" s="5">
        <f ca="1">'Demand background (hide)'!Y135</f>
        <v>13290</v>
      </c>
      <c r="D147" s="67">
        <f t="shared" si="63"/>
        <v>0</v>
      </c>
      <c r="E147" s="67" t="e">
        <f t="shared" ca="1" si="64"/>
        <v>#N/A</v>
      </c>
      <c r="F147" s="67" t="e">
        <f t="shared" ca="1" si="65"/>
        <v>#N/A</v>
      </c>
      <c r="G147" s="67" t="e">
        <f t="shared" ca="1" si="66"/>
        <v>#N/A</v>
      </c>
      <c r="H147" s="67" t="e">
        <f>IF('Demand background (hide)'!AN135&lt;&gt;"",'SPC background (hide)'!C147,NA())</f>
        <v>#N/A</v>
      </c>
      <c r="I147" s="67">
        <f t="shared" ca="1" si="67"/>
        <v>1</v>
      </c>
      <c r="J147" s="5">
        <f t="shared" ca="1" si="68"/>
        <v>11778.005728314238</v>
      </c>
      <c r="K147" s="5">
        <f t="shared" ca="1" si="69"/>
        <v>12680.965357337698</v>
      </c>
      <c r="L147" s="5">
        <f t="shared" ca="1" si="70"/>
        <v>13583.924986361157</v>
      </c>
      <c r="M147" s="5">
        <f t="shared" ca="1" si="71"/>
        <v>14486.884615384615</v>
      </c>
      <c r="N147" s="5">
        <f t="shared" ca="1" si="72"/>
        <v>15389.844244408074</v>
      </c>
      <c r="O147" s="5">
        <f t="shared" ca="1" si="73"/>
        <v>16292.803873431532</v>
      </c>
      <c r="P147" s="5">
        <f t="shared" ca="1" si="74"/>
        <v>17195.763502454993</v>
      </c>
      <c r="Q147" s="5" t="e">
        <f t="shared" ca="1" si="75"/>
        <v>#N/A</v>
      </c>
      <c r="R147" s="5">
        <f t="shared" ca="1" si="80"/>
        <v>-1</v>
      </c>
      <c r="S147" s="67" t="e">
        <f t="shared" ca="1" si="81"/>
        <v>#N/A</v>
      </c>
      <c r="T147" s="67">
        <f t="shared" ca="1" si="82"/>
        <v>-2</v>
      </c>
      <c r="U147" s="67">
        <f t="shared" ca="1" si="83"/>
        <v>13290</v>
      </c>
      <c r="V147" s="5">
        <f t="shared" ca="1" si="62"/>
        <v>-1</v>
      </c>
      <c r="W147" s="5">
        <f t="shared" ca="1" si="76"/>
        <v>13290</v>
      </c>
      <c r="X147" s="67">
        <f t="shared" ca="1" si="77"/>
        <v>1</v>
      </c>
      <c r="Y147" s="67" t="e">
        <f t="shared" ca="1" si="84"/>
        <v>#N/A</v>
      </c>
      <c r="Z147" s="67" t="e">
        <f t="shared" ca="1" si="85"/>
        <v>#N/A</v>
      </c>
      <c r="AA147" s="5" t="str">
        <f>IF(Setup!$I$15="Yes",'Demand background (hide)'!AJ135+'SPC background (hide)'!C147,"")</f>
        <v/>
      </c>
      <c r="AC147" s="5">
        <f t="shared" ca="1" si="78"/>
        <v>14765</v>
      </c>
      <c r="AD147" s="5">
        <f t="shared" ca="1" si="79"/>
        <v>15657.95</v>
      </c>
    </row>
    <row r="148" spans="1:30" x14ac:dyDescent="0.2">
      <c r="A148" s="67">
        <f ca="1">Demand!C145</f>
        <v>42</v>
      </c>
      <c r="B148" s="67">
        <v>133</v>
      </c>
      <c r="C148" s="5">
        <f ca="1">'Demand background (hide)'!Y136</f>
        <v>13952</v>
      </c>
      <c r="D148" s="67">
        <f t="shared" si="63"/>
        <v>0</v>
      </c>
      <c r="E148" s="67" t="e">
        <f t="shared" ca="1" si="64"/>
        <v>#N/A</v>
      </c>
      <c r="F148" s="67" t="e">
        <f t="shared" ca="1" si="65"/>
        <v>#N/A</v>
      </c>
      <c r="G148" s="67" t="e">
        <f t="shared" ca="1" si="66"/>
        <v>#N/A</v>
      </c>
      <c r="H148" s="67" t="e">
        <f>IF('Demand background (hide)'!AN136&lt;&gt;"",'SPC background (hide)'!C148,NA())</f>
        <v>#N/A</v>
      </c>
      <c r="I148" s="67">
        <f t="shared" ca="1" si="67"/>
        <v>1</v>
      </c>
      <c r="J148" s="5">
        <f t="shared" ca="1" si="68"/>
        <v>11778.005728314238</v>
      </c>
      <c r="K148" s="5">
        <f t="shared" ca="1" si="69"/>
        <v>12680.965357337698</v>
      </c>
      <c r="L148" s="5">
        <f t="shared" ca="1" si="70"/>
        <v>13583.924986361157</v>
      </c>
      <c r="M148" s="5">
        <f t="shared" ca="1" si="71"/>
        <v>14486.884615384615</v>
      </c>
      <c r="N148" s="5">
        <f t="shared" ca="1" si="72"/>
        <v>15389.844244408074</v>
      </c>
      <c r="O148" s="5">
        <f t="shared" ca="1" si="73"/>
        <v>16292.803873431532</v>
      </c>
      <c r="P148" s="5">
        <f t="shared" ca="1" si="74"/>
        <v>17195.763502454993</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14765</v>
      </c>
      <c r="AD148" s="5">
        <f t="shared" ca="1" si="79"/>
        <v>15657.95</v>
      </c>
    </row>
    <row r="149" spans="1:30" x14ac:dyDescent="0.2">
      <c r="A149" s="67">
        <f ca="1">Demand!C146</f>
        <v>43</v>
      </c>
      <c r="B149" s="67">
        <v>134</v>
      </c>
      <c r="C149" s="5">
        <f ca="1">'Demand background (hide)'!Y137</f>
        <v>12691</v>
      </c>
      <c r="D149" s="67">
        <f t="shared" si="63"/>
        <v>0</v>
      </c>
      <c r="E149" s="67" t="e">
        <f t="shared" ca="1" si="64"/>
        <v>#N/A</v>
      </c>
      <c r="F149" s="67" t="e">
        <f t="shared" ca="1" si="65"/>
        <v>#N/A</v>
      </c>
      <c r="G149" s="67" t="e">
        <f t="shared" ca="1" si="66"/>
        <v>#N/A</v>
      </c>
      <c r="H149" s="67" t="e">
        <f>IF('Demand background (hide)'!AN137&lt;&gt;"",'SPC background (hide)'!C149,NA())</f>
        <v>#N/A</v>
      </c>
      <c r="I149" s="67">
        <f t="shared" ca="1" si="67"/>
        <v>1</v>
      </c>
      <c r="J149" s="5">
        <f t="shared" ca="1" si="68"/>
        <v>11778.005728314238</v>
      </c>
      <c r="K149" s="5">
        <f t="shared" ca="1" si="69"/>
        <v>12680.965357337698</v>
      </c>
      <c r="L149" s="5">
        <f t="shared" ca="1" si="70"/>
        <v>13583.924986361157</v>
      </c>
      <c r="M149" s="5">
        <f t="shared" ca="1" si="71"/>
        <v>14486.884615384615</v>
      </c>
      <c r="N149" s="5">
        <f t="shared" ca="1" si="72"/>
        <v>15389.844244408074</v>
      </c>
      <c r="O149" s="5">
        <f t="shared" ca="1" si="73"/>
        <v>16292.803873431532</v>
      </c>
      <c r="P149" s="5">
        <f t="shared" ca="1" si="74"/>
        <v>17195.763502454993</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14765</v>
      </c>
      <c r="AD149" s="5">
        <f t="shared" ca="1" si="79"/>
        <v>15657.95</v>
      </c>
    </row>
    <row r="150" spans="1:30" x14ac:dyDescent="0.2">
      <c r="A150" s="67">
        <f ca="1">Demand!C147</f>
        <v>44</v>
      </c>
      <c r="B150" s="67">
        <v>135</v>
      </c>
      <c r="C150" s="5">
        <f ca="1">'Demand background (hide)'!Y138</f>
        <v>12871</v>
      </c>
      <c r="D150" s="67">
        <f t="shared" si="63"/>
        <v>0</v>
      </c>
      <c r="E150" s="67" t="e">
        <f t="shared" ca="1" si="64"/>
        <v>#N/A</v>
      </c>
      <c r="F150" s="67" t="e">
        <f t="shared" ca="1" si="65"/>
        <v>#N/A</v>
      </c>
      <c r="G150" s="67" t="e">
        <f t="shared" ca="1" si="66"/>
        <v>#N/A</v>
      </c>
      <c r="H150" s="67" t="e">
        <f>IF('Demand background (hide)'!AN138&lt;&gt;"",'SPC background (hide)'!C150,NA())</f>
        <v>#N/A</v>
      </c>
      <c r="I150" s="67">
        <f t="shared" ca="1" si="67"/>
        <v>1</v>
      </c>
      <c r="J150" s="5">
        <f t="shared" ca="1" si="68"/>
        <v>11778.005728314238</v>
      </c>
      <c r="K150" s="5">
        <f t="shared" ca="1" si="69"/>
        <v>12680.965357337698</v>
      </c>
      <c r="L150" s="5">
        <f t="shared" ca="1" si="70"/>
        <v>13583.924986361157</v>
      </c>
      <c r="M150" s="5">
        <f t="shared" ca="1" si="71"/>
        <v>14486.884615384615</v>
      </c>
      <c r="N150" s="5">
        <f t="shared" ca="1" si="72"/>
        <v>15389.844244408074</v>
      </c>
      <c r="O150" s="5">
        <f t="shared" ca="1" si="73"/>
        <v>16292.803873431532</v>
      </c>
      <c r="P150" s="5">
        <f t="shared" ca="1" si="74"/>
        <v>17195.763502454993</v>
      </c>
      <c r="Q150" s="5" t="e">
        <f t="shared" ca="1" si="75"/>
        <v>#N/A</v>
      </c>
      <c r="R150" s="5">
        <f t="shared" ca="1" si="80"/>
        <v>-1</v>
      </c>
      <c r="S150" s="67" t="e">
        <f t="shared" ca="1" si="81"/>
        <v>#N/A</v>
      </c>
      <c r="T150" s="67">
        <f t="shared" ca="1" si="82"/>
        <v>-2</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14765</v>
      </c>
      <c r="AD150" s="5">
        <f t="shared" ca="1" si="79"/>
        <v>15657.95</v>
      </c>
    </row>
    <row r="151" spans="1:30" x14ac:dyDescent="0.2">
      <c r="A151" s="67">
        <f ca="1">Demand!C148</f>
        <v>45</v>
      </c>
      <c r="B151" s="67">
        <v>136</v>
      </c>
      <c r="C151" s="5">
        <f ca="1">'Demand background (hide)'!Y139</f>
        <v>12796</v>
      </c>
      <c r="D151" s="67">
        <f t="shared" si="63"/>
        <v>0</v>
      </c>
      <c r="E151" s="67" t="e">
        <f t="shared" ca="1" si="64"/>
        <v>#N/A</v>
      </c>
      <c r="F151" s="67" t="e">
        <f t="shared" ca="1" si="65"/>
        <v>#N/A</v>
      </c>
      <c r="G151" s="67" t="e">
        <f t="shared" ca="1" si="66"/>
        <v>#N/A</v>
      </c>
      <c r="H151" s="67" t="e">
        <f>IF('Demand background (hide)'!AN139&lt;&gt;"",'SPC background (hide)'!C151,NA())</f>
        <v>#N/A</v>
      </c>
      <c r="I151" s="67">
        <f t="shared" ca="1" si="67"/>
        <v>1</v>
      </c>
      <c r="J151" s="5">
        <f t="shared" ca="1" si="68"/>
        <v>11778.005728314238</v>
      </c>
      <c r="K151" s="5">
        <f t="shared" ca="1" si="69"/>
        <v>12680.965357337698</v>
      </c>
      <c r="L151" s="5">
        <f t="shared" ca="1" si="70"/>
        <v>13583.924986361157</v>
      </c>
      <c r="M151" s="5">
        <f t="shared" ca="1" si="71"/>
        <v>14486.884615384615</v>
      </c>
      <c r="N151" s="5">
        <f t="shared" ca="1" si="72"/>
        <v>15389.844244408074</v>
      </c>
      <c r="O151" s="5">
        <f t="shared" ca="1" si="73"/>
        <v>16292.803873431532</v>
      </c>
      <c r="P151" s="5">
        <f t="shared" ca="1" si="74"/>
        <v>17195.763502454993</v>
      </c>
      <c r="Q151" s="5" t="e">
        <f t="shared" ca="1" si="75"/>
        <v>#N/A</v>
      </c>
      <c r="R151" s="5">
        <f t="shared" ca="1" si="80"/>
        <v>-1</v>
      </c>
      <c r="S151" s="67" t="e">
        <f t="shared" ca="1" si="81"/>
        <v>#N/A</v>
      </c>
      <c r="T151" s="67">
        <f t="shared" ca="1" si="82"/>
        <v>-2</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14765</v>
      </c>
      <c r="AD151" s="5">
        <f t="shared" ca="1" si="79"/>
        <v>15657.95</v>
      </c>
    </row>
    <row r="152" spans="1:30" x14ac:dyDescent="0.2">
      <c r="A152" s="67">
        <f ca="1">Demand!C149</f>
        <v>46</v>
      </c>
      <c r="B152" s="67">
        <v>137</v>
      </c>
      <c r="C152" s="5">
        <f ca="1">'Demand background (hide)'!Y140</f>
        <v>13606</v>
      </c>
      <c r="D152" s="67">
        <f t="shared" si="63"/>
        <v>0</v>
      </c>
      <c r="E152" s="67" t="e">
        <f t="shared" ca="1" si="64"/>
        <v>#N/A</v>
      </c>
      <c r="F152" s="67" t="e">
        <f t="shared" ca="1" si="65"/>
        <v>#N/A</v>
      </c>
      <c r="G152" s="67" t="e">
        <f t="shared" ca="1" si="66"/>
        <v>#N/A</v>
      </c>
      <c r="H152" s="67" t="e">
        <f>IF('Demand background (hide)'!AN140&lt;&gt;"",'SPC background (hide)'!C152,NA())</f>
        <v>#N/A</v>
      </c>
      <c r="I152" s="67">
        <f t="shared" ca="1" si="67"/>
        <v>1</v>
      </c>
      <c r="J152" s="5">
        <f t="shared" ca="1" si="68"/>
        <v>11778.005728314238</v>
      </c>
      <c r="K152" s="5">
        <f t="shared" ca="1" si="69"/>
        <v>12680.965357337698</v>
      </c>
      <c r="L152" s="5">
        <f t="shared" ca="1" si="70"/>
        <v>13583.924986361157</v>
      </c>
      <c r="M152" s="5">
        <f t="shared" ca="1" si="71"/>
        <v>14486.884615384615</v>
      </c>
      <c r="N152" s="5">
        <f t="shared" ca="1" si="72"/>
        <v>15389.844244408074</v>
      </c>
      <c r="O152" s="5">
        <f t="shared" ca="1" si="73"/>
        <v>16292.803873431532</v>
      </c>
      <c r="P152" s="5">
        <f t="shared" ca="1" si="74"/>
        <v>17195.763502454993</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14765</v>
      </c>
      <c r="AD152" s="5">
        <f t="shared" ca="1" si="79"/>
        <v>15657.95</v>
      </c>
    </row>
    <row r="153" spans="1:30" x14ac:dyDescent="0.2">
      <c r="A153" s="67">
        <f ca="1">Demand!C150</f>
        <v>47</v>
      </c>
      <c r="B153" s="67">
        <v>138</v>
      </c>
      <c r="C153" s="5">
        <f ca="1">'Demand background (hide)'!Y141</f>
        <v>13773</v>
      </c>
      <c r="D153" s="67">
        <f t="shared" si="63"/>
        <v>0</v>
      </c>
      <c r="E153" s="67" t="e">
        <f t="shared" ca="1" si="64"/>
        <v>#N/A</v>
      </c>
      <c r="F153" s="67" t="e">
        <f t="shared" ca="1" si="65"/>
        <v>#N/A</v>
      </c>
      <c r="G153" s="67" t="e">
        <f t="shared" ca="1" si="66"/>
        <v>#N/A</v>
      </c>
      <c r="H153" s="67" t="e">
        <f>IF('Demand background (hide)'!AN141&lt;&gt;"",'SPC background (hide)'!C153,NA())</f>
        <v>#N/A</v>
      </c>
      <c r="I153" s="67">
        <f t="shared" ca="1" si="67"/>
        <v>1</v>
      </c>
      <c r="J153" s="5">
        <f t="shared" ca="1" si="68"/>
        <v>11778.005728314238</v>
      </c>
      <c r="K153" s="5">
        <f t="shared" ca="1" si="69"/>
        <v>12680.965357337698</v>
      </c>
      <c r="L153" s="5">
        <f t="shared" ca="1" si="70"/>
        <v>13583.924986361157</v>
      </c>
      <c r="M153" s="5">
        <f t="shared" ca="1" si="71"/>
        <v>14486.884615384615</v>
      </c>
      <c r="N153" s="5">
        <f t="shared" ca="1" si="72"/>
        <v>15389.844244408074</v>
      </c>
      <c r="O153" s="5">
        <f t="shared" ca="1" si="73"/>
        <v>16292.803873431532</v>
      </c>
      <c r="P153" s="5">
        <f t="shared" ca="1" si="74"/>
        <v>17195.763502454993</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14765</v>
      </c>
      <c r="AD153" s="5">
        <f t="shared" ca="1" si="79"/>
        <v>15657.95</v>
      </c>
    </row>
    <row r="154" spans="1:30" x14ac:dyDescent="0.2">
      <c r="A154" s="67">
        <f ca="1">Demand!C151</f>
        <v>48</v>
      </c>
      <c r="B154" s="67">
        <v>139</v>
      </c>
      <c r="C154" s="5">
        <f ca="1">'Demand background (hide)'!Y142</f>
        <v>13050</v>
      </c>
      <c r="D154" s="67">
        <f t="shared" si="63"/>
        <v>0</v>
      </c>
      <c r="E154" s="67" t="e">
        <f t="shared" ca="1" si="64"/>
        <v>#N/A</v>
      </c>
      <c r="F154" s="67" t="e">
        <f t="shared" ca="1" si="65"/>
        <v>#N/A</v>
      </c>
      <c r="G154" s="67" t="e">
        <f t="shared" ca="1" si="66"/>
        <v>#N/A</v>
      </c>
      <c r="H154" s="67" t="e">
        <f>IF('Demand background (hide)'!AN142&lt;&gt;"",'SPC background (hide)'!C154,NA())</f>
        <v>#N/A</v>
      </c>
      <c r="I154" s="67">
        <f t="shared" ca="1" si="67"/>
        <v>1</v>
      </c>
      <c r="J154" s="5">
        <f t="shared" ca="1" si="68"/>
        <v>11778.005728314238</v>
      </c>
      <c r="K154" s="5">
        <f t="shared" ca="1" si="69"/>
        <v>12680.965357337698</v>
      </c>
      <c r="L154" s="5">
        <f t="shared" ca="1" si="70"/>
        <v>13583.924986361157</v>
      </c>
      <c r="M154" s="5">
        <f t="shared" ca="1" si="71"/>
        <v>14486.884615384615</v>
      </c>
      <c r="N154" s="5">
        <f t="shared" ca="1" si="72"/>
        <v>15389.844244408074</v>
      </c>
      <c r="O154" s="5">
        <f t="shared" ca="1" si="73"/>
        <v>16292.803873431532</v>
      </c>
      <c r="P154" s="5">
        <f t="shared" ca="1" si="74"/>
        <v>17195.763502454993</v>
      </c>
      <c r="Q154" s="5" t="e">
        <f t="shared" ca="1" si="75"/>
        <v>#N/A</v>
      </c>
      <c r="R154" s="5">
        <f t="shared" ca="1" si="80"/>
        <v>-1</v>
      </c>
      <c r="S154" s="67" t="e">
        <f t="shared" ca="1" si="81"/>
        <v>#N/A</v>
      </c>
      <c r="T154" s="67">
        <f t="shared" ca="1" si="82"/>
        <v>-2</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14765</v>
      </c>
      <c r="AD154" s="5">
        <f t="shared" ca="1" si="79"/>
        <v>15657.95</v>
      </c>
    </row>
    <row r="155" spans="1:30" x14ac:dyDescent="0.2">
      <c r="A155" s="67">
        <f ca="1">Demand!C152</f>
        <v>49</v>
      </c>
      <c r="B155" s="67">
        <v>140</v>
      </c>
      <c r="C155" s="5">
        <f ca="1">'Demand background (hide)'!Y143</f>
        <v>14400</v>
      </c>
      <c r="D155" s="67">
        <f t="shared" si="63"/>
        <v>0</v>
      </c>
      <c r="E155" s="67" t="e">
        <f t="shared" ca="1" si="64"/>
        <v>#N/A</v>
      </c>
      <c r="F155" s="67" t="e">
        <f t="shared" ca="1" si="65"/>
        <v>#N/A</v>
      </c>
      <c r="G155" s="67" t="e">
        <f t="shared" ca="1" si="66"/>
        <v>#N/A</v>
      </c>
      <c r="H155" s="67" t="e">
        <f>IF('Demand background (hide)'!AN143&lt;&gt;"",'SPC background (hide)'!C155,NA())</f>
        <v>#N/A</v>
      </c>
      <c r="I155" s="67">
        <f t="shared" ca="1" si="67"/>
        <v>1</v>
      </c>
      <c r="J155" s="5">
        <f t="shared" ca="1" si="68"/>
        <v>11778.005728314238</v>
      </c>
      <c r="K155" s="5">
        <f t="shared" ca="1" si="69"/>
        <v>12680.965357337698</v>
      </c>
      <c r="L155" s="5">
        <f t="shared" ca="1" si="70"/>
        <v>13583.924986361157</v>
      </c>
      <c r="M155" s="5">
        <f t="shared" ca="1" si="71"/>
        <v>14486.884615384615</v>
      </c>
      <c r="N155" s="5">
        <f t="shared" ca="1" si="72"/>
        <v>15389.844244408074</v>
      </c>
      <c r="O155" s="5">
        <f t="shared" ca="1" si="73"/>
        <v>16292.803873431532</v>
      </c>
      <c r="P155" s="5">
        <f t="shared" ca="1" si="74"/>
        <v>17195.763502454993</v>
      </c>
      <c r="Q155" s="5" t="e">
        <f t="shared" ca="1" si="75"/>
        <v>#N/A</v>
      </c>
      <c r="R155" s="5">
        <f t="shared" ca="1" si="80"/>
        <v>-1</v>
      </c>
      <c r="S155" s="67" t="e">
        <f t="shared" ca="1" si="81"/>
        <v>#N/A</v>
      </c>
      <c r="T155" s="67">
        <f t="shared" ca="1" si="82"/>
        <v>-1</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14765</v>
      </c>
      <c r="AD155" s="5">
        <f t="shared" ca="1" si="79"/>
        <v>15657.95</v>
      </c>
    </row>
    <row r="156" spans="1:30" x14ac:dyDescent="0.2">
      <c r="A156" s="67">
        <f ca="1">Demand!C153</f>
        <v>50</v>
      </c>
      <c r="B156" s="67">
        <v>141</v>
      </c>
      <c r="C156" s="5">
        <f ca="1">'Demand background (hide)'!Y144</f>
        <v>14806</v>
      </c>
      <c r="D156" s="67">
        <f t="shared" si="63"/>
        <v>0</v>
      </c>
      <c r="E156" s="67" t="e">
        <f t="shared" ca="1" si="64"/>
        <v>#N/A</v>
      </c>
      <c r="F156" s="67" t="e">
        <f t="shared" ca="1" si="65"/>
        <v>#N/A</v>
      </c>
      <c r="G156" s="67" t="e">
        <f t="shared" ca="1" si="66"/>
        <v>#N/A</v>
      </c>
      <c r="H156" s="67" t="e">
        <f>IF('Demand background (hide)'!AN144&lt;&gt;"",'SPC background (hide)'!C156,NA())</f>
        <v>#N/A</v>
      </c>
      <c r="I156" s="67">
        <f t="shared" ca="1" si="67"/>
        <v>1</v>
      </c>
      <c r="J156" s="5">
        <f t="shared" ca="1" si="68"/>
        <v>11778.005728314238</v>
      </c>
      <c r="K156" s="5">
        <f t="shared" ca="1" si="69"/>
        <v>12680.965357337698</v>
      </c>
      <c r="L156" s="5">
        <f t="shared" ca="1" si="70"/>
        <v>13583.924986361157</v>
      </c>
      <c r="M156" s="5">
        <f t="shared" ca="1" si="71"/>
        <v>14486.884615384615</v>
      </c>
      <c r="N156" s="5">
        <f t="shared" ca="1" si="72"/>
        <v>15389.844244408074</v>
      </c>
      <c r="O156" s="5">
        <f t="shared" ca="1" si="73"/>
        <v>16292.803873431532</v>
      </c>
      <c r="P156" s="5">
        <f t="shared" ca="1" si="74"/>
        <v>17195.763502454993</v>
      </c>
      <c r="Q156" s="5" t="e">
        <f t="shared" ca="1" si="75"/>
        <v>#N/A</v>
      </c>
      <c r="R156" s="5">
        <f t="shared" ca="1" si="80"/>
        <v>1</v>
      </c>
      <c r="S156" s="67" t="e">
        <f t="shared" ca="1" si="81"/>
        <v>#N/A</v>
      </c>
      <c r="T156" s="67">
        <f t="shared" ca="1" si="82"/>
        <v>1</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14765</v>
      </c>
      <c r="AD156" s="5">
        <f t="shared" ca="1" si="79"/>
        <v>15657.95</v>
      </c>
    </row>
    <row r="157" spans="1:30" x14ac:dyDescent="0.2">
      <c r="A157" s="67">
        <f ca="1">Demand!C154</f>
        <v>51</v>
      </c>
      <c r="B157" s="67">
        <v>142</v>
      </c>
      <c r="C157" s="5">
        <f ca="1">'Demand background (hide)'!Y145</f>
        <v>14775</v>
      </c>
      <c r="D157" s="67">
        <f t="shared" si="63"/>
        <v>0</v>
      </c>
      <c r="E157" s="67" t="e">
        <f t="shared" ca="1" si="64"/>
        <v>#N/A</v>
      </c>
      <c r="F157" s="67" t="e">
        <f t="shared" ca="1" si="65"/>
        <v>#N/A</v>
      </c>
      <c r="G157" s="67" t="e">
        <f t="shared" ca="1" si="66"/>
        <v>#N/A</v>
      </c>
      <c r="H157" s="67" t="e">
        <f>IF('Demand background (hide)'!AN145&lt;&gt;"",'SPC background (hide)'!C157,NA())</f>
        <v>#N/A</v>
      </c>
      <c r="I157" s="67">
        <f t="shared" ca="1" si="67"/>
        <v>1</v>
      </c>
      <c r="J157" s="5">
        <f t="shared" ca="1" si="68"/>
        <v>11778.005728314238</v>
      </c>
      <c r="K157" s="5">
        <f t="shared" ca="1" si="69"/>
        <v>12680.965357337698</v>
      </c>
      <c r="L157" s="5">
        <f t="shared" ca="1" si="70"/>
        <v>13583.924986361157</v>
      </c>
      <c r="M157" s="5">
        <f t="shared" ca="1" si="71"/>
        <v>14486.884615384615</v>
      </c>
      <c r="N157" s="5">
        <f t="shared" ca="1" si="72"/>
        <v>15389.844244408074</v>
      </c>
      <c r="O157" s="5">
        <f t="shared" ca="1" si="73"/>
        <v>16292.803873431532</v>
      </c>
      <c r="P157" s="5">
        <f t="shared" ca="1" si="74"/>
        <v>17195.763502454993</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14765</v>
      </c>
      <c r="AD157" s="5">
        <f t="shared" ca="1" si="79"/>
        <v>15657.95</v>
      </c>
    </row>
    <row r="158" spans="1:30" x14ac:dyDescent="0.2">
      <c r="A158" s="67">
        <f ca="1">Demand!C155</f>
        <v>52</v>
      </c>
      <c r="B158" s="67">
        <v>143</v>
      </c>
      <c r="C158" s="5">
        <f ca="1">'Demand background (hide)'!Y146</f>
        <v>11895</v>
      </c>
      <c r="D158" s="67">
        <f t="shared" si="63"/>
        <v>0</v>
      </c>
      <c r="E158" s="67" t="e">
        <f t="shared" ca="1" si="64"/>
        <v>#N/A</v>
      </c>
      <c r="F158" s="67" t="e">
        <f t="shared" ca="1" si="65"/>
        <v>#N/A</v>
      </c>
      <c r="G158" s="67" t="e">
        <f t="shared" ca="1" si="66"/>
        <v>#N/A</v>
      </c>
      <c r="H158" s="67" t="e">
        <f>IF('Demand background (hide)'!AN146&lt;&gt;"",'SPC background (hide)'!C158,NA())</f>
        <v>#N/A</v>
      </c>
      <c r="I158" s="67">
        <f t="shared" ca="1" si="67"/>
        <v>1</v>
      </c>
      <c r="J158" s="5">
        <f t="shared" ca="1" si="68"/>
        <v>11778.005728314238</v>
      </c>
      <c r="K158" s="5">
        <f t="shared" ca="1" si="69"/>
        <v>12680.965357337698</v>
      </c>
      <c r="L158" s="5">
        <f t="shared" ca="1" si="70"/>
        <v>13583.924986361157</v>
      </c>
      <c r="M158" s="5">
        <f t="shared" ca="1" si="71"/>
        <v>14486.884615384615</v>
      </c>
      <c r="N158" s="5">
        <f t="shared" ca="1" si="72"/>
        <v>15389.844244408074</v>
      </c>
      <c r="O158" s="5">
        <f t="shared" ca="1" si="73"/>
        <v>16292.803873431532</v>
      </c>
      <c r="P158" s="5">
        <f t="shared" ca="1" si="74"/>
        <v>17195.763502454993</v>
      </c>
      <c r="Q158" s="5" t="e">
        <f t="shared" ca="1" si="75"/>
        <v>#N/A</v>
      </c>
      <c r="R158" s="5">
        <f t="shared" ca="1" si="80"/>
        <v>-2</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f t="shared" ca="1" si="85"/>
        <v>11895</v>
      </c>
      <c r="AA158" s="5" t="str">
        <f>IF(Setup!$I$15="Yes",'Demand background (hide)'!AJ146+'SPC background (hide)'!C158,"")</f>
        <v/>
      </c>
      <c r="AC158" s="5">
        <f t="shared" ca="1" si="78"/>
        <v>14765</v>
      </c>
      <c r="AD158" s="5">
        <f t="shared" ca="1" si="79"/>
        <v>15657.95</v>
      </c>
    </row>
    <row r="159" spans="1:30" x14ac:dyDescent="0.2">
      <c r="A159" s="67">
        <f ca="1">Demand!C156</f>
        <v>53</v>
      </c>
      <c r="B159" s="67">
        <v>144</v>
      </c>
      <c r="C159" s="5">
        <f ca="1">'Demand background (hide)'!Y147</f>
        <v>11356</v>
      </c>
      <c r="D159" s="67">
        <f t="shared" si="63"/>
        <v>0</v>
      </c>
      <c r="E159" s="67" t="e">
        <f t="shared" ca="1" si="64"/>
        <v>#N/A</v>
      </c>
      <c r="F159" s="67" t="e">
        <f t="shared" ca="1" si="65"/>
        <v>#N/A</v>
      </c>
      <c r="G159" s="67" t="e">
        <f t="shared" ca="1" si="66"/>
        <v>#N/A</v>
      </c>
      <c r="H159" s="67" t="e">
        <f>IF('Demand background (hide)'!AN147&lt;&gt;"",'SPC background (hide)'!C159,NA())</f>
        <v>#N/A</v>
      </c>
      <c r="I159" s="67">
        <f t="shared" ca="1" si="67"/>
        <v>1</v>
      </c>
      <c r="J159" s="5">
        <f t="shared" ca="1" si="68"/>
        <v>11778.005728314238</v>
      </c>
      <c r="K159" s="5">
        <f t="shared" ca="1" si="69"/>
        <v>12680.965357337698</v>
      </c>
      <c r="L159" s="5">
        <f t="shared" ca="1" si="70"/>
        <v>13583.924986361157</v>
      </c>
      <c r="M159" s="5">
        <f t="shared" ca="1" si="71"/>
        <v>14486.884615384615</v>
      </c>
      <c r="N159" s="5">
        <f t="shared" ca="1" si="72"/>
        <v>15389.844244408074</v>
      </c>
      <c r="O159" s="5">
        <f t="shared" ca="1" si="73"/>
        <v>16292.803873431532</v>
      </c>
      <c r="P159" s="5">
        <f t="shared" ca="1" si="74"/>
        <v>17195.763502454993</v>
      </c>
      <c r="Q159" s="5">
        <f t="shared" ca="1" si="75"/>
        <v>11356</v>
      </c>
      <c r="R159" s="5">
        <f t="shared" ca="1" si="80"/>
        <v>-2</v>
      </c>
      <c r="S159" s="67" t="e">
        <f t="shared" ca="1" si="81"/>
        <v>#N/A</v>
      </c>
      <c r="T159" s="67">
        <f t="shared" ca="1" si="82"/>
        <v>-2</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14765</v>
      </c>
      <c r="AD159" s="5">
        <f t="shared" ca="1" si="79"/>
        <v>15657.95</v>
      </c>
    </row>
    <row r="160" spans="1:30" x14ac:dyDescent="0.2">
      <c r="A160" s="67">
        <f ca="1">Demand!C157</f>
        <v>1</v>
      </c>
      <c r="B160" s="67">
        <v>145</v>
      </c>
      <c r="C160" s="5">
        <f ca="1">'Demand background (hide)'!Y148</f>
        <v>14790</v>
      </c>
      <c r="D160" s="67">
        <f t="shared" si="63"/>
        <v>0</v>
      </c>
      <c r="E160" s="67" t="e">
        <f t="shared" ca="1" si="64"/>
        <v>#N/A</v>
      </c>
      <c r="F160" s="67" t="e">
        <f t="shared" ca="1" si="65"/>
        <v>#N/A</v>
      </c>
      <c r="G160" s="67" t="e">
        <f t="shared" ca="1" si="66"/>
        <v>#N/A</v>
      </c>
      <c r="H160" s="67" t="e">
        <f>IF('Demand background (hide)'!AN148&lt;&gt;"",'SPC background (hide)'!C160,NA())</f>
        <v>#N/A</v>
      </c>
      <c r="I160" s="67">
        <f t="shared" ca="1" si="67"/>
        <v>1</v>
      </c>
      <c r="J160" s="5">
        <f t="shared" ca="1" si="68"/>
        <v>11778.005728314238</v>
      </c>
      <c r="K160" s="5">
        <f t="shared" ca="1" si="69"/>
        <v>12680.965357337698</v>
      </c>
      <c r="L160" s="5">
        <f t="shared" ca="1" si="70"/>
        <v>13583.924986361157</v>
      </c>
      <c r="M160" s="5">
        <f t="shared" ca="1" si="71"/>
        <v>14486.884615384615</v>
      </c>
      <c r="N160" s="5">
        <f t="shared" ca="1" si="72"/>
        <v>15389.844244408074</v>
      </c>
      <c r="O160" s="5">
        <f t="shared" ca="1" si="73"/>
        <v>16292.803873431532</v>
      </c>
      <c r="P160" s="5">
        <f t="shared" ca="1" si="74"/>
        <v>17195.763502454993</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14765</v>
      </c>
      <c r="AD160" s="5">
        <f t="shared" ca="1" si="79"/>
        <v>15657.95</v>
      </c>
    </row>
    <row r="161" spans="1:30" x14ac:dyDescent="0.2">
      <c r="A161" s="67">
        <f ca="1">Demand!C158</f>
        <v>2</v>
      </c>
      <c r="B161" s="67">
        <v>146</v>
      </c>
      <c r="C161" s="5">
        <f ca="1">'Demand background (hide)'!Y149</f>
        <v>13471</v>
      </c>
      <c r="D161" s="67">
        <f t="shared" si="63"/>
        <v>0</v>
      </c>
      <c r="E161" s="67" t="e">
        <f t="shared" ca="1" si="64"/>
        <v>#N/A</v>
      </c>
      <c r="F161" s="67" t="e">
        <f t="shared" ca="1" si="65"/>
        <v>#N/A</v>
      </c>
      <c r="G161" s="67" t="e">
        <f t="shared" ca="1" si="66"/>
        <v>#N/A</v>
      </c>
      <c r="H161" s="67" t="e">
        <f>IF('Demand background (hide)'!AN149&lt;&gt;"",'SPC background (hide)'!C161,NA())</f>
        <v>#N/A</v>
      </c>
      <c r="I161" s="67">
        <f t="shared" ca="1" si="67"/>
        <v>1</v>
      </c>
      <c r="J161" s="5">
        <f t="shared" ca="1" si="68"/>
        <v>11778.005728314238</v>
      </c>
      <c r="K161" s="5">
        <f t="shared" ca="1" si="69"/>
        <v>12680.965357337698</v>
      </c>
      <c r="L161" s="5">
        <f t="shared" ca="1" si="70"/>
        <v>13583.924986361157</v>
      </c>
      <c r="M161" s="5">
        <f t="shared" ca="1" si="71"/>
        <v>14486.884615384615</v>
      </c>
      <c r="N161" s="5">
        <f t="shared" ca="1" si="72"/>
        <v>15389.844244408074</v>
      </c>
      <c r="O161" s="5">
        <f t="shared" ca="1" si="73"/>
        <v>16292.803873431532</v>
      </c>
      <c r="P161" s="5">
        <f t="shared" ca="1" si="74"/>
        <v>17195.763502454993</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14765</v>
      </c>
      <c r="AD161" s="5">
        <f t="shared" ca="1" si="79"/>
        <v>15657.95</v>
      </c>
    </row>
    <row r="162" spans="1:30" x14ac:dyDescent="0.2">
      <c r="A162" s="67">
        <f ca="1">Demand!C159</f>
        <v>3</v>
      </c>
      <c r="B162" s="67">
        <v>147</v>
      </c>
      <c r="C162" s="5">
        <f ca="1">'Demand background (hide)'!Y150</f>
        <v>15076</v>
      </c>
      <c r="D162" s="67">
        <f t="shared" si="63"/>
        <v>0</v>
      </c>
      <c r="E162" s="67" t="e">
        <f t="shared" ca="1" si="64"/>
        <v>#N/A</v>
      </c>
      <c r="F162" s="67" t="e">
        <f t="shared" ca="1" si="65"/>
        <v>#N/A</v>
      </c>
      <c r="G162" s="67" t="e">
        <f t="shared" ca="1" si="66"/>
        <v>#N/A</v>
      </c>
      <c r="H162" s="67" t="e">
        <f>IF('Demand background (hide)'!AN150&lt;&gt;"",'SPC background (hide)'!C162,NA())</f>
        <v>#N/A</v>
      </c>
      <c r="I162" s="67">
        <f t="shared" ca="1" si="67"/>
        <v>1</v>
      </c>
      <c r="J162" s="5">
        <f t="shared" ca="1" si="68"/>
        <v>11778.005728314238</v>
      </c>
      <c r="K162" s="5">
        <f t="shared" ca="1" si="69"/>
        <v>12680.965357337698</v>
      </c>
      <c r="L162" s="5">
        <f t="shared" ca="1" si="70"/>
        <v>13583.924986361157</v>
      </c>
      <c r="M162" s="5">
        <f t="shared" ca="1" si="71"/>
        <v>14486.884615384615</v>
      </c>
      <c r="N162" s="5">
        <f t="shared" ca="1" si="72"/>
        <v>15389.844244408074</v>
      </c>
      <c r="O162" s="5">
        <f t="shared" ca="1" si="73"/>
        <v>16292.803873431532</v>
      </c>
      <c r="P162" s="5">
        <f t="shared" ca="1" si="74"/>
        <v>17195.763502454993</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14765</v>
      </c>
      <c r="AD162" s="5">
        <f t="shared" ca="1" si="79"/>
        <v>15657.95</v>
      </c>
    </row>
    <row r="163" spans="1:30" x14ac:dyDescent="0.2">
      <c r="A163" s="67">
        <f ca="1">Demand!C160</f>
        <v>4</v>
      </c>
      <c r="B163" s="67">
        <v>148</v>
      </c>
      <c r="C163" s="5">
        <f ca="1">'Demand background (hide)'!Y151</f>
        <v>13772</v>
      </c>
      <c r="D163" s="67">
        <f t="shared" si="63"/>
        <v>0</v>
      </c>
      <c r="E163" s="67" t="e">
        <f t="shared" ca="1" si="64"/>
        <v>#N/A</v>
      </c>
      <c r="F163" s="67" t="e">
        <f t="shared" ca="1" si="65"/>
        <v>#N/A</v>
      </c>
      <c r="G163" s="67" t="e">
        <f t="shared" ca="1" si="66"/>
        <v>#N/A</v>
      </c>
      <c r="H163" s="67" t="e">
        <f>IF('Demand background (hide)'!AN151&lt;&gt;"",'SPC background (hide)'!C163,NA())</f>
        <v>#N/A</v>
      </c>
      <c r="I163" s="67">
        <f t="shared" ca="1" si="67"/>
        <v>1</v>
      </c>
      <c r="J163" s="5">
        <f t="shared" ca="1" si="68"/>
        <v>11778.005728314238</v>
      </c>
      <c r="K163" s="5">
        <f t="shared" ca="1" si="69"/>
        <v>12680.965357337698</v>
      </c>
      <c r="L163" s="5">
        <f t="shared" ca="1" si="70"/>
        <v>13583.924986361157</v>
      </c>
      <c r="M163" s="5">
        <f t="shared" ca="1" si="71"/>
        <v>14486.884615384615</v>
      </c>
      <c r="N163" s="5">
        <f t="shared" ca="1" si="72"/>
        <v>15389.844244408074</v>
      </c>
      <c r="O163" s="5">
        <f t="shared" ca="1" si="73"/>
        <v>16292.803873431532</v>
      </c>
      <c r="P163" s="5">
        <f t="shared" ca="1" si="74"/>
        <v>17195.763502454993</v>
      </c>
      <c r="Q163" s="5" t="e">
        <f t="shared" ca="1" si="75"/>
        <v>#N/A</v>
      </c>
      <c r="R163" s="5">
        <f t="shared" ca="1" si="80"/>
        <v>-1</v>
      </c>
      <c r="S163" s="67" t="e">
        <f t="shared" ca="1" si="81"/>
        <v>#N/A</v>
      </c>
      <c r="T163" s="67">
        <f t="shared" ca="1" si="82"/>
        <v>-1</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14765</v>
      </c>
      <c r="AD163" s="5">
        <f t="shared" ca="1" si="79"/>
        <v>15657.95</v>
      </c>
    </row>
    <row r="164" spans="1:30" x14ac:dyDescent="0.2">
      <c r="A164" s="67">
        <f ca="1">Demand!C161</f>
        <v>5</v>
      </c>
      <c r="B164" s="67">
        <v>149</v>
      </c>
      <c r="C164" s="5">
        <f ca="1">'Demand background (hide)'!Y152</f>
        <v>13846</v>
      </c>
      <c r="D164" s="67">
        <f t="shared" si="63"/>
        <v>0</v>
      </c>
      <c r="E164" s="67" t="e">
        <f t="shared" ca="1" si="64"/>
        <v>#N/A</v>
      </c>
      <c r="F164" s="67" t="e">
        <f t="shared" ca="1" si="65"/>
        <v>#N/A</v>
      </c>
      <c r="G164" s="67" t="e">
        <f t="shared" ca="1" si="66"/>
        <v>#N/A</v>
      </c>
      <c r="H164" s="67" t="e">
        <f>IF('Demand background (hide)'!AN152&lt;&gt;"",'SPC background (hide)'!C164,NA())</f>
        <v>#N/A</v>
      </c>
      <c r="I164" s="67">
        <f t="shared" ca="1" si="67"/>
        <v>5</v>
      </c>
      <c r="J164" s="5">
        <f t="shared" ca="1" si="68"/>
        <v>11778.005728314238</v>
      </c>
      <c r="K164" s="5">
        <f t="shared" ca="1" si="69"/>
        <v>12680.965357337698</v>
      </c>
      <c r="L164" s="5">
        <f t="shared" ca="1" si="70"/>
        <v>13583.924986361157</v>
      </c>
      <c r="M164" s="5">
        <f t="shared" ca="1" si="71"/>
        <v>14486.884615384615</v>
      </c>
      <c r="N164" s="5">
        <f t="shared" ca="1" si="72"/>
        <v>15389.844244408074</v>
      </c>
      <c r="O164" s="5">
        <f t="shared" ca="1" si="73"/>
        <v>16292.803873431532</v>
      </c>
      <c r="P164" s="5">
        <f t="shared" ca="1" si="74"/>
        <v>17195.763502454993</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14765</v>
      </c>
      <c r="AD164" s="5">
        <f t="shared" ca="1" si="79"/>
        <v>15657.95</v>
      </c>
    </row>
    <row r="165" spans="1:30" x14ac:dyDescent="0.2">
      <c r="A165" s="67">
        <f ca="1">Demand!C162</f>
        <v>6</v>
      </c>
      <c r="B165" s="67">
        <v>150</v>
      </c>
      <c r="C165" s="5">
        <f ca="1">'Demand background (hide)'!Y153</f>
        <v>13530</v>
      </c>
      <c r="D165" s="67">
        <f t="shared" si="63"/>
        <v>0</v>
      </c>
      <c r="E165" s="67" t="e">
        <f t="shared" ca="1" si="64"/>
        <v>#N/A</v>
      </c>
      <c r="F165" s="67" t="e">
        <f t="shared" ca="1" si="65"/>
        <v>#N/A</v>
      </c>
      <c r="G165" s="67" t="e">
        <f t="shared" ca="1" si="66"/>
        <v>#N/A</v>
      </c>
      <c r="H165" s="67" t="e">
        <f>IF('Demand background (hide)'!AN153&lt;&gt;"",'SPC background (hide)'!C165,NA())</f>
        <v>#N/A</v>
      </c>
      <c r="I165" s="67">
        <f t="shared" ca="1" si="67"/>
        <v>1</v>
      </c>
      <c r="J165" s="5">
        <f t="shared" ca="1" si="68"/>
        <v>11778.005728314238</v>
      </c>
      <c r="K165" s="5">
        <f t="shared" ca="1" si="69"/>
        <v>12680.965357337698</v>
      </c>
      <c r="L165" s="5">
        <f t="shared" ca="1" si="70"/>
        <v>13583.924986361157</v>
      </c>
      <c r="M165" s="5">
        <f t="shared" ca="1" si="71"/>
        <v>14486.884615384615</v>
      </c>
      <c r="N165" s="5">
        <f t="shared" ca="1" si="72"/>
        <v>15389.844244408074</v>
      </c>
      <c r="O165" s="5">
        <f t="shared" ca="1" si="73"/>
        <v>16292.803873431532</v>
      </c>
      <c r="P165" s="5">
        <f t="shared" ca="1" si="74"/>
        <v>17195.763502454993</v>
      </c>
      <c r="Q165" s="5" t="e">
        <f t="shared" ca="1" si="75"/>
        <v>#N/A</v>
      </c>
      <c r="R165" s="5">
        <f t="shared" ca="1" si="80"/>
        <v>-1</v>
      </c>
      <c r="S165" s="67" t="e">
        <f t="shared" ca="1" si="81"/>
        <v>#N/A</v>
      </c>
      <c r="T165" s="67">
        <f t="shared" ca="1" si="82"/>
        <v>-2</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14765</v>
      </c>
      <c r="AD165" s="5">
        <f t="shared" ca="1" si="79"/>
        <v>15657.95</v>
      </c>
    </row>
    <row r="166" spans="1:30" x14ac:dyDescent="0.2">
      <c r="A166" s="67">
        <f ca="1">Demand!C163</f>
        <v>7</v>
      </c>
      <c r="B166" s="67">
        <v>151</v>
      </c>
      <c r="C166" s="5">
        <f ca="1">'Demand background (hide)'!Y154</f>
        <v>13698</v>
      </c>
      <c r="D166" s="67">
        <f t="shared" si="63"/>
        <v>0</v>
      </c>
      <c r="E166" s="67" t="e">
        <f t="shared" ca="1" si="64"/>
        <v>#N/A</v>
      </c>
      <c r="F166" s="67" t="e">
        <f t="shared" ca="1" si="65"/>
        <v>#N/A</v>
      </c>
      <c r="G166" s="67" t="e">
        <f t="shared" ca="1" si="66"/>
        <v>#N/A</v>
      </c>
      <c r="H166" s="67" t="e">
        <f>IF('Demand background (hide)'!AN154&lt;&gt;"",'SPC background (hide)'!C166,NA())</f>
        <v>#N/A</v>
      </c>
      <c r="I166" s="67">
        <f t="shared" ca="1" si="67"/>
        <v>1</v>
      </c>
      <c r="J166" s="5">
        <f t="shared" ca="1" si="68"/>
        <v>11778.005728314238</v>
      </c>
      <c r="K166" s="5">
        <f t="shared" ca="1" si="69"/>
        <v>12680.965357337698</v>
      </c>
      <c r="L166" s="5">
        <f t="shared" ca="1" si="70"/>
        <v>13583.924986361157</v>
      </c>
      <c r="M166" s="5">
        <f t="shared" ca="1" si="71"/>
        <v>14486.884615384615</v>
      </c>
      <c r="N166" s="5">
        <f t="shared" ca="1" si="72"/>
        <v>15389.844244408074</v>
      </c>
      <c r="O166" s="5">
        <f t="shared" ca="1" si="73"/>
        <v>16292.803873431532</v>
      </c>
      <c r="P166" s="5">
        <f t="shared" ca="1" si="74"/>
        <v>17195.763502454993</v>
      </c>
      <c r="Q166" s="5" t="e">
        <f t="shared" ca="1" si="75"/>
        <v>#N/A</v>
      </c>
      <c r="R166" s="5">
        <f t="shared" ca="1" si="80"/>
        <v>-1</v>
      </c>
      <c r="S166" s="67" t="e">
        <f t="shared" ca="1" si="81"/>
        <v>#N/A</v>
      </c>
      <c r="T166" s="67">
        <f t="shared" ca="1" si="82"/>
        <v>-1</v>
      </c>
      <c r="U166" s="67" t="e">
        <f t="shared" ca="1" si="83"/>
        <v>#N/A</v>
      </c>
      <c r="V166" s="5">
        <f t="shared" ca="1" si="62"/>
        <v>-1</v>
      </c>
      <c r="W166" s="5" t="e">
        <f t="shared" ca="1" si="76"/>
        <v>#N/A</v>
      </c>
      <c r="X166" s="67">
        <f t="shared" ca="1" si="77"/>
        <v>1</v>
      </c>
      <c r="Y166" s="67">
        <f t="shared" ca="1" si="84"/>
        <v>13698</v>
      </c>
      <c r="Z166" s="67" t="e">
        <f t="shared" ca="1" si="85"/>
        <v>#N/A</v>
      </c>
      <c r="AA166" s="5" t="str">
        <f>IF(Setup!$I$15="Yes",'Demand background (hide)'!AJ154+'SPC background (hide)'!C166,"")</f>
        <v/>
      </c>
      <c r="AC166" s="5">
        <f t="shared" ca="1" si="78"/>
        <v>14765</v>
      </c>
      <c r="AD166" s="5">
        <f t="shared" ca="1" si="79"/>
        <v>15657.95</v>
      </c>
    </row>
    <row r="167" spans="1:30" x14ac:dyDescent="0.2">
      <c r="A167" s="67">
        <f ca="1">Demand!C164</f>
        <v>8</v>
      </c>
      <c r="B167" s="67">
        <v>152</v>
      </c>
      <c r="C167" s="5">
        <f ca="1">'Demand background (hide)'!Y155</f>
        <v>14146</v>
      </c>
      <c r="D167" s="67">
        <f t="shared" si="63"/>
        <v>0</v>
      </c>
      <c r="E167" s="67" t="e">
        <f t="shared" ca="1" si="64"/>
        <v>#N/A</v>
      </c>
      <c r="F167" s="67" t="e">
        <f t="shared" ca="1" si="65"/>
        <v>#N/A</v>
      </c>
      <c r="G167" s="67" t="e">
        <f t="shared" ca="1" si="66"/>
        <v>#N/A</v>
      </c>
      <c r="H167" s="67" t="e">
        <f>IF('Demand background (hide)'!AN155&lt;&gt;"",'SPC background (hide)'!C167,NA())</f>
        <v>#N/A</v>
      </c>
      <c r="I167" s="67">
        <f t="shared" ca="1" si="67"/>
        <v>1</v>
      </c>
      <c r="J167" s="5">
        <f t="shared" ca="1" si="68"/>
        <v>11778.005728314238</v>
      </c>
      <c r="K167" s="5">
        <f t="shared" ca="1" si="69"/>
        <v>12680.965357337698</v>
      </c>
      <c r="L167" s="5">
        <f t="shared" ca="1" si="70"/>
        <v>13583.924986361157</v>
      </c>
      <c r="M167" s="5">
        <f t="shared" ca="1" si="71"/>
        <v>14486.884615384615</v>
      </c>
      <c r="N167" s="5">
        <f t="shared" ca="1" si="72"/>
        <v>15389.844244408074</v>
      </c>
      <c r="O167" s="5">
        <f t="shared" ca="1" si="73"/>
        <v>16292.803873431532</v>
      </c>
      <c r="P167" s="5">
        <f t="shared" ca="1" si="74"/>
        <v>17195.763502454993</v>
      </c>
      <c r="Q167" s="5" t="e">
        <f t="shared" ca="1" si="75"/>
        <v>#N/A</v>
      </c>
      <c r="R167" s="5">
        <f t="shared" ca="1" si="80"/>
        <v>-1</v>
      </c>
      <c r="S167" s="67" t="e">
        <f t="shared" ca="1" si="81"/>
        <v>#N/A</v>
      </c>
      <c r="T167" s="67">
        <f t="shared" ca="1" si="82"/>
        <v>-1</v>
      </c>
      <c r="U167" s="67" t="e">
        <f t="shared" ca="1" si="83"/>
        <v>#N/A</v>
      </c>
      <c r="V167" s="5">
        <f t="shared" ca="1" si="62"/>
        <v>-1</v>
      </c>
      <c r="W167" s="5" t="e">
        <f t="shared" ca="1" si="76"/>
        <v>#N/A</v>
      </c>
      <c r="X167" s="67">
        <f t="shared" ca="1" si="77"/>
        <v>1</v>
      </c>
      <c r="Y167" s="67" t="e">
        <f t="shared" ca="1" si="84"/>
        <v>#N/A</v>
      </c>
      <c r="Z167" s="67" t="e">
        <f t="shared" ca="1" si="85"/>
        <v>#N/A</v>
      </c>
      <c r="AA167" s="5" t="str">
        <f>IF(Setup!$I$15="Yes",'Demand background (hide)'!AJ155+'SPC background (hide)'!C167,"")</f>
        <v/>
      </c>
      <c r="AC167" s="5">
        <f t="shared" ca="1" si="78"/>
        <v>14765</v>
      </c>
      <c r="AD167" s="5">
        <f t="shared" ca="1" si="79"/>
        <v>15657.95</v>
      </c>
    </row>
    <row r="168" spans="1:30" x14ac:dyDescent="0.2">
      <c r="A168" s="67">
        <f ca="1">Demand!C165</f>
        <v>9</v>
      </c>
      <c r="B168" s="67">
        <v>153</v>
      </c>
      <c r="C168" s="5">
        <f ca="1">'Demand background (hide)'!Y156</f>
        <v>14730</v>
      </c>
      <c r="D168" s="67">
        <f t="shared" si="63"/>
        <v>0</v>
      </c>
      <c r="E168" s="67" t="e">
        <f t="shared" ca="1" si="64"/>
        <v>#N/A</v>
      </c>
      <c r="F168" s="67" t="e">
        <f t="shared" ca="1" si="65"/>
        <v>#N/A</v>
      </c>
      <c r="G168" s="67" t="e">
        <f t="shared" ca="1" si="66"/>
        <v>#N/A</v>
      </c>
      <c r="H168" s="67" t="e">
        <f>IF('Demand background (hide)'!AN156&lt;&gt;"",'SPC background (hide)'!C168,NA())</f>
        <v>#N/A</v>
      </c>
      <c r="I168" s="67">
        <f t="shared" ca="1" si="67"/>
        <v>1</v>
      </c>
      <c r="J168" s="5">
        <f t="shared" ca="1" si="68"/>
        <v>11778.005728314238</v>
      </c>
      <c r="K168" s="5">
        <f t="shared" ca="1" si="69"/>
        <v>12680.965357337698</v>
      </c>
      <c r="L168" s="5">
        <f t="shared" ca="1" si="70"/>
        <v>13583.924986361157</v>
      </c>
      <c r="M168" s="5">
        <f t="shared" ca="1" si="71"/>
        <v>14486.884615384615</v>
      </c>
      <c r="N168" s="5">
        <f t="shared" ca="1" si="72"/>
        <v>15389.844244408074</v>
      </c>
      <c r="O168" s="5">
        <f t="shared" ca="1" si="73"/>
        <v>16292.803873431532</v>
      </c>
      <c r="P168" s="5">
        <f t="shared" ca="1" si="74"/>
        <v>17195.763502454993</v>
      </c>
      <c r="Q168" s="5" t="e">
        <f t="shared" ca="1" si="75"/>
        <v>#N/A</v>
      </c>
      <c r="R168" s="5">
        <f t="shared" ca="1" si="80"/>
        <v>1</v>
      </c>
      <c r="S168" s="67" t="e">
        <f t="shared" ca="1" si="81"/>
        <v>#N/A</v>
      </c>
      <c r="T168" s="67">
        <f t="shared" ca="1" si="82"/>
        <v>1</v>
      </c>
      <c r="U168" s="67" t="e">
        <f t="shared" ca="1" si="83"/>
        <v>#N/A</v>
      </c>
      <c r="V168" s="5">
        <f t="shared" ca="1" si="62"/>
        <v>1</v>
      </c>
      <c r="W168" s="5" t="e">
        <f t="shared" ca="1" si="76"/>
        <v>#N/A</v>
      </c>
      <c r="X168" s="67">
        <f t="shared" ca="1" si="77"/>
        <v>1</v>
      </c>
      <c r="Y168" s="67" t="e">
        <f t="shared" ca="1" si="84"/>
        <v>#N/A</v>
      </c>
      <c r="Z168" s="67" t="e">
        <f t="shared" ca="1" si="85"/>
        <v>#N/A</v>
      </c>
      <c r="AA168" s="5" t="str">
        <f>IF(Setup!$I$15="Yes",'Demand background (hide)'!AJ156+'SPC background (hide)'!C168,"")</f>
        <v/>
      </c>
      <c r="AC168" s="5">
        <f t="shared" ca="1" si="78"/>
        <v>14765</v>
      </c>
      <c r="AD168" s="5">
        <f t="shared" ca="1" si="79"/>
        <v>15657.95</v>
      </c>
    </row>
    <row r="169" spans="1:30" x14ac:dyDescent="0.2">
      <c r="A169" s="67">
        <f ca="1">Demand!C166</f>
        <v>10</v>
      </c>
      <c r="B169" s="67">
        <v>154</v>
      </c>
      <c r="C169" s="5">
        <f ca="1">'Demand background (hide)'!Y157</f>
        <v>15002</v>
      </c>
      <c r="D169" s="67">
        <f t="shared" si="63"/>
        <v>0</v>
      </c>
      <c r="E169" s="67" t="e">
        <f t="shared" ca="1" si="64"/>
        <v>#N/A</v>
      </c>
      <c r="F169" s="67" t="e">
        <f t="shared" ca="1" si="65"/>
        <v>#N/A</v>
      </c>
      <c r="G169" s="67" t="e">
        <f t="shared" ca="1" si="66"/>
        <v>#N/A</v>
      </c>
      <c r="H169" s="67" t="e">
        <f>IF('Demand background (hide)'!AN157&lt;&gt;"",'SPC background (hide)'!C169,NA())</f>
        <v>#N/A</v>
      </c>
      <c r="I169" s="67">
        <f t="shared" ca="1" si="67"/>
        <v>1</v>
      </c>
      <c r="J169" s="5">
        <f t="shared" ca="1" si="68"/>
        <v>11778.005728314238</v>
      </c>
      <c r="K169" s="5">
        <f t="shared" ca="1" si="69"/>
        <v>12680.965357337698</v>
      </c>
      <c r="L169" s="5">
        <f t="shared" ca="1" si="70"/>
        <v>13583.924986361157</v>
      </c>
      <c r="M169" s="5">
        <f t="shared" ca="1" si="71"/>
        <v>14486.884615384615</v>
      </c>
      <c r="N169" s="5">
        <f t="shared" ca="1" si="72"/>
        <v>15389.844244408074</v>
      </c>
      <c r="O169" s="5">
        <f t="shared" ca="1" si="73"/>
        <v>16292.803873431532</v>
      </c>
      <c r="P169" s="5">
        <f t="shared" ca="1" si="74"/>
        <v>17195.763502454993</v>
      </c>
      <c r="Q169" s="5" t="e">
        <f t="shared" ca="1" si="75"/>
        <v>#N/A</v>
      </c>
      <c r="R169" s="5">
        <f t="shared" ca="1" si="80"/>
        <v>1</v>
      </c>
      <c r="S169" s="67" t="e">
        <f t="shared" ca="1" si="81"/>
        <v>#N/A</v>
      </c>
      <c r="T169" s="67">
        <f t="shared" ca="1" si="82"/>
        <v>1</v>
      </c>
      <c r="U169" s="67" t="e">
        <f t="shared" ca="1" si="83"/>
        <v>#N/A</v>
      </c>
      <c r="V169" s="5">
        <f t="shared" ca="1" si="62"/>
        <v>1</v>
      </c>
      <c r="W169" s="5" t="e">
        <f t="shared" ca="1" si="76"/>
        <v>#N/A</v>
      </c>
      <c r="X169" s="67">
        <f t="shared" ca="1" si="77"/>
        <v>1</v>
      </c>
      <c r="Y169" s="67" t="e">
        <f t="shared" ca="1" si="84"/>
        <v>#N/A</v>
      </c>
      <c r="Z169" s="67" t="e">
        <f t="shared" ca="1" si="85"/>
        <v>#N/A</v>
      </c>
      <c r="AA169" s="5" t="str">
        <f>IF(Setup!$I$15="Yes",'Demand background (hide)'!AJ157+'SPC background (hide)'!C169,"")</f>
        <v/>
      </c>
      <c r="AC169" s="5">
        <f t="shared" ca="1" si="78"/>
        <v>14765</v>
      </c>
      <c r="AD169" s="5">
        <f t="shared" ca="1" si="79"/>
        <v>15657.95</v>
      </c>
    </row>
    <row r="170" spans="1:30" x14ac:dyDescent="0.2">
      <c r="A170" s="67">
        <f ca="1">Demand!C167</f>
        <v>11</v>
      </c>
      <c r="B170" s="67">
        <v>155</v>
      </c>
      <c r="C170" s="5">
        <f ca="1">'Demand background (hide)'!Y158</f>
        <v>15513</v>
      </c>
      <c r="D170" s="67">
        <f t="shared" si="63"/>
        <v>0</v>
      </c>
      <c r="E170" s="67" t="e">
        <f t="shared" ca="1" si="64"/>
        <v>#N/A</v>
      </c>
      <c r="F170" s="67" t="e">
        <f t="shared" ca="1" si="65"/>
        <v>#N/A</v>
      </c>
      <c r="G170" s="67" t="e">
        <f t="shared" ca="1" si="66"/>
        <v>#N/A</v>
      </c>
      <c r="H170" s="67" t="e">
        <f>IF('Demand background (hide)'!AN158&lt;&gt;"",'SPC background (hide)'!C170,NA())</f>
        <v>#N/A</v>
      </c>
      <c r="I170" s="67">
        <f t="shared" ca="1" si="67"/>
        <v>1</v>
      </c>
      <c r="J170" s="5">
        <f t="shared" ca="1" si="68"/>
        <v>11778.005728314238</v>
      </c>
      <c r="K170" s="5">
        <f t="shared" ca="1" si="69"/>
        <v>12680.965357337698</v>
      </c>
      <c r="L170" s="5">
        <f t="shared" ca="1" si="70"/>
        <v>13583.924986361157</v>
      </c>
      <c r="M170" s="5">
        <f t="shared" ca="1" si="71"/>
        <v>14486.884615384615</v>
      </c>
      <c r="N170" s="5">
        <f t="shared" ca="1" si="72"/>
        <v>15389.844244408074</v>
      </c>
      <c r="O170" s="5">
        <f t="shared" ca="1" si="73"/>
        <v>16292.803873431532</v>
      </c>
      <c r="P170" s="5">
        <f t="shared" ca="1" si="74"/>
        <v>17195.763502454993</v>
      </c>
      <c r="Q170" s="5" t="e">
        <f t="shared" ca="1" si="75"/>
        <v>#N/A</v>
      </c>
      <c r="R170" s="5">
        <f t="shared" ca="1" si="80"/>
        <v>1</v>
      </c>
      <c r="S170" s="67" t="e">
        <f t="shared" ca="1" si="81"/>
        <v>#N/A</v>
      </c>
      <c r="T170" s="67">
        <f t="shared" ca="1" si="82"/>
        <v>2</v>
      </c>
      <c r="U170" s="67" t="e">
        <f t="shared" ca="1" si="83"/>
        <v>#N/A</v>
      </c>
      <c r="V170" s="5">
        <f t="shared" ca="1" si="62"/>
        <v>1</v>
      </c>
      <c r="W170" s="5" t="e">
        <f t="shared" ca="1" si="76"/>
        <v>#N/A</v>
      </c>
      <c r="X170" s="67">
        <f t="shared" ca="1" si="77"/>
        <v>1</v>
      </c>
      <c r="Y170" s="67" t="e">
        <f t="shared" ca="1" si="84"/>
        <v>#N/A</v>
      </c>
      <c r="Z170" s="67" t="e">
        <f t="shared" ca="1" si="85"/>
        <v>#N/A</v>
      </c>
      <c r="AA170" s="5" t="str">
        <f>IF(Setup!$I$15="Yes",'Demand background (hide)'!AJ158+'SPC background (hide)'!C170,"")</f>
        <v/>
      </c>
      <c r="AC170" s="5">
        <f t="shared" ca="1" si="78"/>
        <v>14765</v>
      </c>
      <c r="AD170" s="5">
        <f t="shared" ca="1" si="79"/>
        <v>15657.95</v>
      </c>
    </row>
    <row r="171" spans="1:30" x14ac:dyDescent="0.2">
      <c r="A171" s="67">
        <f ca="1">Demand!C168</f>
        <v>12</v>
      </c>
      <c r="B171" s="67">
        <v>156</v>
      </c>
      <c r="C171" s="5">
        <f ca="1">'Demand background (hide)'!Y159</f>
        <v>15631</v>
      </c>
      <c r="D171" s="67">
        <f t="shared" si="63"/>
        <v>0</v>
      </c>
      <c r="E171" s="67" t="e">
        <f t="shared" ca="1" si="64"/>
        <v>#N/A</v>
      </c>
      <c r="F171" s="67" t="e">
        <f t="shared" ca="1" si="65"/>
        <v>#N/A</v>
      </c>
      <c r="G171" s="67" t="e">
        <f t="shared" ca="1" si="66"/>
        <v>#N/A</v>
      </c>
      <c r="H171" s="67" t="e">
        <f>IF('Demand background (hide)'!AN159&lt;&gt;"",'SPC background (hide)'!C171,NA())</f>
        <v>#N/A</v>
      </c>
      <c r="I171" s="67">
        <f t="shared" ca="1" si="67"/>
        <v>1</v>
      </c>
      <c r="J171" s="5">
        <f t="shared" ca="1" si="68"/>
        <v>11778.005728314238</v>
      </c>
      <c r="K171" s="5">
        <f t="shared" ca="1" si="69"/>
        <v>12680.965357337698</v>
      </c>
      <c r="L171" s="5">
        <f t="shared" ca="1" si="70"/>
        <v>13583.924986361157</v>
      </c>
      <c r="M171" s="5">
        <f t="shared" ca="1" si="71"/>
        <v>14486.884615384615</v>
      </c>
      <c r="N171" s="5">
        <f t="shared" ca="1" si="72"/>
        <v>15389.844244408074</v>
      </c>
      <c r="O171" s="5">
        <f t="shared" ca="1" si="73"/>
        <v>16292.803873431532</v>
      </c>
      <c r="P171" s="5">
        <f t="shared" ca="1" si="74"/>
        <v>17195.763502454993</v>
      </c>
      <c r="Q171" s="5" t="e">
        <f t="shared" ca="1" si="75"/>
        <v>#N/A</v>
      </c>
      <c r="R171" s="5">
        <f t="shared" ca="1" si="80"/>
        <v>1</v>
      </c>
      <c r="S171" s="67" t="e">
        <f t="shared" ca="1" si="81"/>
        <v>#N/A</v>
      </c>
      <c r="T171" s="67">
        <f t="shared" ca="1" si="82"/>
        <v>2</v>
      </c>
      <c r="U171" s="67" t="e">
        <f t="shared" ca="1" si="83"/>
        <v>#N/A</v>
      </c>
      <c r="V171" s="5">
        <f t="shared" ca="1" si="62"/>
        <v>1</v>
      </c>
      <c r="W171" s="5" t="e">
        <f t="shared" ca="1" si="76"/>
        <v>#N/A</v>
      </c>
      <c r="X171" s="67">
        <f t="shared" ca="1" si="77"/>
        <v>1</v>
      </c>
      <c r="Y171" s="67" t="e">
        <f t="shared" ca="1" si="84"/>
        <v>#N/A</v>
      </c>
      <c r="Z171" s="67" t="e">
        <f t="shared" ca="1" si="85"/>
        <v>#N/A</v>
      </c>
      <c r="AA171" s="5" t="str">
        <f>IF(Setup!$I$15="Yes",'Demand background (hide)'!AJ159+'SPC background (hide)'!C171,"")</f>
        <v/>
      </c>
      <c r="AC171" s="5">
        <f t="shared" ca="1" si="78"/>
        <v>14765</v>
      </c>
      <c r="AD171" s="5">
        <f t="shared" ca="1" si="79"/>
        <v>15657.95</v>
      </c>
    </row>
    <row r="172" spans="1:30" x14ac:dyDescent="0.2">
      <c r="A172" s="67">
        <f ca="1">Demand!C169</f>
        <v>13</v>
      </c>
      <c r="B172" s="67">
        <v>157</v>
      </c>
      <c r="C172" s="5">
        <f ca="1">'Demand background (hide)'!Y160</f>
        <v>15196</v>
      </c>
      <c r="D172" s="67">
        <f t="shared" si="63"/>
        <v>0</v>
      </c>
      <c r="E172" s="67" t="e">
        <f t="shared" ca="1" si="64"/>
        <v>#N/A</v>
      </c>
      <c r="F172" s="67" t="e">
        <f t="shared" ca="1" si="65"/>
        <v>#N/A</v>
      </c>
      <c r="G172" s="67" t="e">
        <f t="shared" ca="1" si="66"/>
        <v>#N/A</v>
      </c>
      <c r="H172" s="67" t="e">
        <f>IF('Demand background (hide)'!AN160&lt;&gt;"",'SPC background (hide)'!C172,NA())</f>
        <v>#N/A</v>
      </c>
      <c r="I172" s="67">
        <f t="shared" ca="1" si="67"/>
        <v>1</v>
      </c>
      <c r="J172" s="5">
        <f t="shared" ca="1" si="68"/>
        <v>11778.005728314238</v>
      </c>
      <c r="K172" s="5">
        <f t="shared" ca="1" si="69"/>
        <v>12680.965357337698</v>
      </c>
      <c r="L172" s="5">
        <f t="shared" ca="1" si="70"/>
        <v>13583.924986361157</v>
      </c>
      <c r="M172" s="5">
        <f t="shared" ca="1" si="71"/>
        <v>14486.884615384615</v>
      </c>
      <c r="N172" s="5">
        <f t="shared" ca="1" si="72"/>
        <v>15389.844244408074</v>
      </c>
      <c r="O172" s="5">
        <f t="shared" ca="1" si="73"/>
        <v>16292.803873431532</v>
      </c>
      <c r="P172" s="5">
        <f t="shared" ca="1" si="74"/>
        <v>17195.763502454993</v>
      </c>
      <c r="Q172" s="5" t="e">
        <f t="shared" ca="1" si="75"/>
        <v>#N/A</v>
      </c>
      <c r="R172" s="5">
        <f t="shared" ca="1" si="80"/>
        <v>1</v>
      </c>
      <c r="S172" s="67" t="e">
        <f t="shared" ca="1" si="81"/>
        <v>#N/A</v>
      </c>
      <c r="T172" s="67">
        <f t="shared" ca="1" si="82"/>
        <v>1</v>
      </c>
      <c r="U172" s="67" t="e">
        <f t="shared" ca="1" si="83"/>
        <v>#N/A</v>
      </c>
      <c r="V172" s="5">
        <f t="shared" ca="1" si="62"/>
        <v>1</v>
      </c>
      <c r="W172" s="5" t="e">
        <f t="shared" ca="1" si="76"/>
        <v>#N/A</v>
      </c>
      <c r="X172" s="67">
        <f t="shared" ca="1" si="77"/>
        <v>-1</v>
      </c>
      <c r="Y172" s="67" t="e">
        <f t="shared" ca="1" si="84"/>
        <v>#N/A</v>
      </c>
      <c r="Z172" s="67" t="e">
        <f t="shared" ca="1" si="85"/>
        <v>#N/A</v>
      </c>
      <c r="AA172" s="5" t="str">
        <f>IF(Setup!$I$15="Yes",'Demand background (hide)'!AJ160+'SPC background (hide)'!C172,"")</f>
        <v/>
      </c>
      <c r="AC172" s="5">
        <f t="shared" ca="1" si="78"/>
        <v>14765</v>
      </c>
      <c r="AD172" s="5">
        <f t="shared" ca="1" si="79"/>
        <v>15657.95</v>
      </c>
    </row>
    <row r="173" spans="1:30" x14ac:dyDescent="0.2">
      <c r="A173" s="67">
        <f ca="1">Demand!C170</f>
        <v>14</v>
      </c>
      <c r="B173" s="67">
        <v>158</v>
      </c>
      <c r="C173" s="5">
        <f ca="1">'Demand background (hide)'!Y161</f>
        <v>14176</v>
      </c>
      <c r="D173" s="67">
        <f t="shared" si="63"/>
        <v>0</v>
      </c>
      <c r="E173" s="67" t="e">
        <f t="shared" ca="1" si="64"/>
        <v>#N/A</v>
      </c>
      <c r="F173" s="67" t="e">
        <f t="shared" ca="1" si="65"/>
        <v>#N/A</v>
      </c>
      <c r="G173" s="67" t="e">
        <f t="shared" ca="1" si="66"/>
        <v>#N/A</v>
      </c>
      <c r="H173" s="67" t="e">
        <f>IF('Demand background (hide)'!AN161&lt;&gt;"",'SPC background (hide)'!C173,NA())</f>
        <v>#N/A</v>
      </c>
      <c r="I173" s="67">
        <f t="shared" ca="1" si="67"/>
        <v>1</v>
      </c>
      <c r="J173" s="5">
        <f t="shared" ca="1" si="68"/>
        <v>11778.005728314238</v>
      </c>
      <c r="K173" s="5">
        <f t="shared" ca="1" si="69"/>
        <v>12680.965357337698</v>
      </c>
      <c r="L173" s="5">
        <f t="shared" ca="1" si="70"/>
        <v>13583.924986361157</v>
      </c>
      <c r="M173" s="5">
        <f t="shared" ca="1" si="71"/>
        <v>14486.884615384615</v>
      </c>
      <c r="N173" s="5">
        <f t="shared" ca="1" si="72"/>
        <v>15389.844244408074</v>
      </c>
      <c r="O173" s="5">
        <f t="shared" ca="1" si="73"/>
        <v>16292.803873431532</v>
      </c>
      <c r="P173" s="5">
        <f t="shared" ca="1" si="74"/>
        <v>17195.763502454993</v>
      </c>
      <c r="Q173" s="5" t="e">
        <f t="shared" ca="1" si="75"/>
        <v>#N/A</v>
      </c>
      <c r="R173" s="5">
        <f t="shared" ca="1" si="80"/>
        <v>-1</v>
      </c>
      <c r="S173" s="67" t="e">
        <f t="shared" ca="1" si="81"/>
        <v>#N/A</v>
      </c>
      <c r="T173" s="67">
        <f t="shared" ca="1" si="82"/>
        <v>-1</v>
      </c>
      <c r="U173" s="67" t="e">
        <f t="shared" ca="1" si="83"/>
        <v>#N/A</v>
      </c>
      <c r="V173" s="5">
        <f t="shared" ca="1" si="62"/>
        <v>-1</v>
      </c>
      <c r="W173" s="5" t="e">
        <f t="shared" ca="1" si="76"/>
        <v>#N/A</v>
      </c>
      <c r="X173" s="67">
        <f t="shared" ca="1" si="77"/>
        <v>-1</v>
      </c>
      <c r="Y173" s="67" t="e">
        <f t="shared" ca="1" si="84"/>
        <v>#N/A</v>
      </c>
      <c r="Z173" s="67" t="e">
        <f t="shared" ca="1" si="85"/>
        <v>#N/A</v>
      </c>
      <c r="AA173" s="5" t="str">
        <f>IF(Setup!$I$15="Yes",'Demand background (hide)'!AJ161+'SPC background (hide)'!C173,"")</f>
        <v/>
      </c>
      <c r="AC173" s="5">
        <f t="shared" ca="1" si="78"/>
        <v>14765</v>
      </c>
      <c r="AD173" s="5">
        <f t="shared" ca="1" si="79"/>
        <v>15657.95</v>
      </c>
    </row>
    <row r="174" spans="1:30" x14ac:dyDescent="0.2">
      <c r="A174" s="67">
        <f ca="1">Demand!C171</f>
        <v>15</v>
      </c>
      <c r="B174" s="67">
        <v>159</v>
      </c>
      <c r="C174" s="5">
        <f ca="1">'Demand background (hide)'!Y162</f>
        <v>15435</v>
      </c>
      <c r="D174" s="67">
        <f t="shared" si="63"/>
        <v>0</v>
      </c>
      <c r="E174" s="67" t="e">
        <f t="shared" ca="1" si="64"/>
        <v>#N/A</v>
      </c>
      <c r="F174" s="67" t="e">
        <f t="shared" ca="1" si="65"/>
        <v>#N/A</v>
      </c>
      <c r="G174" s="67" t="e">
        <f t="shared" ca="1" si="66"/>
        <v>#N/A</v>
      </c>
      <c r="H174" s="67" t="e">
        <f>IF('Demand background (hide)'!AN162&lt;&gt;"",'SPC background (hide)'!C174,NA())</f>
        <v>#N/A</v>
      </c>
      <c r="I174" s="67">
        <f t="shared" ca="1" si="67"/>
        <v>1</v>
      </c>
      <c r="J174" s="5">
        <f t="shared" ca="1" si="68"/>
        <v>11778.005728314238</v>
      </c>
      <c r="K174" s="5">
        <f t="shared" ca="1" si="69"/>
        <v>12680.965357337698</v>
      </c>
      <c r="L174" s="5">
        <f t="shared" ca="1" si="70"/>
        <v>13583.924986361157</v>
      </c>
      <c r="M174" s="5">
        <f t="shared" ca="1" si="71"/>
        <v>14486.884615384615</v>
      </c>
      <c r="N174" s="5">
        <f t="shared" ca="1" si="72"/>
        <v>15389.844244408074</v>
      </c>
      <c r="O174" s="5">
        <f t="shared" ca="1" si="73"/>
        <v>16292.803873431532</v>
      </c>
      <c r="P174" s="5">
        <f t="shared" ca="1" si="74"/>
        <v>17195.763502454993</v>
      </c>
      <c r="Q174" s="5" t="e">
        <f t="shared" ca="1" si="75"/>
        <v>#N/A</v>
      </c>
      <c r="R174" s="5">
        <f t="shared" ca="1" si="80"/>
        <v>1</v>
      </c>
      <c r="S174" s="67" t="e">
        <f t="shared" ca="1" si="81"/>
        <v>#N/A</v>
      </c>
      <c r="T174" s="67">
        <f t="shared" ca="1" si="82"/>
        <v>2</v>
      </c>
      <c r="U174" s="67" t="e">
        <f t="shared" ca="1" si="83"/>
        <v>#N/A</v>
      </c>
      <c r="V174" s="5">
        <f t="shared" ca="1" si="62"/>
        <v>1</v>
      </c>
      <c r="W174" s="5" t="e">
        <f t="shared" ca="1" si="76"/>
        <v>#N/A</v>
      </c>
      <c r="X174" s="67">
        <f t="shared" ca="1" si="77"/>
        <v>1</v>
      </c>
      <c r="Y174" s="67" t="e">
        <f t="shared" ca="1" si="84"/>
        <v>#N/A</v>
      </c>
      <c r="Z174" s="67" t="e">
        <f t="shared" ca="1" si="85"/>
        <v>#N/A</v>
      </c>
      <c r="AA174" s="5" t="str">
        <f>IF(Setup!$I$15="Yes",'Demand background (hide)'!AJ162+'SPC background (hide)'!C174,"")</f>
        <v/>
      </c>
      <c r="AC174" s="5">
        <f t="shared" ca="1" si="78"/>
        <v>14765</v>
      </c>
      <c r="AD174" s="5">
        <f t="shared" ca="1" si="79"/>
        <v>15657.95</v>
      </c>
    </row>
    <row r="175" spans="1:30" x14ac:dyDescent="0.2">
      <c r="A175" s="67">
        <f ca="1">Demand!C172</f>
        <v>16</v>
      </c>
      <c r="B175" s="67">
        <v>160</v>
      </c>
      <c r="C175" s="5">
        <f ca="1">'Demand background (hide)'!Y163</f>
        <v>16816</v>
      </c>
      <c r="D175" s="67">
        <f t="shared" si="63"/>
        <v>0</v>
      </c>
      <c r="E175" s="67" t="e">
        <f t="shared" ca="1" si="64"/>
        <v>#N/A</v>
      </c>
      <c r="F175" s="67" t="e">
        <f t="shared" ca="1" si="65"/>
        <v>#N/A</v>
      </c>
      <c r="G175" s="67" t="e">
        <f t="shared" ca="1" si="66"/>
        <v>#N/A</v>
      </c>
      <c r="H175" s="67" t="e">
        <f>IF('Demand background (hide)'!AN163&lt;&gt;"",'SPC background (hide)'!C175,NA())</f>
        <v>#N/A</v>
      </c>
      <c r="I175" s="67">
        <f t="shared" ca="1" si="67"/>
        <v>1</v>
      </c>
      <c r="J175" s="5">
        <f t="shared" ca="1" si="68"/>
        <v>11778.005728314238</v>
      </c>
      <c r="K175" s="5">
        <f t="shared" ca="1" si="69"/>
        <v>12680.965357337698</v>
      </c>
      <c r="L175" s="5">
        <f t="shared" ca="1" si="70"/>
        <v>13583.924986361157</v>
      </c>
      <c r="M175" s="5">
        <f t="shared" ca="1" si="71"/>
        <v>14486.884615384615</v>
      </c>
      <c r="N175" s="5">
        <f t="shared" ca="1" si="72"/>
        <v>15389.844244408074</v>
      </c>
      <c r="O175" s="5">
        <f t="shared" ca="1" si="73"/>
        <v>16292.803873431532</v>
      </c>
      <c r="P175" s="5">
        <f t="shared" ca="1" si="74"/>
        <v>17195.763502454993</v>
      </c>
      <c r="Q175" s="5" t="e">
        <f t="shared" ca="1" si="75"/>
        <v>#N/A</v>
      </c>
      <c r="R175" s="5">
        <f t="shared" ca="1" si="80"/>
        <v>2</v>
      </c>
      <c r="S175" s="67" t="e">
        <f t="shared" ca="1" si="81"/>
        <v>#N/A</v>
      </c>
      <c r="T175" s="67">
        <f t="shared" ca="1" si="82"/>
        <v>2</v>
      </c>
      <c r="U175" s="67" t="e">
        <f t="shared" ca="1" si="83"/>
        <v>#N/A</v>
      </c>
      <c r="V175" s="5">
        <f t="shared" ca="1" si="62"/>
        <v>1</v>
      </c>
      <c r="W175" s="5" t="e">
        <f t="shared" ca="1" si="76"/>
        <v>#N/A</v>
      </c>
      <c r="X175" s="67">
        <f t="shared" ca="1" si="77"/>
        <v>1</v>
      </c>
      <c r="Y175" s="67" t="e">
        <f t="shared" ca="1" si="84"/>
        <v>#N/A</v>
      </c>
      <c r="Z175" s="67" t="e">
        <f t="shared" ca="1" si="85"/>
        <v>#N/A</v>
      </c>
      <c r="AA175" s="5" t="str">
        <f>IF(Setup!$I$15="Yes",'Demand background (hide)'!AJ163+'SPC background (hide)'!C175,"")</f>
        <v/>
      </c>
      <c r="AC175" s="5">
        <f t="shared" ca="1" si="78"/>
        <v>14765</v>
      </c>
      <c r="AD175" s="5">
        <f t="shared" ca="1" si="79"/>
        <v>15657.95</v>
      </c>
    </row>
    <row r="176" spans="1:30" x14ac:dyDescent="0.2">
      <c r="A176" s="67">
        <f ca="1">Demand!C173</f>
        <v>17</v>
      </c>
      <c r="B176" s="67">
        <v>161</v>
      </c>
      <c r="C176" s="5">
        <f ca="1">'Demand background (hide)'!Y164</f>
        <v>15902</v>
      </c>
      <c r="D176" s="67">
        <f t="shared" si="63"/>
        <v>0</v>
      </c>
      <c r="E176" s="67" t="e">
        <f t="shared" ca="1" si="64"/>
        <v>#N/A</v>
      </c>
      <c r="F176" s="67" t="e">
        <f t="shared" ca="1" si="65"/>
        <v>#N/A</v>
      </c>
      <c r="G176" s="67" t="e">
        <f t="shared" ca="1" si="66"/>
        <v>#N/A</v>
      </c>
      <c r="H176" s="67" t="e">
        <f>IF('Demand background (hide)'!AN164&lt;&gt;"",'SPC background (hide)'!C176,NA())</f>
        <v>#N/A</v>
      </c>
      <c r="I176" s="67">
        <f t="shared" ca="1" si="67"/>
        <v>1</v>
      </c>
      <c r="J176" s="5">
        <f t="shared" ca="1" si="68"/>
        <v>11778.005728314238</v>
      </c>
      <c r="K176" s="5">
        <f t="shared" ca="1" si="69"/>
        <v>12680.965357337698</v>
      </c>
      <c r="L176" s="5">
        <f t="shared" ca="1" si="70"/>
        <v>13583.924986361157</v>
      </c>
      <c r="M176" s="5">
        <f t="shared" ca="1" si="71"/>
        <v>14486.884615384615</v>
      </c>
      <c r="N176" s="5">
        <f t="shared" ca="1" si="72"/>
        <v>15389.844244408074</v>
      </c>
      <c r="O176" s="5">
        <f t="shared" ca="1" si="73"/>
        <v>16292.803873431532</v>
      </c>
      <c r="P176" s="5">
        <f t="shared" ca="1" si="74"/>
        <v>17195.763502454993</v>
      </c>
      <c r="Q176" s="5" t="e">
        <f t="shared" ca="1" si="75"/>
        <v>#N/A</v>
      </c>
      <c r="R176" s="5">
        <f t="shared" ca="1" si="80"/>
        <v>1</v>
      </c>
      <c r="S176" s="67" t="e">
        <f t="shared" ca="1" si="81"/>
        <v>#N/A</v>
      </c>
      <c r="T176" s="67">
        <f t="shared" ca="1" si="82"/>
        <v>2</v>
      </c>
      <c r="U176" s="67" t="e">
        <f t="shared" ca="1" si="83"/>
        <v>#N/A</v>
      </c>
      <c r="V176" s="5">
        <f t="shared" ca="1" si="62"/>
        <v>1</v>
      </c>
      <c r="W176" s="5" t="e">
        <f t="shared" ca="1" si="76"/>
        <v>#N/A</v>
      </c>
      <c r="X176" s="67">
        <f t="shared" ca="1" si="77"/>
        <v>-1</v>
      </c>
      <c r="Y176" s="67" t="e">
        <f t="shared" ca="1" si="84"/>
        <v>#N/A</v>
      </c>
      <c r="Z176" s="67" t="e">
        <f t="shared" ca="1" si="85"/>
        <v>#N/A</v>
      </c>
      <c r="AA176" s="5" t="str">
        <f>IF(Setup!$I$15="Yes",'Demand background (hide)'!AJ164+'SPC background (hide)'!C176,"")</f>
        <v/>
      </c>
      <c r="AC176" s="5">
        <f t="shared" ca="1" si="78"/>
        <v>14765</v>
      </c>
      <c r="AD176" s="5">
        <f t="shared" ca="1" si="79"/>
        <v>15657.95</v>
      </c>
    </row>
    <row r="177" spans="1:30" x14ac:dyDescent="0.2">
      <c r="A177" s="67">
        <f ca="1">Demand!C174</f>
        <v>18</v>
      </c>
      <c r="B177" s="67">
        <v>162</v>
      </c>
      <c r="C177" s="5">
        <f ca="1">'Demand background (hide)'!Y165</f>
        <v>14371</v>
      </c>
      <c r="D177" s="67">
        <f t="shared" si="63"/>
        <v>0</v>
      </c>
      <c r="E177" s="67" t="e">
        <f t="shared" ca="1" si="64"/>
        <v>#N/A</v>
      </c>
      <c r="F177" s="67" t="e">
        <f t="shared" ca="1" si="65"/>
        <v>#N/A</v>
      </c>
      <c r="G177" s="67" t="e">
        <f t="shared" ca="1" si="66"/>
        <v>#N/A</v>
      </c>
      <c r="H177" s="67" t="e">
        <f>IF('Demand background (hide)'!AN165&lt;&gt;"",'SPC background (hide)'!C177,NA())</f>
        <v>#N/A</v>
      </c>
      <c r="I177" s="67">
        <f t="shared" ca="1" si="67"/>
        <v>1</v>
      </c>
      <c r="J177" s="5">
        <f t="shared" ca="1" si="68"/>
        <v>11778.005728314238</v>
      </c>
      <c r="K177" s="5">
        <f t="shared" ca="1" si="69"/>
        <v>12680.965357337698</v>
      </c>
      <c r="L177" s="5">
        <f t="shared" ca="1" si="70"/>
        <v>13583.924986361157</v>
      </c>
      <c r="M177" s="5">
        <f t="shared" ca="1" si="71"/>
        <v>14486.884615384615</v>
      </c>
      <c r="N177" s="5">
        <f t="shared" ca="1" si="72"/>
        <v>15389.844244408074</v>
      </c>
      <c r="O177" s="5">
        <f t="shared" ca="1" si="73"/>
        <v>16292.803873431532</v>
      </c>
      <c r="P177" s="5">
        <f t="shared" ca="1" si="74"/>
        <v>17195.763502454993</v>
      </c>
      <c r="Q177" s="5" t="e">
        <f t="shared" ca="1" si="75"/>
        <v>#N/A</v>
      </c>
      <c r="R177" s="5">
        <f t="shared" ca="1" si="80"/>
        <v>-1</v>
      </c>
      <c r="S177" s="67" t="e">
        <f t="shared" ca="1" si="81"/>
        <v>#N/A</v>
      </c>
      <c r="T177" s="67">
        <f t="shared" ca="1" si="82"/>
        <v>-1</v>
      </c>
      <c r="U177" s="67" t="e">
        <f t="shared" ca="1" si="83"/>
        <v>#N/A</v>
      </c>
      <c r="V177" s="5">
        <f t="shared" ca="1" si="62"/>
        <v>-1</v>
      </c>
      <c r="W177" s="5" t="e">
        <f t="shared" ca="1" si="76"/>
        <v>#N/A</v>
      </c>
      <c r="X177" s="67">
        <f t="shared" ca="1" si="77"/>
        <v>-1</v>
      </c>
      <c r="Y177" s="67" t="e">
        <f t="shared" ca="1" si="84"/>
        <v>#N/A</v>
      </c>
      <c r="Z177" s="67" t="e">
        <f t="shared" ca="1" si="85"/>
        <v>#N/A</v>
      </c>
      <c r="AA177" s="5" t="str">
        <f>IF(Setup!$I$15="Yes",'Demand background (hide)'!AJ165+'SPC background (hide)'!C177,"")</f>
        <v/>
      </c>
      <c r="AC177" s="5">
        <f t="shared" ca="1" si="78"/>
        <v>14765</v>
      </c>
      <c r="AD177" s="5">
        <f t="shared" ca="1" si="79"/>
        <v>15657.95</v>
      </c>
    </row>
    <row r="178" spans="1:30" x14ac:dyDescent="0.2">
      <c r="A178" s="67">
        <f ca="1">Demand!C175</f>
        <v>19</v>
      </c>
      <c r="B178" s="67">
        <v>163</v>
      </c>
      <c r="C178" s="5">
        <f ca="1">'Demand background (hide)'!Y166</f>
        <v>16293</v>
      </c>
      <c r="D178" s="67">
        <f t="shared" si="63"/>
        <v>0</v>
      </c>
      <c r="E178" s="67" t="e">
        <f t="shared" ca="1" si="64"/>
        <v>#N/A</v>
      </c>
      <c r="F178" s="67" t="e">
        <f t="shared" ca="1" si="65"/>
        <v>#N/A</v>
      </c>
      <c r="G178" s="67" t="e">
        <f t="shared" ca="1" si="66"/>
        <v>#N/A</v>
      </c>
      <c r="H178" s="67" t="e">
        <f>IF('Demand background (hide)'!AN166&lt;&gt;"",'SPC background (hide)'!C178,NA())</f>
        <v>#N/A</v>
      </c>
      <c r="I178" s="67">
        <f t="shared" ca="1" si="67"/>
        <v>1</v>
      </c>
      <c r="J178" s="5">
        <f t="shared" ca="1" si="68"/>
        <v>11778.005728314238</v>
      </c>
      <c r="K178" s="5">
        <f t="shared" ca="1" si="69"/>
        <v>12680.965357337698</v>
      </c>
      <c r="L178" s="5">
        <f t="shared" ca="1" si="70"/>
        <v>13583.924986361157</v>
      </c>
      <c r="M178" s="5">
        <f t="shared" ca="1" si="71"/>
        <v>14486.884615384615</v>
      </c>
      <c r="N178" s="5">
        <f t="shared" ca="1" si="72"/>
        <v>15389.844244408074</v>
      </c>
      <c r="O178" s="5">
        <f t="shared" ca="1" si="73"/>
        <v>16292.803873431532</v>
      </c>
      <c r="P178" s="5">
        <f t="shared" ca="1" si="74"/>
        <v>17195.763502454993</v>
      </c>
      <c r="Q178" s="5" t="e">
        <f t="shared" ca="1" si="75"/>
        <v>#N/A</v>
      </c>
      <c r="R178" s="5">
        <f t="shared" ca="1" si="80"/>
        <v>2</v>
      </c>
      <c r="S178" s="67">
        <f t="shared" ca="1" si="81"/>
        <v>16293</v>
      </c>
      <c r="T178" s="67">
        <f t="shared" ca="1" si="82"/>
        <v>2</v>
      </c>
      <c r="U178" s="67" t="e">
        <f t="shared" ca="1" si="83"/>
        <v>#N/A</v>
      </c>
      <c r="V178" s="5">
        <f t="shared" ca="1" si="62"/>
        <v>1</v>
      </c>
      <c r="W178" s="5" t="e">
        <f t="shared" ca="1" si="76"/>
        <v>#N/A</v>
      </c>
      <c r="X178" s="67">
        <f t="shared" ca="1" si="77"/>
        <v>1</v>
      </c>
      <c r="Y178" s="67" t="e">
        <f t="shared" ca="1" si="84"/>
        <v>#N/A</v>
      </c>
      <c r="Z178" s="67" t="e">
        <f t="shared" ca="1" si="85"/>
        <v>#N/A</v>
      </c>
      <c r="AA178" s="5" t="str">
        <f>IF(Setup!$I$15="Yes",'Demand background (hide)'!AJ166+'SPC background (hide)'!C178,"")</f>
        <v/>
      </c>
      <c r="AC178" s="5">
        <f t="shared" ca="1" si="78"/>
        <v>14765</v>
      </c>
      <c r="AD178" s="5">
        <f t="shared" ca="1" si="79"/>
        <v>15657.95</v>
      </c>
    </row>
    <row r="179" spans="1:30" x14ac:dyDescent="0.2">
      <c r="A179" s="67">
        <f ca="1">Demand!C176</f>
        <v>20</v>
      </c>
      <c r="B179" s="67">
        <v>164</v>
      </c>
      <c r="C179" s="5">
        <f ca="1">'Demand background (hide)'!Y167</f>
        <v>15615</v>
      </c>
      <c r="D179" s="67">
        <f t="shared" si="63"/>
        <v>0</v>
      </c>
      <c r="E179" s="67" t="e">
        <f t="shared" ca="1" si="64"/>
        <v>#N/A</v>
      </c>
      <c r="F179" s="67" t="e">
        <f t="shared" ca="1" si="65"/>
        <v>#N/A</v>
      </c>
      <c r="G179" s="67" t="e">
        <f t="shared" ca="1" si="66"/>
        <v>#N/A</v>
      </c>
      <c r="H179" s="67" t="e">
        <f>IF('Demand background (hide)'!AN167&lt;&gt;"",'SPC background (hide)'!C179,NA())</f>
        <v>#N/A</v>
      </c>
      <c r="I179" s="67">
        <f t="shared" ca="1" si="67"/>
        <v>1</v>
      </c>
      <c r="J179" s="5">
        <f t="shared" ca="1" si="68"/>
        <v>11778.005728314238</v>
      </c>
      <c r="K179" s="5">
        <f t="shared" ca="1" si="69"/>
        <v>12680.965357337698</v>
      </c>
      <c r="L179" s="5">
        <f t="shared" ca="1" si="70"/>
        <v>13583.924986361157</v>
      </c>
      <c r="M179" s="5">
        <f t="shared" ca="1" si="71"/>
        <v>14486.884615384615</v>
      </c>
      <c r="N179" s="5">
        <f t="shared" ca="1" si="72"/>
        <v>15389.844244408074</v>
      </c>
      <c r="O179" s="5">
        <f t="shared" ca="1" si="73"/>
        <v>16292.803873431532</v>
      </c>
      <c r="P179" s="5">
        <f t="shared" ca="1" si="74"/>
        <v>17195.763502454993</v>
      </c>
      <c r="Q179" s="5" t="e">
        <f t="shared" ca="1" si="75"/>
        <v>#N/A</v>
      </c>
      <c r="R179" s="5">
        <f t="shared" ca="1" si="80"/>
        <v>1</v>
      </c>
      <c r="S179" s="67" t="e">
        <f t="shared" ca="1" si="81"/>
        <v>#N/A</v>
      </c>
      <c r="T179" s="67">
        <f t="shared" ca="1" si="82"/>
        <v>2</v>
      </c>
      <c r="U179" s="67" t="e">
        <f t="shared" ca="1" si="83"/>
        <v>#N/A</v>
      </c>
      <c r="V179" s="5">
        <f t="shared" ca="1" si="62"/>
        <v>1</v>
      </c>
      <c r="W179" s="5" t="e">
        <f t="shared" ca="1" si="76"/>
        <v>#N/A</v>
      </c>
      <c r="X179" s="67">
        <f t="shared" ca="1" si="77"/>
        <v>-1</v>
      </c>
      <c r="Y179" s="67" t="e">
        <f t="shared" ca="1" si="84"/>
        <v>#N/A</v>
      </c>
      <c r="Z179" s="67" t="e">
        <f t="shared" ca="1" si="85"/>
        <v>#N/A</v>
      </c>
      <c r="AA179" s="5" t="str">
        <f>IF(Setup!$I$15="Yes",'Demand background (hide)'!AJ167+'SPC background (hide)'!C179,"")</f>
        <v/>
      </c>
      <c r="AC179" s="5">
        <f t="shared" ca="1" si="78"/>
        <v>14765</v>
      </c>
      <c r="AD179" s="5">
        <f t="shared" ca="1" si="79"/>
        <v>15657.95</v>
      </c>
    </row>
    <row r="180" spans="1:30" x14ac:dyDescent="0.2">
      <c r="A180" s="67">
        <f ca="1">Demand!C177</f>
        <v>21</v>
      </c>
      <c r="B180" s="67">
        <v>165</v>
      </c>
      <c r="C180" s="5">
        <f ca="1">'Demand background (hide)'!Y168</f>
        <v>17296</v>
      </c>
      <c r="D180" s="67">
        <f t="shared" si="63"/>
        <v>0</v>
      </c>
      <c r="E180" s="67" t="e">
        <f t="shared" ca="1" si="64"/>
        <v>#N/A</v>
      </c>
      <c r="F180" s="67" t="e">
        <f t="shared" ca="1" si="65"/>
        <v>#N/A</v>
      </c>
      <c r="G180" s="67" t="e">
        <f t="shared" ca="1" si="66"/>
        <v>#N/A</v>
      </c>
      <c r="H180" s="67" t="e">
        <f>IF('Demand background (hide)'!AN168&lt;&gt;"",'SPC background (hide)'!C180,NA())</f>
        <v>#N/A</v>
      </c>
      <c r="I180" s="67">
        <f t="shared" ca="1" si="67"/>
        <v>1</v>
      </c>
      <c r="J180" s="5">
        <f t="shared" ca="1" si="68"/>
        <v>11778.005728314238</v>
      </c>
      <c r="K180" s="5">
        <f t="shared" ca="1" si="69"/>
        <v>12680.965357337698</v>
      </c>
      <c r="L180" s="5">
        <f t="shared" ca="1" si="70"/>
        <v>13583.924986361157</v>
      </c>
      <c r="M180" s="5">
        <f t="shared" ca="1" si="71"/>
        <v>14486.884615384615</v>
      </c>
      <c r="N180" s="5">
        <f t="shared" ca="1" si="72"/>
        <v>15389.844244408074</v>
      </c>
      <c r="O180" s="5">
        <f t="shared" ca="1" si="73"/>
        <v>16292.803873431532</v>
      </c>
      <c r="P180" s="5">
        <f t="shared" ca="1" si="74"/>
        <v>17195.763502454993</v>
      </c>
      <c r="Q180" s="5">
        <f t="shared" ca="1" si="75"/>
        <v>17296</v>
      </c>
      <c r="R180" s="5">
        <f t="shared" ca="1" si="80"/>
        <v>2</v>
      </c>
      <c r="S180" s="67" t="e">
        <f t="shared" ca="1" si="81"/>
        <v>#N/A</v>
      </c>
      <c r="T180" s="67">
        <f t="shared" ca="1" si="82"/>
        <v>2</v>
      </c>
      <c r="U180" s="67" t="e">
        <f t="shared" ca="1" si="83"/>
        <v>#N/A</v>
      </c>
      <c r="V180" s="5">
        <f t="shared" ca="1" si="62"/>
        <v>1</v>
      </c>
      <c r="W180" s="5" t="e">
        <f t="shared" ca="1" si="76"/>
        <v>#N/A</v>
      </c>
      <c r="X180" s="67">
        <f t="shared" ca="1" si="77"/>
        <v>1</v>
      </c>
      <c r="Y180" s="67" t="e">
        <f t="shared" ca="1" si="84"/>
        <v>#N/A</v>
      </c>
      <c r="Z180" s="67" t="e">
        <f t="shared" ca="1" si="85"/>
        <v>#N/A</v>
      </c>
      <c r="AA180" s="5" t="str">
        <f>IF(Setup!$I$15="Yes",'Demand background (hide)'!AJ168+'SPC background (hide)'!C180,"")</f>
        <v/>
      </c>
      <c r="AC180" s="5">
        <f t="shared" ca="1" si="78"/>
        <v>14765</v>
      </c>
      <c r="AD180" s="5">
        <f t="shared" ca="1" si="79"/>
        <v>15657.95</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-1</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395" t="s">
        <v>24</v>
      </c>
      <c r="D6" s="397"/>
    </row>
    <row r="8" spans="1:20" x14ac:dyDescent="0.2">
      <c r="B8" t="s">
        <v>218</v>
      </c>
      <c r="C8" s="210"/>
    </row>
    <row r="10" spans="1:20" ht="13.9" customHeight="1" x14ac:dyDescent="0.2">
      <c r="B10" s="411" t="s">
        <v>128</v>
      </c>
      <c r="C10" s="411" t="s">
        <v>56</v>
      </c>
      <c r="D10" s="411" t="s">
        <v>1</v>
      </c>
      <c r="E10" s="266" t="str">
        <f ca="1">OFFSET('Control sheet (hide)'!$AA$3,COLUMN(A1)-1,0,1,1)</f>
        <v>Slot A</v>
      </c>
      <c r="F10" s="266" t="str">
        <f ca="1">OFFSET('Control sheet (hide)'!$AA$3,COLUMN(B1)-1,0,1,1)</f>
        <v>Slot B</v>
      </c>
      <c r="G10" s="266" t="str">
        <f ca="1">OFFSET('Control sheet (hide)'!$AA$3,COLUMN(C1)-1,0,1,1)</f>
        <v>Cacrys</v>
      </c>
      <c r="H10" s="266" t="str">
        <f ca="1">OFFSET('Control sheet (hide)'!$AA$3,COLUMN(D1)-1,0,1,1)</f>
        <v>CT Colon</v>
      </c>
      <c r="I10" s="266" t="str">
        <f ca="1">OFFSET('Control sheet (hide)'!$AA$3,COLUMN(E1)-1,0,1,1)</f>
        <v>CT Biopsy</v>
      </c>
      <c r="J10" s="266" t="str">
        <f ca="1">OFFSET('Control sheet (hide)'!$AA$3,COLUMN(F1)-1,0,1,1)</f>
        <v>Modality 6</v>
      </c>
      <c r="K10" s="266" t="str">
        <f ca="1">OFFSET('Control sheet (hide)'!$AA$3,COLUMN(G1)-1,0,1,1)</f>
        <v>Modality 1</v>
      </c>
      <c r="L10" s="266" t="str">
        <f ca="1">OFFSET('Control sheet (hide)'!$AA$3,COLUMN(H1)-1,0,1,1)</f>
        <v>Modality 8</v>
      </c>
      <c r="M10" s="266" t="str">
        <f ca="1">OFFSET('Control sheet (hide)'!$AA$3,COLUMN(I1)-1,0,1,1)</f>
        <v>Modality 9</v>
      </c>
      <c r="N10" s="266" t="str">
        <f ca="1">OFFSET('Control sheet (hide)'!$AA$3,COLUMN(J1)-1,0,1,1)</f>
        <v>Modality 10</v>
      </c>
      <c r="O10" s="6" t="s">
        <v>219</v>
      </c>
      <c r="P10" s="408" t="s">
        <v>222</v>
      </c>
      <c r="Q10" s="408" t="str">
        <f>"Total "&amp;"("&amp;Setup!$I$17&amp;")"</f>
        <v>Total (Minutes)</v>
      </c>
      <c r="R10" s="408" t="s">
        <v>111</v>
      </c>
    </row>
    <row r="11" spans="1:20" x14ac:dyDescent="0.2">
      <c r="B11" s="411"/>
      <c r="C11" s="411"/>
      <c r="D11" s="411"/>
      <c r="E11" s="266" t="str">
        <f ca="1">IF(Setup!$I$17&lt;&gt;"Patients",Setup!$I$17&amp;": "&amp;OFFSET('Demand background (hide)'!$BN$6,COLUMN(A1)-1,0,1,1),"")</f>
        <v>Minutes: 15</v>
      </c>
      <c r="F11" s="266" t="str">
        <f ca="1">IF(Setup!$I$17&lt;&gt;"Patients",Setup!$I$17&amp;": "&amp;OFFSET('Demand background (hide)'!$BN$6,COLUMN(B1)-1,0,1,1),"")</f>
        <v>Minutes: 15</v>
      </c>
      <c r="G11" s="266" t="str">
        <f ca="1">IF(Setup!$I$17&lt;&gt;"Patients",Setup!$I$17&amp;": "&amp;OFFSET('Demand background (hide)'!$BN$6,COLUMN(C1)-1,0,1,1),"")</f>
        <v>Minutes: 30</v>
      </c>
      <c r="H11" s="266" t="str">
        <f ca="1">IF(Setup!$I$17&lt;&gt;"Patients",Setup!$I$17&amp;": "&amp;OFFSET('Demand background (hide)'!$BN$6,COLUMN(D1)-1,0,1,1),"")</f>
        <v>Minutes: 30</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16</v>
      </c>
      <c r="P11" s="408"/>
      <c r="Q11" s="408"/>
      <c r="R11" s="408"/>
    </row>
    <row r="12" spans="1:20" x14ac:dyDescent="0.2">
      <c r="B12" s="411"/>
      <c r="C12" s="411"/>
      <c r="D12" s="411"/>
      <c r="E12" s="6"/>
      <c r="F12" s="6"/>
      <c r="G12" s="6"/>
      <c r="H12" s="6"/>
      <c r="I12" s="6"/>
      <c r="J12" s="6"/>
      <c r="K12" s="6"/>
      <c r="L12" s="6"/>
      <c r="M12" s="6"/>
      <c r="N12" s="6"/>
      <c r="O12" s="6"/>
      <c r="P12" s="408"/>
      <c r="Q12" s="408"/>
      <c r="R12" s="408"/>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63.502813428589491</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79.378516785736863</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31.751406714294745</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47.627110071442118</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79.378516785736863</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47.627110071442118</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63.502813428589491</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46MZ9L/v8cbbU3KhpReud5quJsO4X5FpCkq10DKcxguQEbmHl0VXsRULF/T8HFotTZXOgHCdsHCGZuHnPwsGrg==" saltValue="6OVdv+1Wtl9w4K4QszqO3g=="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15</v>
      </c>
      <c r="I1">
        <f ca="1">OFFSET('Demand background (hide)'!$BN$6,COLUMN(B1)-1,0,1,1)</f>
        <v>15</v>
      </c>
      <c r="J1">
        <f ca="1">OFFSET('Demand background (hide)'!$BN$6,COLUMN(C1)-1,0,1,1)</f>
        <v>30</v>
      </c>
      <c r="K1">
        <f ca="1">OFFSET('Demand background (hide)'!$BN$6,COLUMN(D1)-1,0,1,1)</f>
        <v>30</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15.875703357147373</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Slot A</v>
      </c>
      <c r="I2" t="str">
        <f ca="1">OFFSET('Control sheet (hide)'!$AA$3,COLUMN(B1)-1,0,1,1)</f>
        <v>Slot B</v>
      </c>
      <c r="J2" t="str">
        <f ca="1">OFFSET('Control sheet (hide)'!$AA$3,COLUMN(C1)-1,0,1,1)</f>
        <v>Cacrys</v>
      </c>
      <c r="K2" t="str">
        <f ca="1">OFFSET('Control sheet (hide)'!$AA$3,COLUMN(D1)-1,0,1,1)</f>
        <v>CT Colon</v>
      </c>
      <c r="L2" t="str">
        <f ca="1">OFFSET('Control sheet (hide)'!$AA$3,COLUMN(E1)-1,0,1,1)</f>
        <v>CT Biopsy</v>
      </c>
      <c r="M2" t="str">
        <f ca="1">OFFSET('Control sheet (hide)'!$AA$3,COLUMN(F1)-1,0,1,1)</f>
        <v>Modality 6</v>
      </c>
      <c r="N2" t="str">
        <f ca="1">OFFSET('Control sheet (hide)'!$AA$3,COLUMN(G1)-1,0,1,1)</f>
        <v>Modality 1</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63.502813428589491</v>
      </c>
      <c r="S3" s="5">
        <f ca="1">IF(Planned!R13&lt;&gt;"Yes",IF(Planned!$C$6&lt;&gt;"Overall",SUM(OFFSET('Planned background (hide)'!H3,0,0,1,Num_Modalities)),'Planned background (hide)'!R3),"")</f>
        <v>63.502813428589491</v>
      </c>
      <c r="V3" s="5"/>
      <c r="AB3">
        <f t="shared" si="0"/>
        <v>1</v>
      </c>
      <c r="AC3" s="36">
        <f>IF(Planned!$C$8=0,'Planned background (hide)'!F3,'Planned background (hide)'!G3)</f>
        <v>1</v>
      </c>
      <c r="AD3" s="36">
        <f>IF(AND(AB3&gt;=$U$18,AB3&lt;($U$18+$AA$19)),1,0)</f>
        <v>1</v>
      </c>
      <c r="AE3" s="5">
        <f t="shared" ref="AE3:AE34" ca="1" si="1">S3</f>
        <v>63.502813428589491</v>
      </c>
      <c r="AF3" s="5">
        <f ca="1">$V$23</f>
        <v>60.327672757160009</v>
      </c>
      <c r="AG3">
        <f ca="1">$V$25</f>
        <v>24.629858931744597</v>
      </c>
      <c r="AH3">
        <f ca="1">IF(AF3-(3*AG3)&lt;=0,0,AF3-(3*AG3))</f>
        <v>0</v>
      </c>
      <c r="AI3">
        <f ca="1">IF(AF3-(2*AG3)&lt;=0,0,AF3-(2*AG3))</f>
        <v>11.067954893670816</v>
      </c>
      <c r="AJ3">
        <f ca="1">IF(AF3-(1*AG3)&lt;=0,0,AF3-(1*AG3))</f>
        <v>35.697813825415409</v>
      </c>
      <c r="AK3">
        <f ca="1">AF3+(1*AG3)</f>
        <v>84.957531688904609</v>
      </c>
      <c r="AL3">
        <f ca="1">AF3+(2*AG3)</f>
        <v>109.5873906206492</v>
      </c>
      <c r="AM3">
        <f ca="1">AF3+(3*AG3)</f>
        <v>134.21724955239381</v>
      </c>
      <c r="AN3">
        <f ca="1">$V$26</f>
        <v>73.028235442877914</v>
      </c>
      <c r="AO3">
        <f ca="1">$V$27</f>
        <v>79.378516785736863</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79.378516785736863</v>
      </c>
      <c r="S4" s="5">
        <f ca="1">IF(Planned!R14&lt;&gt;"Yes",IF(Planned!$C$6&lt;&gt;"Overall",SUM(OFFSET('Planned background (hide)'!H4,0,0,1,Num_Modalities)),'Planned background (hide)'!R4),"")</f>
        <v>79.378516785736863</v>
      </c>
      <c r="AB4">
        <f t="shared" si="0"/>
        <v>2</v>
      </c>
      <c r="AC4" s="36">
        <f>IF(Planned!$C$8=0,'Planned background (hide)'!F4,'Planned background (hide)'!G4)</f>
        <v>2</v>
      </c>
      <c r="AD4" s="36">
        <f t="shared" ref="AD4:AD54" si="2">IF(AND(AB4&gt;$U$18,AB4&lt;($U$18+$AA$19)),1,0)</f>
        <v>1</v>
      </c>
      <c r="AE4" s="5">
        <f t="shared" ca="1" si="1"/>
        <v>79.378516785736863</v>
      </c>
      <c r="AF4" s="5">
        <f t="shared" ref="AF4:AF55" ca="1" si="3">$V$23</f>
        <v>60.327672757160009</v>
      </c>
      <c r="AG4">
        <f t="shared" ref="AG4:AG55" ca="1" si="4">$V$25</f>
        <v>24.629858931744597</v>
      </c>
      <c r="AH4" s="67">
        <f t="shared" ref="AH4:AH54" ca="1" si="5">IF(AF4-(3*AG4)&lt;=0,0,AF4-(3*AG4))</f>
        <v>0</v>
      </c>
      <c r="AI4" s="67">
        <f t="shared" ref="AI4:AI54" ca="1" si="6">IF(AF4-(2*AG4)&lt;=0,0,AF4-(2*AG4))</f>
        <v>11.067954893670816</v>
      </c>
      <c r="AJ4" s="67">
        <f t="shared" ref="AJ4:AJ54" ca="1" si="7">IF(AF4-(1*AG4)&lt;=0,0,AF4-(1*AG4))</f>
        <v>35.697813825415409</v>
      </c>
      <c r="AK4">
        <f t="shared" ref="AK4:AK54" ca="1" si="8">AF4+(1*AG4)</f>
        <v>84.957531688904609</v>
      </c>
      <c r="AL4">
        <f t="shared" ref="AL4:AL54" ca="1" si="9">AF4+(2*AG4)</f>
        <v>109.5873906206492</v>
      </c>
      <c r="AM4">
        <f t="shared" ref="AM4:AM54" ca="1" si="10">AF4+(3*AG4)</f>
        <v>134.21724955239381</v>
      </c>
      <c r="AN4">
        <f t="shared" ref="AN4:AN55" ca="1" si="11">$V$26</f>
        <v>73.028235442877914</v>
      </c>
      <c r="AO4">
        <f t="shared" ref="AO4:AO55" ca="1" si="12">$V$27</f>
        <v>79.378516785736863</v>
      </c>
      <c r="AP4" t="e">
        <f t="shared" ref="AP4:AP54" ca="1" si="13">IF(OR(AE4&gt;AM4,AE4&lt;AH4),AE4,NA())</f>
        <v>#N/A</v>
      </c>
      <c r="AQ4">
        <f ca="1">IF(AE4&gt;AL4,1,IF(AE4&lt;AI4,-1,0))</f>
        <v>0</v>
      </c>
      <c r="AS4">
        <f ca="1">IF(AE4&gt;AE3,1,IF(AE4&lt;AE3,-1,0))</f>
        <v>1</v>
      </c>
      <c r="AU4">
        <f t="shared" ref="AU4:AU54" ca="1" si="14">IF(AE4&gt;AF4,1,IF(AE4&lt;AF4,-1,0))</f>
        <v>1</v>
      </c>
      <c r="AW4" s="5">
        <f ca="1">ABS(AE4-AE3)</f>
        <v>15.875703357147373</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31.751406714294745</v>
      </c>
      <c r="S5" s="5">
        <f ca="1">IF(Planned!R15&lt;&gt;"Yes",IF(Planned!$C$6&lt;&gt;"Overall",SUM(OFFSET('Planned background (hide)'!H5,0,0,1,Num_Modalities)),'Planned background (hide)'!R5),"")</f>
        <v>31.751406714294745</v>
      </c>
      <c r="AB5">
        <f t="shared" si="0"/>
        <v>3</v>
      </c>
      <c r="AC5" s="36">
        <f>IF(Planned!$C$8=0,'Planned background (hide)'!F5,'Planned background (hide)'!G5)</f>
        <v>3</v>
      </c>
      <c r="AD5" s="36">
        <f t="shared" si="2"/>
        <v>1</v>
      </c>
      <c r="AE5" s="5">
        <f t="shared" ca="1" si="1"/>
        <v>31.751406714294745</v>
      </c>
      <c r="AF5" s="5">
        <f t="shared" ca="1" si="3"/>
        <v>60.327672757160009</v>
      </c>
      <c r="AG5">
        <f t="shared" ca="1" si="4"/>
        <v>24.629858931744597</v>
      </c>
      <c r="AH5" s="67">
        <f t="shared" ca="1" si="5"/>
        <v>0</v>
      </c>
      <c r="AI5" s="67">
        <f t="shared" ca="1" si="6"/>
        <v>11.067954893670816</v>
      </c>
      <c r="AJ5" s="67">
        <f t="shared" ca="1" si="7"/>
        <v>35.697813825415409</v>
      </c>
      <c r="AK5">
        <f t="shared" ca="1" si="8"/>
        <v>84.957531688904609</v>
      </c>
      <c r="AL5">
        <f t="shared" ca="1" si="9"/>
        <v>109.5873906206492</v>
      </c>
      <c r="AM5">
        <f t="shared" ca="1" si="10"/>
        <v>134.21724955239381</v>
      </c>
      <c r="AN5">
        <f t="shared" ca="1" si="11"/>
        <v>73.028235442877914</v>
      </c>
      <c r="AO5">
        <f t="shared" ca="1" si="12"/>
        <v>79.378516785736863</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47.627110071442118</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47.627110071442118</v>
      </c>
      <c r="S6" s="5">
        <f ca="1">IF(Planned!R16&lt;&gt;"Yes",IF(Planned!$C$6&lt;&gt;"Overall",SUM(OFFSET('Planned background (hide)'!H6,0,0,1,Num_Modalities)),'Planned background (hide)'!R6),"")</f>
        <v>47.627110071442118</v>
      </c>
      <c r="AB6">
        <f t="shared" si="0"/>
        <v>4</v>
      </c>
      <c r="AC6" s="36">
        <f>IF(Planned!$C$8=0,'Planned background (hide)'!F6,'Planned background (hide)'!G6)</f>
        <v>4</v>
      </c>
      <c r="AD6" s="36">
        <f t="shared" si="2"/>
        <v>1</v>
      </c>
      <c r="AE6" s="5">
        <f t="shared" ca="1" si="1"/>
        <v>47.627110071442118</v>
      </c>
      <c r="AF6" s="5">
        <f t="shared" ca="1" si="3"/>
        <v>60.327672757160009</v>
      </c>
      <c r="AG6">
        <f t="shared" ca="1" si="4"/>
        <v>24.629858931744597</v>
      </c>
      <c r="AH6" s="67">
        <f t="shared" ca="1" si="5"/>
        <v>0</v>
      </c>
      <c r="AI6" s="67">
        <f t="shared" ca="1" si="6"/>
        <v>11.067954893670816</v>
      </c>
      <c r="AJ6" s="67">
        <f t="shared" ca="1" si="7"/>
        <v>35.697813825415409</v>
      </c>
      <c r="AK6">
        <f t="shared" ca="1" si="8"/>
        <v>84.957531688904609</v>
      </c>
      <c r="AL6">
        <f t="shared" ca="1" si="9"/>
        <v>109.5873906206492</v>
      </c>
      <c r="AM6">
        <f t="shared" ca="1" si="10"/>
        <v>134.21724955239381</v>
      </c>
      <c r="AN6">
        <f t="shared" ca="1" si="11"/>
        <v>73.028235442877914</v>
      </c>
      <c r="AO6">
        <f t="shared" ca="1" si="12"/>
        <v>79.378516785736863</v>
      </c>
      <c r="AP6" t="e">
        <f t="shared" ca="1" si="13"/>
        <v>#N/A</v>
      </c>
      <c r="AQ6">
        <f t="shared" ca="1" si="18"/>
        <v>0</v>
      </c>
      <c r="AR6" t="e">
        <f t="shared" ref="AR6:AR54" ca="1" si="21">IF(ABS(SUM(AQ4:AQ6))&gt;=2,AE6,NA())</f>
        <v>#N/A</v>
      </c>
      <c r="AS6">
        <f t="shared" ca="1" si="19"/>
        <v>1</v>
      </c>
      <c r="AU6">
        <f t="shared" ca="1" si="14"/>
        <v>-1</v>
      </c>
      <c r="AW6" s="5">
        <f t="shared" ca="1" si="20"/>
        <v>15.875703357147373</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79.378516785736863</v>
      </c>
      <c r="S7" s="5">
        <f ca="1">IF(Planned!R17&lt;&gt;"Yes",IF(Planned!$C$6&lt;&gt;"Overall",SUM(OFFSET('Planned background (hide)'!H7,0,0,1,Num_Modalities)),'Planned background (hide)'!R7),"")</f>
        <v>79.378516785736863</v>
      </c>
      <c r="U7" s="54"/>
      <c r="AB7">
        <f t="shared" si="0"/>
        <v>5</v>
      </c>
      <c r="AC7" s="36">
        <f>IF(Planned!$C$8=0,'Planned background (hide)'!F7,'Planned background (hide)'!G7)</f>
        <v>5</v>
      </c>
      <c r="AD7" s="36">
        <f t="shared" si="2"/>
        <v>1</v>
      </c>
      <c r="AE7" s="5">
        <f t="shared" ca="1" si="1"/>
        <v>79.378516785736863</v>
      </c>
      <c r="AF7" s="5">
        <f t="shared" ca="1" si="3"/>
        <v>60.327672757160009</v>
      </c>
      <c r="AG7">
        <f t="shared" ca="1" si="4"/>
        <v>24.629858931744597</v>
      </c>
      <c r="AH7" s="67">
        <f t="shared" ca="1" si="5"/>
        <v>0</v>
      </c>
      <c r="AI7" s="67">
        <f t="shared" ca="1" si="6"/>
        <v>11.067954893670816</v>
      </c>
      <c r="AJ7" s="67">
        <f t="shared" ca="1" si="7"/>
        <v>35.697813825415409</v>
      </c>
      <c r="AK7">
        <f t="shared" ca="1" si="8"/>
        <v>84.957531688904609</v>
      </c>
      <c r="AL7">
        <f t="shared" ca="1" si="9"/>
        <v>109.5873906206492</v>
      </c>
      <c r="AM7">
        <f t="shared" ca="1" si="10"/>
        <v>134.21724955239381</v>
      </c>
      <c r="AN7">
        <f t="shared" ca="1" si="11"/>
        <v>73.028235442877914</v>
      </c>
      <c r="AO7">
        <f t="shared" ca="1" si="12"/>
        <v>79.378516785736863</v>
      </c>
      <c r="AP7" t="e">
        <f t="shared" ca="1" si="13"/>
        <v>#N/A</v>
      </c>
      <c r="AQ7">
        <f t="shared" ca="1" si="18"/>
        <v>0</v>
      </c>
      <c r="AR7" t="e">
        <f t="shared" ca="1" si="21"/>
        <v>#N/A</v>
      </c>
      <c r="AS7">
        <f t="shared" ca="1" si="19"/>
        <v>1</v>
      </c>
      <c r="AU7">
        <f t="shared" ca="1" si="14"/>
        <v>1</v>
      </c>
      <c r="AW7" s="5">
        <f t="shared" ca="1" si="20"/>
        <v>31.751406714294745</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47.627110071442118</v>
      </c>
      <c r="S8" s="5">
        <f ca="1">IF(Planned!R18&lt;&gt;"Yes",IF(Planned!$C$6&lt;&gt;"Overall",SUM(OFFSET('Planned background (hide)'!H8,0,0,1,Num_Modalities)),'Planned background (hide)'!R8),"")</f>
        <v>47.627110071442118</v>
      </c>
      <c r="U8" s="54"/>
      <c r="AB8">
        <f t="shared" si="0"/>
        <v>6</v>
      </c>
      <c r="AC8" s="36">
        <f>IF(Planned!$C$8=0,'Planned background (hide)'!F8,'Planned background (hide)'!G8)</f>
        <v>6</v>
      </c>
      <c r="AD8" s="36">
        <f t="shared" si="2"/>
        <v>0</v>
      </c>
      <c r="AE8" s="5">
        <f t="shared" ca="1" si="1"/>
        <v>47.627110071442118</v>
      </c>
      <c r="AF8" s="5">
        <f t="shared" ca="1" si="3"/>
        <v>60.327672757160009</v>
      </c>
      <c r="AG8">
        <f t="shared" ca="1" si="4"/>
        <v>24.629858931744597</v>
      </c>
      <c r="AH8" s="67">
        <f t="shared" ca="1" si="5"/>
        <v>0</v>
      </c>
      <c r="AI8" s="67">
        <f t="shared" ca="1" si="6"/>
        <v>11.067954893670816</v>
      </c>
      <c r="AJ8" s="67">
        <f t="shared" ca="1" si="7"/>
        <v>35.697813825415409</v>
      </c>
      <c r="AK8">
        <f t="shared" ca="1" si="8"/>
        <v>84.957531688904609</v>
      </c>
      <c r="AL8">
        <f t="shared" ca="1" si="9"/>
        <v>109.5873906206492</v>
      </c>
      <c r="AM8">
        <f t="shared" ca="1" si="10"/>
        <v>134.21724955239381</v>
      </c>
      <c r="AN8">
        <f t="shared" ca="1" si="11"/>
        <v>73.028235442877914</v>
      </c>
      <c r="AO8">
        <f t="shared" ca="1" si="12"/>
        <v>79.378516785736863</v>
      </c>
      <c r="AP8" t="e">
        <f t="shared" ca="1" si="13"/>
        <v>#N/A</v>
      </c>
      <c r="AQ8">
        <f t="shared" ca="1" si="18"/>
        <v>0</v>
      </c>
      <c r="AR8" t="e">
        <f t="shared" ca="1" si="21"/>
        <v>#N/A</v>
      </c>
      <c r="AS8">
        <f t="shared" ca="1" si="19"/>
        <v>-1</v>
      </c>
      <c r="AU8">
        <f t="shared" ca="1" si="14"/>
        <v>-1</v>
      </c>
      <c r="AW8" s="5">
        <f t="shared" ca="1" si="20"/>
        <v>31.751406714294745</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5</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63.502813428589491</v>
      </c>
      <c r="S9" s="5">
        <f ca="1">IF(Planned!R19&lt;&gt;"Yes",IF(Planned!$C$6&lt;&gt;"Overall",SUM(OFFSET('Planned background (hide)'!H9,0,0,1,Num_Modalities)),'Planned background (hide)'!R9),"")</f>
        <v>63.502813428589491</v>
      </c>
      <c r="AB9">
        <f t="shared" si="0"/>
        <v>7</v>
      </c>
      <c r="AC9" s="36">
        <f>IF(Planned!$C$8=0,'Planned background (hide)'!F9,'Planned background (hide)'!G9)</f>
        <v>7</v>
      </c>
      <c r="AD9" s="36">
        <f t="shared" si="2"/>
        <v>0</v>
      </c>
      <c r="AE9" s="5">
        <f t="shared" ca="1" si="1"/>
        <v>63.502813428589491</v>
      </c>
      <c r="AF9" s="5">
        <f t="shared" ca="1" si="3"/>
        <v>60.327672757160009</v>
      </c>
      <c r="AG9">
        <f t="shared" ca="1" si="4"/>
        <v>24.629858931744597</v>
      </c>
      <c r="AH9" s="67">
        <f t="shared" ca="1" si="5"/>
        <v>0</v>
      </c>
      <c r="AI9" s="67">
        <f t="shared" ca="1" si="6"/>
        <v>11.067954893670816</v>
      </c>
      <c r="AJ9" s="67">
        <f t="shared" ca="1" si="7"/>
        <v>35.697813825415409</v>
      </c>
      <c r="AK9">
        <f t="shared" ca="1" si="8"/>
        <v>84.957531688904609</v>
      </c>
      <c r="AL9">
        <f t="shared" ca="1" si="9"/>
        <v>109.5873906206492</v>
      </c>
      <c r="AM9">
        <f t="shared" ca="1" si="10"/>
        <v>134.21724955239381</v>
      </c>
      <c r="AN9">
        <f t="shared" ca="1" si="11"/>
        <v>73.028235442877914</v>
      </c>
      <c r="AO9">
        <f t="shared" ca="1" si="12"/>
        <v>79.378516785736863</v>
      </c>
      <c r="AP9" t="e">
        <f t="shared" ca="1" si="13"/>
        <v>#N/A</v>
      </c>
      <c r="AQ9">
        <f t="shared" ca="1" si="18"/>
        <v>0</v>
      </c>
      <c r="AR9" t="e">
        <f t="shared" ca="1" si="21"/>
        <v>#N/A</v>
      </c>
      <c r="AS9">
        <f t="shared" ca="1" si="19"/>
        <v>1</v>
      </c>
      <c r="AT9" t="e">
        <f ca="1">IF(ABS(SUM(AS4:AS9))=6,AE9,NA())</f>
        <v>#N/A</v>
      </c>
      <c r="AU9">
        <f t="shared" ca="1" si="14"/>
        <v>1</v>
      </c>
      <c r="AW9" s="5">
        <f t="shared" ca="1" si="20"/>
        <v>15.875703357147373</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5</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60.327672757160009</v>
      </c>
      <c r="AG10">
        <f t="shared" ca="1" si="4"/>
        <v>24.629858931744597</v>
      </c>
      <c r="AH10" s="67">
        <f t="shared" ca="1" si="5"/>
        <v>0</v>
      </c>
      <c r="AI10" s="67">
        <f t="shared" ca="1" si="6"/>
        <v>11.067954893670816</v>
      </c>
      <c r="AJ10" s="67">
        <f t="shared" ca="1" si="7"/>
        <v>35.697813825415409</v>
      </c>
      <c r="AK10">
        <f t="shared" ca="1" si="8"/>
        <v>84.957531688904609</v>
      </c>
      <c r="AL10">
        <f t="shared" ca="1" si="9"/>
        <v>109.5873906206492</v>
      </c>
      <c r="AM10">
        <f t="shared" ca="1" si="10"/>
        <v>134.21724955239381</v>
      </c>
      <c r="AN10">
        <f t="shared" ca="1" si="11"/>
        <v>73.028235442877914</v>
      </c>
      <c r="AO10">
        <f t="shared" ca="1" si="12"/>
        <v>79.378516785736863</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63.502813428589491</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5</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60.327672757160009</v>
      </c>
      <c r="AG11">
        <f t="shared" ca="1" si="4"/>
        <v>24.629858931744597</v>
      </c>
      <c r="AH11" s="67">
        <f t="shared" ca="1" si="5"/>
        <v>0</v>
      </c>
      <c r="AI11" s="67">
        <f t="shared" ca="1" si="6"/>
        <v>11.067954893670816</v>
      </c>
      <c r="AJ11" s="67">
        <f t="shared" ca="1" si="7"/>
        <v>35.697813825415409</v>
      </c>
      <c r="AK11">
        <f t="shared" ca="1" si="8"/>
        <v>84.957531688904609</v>
      </c>
      <c r="AL11">
        <f t="shared" ca="1" si="9"/>
        <v>109.5873906206492</v>
      </c>
      <c r="AM11">
        <f t="shared" ca="1" si="10"/>
        <v>134.21724955239381</v>
      </c>
      <c r="AN11">
        <f t="shared" ca="1" si="11"/>
        <v>73.028235442877914</v>
      </c>
      <c r="AO11">
        <f t="shared" ca="1" si="12"/>
        <v>79.378516785736863</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5</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60.327672757160009</v>
      </c>
      <c r="AG12">
        <f t="shared" ca="1" si="4"/>
        <v>24.629858931744597</v>
      </c>
      <c r="AH12" s="67">
        <f t="shared" ca="1" si="5"/>
        <v>0</v>
      </c>
      <c r="AI12" s="67">
        <f t="shared" ca="1" si="6"/>
        <v>11.067954893670816</v>
      </c>
      <c r="AJ12" s="67">
        <f t="shared" ca="1" si="7"/>
        <v>35.697813825415409</v>
      </c>
      <c r="AK12">
        <f t="shared" ca="1" si="8"/>
        <v>84.957531688904609</v>
      </c>
      <c r="AL12">
        <f t="shared" ca="1" si="9"/>
        <v>109.5873906206492</v>
      </c>
      <c r="AM12">
        <f t="shared" ca="1" si="10"/>
        <v>134.21724955239381</v>
      </c>
      <c r="AN12">
        <f t="shared" ca="1" si="11"/>
        <v>73.028235442877914</v>
      </c>
      <c r="AO12">
        <f t="shared" ca="1" si="12"/>
        <v>79.378516785736863</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5</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60.327672757160009</v>
      </c>
      <c r="AG13">
        <f t="shared" ca="1" si="4"/>
        <v>24.629858931744597</v>
      </c>
      <c r="AH13" s="67">
        <f t="shared" ca="1" si="5"/>
        <v>0</v>
      </c>
      <c r="AI13" s="67">
        <f t="shared" ca="1" si="6"/>
        <v>11.067954893670816</v>
      </c>
      <c r="AJ13" s="67">
        <f t="shared" ca="1" si="7"/>
        <v>35.697813825415409</v>
      </c>
      <c r="AK13">
        <f t="shared" ca="1" si="8"/>
        <v>84.957531688904609</v>
      </c>
      <c r="AL13">
        <f t="shared" ca="1" si="9"/>
        <v>109.5873906206492</v>
      </c>
      <c r="AM13">
        <f t="shared" ca="1" si="10"/>
        <v>134.21724955239381</v>
      </c>
      <c r="AN13">
        <f t="shared" ca="1" si="11"/>
        <v>73.028235442877914</v>
      </c>
      <c r="AO13">
        <f t="shared" ca="1" si="12"/>
        <v>79.378516785736863</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5</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60.327672757160009</v>
      </c>
      <c r="AG14">
        <f t="shared" ca="1" si="4"/>
        <v>24.629858931744597</v>
      </c>
      <c r="AH14" s="67">
        <f t="shared" ca="1" si="5"/>
        <v>0</v>
      </c>
      <c r="AI14" s="67">
        <f t="shared" ca="1" si="6"/>
        <v>11.067954893670816</v>
      </c>
      <c r="AJ14" s="67">
        <f t="shared" ca="1" si="7"/>
        <v>35.697813825415409</v>
      </c>
      <c r="AK14">
        <f t="shared" ca="1" si="8"/>
        <v>84.957531688904609</v>
      </c>
      <c r="AL14">
        <f t="shared" ca="1" si="9"/>
        <v>109.5873906206492</v>
      </c>
      <c r="AM14">
        <f t="shared" ca="1" si="10"/>
        <v>134.21724955239381</v>
      </c>
      <c r="AN14">
        <f t="shared" ca="1" si="11"/>
        <v>73.028235442877914</v>
      </c>
      <c r="AO14">
        <f t="shared" ca="1" si="12"/>
        <v>79.378516785736863</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5</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60.327672757160009</v>
      </c>
      <c r="AG15">
        <f t="shared" ca="1" si="4"/>
        <v>24.629858931744597</v>
      </c>
      <c r="AH15" s="67">
        <f t="shared" ca="1" si="5"/>
        <v>0</v>
      </c>
      <c r="AI15" s="67">
        <f t="shared" ca="1" si="6"/>
        <v>11.067954893670816</v>
      </c>
      <c r="AJ15" s="67">
        <f t="shared" ca="1" si="7"/>
        <v>35.697813825415409</v>
      </c>
      <c r="AK15">
        <f t="shared" ca="1" si="8"/>
        <v>84.957531688904609</v>
      </c>
      <c r="AL15">
        <f t="shared" ca="1" si="9"/>
        <v>109.5873906206492</v>
      </c>
      <c r="AM15">
        <f t="shared" ca="1" si="10"/>
        <v>134.21724955239381</v>
      </c>
      <c r="AN15">
        <f t="shared" ca="1" si="11"/>
        <v>73.028235442877914</v>
      </c>
      <c r="AO15">
        <f t="shared" ca="1" si="12"/>
        <v>79.378516785736863</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5</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60.327672757160009</v>
      </c>
      <c r="AG16">
        <f t="shared" ca="1" si="4"/>
        <v>24.629858931744597</v>
      </c>
      <c r="AH16" s="67">
        <f t="shared" ca="1" si="5"/>
        <v>0</v>
      </c>
      <c r="AI16" s="67">
        <f t="shared" ca="1" si="6"/>
        <v>11.067954893670816</v>
      </c>
      <c r="AJ16" s="67">
        <f t="shared" ca="1" si="7"/>
        <v>35.697813825415409</v>
      </c>
      <c r="AK16">
        <f t="shared" ca="1" si="8"/>
        <v>84.957531688904609</v>
      </c>
      <c r="AL16">
        <f t="shared" ca="1" si="9"/>
        <v>109.5873906206492</v>
      </c>
      <c r="AM16">
        <f t="shared" ca="1" si="10"/>
        <v>134.21724955239381</v>
      </c>
      <c r="AN16">
        <f t="shared" ca="1" si="11"/>
        <v>73.028235442877914</v>
      </c>
      <c r="AO16">
        <f t="shared" ca="1" si="12"/>
        <v>79.378516785736863</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5</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60.327672757160009</v>
      </c>
      <c r="AG17">
        <f t="shared" ca="1" si="4"/>
        <v>24.629858931744597</v>
      </c>
      <c r="AH17" s="67">
        <f t="shared" ca="1" si="5"/>
        <v>0</v>
      </c>
      <c r="AI17" s="67">
        <f t="shared" ca="1" si="6"/>
        <v>11.067954893670816</v>
      </c>
      <c r="AJ17" s="67">
        <f t="shared" ca="1" si="7"/>
        <v>35.697813825415409</v>
      </c>
      <c r="AK17">
        <f t="shared" ca="1" si="8"/>
        <v>84.957531688904609</v>
      </c>
      <c r="AL17">
        <f t="shared" ca="1" si="9"/>
        <v>109.5873906206492</v>
      </c>
      <c r="AM17">
        <f t="shared" ca="1" si="10"/>
        <v>134.21724955239381</v>
      </c>
      <c r="AN17">
        <f t="shared" ca="1" si="11"/>
        <v>73.028235442877914</v>
      </c>
      <c r="AO17">
        <f t="shared" ca="1" si="12"/>
        <v>79.378516785736863</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5</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60.327672757160009</v>
      </c>
      <c r="AG18">
        <f t="shared" ca="1" si="4"/>
        <v>24.629858931744597</v>
      </c>
      <c r="AH18" s="67">
        <f t="shared" ca="1" si="5"/>
        <v>0</v>
      </c>
      <c r="AI18" s="67">
        <f t="shared" ca="1" si="6"/>
        <v>11.067954893670816</v>
      </c>
      <c r="AJ18" s="67">
        <f t="shared" ca="1" si="7"/>
        <v>35.697813825415409</v>
      </c>
      <c r="AK18">
        <f t="shared" ca="1" si="8"/>
        <v>84.957531688904609</v>
      </c>
      <c r="AL18">
        <f t="shared" ca="1" si="9"/>
        <v>109.5873906206492</v>
      </c>
      <c r="AM18">
        <f t="shared" ca="1" si="10"/>
        <v>134.21724955239381</v>
      </c>
      <c r="AN18">
        <f t="shared" ca="1" si="11"/>
        <v>73.028235442877914</v>
      </c>
      <c r="AO18">
        <f t="shared" ca="1" si="12"/>
        <v>79.378516785736863</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5</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60.327672757160009</v>
      </c>
      <c r="AG19">
        <f t="shared" ca="1" si="4"/>
        <v>24.629858931744597</v>
      </c>
      <c r="AH19" s="67">
        <f t="shared" ca="1" si="5"/>
        <v>0</v>
      </c>
      <c r="AI19" s="67">
        <f t="shared" ca="1" si="6"/>
        <v>11.067954893670816</v>
      </c>
      <c r="AJ19" s="67">
        <f t="shared" ca="1" si="7"/>
        <v>35.697813825415409</v>
      </c>
      <c r="AK19">
        <f t="shared" ca="1" si="8"/>
        <v>84.957531688904609</v>
      </c>
      <c r="AL19">
        <f t="shared" ca="1" si="9"/>
        <v>109.5873906206492</v>
      </c>
      <c r="AM19">
        <f t="shared" ca="1" si="10"/>
        <v>134.21724955239381</v>
      </c>
      <c r="AN19">
        <f t="shared" ca="1" si="11"/>
        <v>73.028235442877914</v>
      </c>
      <c r="AO19">
        <f t="shared" ca="1" si="12"/>
        <v>79.378516785736863</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5</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60.327672757160009</v>
      </c>
      <c r="AG20">
        <f t="shared" ca="1" si="4"/>
        <v>24.629858931744597</v>
      </c>
      <c r="AH20" s="67">
        <f t="shared" ca="1" si="5"/>
        <v>0</v>
      </c>
      <c r="AI20" s="67">
        <f t="shared" ca="1" si="6"/>
        <v>11.067954893670816</v>
      </c>
      <c r="AJ20" s="67">
        <f t="shared" ca="1" si="7"/>
        <v>35.697813825415409</v>
      </c>
      <c r="AK20">
        <f t="shared" ca="1" si="8"/>
        <v>84.957531688904609</v>
      </c>
      <c r="AL20">
        <f t="shared" ca="1" si="9"/>
        <v>109.5873906206492</v>
      </c>
      <c r="AM20">
        <f t="shared" ca="1" si="10"/>
        <v>134.21724955239381</v>
      </c>
      <c r="AN20">
        <f t="shared" ca="1" si="11"/>
        <v>73.028235442877914</v>
      </c>
      <c r="AO20">
        <f t="shared" ca="1" si="12"/>
        <v>79.378516785736863</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5</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60.327672757160009</v>
      </c>
      <c r="AG21">
        <f t="shared" ca="1" si="4"/>
        <v>24.629858931744597</v>
      </c>
      <c r="AH21" s="67">
        <f t="shared" ca="1" si="5"/>
        <v>0</v>
      </c>
      <c r="AI21" s="67">
        <f t="shared" ca="1" si="6"/>
        <v>11.067954893670816</v>
      </c>
      <c r="AJ21" s="67">
        <f t="shared" ca="1" si="7"/>
        <v>35.697813825415409</v>
      </c>
      <c r="AK21">
        <f t="shared" ca="1" si="8"/>
        <v>84.957531688904609</v>
      </c>
      <c r="AL21">
        <f t="shared" ca="1" si="9"/>
        <v>109.5873906206492</v>
      </c>
      <c r="AM21">
        <f t="shared" ca="1" si="10"/>
        <v>134.21724955239381</v>
      </c>
      <c r="AN21">
        <f t="shared" ca="1" si="11"/>
        <v>73.028235442877914</v>
      </c>
      <c r="AO21">
        <f t="shared" ca="1" si="12"/>
        <v>79.378516785736863</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5</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60.327672757160009</v>
      </c>
      <c r="AG22">
        <f t="shared" ca="1" si="4"/>
        <v>24.629858931744597</v>
      </c>
      <c r="AH22" s="67">
        <f t="shared" ca="1" si="5"/>
        <v>0</v>
      </c>
      <c r="AI22" s="67">
        <f t="shared" ca="1" si="6"/>
        <v>11.067954893670816</v>
      </c>
      <c r="AJ22" s="67">
        <f t="shared" ca="1" si="7"/>
        <v>35.697813825415409</v>
      </c>
      <c r="AK22">
        <f t="shared" ca="1" si="8"/>
        <v>84.957531688904609</v>
      </c>
      <c r="AL22">
        <f t="shared" ca="1" si="9"/>
        <v>109.5873906206492</v>
      </c>
      <c r="AM22">
        <f t="shared" ca="1" si="10"/>
        <v>134.21724955239381</v>
      </c>
      <c r="AN22">
        <f t="shared" ca="1" si="11"/>
        <v>73.028235442877914</v>
      </c>
      <c r="AO22">
        <f t="shared" ca="1" si="12"/>
        <v>79.378516785736863</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5</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60.327672757160009</v>
      </c>
      <c r="W23" s="49"/>
      <c r="AB23">
        <f t="shared" si="0"/>
        <v>21</v>
      </c>
      <c r="AC23" s="36">
        <f>IF(Planned!$C$8=0,'Planned background (hide)'!F23,'Planned background (hide)'!G23)</f>
        <v>21</v>
      </c>
      <c r="AD23" s="36">
        <f t="shared" si="2"/>
        <v>0</v>
      </c>
      <c r="AE23" s="5">
        <f t="shared" ca="1" si="1"/>
        <v>0</v>
      </c>
      <c r="AF23" s="5">
        <f t="shared" ca="1" si="3"/>
        <v>60.327672757160009</v>
      </c>
      <c r="AG23">
        <f t="shared" ca="1" si="4"/>
        <v>24.629858931744597</v>
      </c>
      <c r="AH23" s="67">
        <f t="shared" ca="1" si="5"/>
        <v>0</v>
      </c>
      <c r="AI23" s="67">
        <f t="shared" ca="1" si="6"/>
        <v>11.067954893670816</v>
      </c>
      <c r="AJ23" s="67">
        <f t="shared" ca="1" si="7"/>
        <v>35.697813825415409</v>
      </c>
      <c r="AK23">
        <f t="shared" ca="1" si="8"/>
        <v>84.957531688904609</v>
      </c>
      <c r="AL23">
        <f t="shared" ca="1" si="9"/>
        <v>109.5873906206492</v>
      </c>
      <c r="AM23">
        <f t="shared" ca="1" si="10"/>
        <v>134.21724955239381</v>
      </c>
      <c r="AN23">
        <f t="shared" ca="1" si="11"/>
        <v>73.028235442877914</v>
      </c>
      <c r="AO23">
        <f t="shared" ca="1" si="12"/>
        <v>79.378516785736863</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5</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27.782480875007902</v>
      </c>
      <c r="W24" s="49"/>
      <c r="AB24">
        <f t="shared" si="0"/>
        <v>22</v>
      </c>
      <c r="AC24" s="36">
        <f>IF(Planned!$C$8=0,'Planned background (hide)'!F24,'Planned background (hide)'!G24)</f>
        <v>22</v>
      </c>
      <c r="AD24" s="36">
        <f t="shared" si="2"/>
        <v>0</v>
      </c>
      <c r="AE24" s="5">
        <f t="shared" ca="1" si="1"/>
        <v>0</v>
      </c>
      <c r="AF24" s="5">
        <f t="shared" ca="1" si="3"/>
        <v>60.327672757160009</v>
      </c>
      <c r="AG24">
        <f t="shared" ca="1" si="4"/>
        <v>24.629858931744597</v>
      </c>
      <c r="AH24" s="67">
        <f t="shared" ca="1" si="5"/>
        <v>0</v>
      </c>
      <c r="AI24" s="67">
        <f t="shared" ca="1" si="6"/>
        <v>11.067954893670816</v>
      </c>
      <c r="AJ24" s="67">
        <f t="shared" ca="1" si="7"/>
        <v>35.697813825415409</v>
      </c>
      <c r="AK24">
        <f t="shared" ca="1" si="8"/>
        <v>84.957531688904609</v>
      </c>
      <c r="AL24">
        <f t="shared" ca="1" si="9"/>
        <v>109.5873906206492</v>
      </c>
      <c r="AM24">
        <f t="shared" ca="1" si="10"/>
        <v>134.21724955239381</v>
      </c>
      <c r="AN24">
        <f t="shared" ca="1" si="11"/>
        <v>73.028235442877914</v>
      </c>
      <c r="AO24">
        <f t="shared" ca="1" si="12"/>
        <v>79.378516785736863</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5</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24.629858931744597</v>
      </c>
      <c r="AB25">
        <f t="shared" si="0"/>
        <v>23</v>
      </c>
      <c r="AC25" s="36">
        <f>IF(Planned!$C$8=0,'Planned background (hide)'!F25,'Planned background (hide)'!G25)</f>
        <v>23</v>
      </c>
      <c r="AD25" s="36">
        <f t="shared" si="2"/>
        <v>0</v>
      </c>
      <c r="AE25" s="5">
        <f t="shared" ca="1" si="1"/>
        <v>0</v>
      </c>
      <c r="AF25" s="5">
        <f t="shared" ca="1" si="3"/>
        <v>60.327672757160009</v>
      </c>
      <c r="AG25">
        <f t="shared" ca="1" si="4"/>
        <v>24.629858931744597</v>
      </c>
      <c r="AH25" s="67">
        <f t="shared" ca="1" si="5"/>
        <v>0</v>
      </c>
      <c r="AI25" s="67">
        <f t="shared" ca="1" si="6"/>
        <v>11.067954893670816</v>
      </c>
      <c r="AJ25" s="67">
        <f t="shared" ca="1" si="7"/>
        <v>35.697813825415409</v>
      </c>
      <c r="AK25">
        <f t="shared" ca="1" si="8"/>
        <v>84.957531688904609</v>
      </c>
      <c r="AL25">
        <f t="shared" ca="1" si="9"/>
        <v>109.5873906206492</v>
      </c>
      <c r="AM25">
        <f t="shared" ca="1" si="10"/>
        <v>134.21724955239381</v>
      </c>
      <c r="AN25">
        <f t="shared" ca="1" si="11"/>
        <v>73.028235442877914</v>
      </c>
      <c r="AO25">
        <f t="shared" ca="1" si="12"/>
        <v>79.378516785736863</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5</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73.028235442877914</v>
      </c>
      <c r="AB26">
        <f t="shared" si="0"/>
        <v>24</v>
      </c>
      <c r="AC26" s="36">
        <f>IF(Planned!$C$8=0,'Planned background (hide)'!F26,'Planned background (hide)'!G26)</f>
        <v>24</v>
      </c>
      <c r="AD26" s="36">
        <f t="shared" si="2"/>
        <v>0</v>
      </c>
      <c r="AE26" s="5">
        <f t="shared" ca="1" si="1"/>
        <v>0</v>
      </c>
      <c r="AF26" s="5">
        <f t="shared" ca="1" si="3"/>
        <v>60.327672757160009</v>
      </c>
      <c r="AG26">
        <f t="shared" ca="1" si="4"/>
        <v>24.629858931744597</v>
      </c>
      <c r="AH26" s="67">
        <f t="shared" ca="1" si="5"/>
        <v>0</v>
      </c>
      <c r="AI26" s="67">
        <f t="shared" ca="1" si="6"/>
        <v>11.067954893670816</v>
      </c>
      <c r="AJ26" s="67">
        <f t="shared" ca="1" si="7"/>
        <v>35.697813825415409</v>
      </c>
      <c r="AK26">
        <f t="shared" ca="1" si="8"/>
        <v>84.957531688904609</v>
      </c>
      <c r="AL26">
        <f t="shared" ca="1" si="9"/>
        <v>109.5873906206492</v>
      </c>
      <c r="AM26">
        <f t="shared" ca="1" si="10"/>
        <v>134.21724955239381</v>
      </c>
      <c r="AN26">
        <f t="shared" ca="1" si="11"/>
        <v>73.028235442877914</v>
      </c>
      <c r="AO26">
        <f t="shared" ca="1" si="12"/>
        <v>79.378516785736863</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5</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79.378516785736863</v>
      </c>
      <c r="AB27">
        <f t="shared" si="0"/>
        <v>25</v>
      </c>
      <c r="AC27" s="36">
        <f>IF(Planned!$C$8=0,'Planned background (hide)'!F27,'Planned background (hide)'!G27)</f>
        <v>25</v>
      </c>
      <c r="AD27" s="36">
        <f t="shared" si="2"/>
        <v>0</v>
      </c>
      <c r="AE27" s="5">
        <f t="shared" ca="1" si="1"/>
        <v>0</v>
      </c>
      <c r="AF27" s="5">
        <f t="shared" ca="1" si="3"/>
        <v>60.327672757160009</v>
      </c>
      <c r="AG27">
        <f t="shared" ca="1" si="4"/>
        <v>24.629858931744597</v>
      </c>
      <c r="AH27" s="67">
        <f t="shared" ca="1" si="5"/>
        <v>0</v>
      </c>
      <c r="AI27" s="67">
        <f t="shared" ca="1" si="6"/>
        <v>11.067954893670816</v>
      </c>
      <c r="AJ27" s="67">
        <f t="shared" ca="1" si="7"/>
        <v>35.697813825415409</v>
      </c>
      <c r="AK27">
        <f t="shared" ca="1" si="8"/>
        <v>84.957531688904609</v>
      </c>
      <c r="AL27">
        <f t="shared" ca="1" si="9"/>
        <v>109.5873906206492</v>
      </c>
      <c r="AM27">
        <f t="shared" ca="1" si="10"/>
        <v>134.21724955239381</v>
      </c>
      <c r="AN27">
        <f t="shared" ca="1" si="11"/>
        <v>73.028235442877914</v>
      </c>
      <c r="AO27">
        <f t="shared" ca="1" si="12"/>
        <v>79.378516785736863</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5</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60.327672757160009</v>
      </c>
      <c r="AG28">
        <f t="shared" ca="1" si="4"/>
        <v>24.629858931744597</v>
      </c>
      <c r="AH28" s="67">
        <f t="shared" ca="1" si="5"/>
        <v>0</v>
      </c>
      <c r="AI28" s="67">
        <f t="shared" ca="1" si="6"/>
        <v>11.067954893670816</v>
      </c>
      <c r="AJ28" s="67">
        <f t="shared" ca="1" si="7"/>
        <v>35.697813825415409</v>
      </c>
      <c r="AK28">
        <f t="shared" ca="1" si="8"/>
        <v>84.957531688904609</v>
      </c>
      <c r="AL28">
        <f t="shared" ca="1" si="9"/>
        <v>109.5873906206492</v>
      </c>
      <c r="AM28">
        <f t="shared" ca="1" si="10"/>
        <v>134.21724955239381</v>
      </c>
      <c r="AN28">
        <f t="shared" ca="1" si="11"/>
        <v>73.028235442877914</v>
      </c>
      <c r="AO28">
        <f t="shared" ca="1" si="12"/>
        <v>79.378516785736863</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5</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60.327672757160009</v>
      </c>
      <c r="AG29">
        <f t="shared" ca="1" si="4"/>
        <v>24.629858931744597</v>
      </c>
      <c r="AH29" s="67">
        <f t="shared" ca="1" si="5"/>
        <v>0</v>
      </c>
      <c r="AI29" s="67">
        <f t="shared" ca="1" si="6"/>
        <v>11.067954893670816</v>
      </c>
      <c r="AJ29" s="67">
        <f t="shared" ca="1" si="7"/>
        <v>35.697813825415409</v>
      </c>
      <c r="AK29">
        <f t="shared" ca="1" si="8"/>
        <v>84.957531688904609</v>
      </c>
      <c r="AL29">
        <f t="shared" ca="1" si="9"/>
        <v>109.5873906206492</v>
      </c>
      <c r="AM29">
        <f t="shared" ca="1" si="10"/>
        <v>134.21724955239381</v>
      </c>
      <c r="AN29">
        <f t="shared" ca="1" si="11"/>
        <v>73.028235442877914</v>
      </c>
      <c r="AO29">
        <f t="shared" ca="1" si="12"/>
        <v>79.378516785736863</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5</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60.327672757160009</v>
      </c>
      <c r="AG30">
        <f t="shared" ca="1" si="4"/>
        <v>24.629858931744597</v>
      </c>
      <c r="AH30" s="67">
        <f t="shared" ca="1" si="5"/>
        <v>0</v>
      </c>
      <c r="AI30" s="67">
        <f t="shared" ca="1" si="6"/>
        <v>11.067954893670816</v>
      </c>
      <c r="AJ30" s="67">
        <f t="shared" ca="1" si="7"/>
        <v>35.697813825415409</v>
      </c>
      <c r="AK30">
        <f t="shared" ca="1" si="8"/>
        <v>84.957531688904609</v>
      </c>
      <c r="AL30">
        <f t="shared" ca="1" si="9"/>
        <v>109.5873906206492</v>
      </c>
      <c r="AM30">
        <f t="shared" ca="1" si="10"/>
        <v>134.21724955239381</v>
      </c>
      <c r="AN30">
        <f t="shared" ca="1" si="11"/>
        <v>73.028235442877914</v>
      </c>
      <c r="AO30">
        <f t="shared" ca="1" si="12"/>
        <v>79.378516785736863</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5</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60.327672757160009</v>
      </c>
      <c r="AG31">
        <f t="shared" ca="1" si="4"/>
        <v>24.629858931744597</v>
      </c>
      <c r="AH31" s="67">
        <f t="shared" ca="1" si="5"/>
        <v>0</v>
      </c>
      <c r="AI31" s="67">
        <f t="shared" ca="1" si="6"/>
        <v>11.067954893670816</v>
      </c>
      <c r="AJ31" s="67">
        <f t="shared" ca="1" si="7"/>
        <v>35.697813825415409</v>
      </c>
      <c r="AK31">
        <f t="shared" ca="1" si="8"/>
        <v>84.957531688904609</v>
      </c>
      <c r="AL31">
        <f t="shared" ca="1" si="9"/>
        <v>109.5873906206492</v>
      </c>
      <c r="AM31">
        <f t="shared" ca="1" si="10"/>
        <v>134.21724955239381</v>
      </c>
      <c r="AN31">
        <f t="shared" ca="1" si="11"/>
        <v>73.028235442877914</v>
      </c>
      <c r="AO31">
        <f t="shared" ca="1" si="12"/>
        <v>79.378516785736863</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5</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60.327672757160009</v>
      </c>
      <c r="AG32">
        <f t="shared" ca="1" si="4"/>
        <v>24.629858931744597</v>
      </c>
      <c r="AH32" s="67">
        <f t="shared" ca="1" si="5"/>
        <v>0</v>
      </c>
      <c r="AI32" s="67">
        <f t="shared" ca="1" si="6"/>
        <v>11.067954893670816</v>
      </c>
      <c r="AJ32" s="67">
        <f t="shared" ca="1" si="7"/>
        <v>35.697813825415409</v>
      </c>
      <c r="AK32">
        <f t="shared" ca="1" si="8"/>
        <v>84.957531688904609</v>
      </c>
      <c r="AL32">
        <f t="shared" ca="1" si="9"/>
        <v>109.5873906206492</v>
      </c>
      <c r="AM32">
        <f t="shared" ca="1" si="10"/>
        <v>134.21724955239381</v>
      </c>
      <c r="AN32">
        <f t="shared" ca="1" si="11"/>
        <v>73.028235442877914</v>
      </c>
      <c r="AO32">
        <f t="shared" ca="1" si="12"/>
        <v>79.378516785736863</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5</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60.327672757160009</v>
      </c>
      <c r="AG33">
        <f t="shared" ca="1" si="4"/>
        <v>24.629858931744597</v>
      </c>
      <c r="AH33" s="67">
        <f t="shared" ca="1" si="5"/>
        <v>0</v>
      </c>
      <c r="AI33" s="67">
        <f t="shared" ca="1" si="6"/>
        <v>11.067954893670816</v>
      </c>
      <c r="AJ33" s="67">
        <f t="shared" ca="1" si="7"/>
        <v>35.697813825415409</v>
      </c>
      <c r="AK33">
        <f t="shared" ca="1" si="8"/>
        <v>84.957531688904609</v>
      </c>
      <c r="AL33">
        <f t="shared" ca="1" si="9"/>
        <v>109.5873906206492</v>
      </c>
      <c r="AM33">
        <f t="shared" ca="1" si="10"/>
        <v>134.21724955239381</v>
      </c>
      <c r="AN33">
        <f t="shared" ca="1" si="11"/>
        <v>73.028235442877914</v>
      </c>
      <c r="AO33">
        <f t="shared" ca="1" si="12"/>
        <v>79.378516785736863</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5</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60.327672757160009</v>
      </c>
      <c r="AG34">
        <f t="shared" ca="1" si="4"/>
        <v>24.629858931744597</v>
      </c>
      <c r="AH34" s="67">
        <f t="shared" ca="1" si="5"/>
        <v>0</v>
      </c>
      <c r="AI34" s="67">
        <f t="shared" ca="1" si="6"/>
        <v>11.067954893670816</v>
      </c>
      <c r="AJ34" s="67">
        <f t="shared" ca="1" si="7"/>
        <v>35.697813825415409</v>
      </c>
      <c r="AK34">
        <f t="shared" ca="1" si="8"/>
        <v>84.957531688904609</v>
      </c>
      <c r="AL34">
        <f t="shared" ca="1" si="9"/>
        <v>109.5873906206492</v>
      </c>
      <c r="AM34">
        <f t="shared" ca="1" si="10"/>
        <v>134.21724955239381</v>
      </c>
      <c r="AN34">
        <f t="shared" ca="1" si="11"/>
        <v>73.028235442877914</v>
      </c>
      <c r="AO34">
        <f t="shared" ca="1" si="12"/>
        <v>79.378516785736863</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5</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60.327672757160009</v>
      </c>
      <c r="AG35">
        <f t="shared" ca="1" si="4"/>
        <v>24.629858931744597</v>
      </c>
      <c r="AH35" s="67">
        <f t="shared" ca="1" si="5"/>
        <v>0</v>
      </c>
      <c r="AI35" s="67">
        <f t="shared" ca="1" si="6"/>
        <v>11.067954893670816</v>
      </c>
      <c r="AJ35" s="67">
        <f t="shared" ca="1" si="7"/>
        <v>35.697813825415409</v>
      </c>
      <c r="AK35">
        <f t="shared" ca="1" si="8"/>
        <v>84.957531688904609</v>
      </c>
      <c r="AL35">
        <f t="shared" ca="1" si="9"/>
        <v>109.5873906206492</v>
      </c>
      <c r="AM35">
        <f t="shared" ca="1" si="10"/>
        <v>134.21724955239381</v>
      </c>
      <c r="AN35">
        <f t="shared" ca="1" si="11"/>
        <v>73.028235442877914</v>
      </c>
      <c r="AO35">
        <f t="shared" ca="1" si="12"/>
        <v>79.378516785736863</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5</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60.327672757160009</v>
      </c>
      <c r="AG36">
        <f t="shared" ca="1" si="4"/>
        <v>24.629858931744597</v>
      </c>
      <c r="AH36" s="67">
        <f t="shared" ca="1" si="5"/>
        <v>0</v>
      </c>
      <c r="AI36" s="67">
        <f t="shared" ca="1" si="6"/>
        <v>11.067954893670816</v>
      </c>
      <c r="AJ36" s="67">
        <f t="shared" ca="1" si="7"/>
        <v>35.697813825415409</v>
      </c>
      <c r="AK36">
        <f t="shared" ca="1" si="8"/>
        <v>84.957531688904609</v>
      </c>
      <c r="AL36">
        <f t="shared" ca="1" si="9"/>
        <v>109.5873906206492</v>
      </c>
      <c r="AM36">
        <f t="shared" ca="1" si="10"/>
        <v>134.21724955239381</v>
      </c>
      <c r="AN36">
        <f t="shared" ca="1" si="11"/>
        <v>73.028235442877914</v>
      </c>
      <c r="AO36">
        <f t="shared" ca="1" si="12"/>
        <v>79.378516785736863</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5</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60.327672757160009</v>
      </c>
      <c r="AG37">
        <f t="shared" ca="1" si="4"/>
        <v>24.629858931744597</v>
      </c>
      <c r="AH37" s="67">
        <f t="shared" ca="1" si="5"/>
        <v>0</v>
      </c>
      <c r="AI37" s="67">
        <f t="shared" ca="1" si="6"/>
        <v>11.067954893670816</v>
      </c>
      <c r="AJ37" s="67">
        <f t="shared" ca="1" si="7"/>
        <v>35.697813825415409</v>
      </c>
      <c r="AK37">
        <f t="shared" ca="1" si="8"/>
        <v>84.957531688904609</v>
      </c>
      <c r="AL37">
        <f t="shared" ca="1" si="9"/>
        <v>109.5873906206492</v>
      </c>
      <c r="AM37">
        <f t="shared" ca="1" si="10"/>
        <v>134.21724955239381</v>
      </c>
      <c r="AN37">
        <f t="shared" ca="1" si="11"/>
        <v>73.028235442877914</v>
      </c>
      <c r="AO37">
        <f t="shared" ca="1" si="12"/>
        <v>79.378516785736863</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5</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60.327672757160009</v>
      </c>
      <c r="AG38">
        <f t="shared" ca="1" si="4"/>
        <v>24.629858931744597</v>
      </c>
      <c r="AH38" s="67">
        <f t="shared" ca="1" si="5"/>
        <v>0</v>
      </c>
      <c r="AI38" s="67">
        <f t="shared" ca="1" si="6"/>
        <v>11.067954893670816</v>
      </c>
      <c r="AJ38" s="67">
        <f t="shared" ca="1" si="7"/>
        <v>35.697813825415409</v>
      </c>
      <c r="AK38">
        <f t="shared" ca="1" si="8"/>
        <v>84.957531688904609</v>
      </c>
      <c r="AL38">
        <f t="shared" ca="1" si="9"/>
        <v>109.5873906206492</v>
      </c>
      <c r="AM38">
        <f t="shared" ca="1" si="10"/>
        <v>134.21724955239381</v>
      </c>
      <c r="AN38">
        <f t="shared" ca="1" si="11"/>
        <v>73.028235442877914</v>
      </c>
      <c r="AO38">
        <f t="shared" ca="1" si="12"/>
        <v>79.378516785736863</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5</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60.327672757160009</v>
      </c>
      <c r="AG39">
        <f t="shared" ca="1" si="4"/>
        <v>24.629858931744597</v>
      </c>
      <c r="AH39" s="67">
        <f t="shared" ca="1" si="5"/>
        <v>0</v>
      </c>
      <c r="AI39" s="67">
        <f t="shared" ca="1" si="6"/>
        <v>11.067954893670816</v>
      </c>
      <c r="AJ39" s="67">
        <f t="shared" ca="1" si="7"/>
        <v>35.697813825415409</v>
      </c>
      <c r="AK39">
        <f t="shared" ca="1" si="8"/>
        <v>84.957531688904609</v>
      </c>
      <c r="AL39">
        <f t="shared" ca="1" si="9"/>
        <v>109.5873906206492</v>
      </c>
      <c r="AM39">
        <f t="shared" ca="1" si="10"/>
        <v>134.21724955239381</v>
      </c>
      <c r="AN39">
        <f t="shared" ca="1" si="11"/>
        <v>73.028235442877914</v>
      </c>
      <c r="AO39">
        <f t="shared" ca="1" si="12"/>
        <v>79.378516785736863</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5</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60.327672757160009</v>
      </c>
      <c r="AG40">
        <f t="shared" ca="1" si="4"/>
        <v>24.629858931744597</v>
      </c>
      <c r="AH40" s="67">
        <f t="shared" ca="1" si="5"/>
        <v>0</v>
      </c>
      <c r="AI40" s="67">
        <f t="shared" ca="1" si="6"/>
        <v>11.067954893670816</v>
      </c>
      <c r="AJ40" s="67">
        <f t="shared" ca="1" si="7"/>
        <v>35.697813825415409</v>
      </c>
      <c r="AK40">
        <f t="shared" ca="1" si="8"/>
        <v>84.957531688904609</v>
      </c>
      <c r="AL40">
        <f t="shared" ca="1" si="9"/>
        <v>109.5873906206492</v>
      </c>
      <c r="AM40">
        <f t="shared" ca="1" si="10"/>
        <v>134.21724955239381</v>
      </c>
      <c r="AN40">
        <f t="shared" ca="1" si="11"/>
        <v>73.028235442877914</v>
      </c>
      <c r="AO40">
        <f t="shared" ca="1" si="12"/>
        <v>79.378516785736863</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5</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60.327672757160009</v>
      </c>
      <c r="AG41">
        <f t="shared" ca="1" si="4"/>
        <v>24.629858931744597</v>
      </c>
      <c r="AH41" s="67">
        <f t="shared" ca="1" si="5"/>
        <v>0</v>
      </c>
      <c r="AI41" s="67">
        <f t="shared" ca="1" si="6"/>
        <v>11.067954893670816</v>
      </c>
      <c r="AJ41" s="67">
        <f t="shared" ca="1" si="7"/>
        <v>35.697813825415409</v>
      </c>
      <c r="AK41">
        <f t="shared" ca="1" si="8"/>
        <v>84.957531688904609</v>
      </c>
      <c r="AL41">
        <f t="shared" ca="1" si="9"/>
        <v>109.5873906206492</v>
      </c>
      <c r="AM41">
        <f t="shared" ca="1" si="10"/>
        <v>134.21724955239381</v>
      </c>
      <c r="AN41">
        <f t="shared" ca="1" si="11"/>
        <v>73.028235442877914</v>
      </c>
      <c r="AO41">
        <f t="shared" ca="1" si="12"/>
        <v>79.378516785736863</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5</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60.327672757160009</v>
      </c>
      <c r="AG42">
        <f t="shared" ca="1" si="4"/>
        <v>24.629858931744597</v>
      </c>
      <c r="AH42" s="67">
        <f t="shared" ca="1" si="5"/>
        <v>0</v>
      </c>
      <c r="AI42" s="67">
        <f t="shared" ca="1" si="6"/>
        <v>11.067954893670816</v>
      </c>
      <c r="AJ42" s="67">
        <f t="shared" ca="1" si="7"/>
        <v>35.697813825415409</v>
      </c>
      <c r="AK42">
        <f t="shared" ca="1" si="8"/>
        <v>84.957531688904609</v>
      </c>
      <c r="AL42">
        <f t="shared" ca="1" si="9"/>
        <v>109.5873906206492</v>
      </c>
      <c r="AM42">
        <f t="shared" ca="1" si="10"/>
        <v>134.21724955239381</v>
      </c>
      <c r="AN42">
        <f t="shared" ca="1" si="11"/>
        <v>73.028235442877914</v>
      </c>
      <c r="AO42">
        <f t="shared" ca="1" si="12"/>
        <v>79.378516785736863</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5</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60.327672757160009</v>
      </c>
      <c r="AG43">
        <f t="shared" ca="1" si="4"/>
        <v>24.629858931744597</v>
      </c>
      <c r="AH43" s="67">
        <f t="shared" ca="1" si="5"/>
        <v>0</v>
      </c>
      <c r="AI43" s="67">
        <f t="shared" ca="1" si="6"/>
        <v>11.067954893670816</v>
      </c>
      <c r="AJ43" s="67">
        <f t="shared" ca="1" si="7"/>
        <v>35.697813825415409</v>
      </c>
      <c r="AK43">
        <f t="shared" ca="1" si="8"/>
        <v>84.957531688904609</v>
      </c>
      <c r="AL43">
        <f t="shared" ca="1" si="9"/>
        <v>109.5873906206492</v>
      </c>
      <c r="AM43">
        <f t="shared" ca="1" si="10"/>
        <v>134.21724955239381</v>
      </c>
      <c r="AN43">
        <f t="shared" ca="1" si="11"/>
        <v>73.028235442877914</v>
      </c>
      <c r="AO43">
        <f t="shared" ca="1" si="12"/>
        <v>79.378516785736863</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5</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60.327672757160009</v>
      </c>
      <c r="AG44">
        <f t="shared" ca="1" si="4"/>
        <v>24.629858931744597</v>
      </c>
      <c r="AH44" s="67">
        <f t="shared" ca="1" si="5"/>
        <v>0</v>
      </c>
      <c r="AI44" s="67">
        <f t="shared" ca="1" si="6"/>
        <v>11.067954893670816</v>
      </c>
      <c r="AJ44" s="67">
        <f t="shared" ca="1" si="7"/>
        <v>35.697813825415409</v>
      </c>
      <c r="AK44">
        <f t="shared" ca="1" si="8"/>
        <v>84.957531688904609</v>
      </c>
      <c r="AL44">
        <f t="shared" ca="1" si="9"/>
        <v>109.5873906206492</v>
      </c>
      <c r="AM44">
        <f t="shared" ca="1" si="10"/>
        <v>134.21724955239381</v>
      </c>
      <c r="AN44">
        <f t="shared" ca="1" si="11"/>
        <v>73.028235442877914</v>
      </c>
      <c r="AO44">
        <f t="shared" ca="1" si="12"/>
        <v>79.378516785736863</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5</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60.327672757160009</v>
      </c>
      <c r="AG45">
        <f t="shared" ca="1" si="4"/>
        <v>24.629858931744597</v>
      </c>
      <c r="AH45" s="67">
        <f t="shared" ca="1" si="5"/>
        <v>0</v>
      </c>
      <c r="AI45" s="67">
        <f t="shared" ca="1" si="6"/>
        <v>11.067954893670816</v>
      </c>
      <c r="AJ45" s="67">
        <f t="shared" ca="1" si="7"/>
        <v>35.697813825415409</v>
      </c>
      <c r="AK45">
        <f t="shared" ca="1" si="8"/>
        <v>84.957531688904609</v>
      </c>
      <c r="AL45">
        <f t="shared" ca="1" si="9"/>
        <v>109.5873906206492</v>
      </c>
      <c r="AM45">
        <f t="shared" ca="1" si="10"/>
        <v>134.21724955239381</v>
      </c>
      <c r="AN45">
        <f t="shared" ca="1" si="11"/>
        <v>73.028235442877914</v>
      </c>
      <c r="AO45">
        <f t="shared" ca="1" si="12"/>
        <v>79.378516785736863</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5</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60.327672757160009</v>
      </c>
      <c r="AG46">
        <f t="shared" ca="1" si="4"/>
        <v>24.629858931744597</v>
      </c>
      <c r="AH46" s="67">
        <f t="shared" ca="1" si="5"/>
        <v>0</v>
      </c>
      <c r="AI46" s="67">
        <f t="shared" ca="1" si="6"/>
        <v>11.067954893670816</v>
      </c>
      <c r="AJ46" s="67">
        <f t="shared" ca="1" si="7"/>
        <v>35.697813825415409</v>
      </c>
      <c r="AK46">
        <f t="shared" ca="1" si="8"/>
        <v>84.957531688904609</v>
      </c>
      <c r="AL46">
        <f t="shared" ca="1" si="9"/>
        <v>109.5873906206492</v>
      </c>
      <c r="AM46">
        <f t="shared" ca="1" si="10"/>
        <v>134.21724955239381</v>
      </c>
      <c r="AN46">
        <f t="shared" ca="1" si="11"/>
        <v>73.028235442877914</v>
      </c>
      <c r="AO46">
        <f t="shared" ca="1" si="12"/>
        <v>79.378516785736863</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5</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60.327672757160009</v>
      </c>
      <c r="AG47">
        <f t="shared" ca="1" si="4"/>
        <v>24.629858931744597</v>
      </c>
      <c r="AH47" s="67">
        <f t="shared" ca="1" si="5"/>
        <v>0</v>
      </c>
      <c r="AI47" s="67">
        <f t="shared" ca="1" si="6"/>
        <v>11.067954893670816</v>
      </c>
      <c r="AJ47" s="67">
        <f t="shared" ca="1" si="7"/>
        <v>35.697813825415409</v>
      </c>
      <c r="AK47">
        <f t="shared" ca="1" si="8"/>
        <v>84.957531688904609</v>
      </c>
      <c r="AL47">
        <f t="shared" ca="1" si="9"/>
        <v>109.5873906206492</v>
      </c>
      <c r="AM47">
        <f t="shared" ca="1" si="10"/>
        <v>134.21724955239381</v>
      </c>
      <c r="AN47">
        <f t="shared" ca="1" si="11"/>
        <v>73.028235442877914</v>
      </c>
      <c r="AO47">
        <f t="shared" ca="1" si="12"/>
        <v>79.378516785736863</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5</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60.327672757160009</v>
      </c>
      <c r="AG48">
        <f t="shared" ca="1" si="4"/>
        <v>24.629858931744597</v>
      </c>
      <c r="AH48" s="67">
        <f t="shared" ca="1" si="5"/>
        <v>0</v>
      </c>
      <c r="AI48" s="67">
        <f t="shared" ca="1" si="6"/>
        <v>11.067954893670816</v>
      </c>
      <c r="AJ48" s="67">
        <f t="shared" ca="1" si="7"/>
        <v>35.697813825415409</v>
      </c>
      <c r="AK48">
        <f t="shared" ca="1" si="8"/>
        <v>84.957531688904609</v>
      </c>
      <c r="AL48">
        <f t="shared" ca="1" si="9"/>
        <v>109.5873906206492</v>
      </c>
      <c r="AM48">
        <f t="shared" ca="1" si="10"/>
        <v>134.21724955239381</v>
      </c>
      <c r="AN48">
        <f t="shared" ca="1" si="11"/>
        <v>73.028235442877914</v>
      </c>
      <c r="AO48">
        <f t="shared" ca="1" si="12"/>
        <v>79.378516785736863</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5</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60.327672757160009</v>
      </c>
      <c r="AG49">
        <f t="shared" ca="1" si="4"/>
        <v>24.629858931744597</v>
      </c>
      <c r="AH49" s="67">
        <f t="shared" ca="1" si="5"/>
        <v>0</v>
      </c>
      <c r="AI49" s="67">
        <f t="shared" ca="1" si="6"/>
        <v>11.067954893670816</v>
      </c>
      <c r="AJ49" s="67">
        <f t="shared" ca="1" si="7"/>
        <v>35.697813825415409</v>
      </c>
      <c r="AK49">
        <f t="shared" ca="1" si="8"/>
        <v>84.957531688904609</v>
      </c>
      <c r="AL49">
        <f t="shared" ca="1" si="9"/>
        <v>109.5873906206492</v>
      </c>
      <c r="AM49">
        <f t="shared" ca="1" si="10"/>
        <v>134.21724955239381</v>
      </c>
      <c r="AN49">
        <f t="shared" ca="1" si="11"/>
        <v>73.028235442877914</v>
      </c>
      <c r="AO49">
        <f t="shared" ca="1" si="12"/>
        <v>79.378516785736863</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5</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60.327672757160009</v>
      </c>
      <c r="AG50">
        <f t="shared" ca="1" si="4"/>
        <v>24.629858931744597</v>
      </c>
      <c r="AH50" s="67">
        <f t="shared" ca="1" si="5"/>
        <v>0</v>
      </c>
      <c r="AI50" s="67">
        <f t="shared" ca="1" si="6"/>
        <v>11.067954893670816</v>
      </c>
      <c r="AJ50" s="67">
        <f t="shared" ca="1" si="7"/>
        <v>35.697813825415409</v>
      </c>
      <c r="AK50">
        <f t="shared" ca="1" si="8"/>
        <v>84.957531688904609</v>
      </c>
      <c r="AL50">
        <f t="shared" ca="1" si="9"/>
        <v>109.5873906206492</v>
      </c>
      <c r="AM50">
        <f t="shared" ca="1" si="10"/>
        <v>134.21724955239381</v>
      </c>
      <c r="AN50">
        <f t="shared" ca="1" si="11"/>
        <v>73.028235442877914</v>
      </c>
      <c r="AO50">
        <f t="shared" ca="1" si="12"/>
        <v>79.378516785736863</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5</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60.327672757160009</v>
      </c>
      <c r="AG51">
        <f t="shared" ca="1" si="4"/>
        <v>24.629858931744597</v>
      </c>
      <c r="AH51" s="67">
        <f t="shared" ca="1" si="5"/>
        <v>0</v>
      </c>
      <c r="AI51" s="67">
        <f t="shared" ca="1" si="6"/>
        <v>11.067954893670816</v>
      </c>
      <c r="AJ51" s="67">
        <f t="shared" ca="1" si="7"/>
        <v>35.697813825415409</v>
      </c>
      <c r="AK51">
        <f t="shared" ca="1" si="8"/>
        <v>84.957531688904609</v>
      </c>
      <c r="AL51">
        <f t="shared" ca="1" si="9"/>
        <v>109.5873906206492</v>
      </c>
      <c r="AM51">
        <f t="shared" ca="1" si="10"/>
        <v>134.21724955239381</v>
      </c>
      <c r="AN51">
        <f t="shared" ca="1" si="11"/>
        <v>73.028235442877914</v>
      </c>
      <c r="AO51">
        <f t="shared" ca="1" si="12"/>
        <v>79.378516785736863</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5</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60.327672757160009</v>
      </c>
      <c r="AG52">
        <f t="shared" ca="1" si="4"/>
        <v>24.629858931744597</v>
      </c>
      <c r="AH52" s="67">
        <f t="shared" ca="1" si="5"/>
        <v>0</v>
      </c>
      <c r="AI52" s="67">
        <f t="shared" ca="1" si="6"/>
        <v>11.067954893670816</v>
      </c>
      <c r="AJ52" s="67">
        <f t="shared" ca="1" si="7"/>
        <v>35.697813825415409</v>
      </c>
      <c r="AK52">
        <f t="shared" ca="1" si="8"/>
        <v>84.957531688904609</v>
      </c>
      <c r="AL52">
        <f t="shared" ca="1" si="9"/>
        <v>109.5873906206492</v>
      </c>
      <c r="AM52">
        <f t="shared" ca="1" si="10"/>
        <v>134.21724955239381</v>
      </c>
      <c r="AN52">
        <f t="shared" ca="1" si="11"/>
        <v>73.028235442877914</v>
      </c>
      <c r="AO52">
        <f t="shared" ca="1" si="12"/>
        <v>79.378516785736863</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5</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60.327672757160009</v>
      </c>
      <c r="AG53">
        <f t="shared" ca="1" si="4"/>
        <v>24.629858931744597</v>
      </c>
      <c r="AH53" s="67">
        <f t="shared" ca="1" si="5"/>
        <v>0</v>
      </c>
      <c r="AI53" s="67">
        <f t="shared" ca="1" si="6"/>
        <v>11.067954893670816</v>
      </c>
      <c r="AJ53" s="67">
        <f t="shared" ca="1" si="7"/>
        <v>35.697813825415409</v>
      </c>
      <c r="AK53">
        <f t="shared" ca="1" si="8"/>
        <v>84.957531688904609</v>
      </c>
      <c r="AL53">
        <f t="shared" ca="1" si="9"/>
        <v>109.5873906206492</v>
      </c>
      <c r="AM53">
        <f t="shared" ca="1" si="10"/>
        <v>134.21724955239381</v>
      </c>
      <c r="AN53">
        <f t="shared" ca="1" si="11"/>
        <v>73.028235442877914</v>
      </c>
      <c r="AO53">
        <f t="shared" ca="1" si="12"/>
        <v>79.378516785736863</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60.327672757160009</v>
      </c>
      <c r="AG54">
        <f t="shared" ca="1" si="4"/>
        <v>24.629858931744597</v>
      </c>
      <c r="AH54" s="67">
        <f t="shared" ca="1" si="5"/>
        <v>0</v>
      </c>
      <c r="AI54" s="67">
        <f t="shared" ca="1" si="6"/>
        <v>11.067954893670816</v>
      </c>
      <c r="AJ54" s="67">
        <f t="shared" ca="1" si="7"/>
        <v>35.697813825415409</v>
      </c>
      <c r="AK54">
        <f t="shared" ca="1" si="8"/>
        <v>84.957531688904609</v>
      </c>
      <c r="AL54">
        <f t="shared" ca="1" si="9"/>
        <v>109.5873906206492</v>
      </c>
      <c r="AM54">
        <f t="shared" ca="1" si="10"/>
        <v>134.21724955239381</v>
      </c>
      <c r="AN54">
        <f t="shared" ca="1" si="11"/>
        <v>73.028235442877914</v>
      </c>
      <c r="AO54">
        <f t="shared" ca="1" si="12"/>
        <v>79.378516785736863</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60.327672757160009</v>
      </c>
      <c r="AG55" s="67">
        <f t="shared" ca="1" si="4"/>
        <v>24.629858931744597</v>
      </c>
      <c r="AH55" s="67">
        <f t="shared" ref="AH55" ca="1" si="28">IF(AF55-(3*AG55)&lt;=0,0,AF55-(3*AG55))</f>
        <v>0</v>
      </c>
      <c r="AI55" s="67">
        <f t="shared" ref="AI55" ca="1" si="29">IF(AF55-(2*AG55)&lt;=0,0,AF55-(2*AG55))</f>
        <v>11.067954893670816</v>
      </c>
      <c r="AJ55" s="67">
        <f t="shared" ref="AJ55" ca="1" si="30">IF(AF55-(1*AG55)&lt;=0,0,AF55-(1*AG55))</f>
        <v>35.697813825415409</v>
      </c>
      <c r="AK55" s="67">
        <f t="shared" ref="AK55" ca="1" si="31">AF55+(1*AG55)</f>
        <v>84.957531688904609</v>
      </c>
      <c r="AL55" s="67">
        <f t="shared" ref="AL55" ca="1" si="32">AF55+(2*AG55)</f>
        <v>109.5873906206492</v>
      </c>
      <c r="AM55" s="67">
        <f t="shared" ref="AM55" ca="1" si="33">AF55+(3*AG55)</f>
        <v>134.21724955239381</v>
      </c>
      <c r="AN55" s="67">
        <f t="shared" ca="1" si="11"/>
        <v>73.028235442877914</v>
      </c>
      <c r="AO55" s="67">
        <f t="shared" ca="1" si="12"/>
        <v>79.378516785736863</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I17" sqref="I17:I33"/>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2" t="s">
        <v>1279</v>
      </c>
      <c r="O2" s="72"/>
      <c r="P2" s="72"/>
      <c r="Q2" s="72"/>
      <c r="R2" s="72"/>
      <c r="S2" s="72"/>
      <c r="T2" s="72"/>
      <c r="U2" s="72"/>
    </row>
    <row r="3" spans="1:23" s="52" customFormat="1" x14ac:dyDescent="0.2">
      <c r="B3" s="72" t="s">
        <v>474</v>
      </c>
      <c r="C3" s="383">
        <v>44396</v>
      </c>
      <c r="D3" s="72"/>
      <c r="F3" s="72"/>
      <c r="G3" s="72"/>
      <c r="H3" s="72"/>
      <c r="I3" s="72"/>
      <c r="J3" s="72"/>
      <c r="K3" s="72"/>
      <c r="L3" s="72"/>
      <c r="M3" s="72"/>
      <c r="N3" s="72"/>
      <c r="O3" s="72"/>
      <c r="P3" s="72"/>
      <c r="Q3" s="72"/>
      <c r="R3" s="72"/>
      <c r="S3" s="72"/>
      <c r="T3" s="72"/>
      <c r="U3" s="72"/>
    </row>
    <row r="4" spans="1:23" x14ac:dyDescent="0.2">
      <c r="B4" t="s">
        <v>437</v>
      </c>
      <c r="C4" s="269">
        <f>IF(C3="","",DATE(YEAR(C3)+1,MONTH(C3),DAY(C3))-1)</f>
        <v>44760</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21</v>
      </c>
      <c r="D11" s="226" t="str">
        <f ca="1">"On aggregate, 1 patient = "&amp;TEXT('Demand background (hide)'!$BN$16,"#.#")&amp;" "&amp;Setup!$I$17</f>
        <v>On aggregate, 1 patient = 15.9 Minutes</v>
      </c>
      <c r="E11" s="72"/>
      <c r="F11" s="72"/>
      <c r="G11" s="72"/>
      <c r="H11" s="72"/>
      <c r="I11" s="72"/>
      <c r="J11" s="72"/>
      <c r="K11" s="72"/>
      <c r="L11" s="72"/>
      <c r="M11" s="72"/>
      <c r="N11" s="72"/>
      <c r="O11" s="72"/>
      <c r="P11" s="72"/>
      <c r="Q11" s="72"/>
      <c r="R11" s="72"/>
      <c r="S11" s="72"/>
      <c r="T11" s="72"/>
      <c r="U11" s="72"/>
    </row>
    <row r="12" spans="1:23" s="52" customFormat="1" ht="15" x14ac:dyDescent="0.25">
      <c r="B12" s="56" t="s">
        <v>1276</v>
      </c>
      <c r="C12" s="379" t="s">
        <v>1283</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7" t="s">
        <v>440</v>
      </c>
      <c r="C13" s="417"/>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7"/>
      <c r="N14" s="119" t="s">
        <v>436</v>
      </c>
      <c r="O14" s="72"/>
      <c r="P14" s="72"/>
      <c r="Q14" s="72"/>
      <c r="R14" s="72"/>
      <c r="S14" s="72"/>
      <c r="T14" s="72"/>
      <c r="U14" s="72"/>
    </row>
    <row r="15" spans="1:23" x14ac:dyDescent="0.2">
      <c r="A15" s="226"/>
      <c r="B15" s="72"/>
      <c r="C15" s="72"/>
      <c r="D15" s="72"/>
      <c r="E15" s="72"/>
      <c r="F15" s="72"/>
      <c r="G15" s="71"/>
      <c r="H15" s="225">
        <f>SUMIF(L17:L116,"x",H17:H116)</f>
        <v>262330</v>
      </c>
      <c r="I15" s="225">
        <f>H15/52</f>
        <v>5044.8076923076924</v>
      </c>
      <c r="J15" s="67"/>
      <c r="K15" s="67"/>
      <c r="L15" s="67"/>
      <c r="M15" s="367"/>
      <c r="N15" s="72"/>
      <c r="O15" s="72"/>
      <c r="P15" s="72"/>
      <c r="Q15" s="72"/>
      <c r="R15" s="119" t="s">
        <v>255</v>
      </c>
      <c r="S15" s="119"/>
      <c r="T15" s="224">
        <f>SUMIF(V17:V116,"x",T17:T116)</f>
        <v>20910</v>
      </c>
      <c r="U15" s="224">
        <f>SUM(U17:U116)</f>
        <v>402.11538461538464</v>
      </c>
      <c r="W15" s="72"/>
    </row>
    <row r="16" spans="1:23" ht="44.25" customHeight="1" x14ac:dyDescent="0.2">
      <c r="A16" s="293">
        <f>MAX(A17:A116)</f>
        <v>54</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1240</v>
      </c>
      <c r="M16" s="294">
        <f>MAX(M17:M116)</f>
        <v>54</v>
      </c>
      <c r="N16" s="296" t="s">
        <v>512</v>
      </c>
      <c r="O16" s="296" t="s">
        <v>513</v>
      </c>
      <c r="P16" s="296" t="s">
        <v>514</v>
      </c>
      <c r="Q16" s="296" t="s">
        <v>253</v>
      </c>
      <c r="R16" s="296" t="str">
        <f>C11&amp;" Per Clinic"</f>
        <v>Minutes Per Clinic</v>
      </c>
      <c r="S16" s="296" t="s">
        <v>441</v>
      </c>
      <c r="T16" s="296" t="str">
        <f>"Total 
("&amp;C11&amp;")"</f>
        <v>Total 
(Minutes)</v>
      </c>
      <c r="U16" s="296" t="s">
        <v>254</v>
      </c>
      <c r="V16" s="312" t="s">
        <v>1240</v>
      </c>
      <c r="W16" s="72"/>
    </row>
    <row r="17" spans="1:23" x14ac:dyDescent="0.2">
      <c r="A17" s="293">
        <f>IF(B17&lt;&gt;"",ROW(A1),0)</f>
        <v>1</v>
      </c>
      <c r="B17" s="163" t="s">
        <v>1288</v>
      </c>
      <c r="C17" s="163" t="s">
        <v>1294</v>
      </c>
      <c r="D17" s="163" t="s">
        <v>1295</v>
      </c>
      <c r="E17" s="175">
        <v>45</v>
      </c>
      <c r="F17" s="175">
        <v>40</v>
      </c>
      <c r="G17" s="130"/>
      <c r="H17" s="222">
        <f>IF(ROW(A1)&lt;=$A$16,F17*E17,"")</f>
        <v>1800</v>
      </c>
      <c r="I17" s="299">
        <f>IFERROR(H17/52,"")</f>
        <v>34.615384615384613</v>
      </c>
      <c r="J17" s="67"/>
      <c r="K17" s="67"/>
      <c r="L17" s="360" t="s">
        <v>1235</v>
      </c>
      <c r="M17" s="294">
        <f>IF(N17&lt;&gt;"",ROW(A1),0)</f>
        <v>1</v>
      </c>
      <c r="N17" s="176" t="s">
        <v>512</v>
      </c>
      <c r="O17" s="176"/>
      <c r="P17" s="176"/>
      <c r="Q17" s="177">
        <v>0</v>
      </c>
      <c r="R17" s="177">
        <v>0</v>
      </c>
      <c r="S17" s="131"/>
      <c r="T17" s="223">
        <f>IF(ROW(A1)&lt;=$M$16,R17*Q17,"")</f>
        <v>0</v>
      </c>
      <c r="U17" s="300">
        <f>IFERROR(T17/52,"")</f>
        <v>0</v>
      </c>
      <c r="V17" s="361" t="s">
        <v>1235</v>
      </c>
      <c r="W17" s="72"/>
    </row>
    <row r="18" spans="1:23" x14ac:dyDescent="0.2">
      <c r="A18" s="293">
        <f t="shared" ref="A18:A81" si="0">IF(B18&lt;&gt;"",ROW(A2),0)</f>
        <v>2</v>
      </c>
      <c r="B18" s="163" t="s">
        <v>1289</v>
      </c>
      <c r="C18" s="163" t="s">
        <v>1294</v>
      </c>
      <c r="D18" s="163" t="s">
        <v>1295</v>
      </c>
      <c r="E18" s="175">
        <v>45</v>
      </c>
      <c r="F18" s="175">
        <v>60</v>
      </c>
      <c r="G18" s="130"/>
      <c r="H18" s="222">
        <f t="shared" ref="H18:H81" si="1">IF(ROW(A2)&lt;=$A$16,F18*E18,"")</f>
        <v>2700</v>
      </c>
      <c r="I18" s="299">
        <f t="shared" ref="I18:I81" si="2">IFERROR(H18/52,"")</f>
        <v>51.92307692307692</v>
      </c>
      <c r="J18" s="67"/>
      <c r="K18" s="67"/>
      <c r="L18" s="360" t="s">
        <v>1235</v>
      </c>
      <c r="M18" s="294">
        <f t="shared" ref="M18:M81" si="3">IF(N18&lt;&gt;"",ROW(A2),0)</f>
        <v>2</v>
      </c>
      <c r="N18" s="492">
        <v>44323</v>
      </c>
      <c r="O18" s="163"/>
      <c r="P18" s="163"/>
      <c r="Q18" s="175">
        <v>1</v>
      </c>
      <c r="R18" s="175">
        <v>450</v>
      </c>
      <c r="S18" s="130"/>
      <c r="T18" s="223">
        <f t="shared" ref="T18:T81" si="4">IF(ROW(A2)&lt;=$M$16,R18*Q18,"")</f>
        <v>450</v>
      </c>
      <c r="U18" s="299">
        <f t="shared" ref="U18:U81" si="5">IFERROR(T18/52,"")</f>
        <v>8.6538461538461533</v>
      </c>
      <c r="V18" s="361" t="s">
        <v>1235</v>
      </c>
      <c r="W18" s="72"/>
    </row>
    <row r="19" spans="1:23" x14ac:dyDescent="0.2">
      <c r="A19" s="293">
        <f t="shared" si="0"/>
        <v>3</v>
      </c>
      <c r="B19" s="163" t="s">
        <v>1296</v>
      </c>
      <c r="C19" s="163" t="s">
        <v>1294</v>
      </c>
      <c r="D19" s="163" t="s">
        <v>1295</v>
      </c>
      <c r="E19" s="175">
        <v>45</v>
      </c>
      <c r="F19" s="175">
        <v>220</v>
      </c>
      <c r="G19" s="130"/>
      <c r="H19" s="222">
        <f t="shared" si="1"/>
        <v>9900</v>
      </c>
      <c r="I19" s="299">
        <f t="shared" si="2"/>
        <v>190.38461538461539</v>
      </c>
      <c r="J19" s="67"/>
      <c r="K19" s="67"/>
      <c r="L19" s="360" t="s">
        <v>1235</v>
      </c>
      <c r="M19" s="294">
        <f t="shared" si="3"/>
        <v>3</v>
      </c>
      <c r="N19" s="492">
        <v>44326</v>
      </c>
      <c r="O19" s="163"/>
      <c r="P19" s="163"/>
      <c r="Q19" s="175">
        <v>1</v>
      </c>
      <c r="R19" s="175">
        <v>480</v>
      </c>
      <c r="S19" s="130"/>
      <c r="T19" s="223">
        <f t="shared" si="4"/>
        <v>480</v>
      </c>
      <c r="U19" s="222">
        <f t="shared" si="5"/>
        <v>9.2307692307692299</v>
      </c>
      <c r="V19" s="361" t="s">
        <v>1235</v>
      </c>
      <c r="W19" s="72"/>
    </row>
    <row r="20" spans="1:23" x14ac:dyDescent="0.2">
      <c r="A20" s="293">
        <f t="shared" si="0"/>
        <v>4</v>
      </c>
      <c r="B20" s="163" t="s">
        <v>1297</v>
      </c>
      <c r="C20" s="163" t="s">
        <v>1294</v>
      </c>
      <c r="D20" s="163" t="s">
        <v>1295</v>
      </c>
      <c r="E20" s="175">
        <v>45</v>
      </c>
      <c r="F20" s="175">
        <v>180</v>
      </c>
      <c r="G20" s="130"/>
      <c r="H20" s="222">
        <f t="shared" si="1"/>
        <v>8100</v>
      </c>
      <c r="I20" s="299">
        <f t="shared" si="2"/>
        <v>155.76923076923077</v>
      </c>
      <c r="J20" s="67"/>
      <c r="K20" s="67"/>
      <c r="L20" s="360" t="s">
        <v>1235</v>
      </c>
      <c r="M20" s="294">
        <f t="shared" si="3"/>
        <v>4</v>
      </c>
      <c r="N20" s="492">
        <v>44331</v>
      </c>
      <c r="O20" s="163"/>
      <c r="P20" s="163"/>
      <c r="Q20" s="175">
        <v>1</v>
      </c>
      <c r="R20" s="175">
        <v>450</v>
      </c>
      <c r="S20" s="130"/>
      <c r="T20" s="223">
        <f t="shared" si="4"/>
        <v>450</v>
      </c>
      <c r="U20" s="222">
        <f t="shared" si="5"/>
        <v>8.6538461538461533</v>
      </c>
      <c r="V20" s="361" t="s">
        <v>1235</v>
      </c>
      <c r="W20" s="72"/>
    </row>
    <row r="21" spans="1:23" x14ac:dyDescent="0.2">
      <c r="A21" s="293">
        <f t="shared" si="0"/>
        <v>5</v>
      </c>
      <c r="B21" s="163" t="s">
        <v>1288</v>
      </c>
      <c r="C21" s="163" t="s">
        <v>1294</v>
      </c>
      <c r="D21" s="163" t="s">
        <v>1298</v>
      </c>
      <c r="E21" s="175">
        <v>50</v>
      </c>
      <c r="F21" s="175">
        <v>10</v>
      </c>
      <c r="G21" s="130"/>
      <c r="H21" s="222">
        <f t="shared" si="1"/>
        <v>500</v>
      </c>
      <c r="I21" s="222">
        <f t="shared" si="2"/>
        <v>9.615384615384615</v>
      </c>
      <c r="J21" s="67"/>
      <c r="K21" s="67"/>
      <c r="L21" s="360" t="s">
        <v>1235</v>
      </c>
      <c r="M21" s="294">
        <f t="shared" si="3"/>
        <v>5</v>
      </c>
      <c r="N21" s="492">
        <v>44333</v>
      </c>
      <c r="O21" s="163"/>
      <c r="P21" s="163"/>
      <c r="Q21" s="175">
        <v>1</v>
      </c>
      <c r="R21" s="175">
        <v>270</v>
      </c>
      <c r="S21" s="130"/>
      <c r="T21" s="223">
        <f t="shared" si="4"/>
        <v>270</v>
      </c>
      <c r="U21" s="222">
        <f t="shared" si="5"/>
        <v>5.1923076923076925</v>
      </c>
      <c r="V21" s="361" t="s">
        <v>1235</v>
      </c>
      <c r="W21" s="72"/>
    </row>
    <row r="22" spans="1:23" x14ac:dyDescent="0.2">
      <c r="A22" s="293">
        <f t="shared" si="0"/>
        <v>6</v>
      </c>
      <c r="B22" s="163" t="s">
        <v>1296</v>
      </c>
      <c r="C22" s="163" t="s">
        <v>1294</v>
      </c>
      <c r="D22" s="163" t="s">
        <v>1298</v>
      </c>
      <c r="E22" s="175">
        <v>50</v>
      </c>
      <c r="F22" s="175">
        <v>60</v>
      </c>
      <c r="G22" s="130"/>
      <c r="H22" s="222">
        <f t="shared" si="1"/>
        <v>3000</v>
      </c>
      <c r="I22" s="222">
        <f t="shared" si="2"/>
        <v>57.692307692307693</v>
      </c>
      <c r="J22" s="67"/>
      <c r="K22" s="67"/>
      <c r="L22" s="360" t="s">
        <v>1235</v>
      </c>
      <c r="M22" s="294">
        <f t="shared" si="3"/>
        <v>6</v>
      </c>
      <c r="N22" s="492">
        <v>44335</v>
      </c>
      <c r="O22" s="163"/>
      <c r="P22" s="163"/>
      <c r="Q22" s="175">
        <v>1</v>
      </c>
      <c r="R22" s="175">
        <v>180</v>
      </c>
      <c r="S22" s="130"/>
      <c r="T22" s="223">
        <f t="shared" si="4"/>
        <v>180</v>
      </c>
      <c r="U22" s="222">
        <f t="shared" si="5"/>
        <v>3.4615384615384617</v>
      </c>
      <c r="V22" s="361" t="s">
        <v>1235</v>
      </c>
      <c r="W22" s="72"/>
    </row>
    <row r="23" spans="1:23" x14ac:dyDescent="0.2">
      <c r="A23" s="293">
        <f t="shared" si="0"/>
        <v>7</v>
      </c>
      <c r="B23" s="163" t="s">
        <v>1291</v>
      </c>
      <c r="C23" s="163" t="s">
        <v>1294</v>
      </c>
      <c r="D23" s="163" t="s">
        <v>1298</v>
      </c>
      <c r="E23" s="175">
        <v>50</v>
      </c>
      <c r="F23" s="175">
        <v>350</v>
      </c>
      <c r="G23" s="130"/>
      <c r="H23" s="222">
        <f t="shared" si="1"/>
        <v>17500</v>
      </c>
      <c r="I23" s="222">
        <f t="shared" si="2"/>
        <v>336.53846153846155</v>
      </c>
      <c r="J23" s="67"/>
      <c r="K23" s="67"/>
      <c r="L23" s="360" t="s">
        <v>1235</v>
      </c>
      <c r="M23" s="294">
        <f t="shared" si="3"/>
        <v>7</v>
      </c>
      <c r="N23" s="492">
        <v>44337</v>
      </c>
      <c r="O23" s="163"/>
      <c r="P23" s="163"/>
      <c r="Q23" s="175">
        <v>1</v>
      </c>
      <c r="R23" s="175">
        <v>270</v>
      </c>
      <c r="S23" s="130"/>
      <c r="T23" s="223">
        <f t="shared" si="4"/>
        <v>270</v>
      </c>
      <c r="U23" s="222">
        <f t="shared" si="5"/>
        <v>5.1923076923076925</v>
      </c>
      <c r="V23" s="361" t="s">
        <v>1235</v>
      </c>
      <c r="W23" s="72"/>
    </row>
    <row r="24" spans="1:23" x14ac:dyDescent="0.2">
      <c r="A24" s="293">
        <f t="shared" si="0"/>
        <v>8</v>
      </c>
      <c r="B24" s="163" t="s">
        <v>1288</v>
      </c>
      <c r="C24" s="163" t="s">
        <v>1294</v>
      </c>
      <c r="D24" s="163" t="s">
        <v>1299</v>
      </c>
      <c r="E24" s="175">
        <v>50</v>
      </c>
      <c r="F24" s="175">
        <v>10</v>
      </c>
      <c r="G24" s="130"/>
      <c r="H24" s="222">
        <f t="shared" si="1"/>
        <v>500</v>
      </c>
      <c r="I24" s="222">
        <f t="shared" si="2"/>
        <v>9.615384615384615</v>
      </c>
      <c r="J24" s="67"/>
      <c r="K24" s="67"/>
      <c r="L24" s="360" t="s">
        <v>1235</v>
      </c>
      <c r="M24" s="294">
        <f t="shared" si="3"/>
        <v>8</v>
      </c>
      <c r="N24" s="492">
        <v>44338</v>
      </c>
      <c r="O24" s="163"/>
      <c r="P24" s="163"/>
      <c r="Q24" s="175">
        <v>1</v>
      </c>
      <c r="R24" s="175">
        <v>390</v>
      </c>
      <c r="S24" s="130"/>
      <c r="T24" s="223">
        <f t="shared" si="4"/>
        <v>390</v>
      </c>
      <c r="U24" s="222">
        <f t="shared" si="5"/>
        <v>7.5</v>
      </c>
      <c r="V24" s="361" t="s">
        <v>1235</v>
      </c>
      <c r="W24" s="72"/>
    </row>
    <row r="25" spans="1:23" x14ac:dyDescent="0.2">
      <c r="A25" s="293">
        <f t="shared" si="0"/>
        <v>9</v>
      </c>
      <c r="B25" s="163" t="s">
        <v>1296</v>
      </c>
      <c r="C25" s="163" t="s">
        <v>1294</v>
      </c>
      <c r="D25" s="163" t="s">
        <v>1299</v>
      </c>
      <c r="E25" s="175">
        <v>50</v>
      </c>
      <c r="F25" s="175">
        <v>60</v>
      </c>
      <c r="G25" s="130"/>
      <c r="H25" s="222">
        <f t="shared" si="1"/>
        <v>3000</v>
      </c>
      <c r="I25" s="222">
        <f t="shared" si="2"/>
        <v>57.692307692307693</v>
      </c>
      <c r="J25" s="67"/>
      <c r="K25" s="67"/>
      <c r="L25" s="360" t="s">
        <v>1235</v>
      </c>
      <c r="M25" s="294">
        <f t="shared" si="3"/>
        <v>9</v>
      </c>
      <c r="N25" s="492">
        <v>44341</v>
      </c>
      <c r="O25" s="163"/>
      <c r="P25" s="163"/>
      <c r="Q25" s="175">
        <v>1</v>
      </c>
      <c r="R25" s="175">
        <v>240</v>
      </c>
      <c r="S25" s="130"/>
      <c r="T25" s="223">
        <f t="shared" si="4"/>
        <v>240</v>
      </c>
      <c r="U25" s="222">
        <f t="shared" si="5"/>
        <v>4.615384615384615</v>
      </c>
      <c r="V25" s="361" t="s">
        <v>1235</v>
      </c>
      <c r="W25" s="72"/>
    </row>
    <row r="26" spans="1:23" x14ac:dyDescent="0.2">
      <c r="A26" s="293">
        <f t="shared" si="0"/>
        <v>10</v>
      </c>
      <c r="B26" s="163" t="s">
        <v>1291</v>
      </c>
      <c r="C26" s="163" t="s">
        <v>1294</v>
      </c>
      <c r="D26" s="163" t="s">
        <v>1299</v>
      </c>
      <c r="E26" s="175">
        <v>50</v>
      </c>
      <c r="F26" s="175">
        <v>350</v>
      </c>
      <c r="G26" s="130"/>
      <c r="H26" s="222">
        <f t="shared" si="1"/>
        <v>17500</v>
      </c>
      <c r="I26" s="222">
        <f t="shared" si="2"/>
        <v>336.53846153846155</v>
      </c>
      <c r="J26" s="67"/>
      <c r="K26" s="67"/>
      <c r="L26" s="360" t="s">
        <v>1235</v>
      </c>
      <c r="M26" s="294">
        <f t="shared" si="3"/>
        <v>10</v>
      </c>
      <c r="N26" s="492">
        <v>44349</v>
      </c>
      <c r="O26" s="163"/>
      <c r="P26" s="163"/>
      <c r="Q26" s="175">
        <v>1</v>
      </c>
      <c r="R26" s="175">
        <v>240</v>
      </c>
      <c r="S26" s="130"/>
      <c r="T26" s="223">
        <f t="shared" si="4"/>
        <v>240</v>
      </c>
      <c r="U26" s="222">
        <f t="shared" si="5"/>
        <v>4.615384615384615</v>
      </c>
      <c r="V26" s="361" t="s">
        <v>1235</v>
      </c>
      <c r="W26" s="72"/>
    </row>
    <row r="27" spans="1:23" x14ac:dyDescent="0.2">
      <c r="A27" s="293">
        <f t="shared" si="0"/>
        <v>11</v>
      </c>
      <c r="B27" s="163" t="s">
        <v>1288</v>
      </c>
      <c r="C27" s="163" t="s">
        <v>1294</v>
      </c>
      <c r="D27" s="163" t="s">
        <v>1300</v>
      </c>
      <c r="E27" s="175">
        <v>50</v>
      </c>
      <c r="F27" s="175">
        <v>30</v>
      </c>
      <c r="G27" s="130"/>
      <c r="H27" s="222">
        <f t="shared" si="1"/>
        <v>1500</v>
      </c>
      <c r="I27" s="222">
        <f t="shared" si="2"/>
        <v>28.846153846153847</v>
      </c>
      <c r="J27" s="67"/>
      <c r="K27" s="67"/>
      <c r="L27" s="360" t="s">
        <v>1235</v>
      </c>
      <c r="M27" s="294">
        <f t="shared" si="3"/>
        <v>11</v>
      </c>
      <c r="N27" s="492">
        <v>44356</v>
      </c>
      <c r="O27" s="163"/>
      <c r="P27" s="163"/>
      <c r="Q27" s="175">
        <v>1</v>
      </c>
      <c r="R27" s="175">
        <v>240</v>
      </c>
      <c r="S27" s="130"/>
      <c r="T27" s="223">
        <f t="shared" si="4"/>
        <v>240</v>
      </c>
      <c r="U27" s="222">
        <f t="shared" si="5"/>
        <v>4.615384615384615</v>
      </c>
      <c r="V27" s="361" t="s">
        <v>1235</v>
      </c>
      <c r="W27" s="72"/>
    </row>
    <row r="28" spans="1:23" x14ac:dyDescent="0.2">
      <c r="A28" s="293">
        <f t="shared" si="0"/>
        <v>12</v>
      </c>
      <c r="B28" s="163" t="s">
        <v>1296</v>
      </c>
      <c r="C28" s="163" t="s">
        <v>1294</v>
      </c>
      <c r="D28" s="163" t="s">
        <v>1300</v>
      </c>
      <c r="E28" s="175">
        <v>50</v>
      </c>
      <c r="F28" s="175">
        <v>90</v>
      </c>
      <c r="G28" s="130"/>
      <c r="H28" s="222">
        <f t="shared" si="1"/>
        <v>4500</v>
      </c>
      <c r="I28" s="222">
        <f t="shared" si="2"/>
        <v>86.538461538461533</v>
      </c>
      <c r="J28" s="67"/>
      <c r="K28" s="67"/>
      <c r="L28" s="360" t="s">
        <v>1235</v>
      </c>
      <c r="M28" s="294">
        <f t="shared" si="3"/>
        <v>12</v>
      </c>
      <c r="N28" s="492">
        <v>44357</v>
      </c>
      <c r="O28" s="163"/>
      <c r="P28" s="163"/>
      <c r="Q28" s="175">
        <v>1</v>
      </c>
      <c r="R28" s="175">
        <v>240</v>
      </c>
      <c r="S28" s="130"/>
      <c r="T28" s="223">
        <f t="shared" si="4"/>
        <v>240</v>
      </c>
      <c r="U28" s="222">
        <f t="shared" si="5"/>
        <v>4.615384615384615</v>
      </c>
      <c r="V28" s="361" t="s">
        <v>1235</v>
      </c>
      <c r="W28" s="72"/>
    </row>
    <row r="29" spans="1:23" x14ac:dyDescent="0.2">
      <c r="A29" s="293">
        <f t="shared" si="0"/>
        <v>13</v>
      </c>
      <c r="B29" s="163" t="s">
        <v>1301</v>
      </c>
      <c r="C29" s="163" t="s">
        <v>1294</v>
      </c>
      <c r="D29" s="163" t="s">
        <v>1300</v>
      </c>
      <c r="E29" s="175">
        <v>50</v>
      </c>
      <c r="F29" s="175">
        <v>210</v>
      </c>
      <c r="G29" s="130"/>
      <c r="H29" s="222">
        <f t="shared" si="1"/>
        <v>10500</v>
      </c>
      <c r="I29" s="222">
        <f t="shared" si="2"/>
        <v>201.92307692307693</v>
      </c>
      <c r="J29" s="67"/>
      <c r="K29" s="67"/>
      <c r="L29" s="360" t="s">
        <v>1235</v>
      </c>
      <c r="M29" s="294">
        <f t="shared" si="3"/>
        <v>13</v>
      </c>
      <c r="N29" s="492">
        <v>44359</v>
      </c>
      <c r="O29" s="163"/>
      <c r="P29" s="163"/>
      <c r="Q29" s="175">
        <v>1</v>
      </c>
      <c r="R29" s="175">
        <v>720</v>
      </c>
      <c r="S29" s="130"/>
      <c r="T29" s="223">
        <f t="shared" si="4"/>
        <v>720</v>
      </c>
      <c r="U29" s="222">
        <f t="shared" si="5"/>
        <v>13.846153846153847</v>
      </c>
      <c r="V29" s="361" t="s">
        <v>1235</v>
      </c>
      <c r="W29" s="72"/>
    </row>
    <row r="30" spans="1:23" x14ac:dyDescent="0.2">
      <c r="A30" s="293">
        <f t="shared" si="0"/>
        <v>14</v>
      </c>
      <c r="B30" s="163" t="s">
        <v>1289</v>
      </c>
      <c r="C30" s="163" t="s">
        <v>1294</v>
      </c>
      <c r="D30" s="163" t="s">
        <v>1300</v>
      </c>
      <c r="E30" s="175">
        <v>50</v>
      </c>
      <c r="F30" s="175">
        <v>60</v>
      </c>
      <c r="G30" s="130"/>
      <c r="H30" s="222">
        <f t="shared" si="1"/>
        <v>3000</v>
      </c>
      <c r="I30" s="222">
        <f t="shared" si="2"/>
        <v>57.692307692307693</v>
      </c>
      <c r="J30" s="67"/>
      <c r="K30" s="67"/>
      <c r="L30" s="360" t="s">
        <v>1235</v>
      </c>
      <c r="M30" s="294">
        <f t="shared" si="3"/>
        <v>14</v>
      </c>
      <c r="N30" s="492">
        <v>44360</v>
      </c>
      <c r="O30" s="163"/>
      <c r="P30" s="163"/>
      <c r="Q30" s="175">
        <v>1</v>
      </c>
      <c r="R30" s="175">
        <v>720</v>
      </c>
      <c r="S30" s="130"/>
      <c r="T30" s="223">
        <f t="shared" si="4"/>
        <v>720</v>
      </c>
      <c r="U30" s="222">
        <f t="shared" si="5"/>
        <v>13.846153846153847</v>
      </c>
      <c r="V30" s="361" t="s">
        <v>1235</v>
      </c>
      <c r="W30" s="72"/>
    </row>
    <row r="31" spans="1:23" x14ac:dyDescent="0.2">
      <c r="A31" s="293">
        <f t="shared" si="0"/>
        <v>15</v>
      </c>
      <c r="B31" s="163" t="s">
        <v>1302</v>
      </c>
      <c r="C31" s="163" t="s">
        <v>1294</v>
      </c>
      <c r="D31" s="163" t="s">
        <v>1300</v>
      </c>
      <c r="E31" s="175">
        <v>50</v>
      </c>
      <c r="F31" s="175">
        <v>20</v>
      </c>
      <c r="G31" s="130"/>
      <c r="H31" s="222">
        <f t="shared" si="1"/>
        <v>1000</v>
      </c>
      <c r="I31" s="222">
        <f t="shared" si="2"/>
        <v>19.23076923076923</v>
      </c>
      <c r="J31" s="67"/>
      <c r="K31" s="67"/>
      <c r="L31" s="360" t="s">
        <v>1235</v>
      </c>
      <c r="M31" s="294">
        <f t="shared" si="3"/>
        <v>15</v>
      </c>
      <c r="N31" s="492">
        <v>44362</v>
      </c>
      <c r="O31" s="163"/>
      <c r="P31" s="163"/>
      <c r="Q31" s="175">
        <v>1</v>
      </c>
      <c r="R31" s="175">
        <v>240</v>
      </c>
      <c r="S31" s="130"/>
      <c r="T31" s="223">
        <f t="shared" si="4"/>
        <v>240</v>
      </c>
      <c r="U31" s="222">
        <f t="shared" si="5"/>
        <v>4.615384615384615</v>
      </c>
      <c r="V31" s="361" t="s">
        <v>1235</v>
      </c>
      <c r="W31" s="72"/>
    </row>
    <row r="32" spans="1:23" x14ac:dyDescent="0.2">
      <c r="A32" s="293">
        <f t="shared" si="0"/>
        <v>16</v>
      </c>
      <c r="B32" s="163" t="s">
        <v>1288</v>
      </c>
      <c r="C32" s="163" t="s">
        <v>1294</v>
      </c>
      <c r="D32" s="163" t="s">
        <v>1303</v>
      </c>
      <c r="E32" s="175">
        <v>49</v>
      </c>
      <c r="F32" s="175">
        <v>50</v>
      </c>
      <c r="G32" s="130"/>
      <c r="H32" s="222">
        <f t="shared" si="1"/>
        <v>2450</v>
      </c>
      <c r="I32" s="222">
        <f t="shared" si="2"/>
        <v>47.115384615384613</v>
      </c>
      <c r="J32" s="67"/>
      <c r="K32" s="67"/>
      <c r="L32" s="360" t="s">
        <v>1235</v>
      </c>
      <c r="M32" s="294">
        <f t="shared" si="3"/>
        <v>16</v>
      </c>
      <c r="N32" s="492">
        <v>44364</v>
      </c>
      <c r="O32" s="163"/>
      <c r="P32" s="163"/>
      <c r="Q32" s="175">
        <v>1</v>
      </c>
      <c r="R32" s="175">
        <v>240</v>
      </c>
      <c r="S32" s="130"/>
      <c r="T32" s="223">
        <f t="shared" si="4"/>
        <v>240</v>
      </c>
      <c r="U32" s="222">
        <f t="shared" si="5"/>
        <v>4.615384615384615</v>
      </c>
      <c r="V32" s="361" t="s">
        <v>1235</v>
      </c>
      <c r="W32" s="72"/>
    </row>
    <row r="33" spans="1:23" x14ac:dyDescent="0.2">
      <c r="A33" s="293">
        <f t="shared" si="0"/>
        <v>17</v>
      </c>
      <c r="B33" s="163" t="s">
        <v>1296</v>
      </c>
      <c r="C33" s="163" t="s">
        <v>1294</v>
      </c>
      <c r="D33" s="163" t="s">
        <v>1303</v>
      </c>
      <c r="E33" s="175">
        <v>49</v>
      </c>
      <c r="F33" s="175">
        <v>180</v>
      </c>
      <c r="G33" s="130"/>
      <c r="H33" s="222">
        <f t="shared" si="1"/>
        <v>8820</v>
      </c>
      <c r="I33" s="222">
        <f t="shared" si="2"/>
        <v>169.61538461538461</v>
      </c>
      <c r="J33" s="67"/>
      <c r="K33" s="67"/>
      <c r="L33" s="360" t="s">
        <v>1235</v>
      </c>
      <c r="M33" s="294">
        <f t="shared" si="3"/>
        <v>17</v>
      </c>
      <c r="N33" s="492">
        <v>44368</v>
      </c>
      <c r="O33" s="163"/>
      <c r="P33" s="163"/>
      <c r="Q33" s="175">
        <v>1</v>
      </c>
      <c r="R33" s="175">
        <v>240</v>
      </c>
      <c r="S33" s="130"/>
      <c r="T33" s="223">
        <f t="shared" si="4"/>
        <v>240</v>
      </c>
      <c r="U33" s="222">
        <f t="shared" si="5"/>
        <v>4.615384615384615</v>
      </c>
      <c r="V33" s="361" t="s">
        <v>1235</v>
      </c>
      <c r="W33" s="72"/>
    </row>
    <row r="34" spans="1:23" x14ac:dyDescent="0.2">
      <c r="A34" s="293">
        <f t="shared" si="0"/>
        <v>18</v>
      </c>
      <c r="B34" s="163" t="s">
        <v>1297</v>
      </c>
      <c r="C34" s="163" t="s">
        <v>1294</v>
      </c>
      <c r="D34" s="163" t="s">
        <v>1303</v>
      </c>
      <c r="E34" s="175">
        <v>42</v>
      </c>
      <c r="F34" s="175">
        <v>80</v>
      </c>
      <c r="G34" s="130"/>
      <c r="H34" s="222">
        <f t="shared" si="1"/>
        <v>3360</v>
      </c>
      <c r="I34" s="222">
        <f t="shared" si="2"/>
        <v>64.615384615384613</v>
      </c>
      <c r="J34" s="67"/>
      <c r="K34" s="67"/>
      <c r="L34" s="360" t="s">
        <v>1235</v>
      </c>
      <c r="M34" s="294">
        <f t="shared" si="3"/>
        <v>18</v>
      </c>
      <c r="N34" s="492">
        <v>44370</v>
      </c>
      <c r="O34" s="163"/>
      <c r="P34" s="163"/>
      <c r="Q34" s="175">
        <v>1</v>
      </c>
      <c r="R34" s="175">
        <v>270</v>
      </c>
      <c r="S34" s="130"/>
      <c r="T34" s="223">
        <f t="shared" si="4"/>
        <v>270</v>
      </c>
      <c r="U34" s="222">
        <f t="shared" si="5"/>
        <v>5.1923076923076925</v>
      </c>
      <c r="V34" s="361" t="s">
        <v>1235</v>
      </c>
      <c r="W34" s="72"/>
    </row>
    <row r="35" spans="1:23" x14ac:dyDescent="0.2">
      <c r="A35" s="293">
        <f t="shared" si="0"/>
        <v>19</v>
      </c>
      <c r="B35" s="163" t="s">
        <v>1289</v>
      </c>
      <c r="C35" s="163" t="s">
        <v>1294</v>
      </c>
      <c r="D35" s="163" t="s">
        <v>1303</v>
      </c>
      <c r="E35" s="175">
        <v>49</v>
      </c>
      <c r="F35" s="175">
        <v>140</v>
      </c>
      <c r="G35" s="130"/>
      <c r="H35" s="222">
        <f t="shared" si="1"/>
        <v>6860</v>
      </c>
      <c r="I35" s="222">
        <f t="shared" si="2"/>
        <v>131.92307692307693</v>
      </c>
      <c r="J35" s="67"/>
      <c r="K35" s="67"/>
      <c r="L35" s="360" t="s">
        <v>1235</v>
      </c>
      <c r="M35" s="294">
        <f t="shared" si="3"/>
        <v>19</v>
      </c>
      <c r="N35" s="492">
        <v>44371</v>
      </c>
      <c r="O35" s="163"/>
      <c r="P35" s="163"/>
      <c r="Q35" s="175">
        <v>1</v>
      </c>
      <c r="R35" s="175">
        <v>360</v>
      </c>
      <c r="S35" s="130"/>
      <c r="T35" s="223">
        <f t="shared" si="4"/>
        <v>360</v>
      </c>
      <c r="U35" s="222">
        <f t="shared" si="5"/>
        <v>6.9230769230769234</v>
      </c>
      <c r="V35" s="361" t="s">
        <v>1235</v>
      </c>
      <c r="W35" s="72"/>
    </row>
    <row r="36" spans="1:23" x14ac:dyDescent="0.2">
      <c r="A36" s="293">
        <f t="shared" si="0"/>
        <v>20</v>
      </c>
      <c r="B36" s="163" t="s">
        <v>1288</v>
      </c>
      <c r="C36" s="163" t="s">
        <v>1304</v>
      </c>
      <c r="D36" s="163" t="s">
        <v>1295</v>
      </c>
      <c r="E36" s="175">
        <v>45</v>
      </c>
      <c r="F36" s="175">
        <v>20</v>
      </c>
      <c r="G36" s="130"/>
      <c r="H36" s="222">
        <f t="shared" si="1"/>
        <v>900</v>
      </c>
      <c r="I36" s="222">
        <f t="shared" si="2"/>
        <v>17.307692307692307</v>
      </c>
      <c r="J36" s="67"/>
      <c r="K36" s="67"/>
      <c r="L36" s="360" t="s">
        <v>1235</v>
      </c>
      <c r="M36" s="294">
        <f t="shared" si="3"/>
        <v>20</v>
      </c>
      <c r="N36" s="492">
        <v>44371</v>
      </c>
      <c r="O36" s="163"/>
      <c r="P36" s="163"/>
      <c r="Q36" s="175">
        <v>1</v>
      </c>
      <c r="R36" s="175">
        <v>270</v>
      </c>
      <c r="S36" s="130"/>
      <c r="T36" s="223">
        <f t="shared" si="4"/>
        <v>270</v>
      </c>
      <c r="U36" s="222">
        <f t="shared" si="5"/>
        <v>5.1923076923076925</v>
      </c>
      <c r="V36" s="361" t="s">
        <v>1235</v>
      </c>
      <c r="W36" s="72"/>
    </row>
    <row r="37" spans="1:23" x14ac:dyDescent="0.2">
      <c r="A37" s="293">
        <f t="shared" si="0"/>
        <v>21</v>
      </c>
      <c r="B37" s="163" t="s">
        <v>1296</v>
      </c>
      <c r="C37" s="163" t="s">
        <v>1304</v>
      </c>
      <c r="D37" s="163" t="s">
        <v>1295</v>
      </c>
      <c r="E37" s="175">
        <v>45</v>
      </c>
      <c r="F37" s="175">
        <v>40</v>
      </c>
      <c r="G37" s="130"/>
      <c r="H37" s="222">
        <f t="shared" si="1"/>
        <v>1800</v>
      </c>
      <c r="I37" s="222">
        <f t="shared" si="2"/>
        <v>34.615384615384613</v>
      </c>
      <c r="J37" s="67"/>
      <c r="K37" s="67"/>
      <c r="L37" s="360" t="s">
        <v>1235</v>
      </c>
      <c r="M37" s="294">
        <f t="shared" si="3"/>
        <v>21</v>
      </c>
      <c r="N37" s="492">
        <v>44376</v>
      </c>
      <c r="O37" s="163"/>
      <c r="P37" s="163"/>
      <c r="Q37" s="175">
        <v>1</v>
      </c>
      <c r="R37" s="175">
        <v>240</v>
      </c>
      <c r="S37" s="130"/>
      <c r="T37" s="223">
        <f t="shared" si="4"/>
        <v>240</v>
      </c>
      <c r="U37" s="222">
        <f t="shared" si="5"/>
        <v>4.615384615384615</v>
      </c>
      <c r="V37" s="361" t="s">
        <v>1235</v>
      </c>
      <c r="W37" s="72"/>
    </row>
    <row r="38" spans="1:23" x14ac:dyDescent="0.2">
      <c r="A38" s="293">
        <f t="shared" si="0"/>
        <v>22</v>
      </c>
      <c r="B38" s="163" t="s">
        <v>1296</v>
      </c>
      <c r="C38" s="163" t="s">
        <v>1304</v>
      </c>
      <c r="D38" s="163" t="s">
        <v>1298</v>
      </c>
      <c r="E38" s="175">
        <v>50</v>
      </c>
      <c r="F38" s="175">
        <v>60</v>
      </c>
      <c r="G38" s="130"/>
      <c r="H38" s="222">
        <f t="shared" si="1"/>
        <v>3000</v>
      </c>
      <c r="I38" s="222">
        <f t="shared" si="2"/>
        <v>57.692307692307693</v>
      </c>
      <c r="J38" s="67"/>
      <c r="K38" s="67"/>
      <c r="L38" s="360" t="s">
        <v>1235</v>
      </c>
      <c r="M38" s="294">
        <f t="shared" si="3"/>
        <v>22</v>
      </c>
      <c r="N38" s="492">
        <v>44381</v>
      </c>
      <c r="O38" s="163"/>
      <c r="P38" s="163"/>
      <c r="Q38" s="175">
        <v>1</v>
      </c>
      <c r="R38" s="175">
        <v>360</v>
      </c>
      <c r="S38" s="130"/>
      <c r="T38" s="223">
        <f t="shared" si="4"/>
        <v>360</v>
      </c>
      <c r="U38" s="222">
        <f t="shared" si="5"/>
        <v>6.9230769230769234</v>
      </c>
      <c r="V38" s="361" t="s">
        <v>1235</v>
      </c>
      <c r="W38" s="72"/>
    </row>
    <row r="39" spans="1:23" x14ac:dyDescent="0.2">
      <c r="A39" s="293">
        <f t="shared" si="0"/>
        <v>23</v>
      </c>
      <c r="B39" s="163" t="s">
        <v>1296</v>
      </c>
      <c r="C39" s="163" t="s">
        <v>1304</v>
      </c>
      <c r="D39" s="163" t="s">
        <v>1299</v>
      </c>
      <c r="E39" s="175">
        <v>50</v>
      </c>
      <c r="F39" s="175">
        <v>60</v>
      </c>
      <c r="G39" s="130"/>
      <c r="H39" s="222">
        <f t="shared" si="1"/>
        <v>3000</v>
      </c>
      <c r="I39" s="222">
        <f t="shared" si="2"/>
        <v>57.692307692307693</v>
      </c>
      <c r="J39" s="67"/>
      <c r="K39" s="67"/>
      <c r="L39" s="360" t="s">
        <v>1235</v>
      </c>
      <c r="M39" s="294">
        <f t="shared" si="3"/>
        <v>23</v>
      </c>
      <c r="N39" s="492">
        <v>44382</v>
      </c>
      <c r="O39" s="163"/>
      <c r="P39" s="163"/>
      <c r="Q39" s="175">
        <v>1</v>
      </c>
      <c r="R39" s="175">
        <v>240</v>
      </c>
      <c r="S39" s="130"/>
      <c r="T39" s="223">
        <f t="shared" si="4"/>
        <v>240</v>
      </c>
      <c r="U39" s="222">
        <f t="shared" si="5"/>
        <v>4.615384615384615</v>
      </c>
      <c r="V39" s="361" t="s">
        <v>1235</v>
      </c>
      <c r="W39" s="72"/>
    </row>
    <row r="40" spans="1:23" x14ac:dyDescent="0.2">
      <c r="A40" s="293">
        <f t="shared" si="0"/>
        <v>24</v>
      </c>
      <c r="B40" s="163" t="s">
        <v>1288</v>
      </c>
      <c r="C40" s="163" t="s">
        <v>1304</v>
      </c>
      <c r="D40" s="163" t="s">
        <v>1300</v>
      </c>
      <c r="E40" s="175">
        <v>50</v>
      </c>
      <c r="F40" s="175">
        <v>40</v>
      </c>
      <c r="G40" s="130"/>
      <c r="H40" s="222">
        <f t="shared" si="1"/>
        <v>2000</v>
      </c>
      <c r="I40" s="222">
        <f t="shared" si="2"/>
        <v>38.46153846153846</v>
      </c>
      <c r="J40" s="67"/>
      <c r="K40" s="67"/>
      <c r="L40" s="360" t="s">
        <v>1235</v>
      </c>
      <c r="M40" s="294">
        <f t="shared" si="3"/>
        <v>24</v>
      </c>
      <c r="N40" s="492">
        <v>44390</v>
      </c>
      <c r="O40" s="163"/>
      <c r="P40" s="163"/>
      <c r="Q40" s="175">
        <v>1</v>
      </c>
      <c r="R40" s="175">
        <v>240</v>
      </c>
      <c r="S40" s="130"/>
      <c r="T40" s="223">
        <f t="shared" si="4"/>
        <v>240</v>
      </c>
      <c r="U40" s="222">
        <f t="shared" si="5"/>
        <v>4.615384615384615</v>
      </c>
      <c r="V40" s="361" t="s">
        <v>1235</v>
      </c>
      <c r="W40" s="72"/>
    </row>
    <row r="41" spans="1:23" x14ac:dyDescent="0.2">
      <c r="A41" s="293">
        <f t="shared" si="0"/>
        <v>25</v>
      </c>
      <c r="B41" s="163" t="s">
        <v>1288</v>
      </c>
      <c r="C41" s="163" t="s">
        <v>1304</v>
      </c>
      <c r="D41" s="163" t="s">
        <v>1303</v>
      </c>
      <c r="E41" s="175">
        <v>49</v>
      </c>
      <c r="F41" s="175">
        <v>40</v>
      </c>
      <c r="G41" s="130"/>
      <c r="H41" s="222">
        <f t="shared" si="1"/>
        <v>1960</v>
      </c>
      <c r="I41" s="222">
        <f t="shared" si="2"/>
        <v>37.692307692307693</v>
      </c>
      <c r="J41" s="67"/>
      <c r="K41" s="67"/>
      <c r="L41" s="360" t="s">
        <v>1235</v>
      </c>
      <c r="M41" s="294">
        <f t="shared" si="3"/>
        <v>25</v>
      </c>
      <c r="N41" s="492">
        <v>44391</v>
      </c>
      <c r="O41" s="163"/>
      <c r="P41" s="163"/>
      <c r="Q41" s="175">
        <v>1</v>
      </c>
      <c r="R41" s="175">
        <v>420</v>
      </c>
      <c r="S41" s="130"/>
      <c r="T41" s="223">
        <f t="shared" si="4"/>
        <v>420</v>
      </c>
      <c r="U41" s="222">
        <f t="shared" si="5"/>
        <v>8.0769230769230766</v>
      </c>
      <c r="V41" s="361" t="s">
        <v>1235</v>
      </c>
      <c r="W41" s="72"/>
    </row>
    <row r="42" spans="1:23" x14ac:dyDescent="0.2">
      <c r="A42" s="293">
        <f t="shared" si="0"/>
        <v>26</v>
      </c>
      <c r="B42" s="163" t="s">
        <v>1302</v>
      </c>
      <c r="C42" s="163" t="s">
        <v>1304</v>
      </c>
      <c r="D42" s="163" t="s">
        <v>1305</v>
      </c>
      <c r="E42" s="175">
        <v>50</v>
      </c>
      <c r="F42" s="175">
        <v>20</v>
      </c>
      <c r="G42" s="130"/>
      <c r="H42" s="222">
        <f t="shared" si="1"/>
        <v>1000</v>
      </c>
      <c r="I42" s="222">
        <f t="shared" si="2"/>
        <v>19.23076923076923</v>
      </c>
      <c r="J42" s="67"/>
      <c r="K42" s="67"/>
      <c r="L42" s="360" t="s">
        <v>1235</v>
      </c>
      <c r="M42" s="294">
        <f t="shared" si="3"/>
        <v>26</v>
      </c>
      <c r="N42" s="492">
        <v>44392</v>
      </c>
      <c r="O42" s="163"/>
      <c r="P42" s="163"/>
      <c r="Q42" s="175">
        <v>1</v>
      </c>
      <c r="R42" s="175">
        <v>420</v>
      </c>
      <c r="S42" s="130"/>
      <c r="T42" s="223">
        <f t="shared" si="4"/>
        <v>420</v>
      </c>
      <c r="U42" s="222">
        <f t="shared" si="5"/>
        <v>8.0769230769230766</v>
      </c>
      <c r="V42" s="361" t="s">
        <v>1235</v>
      </c>
      <c r="W42" s="72"/>
    </row>
    <row r="43" spans="1:23" x14ac:dyDescent="0.2">
      <c r="A43" s="293">
        <f t="shared" si="0"/>
        <v>27</v>
      </c>
      <c r="B43" s="163" t="s">
        <v>1288</v>
      </c>
      <c r="C43" s="163" t="s">
        <v>1304</v>
      </c>
      <c r="D43" s="163" t="s">
        <v>1305</v>
      </c>
      <c r="E43" s="175">
        <v>50</v>
      </c>
      <c r="F43" s="175">
        <v>140</v>
      </c>
      <c r="G43" s="130"/>
      <c r="H43" s="222">
        <f t="shared" si="1"/>
        <v>7000</v>
      </c>
      <c r="I43" s="222">
        <f t="shared" si="2"/>
        <v>134.61538461538461</v>
      </c>
      <c r="J43" s="67"/>
      <c r="K43" s="67"/>
      <c r="L43" s="360" t="s">
        <v>1235</v>
      </c>
      <c r="M43" s="294">
        <f t="shared" si="3"/>
        <v>27</v>
      </c>
      <c r="N43" s="492">
        <v>44393</v>
      </c>
      <c r="O43" s="163"/>
      <c r="P43" s="163"/>
      <c r="Q43" s="175">
        <v>1</v>
      </c>
      <c r="R43" s="175">
        <v>420</v>
      </c>
      <c r="S43" s="130"/>
      <c r="T43" s="223">
        <f t="shared" si="4"/>
        <v>420</v>
      </c>
      <c r="U43" s="222">
        <f t="shared" si="5"/>
        <v>8.0769230769230766</v>
      </c>
      <c r="V43" s="361" t="s">
        <v>1235</v>
      </c>
      <c r="W43" s="72"/>
    </row>
    <row r="44" spans="1:23" x14ac:dyDescent="0.2">
      <c r="A44" s="293">
        <f t="shared" si="0"/>
        <v>28</v>
      </c>
      <c r="B44" s="163" t="s">
        <v>1302</v>
      </c>
      <c r="C44" s="163" t="s">
        <v>1304</v>
      </c>
      <c r="D44" s="163" t="s">
        <v>1306</v>
      </c>
      <c r="E44" s="175">
        <v>50</v>
      </c>
      <c r="F44" s="175">
        <v>20</v>
      </c>
      <c r="G44" s="130"/>
      <c r="H44" s="222">
        <f t="shared" si="1"/>
        <v>1000</v>
      </c>
      <c r="I44" s="222">
        <f t="shared" si="2"/>
        <v>19.23076923076923</v>
      </c>
      <c r="J44" s="67"/>
      <c r="K44" s="67"/>
      <c r="L44" s="360" t="s">
        <v>1235</v>
      </c>
      <c r="M44" s="294">
        <f t="shared" si="3"/>
        <v>28</v>
      </c>
      <c r="N44" s="492">
        <v>44397</v>
      </c>
      <c r="O44" s="163"/>
      <c r="P44" s="163"/>
      <c r="Q44" s="175">
        <v>1</v>
      </c>
      <c r="R44" s="175">
        <v>420</v>
      </c>
      <c r="S44" s="130"/>
      <c r="T44" s="223">
        <f t="shared" si="4"/>
        <v>420</v>
      </c>
      <c r="U44" s="222">
        <f t="shared" si="5"/>
        <v>8.0769230769230766</v>
      </c>
      <c r="V44" s="361" t="s">
        <v>1235</v>
      </c>
      <c r="W44" s="72"/>
    </row>
    <row r="45" spans="1:23" x14ac:dyDescent="0.2">
      <c r="A45" s="293">
        <f t="shared" si="0"/>
        <v>29</v>
      </c>
      <c r="B45" s="163" t="s">
        <v>1296</v>
      </c>
      <c r="C45" s="163" t="s">
        <v>1304</v>
      </c>
      <c r="D45" s="163" t="s">
        <v>1306</v>
      </c>
      <c r="E45" s="175">
        <v>50</v>
      </c>
      <c r="F45" s="175">
        <v>80</v>
      </c>
      <c r="G45" s="130"/>
      <c r="H45" s="222">
        <f t="shared" si="1"/>
        <v>4000</v>
      </c>
      <c r="I45" s="222">
        <f t="shared" si="2"/>
        <v>76.92307692307692</v>
      </c>
      <c r="J45" s="67"/>
      <c r="K45" s="67"/>
      <c r="L45" s="360" t="s">
        <v>1235</v>
      </c>
      <c r="M45" s="294">
        <f t="shared" si="3"/>
        <v>29</v>
      </c>
      <c r="N45" s="492">
        <v>44397</v>
      </c>
      <c r="O45" s="163"/>
      <c r="P45" s="163"/>
      <c r="Q45" s="175">
        <v>1</v>
      </c>
      <c r="R45" s="175">
        <v>360</v>
      </c>
      <c r="S45" s="130"/>
      <c r="T45" s="223">
        <f t="shared" si="4"/>
        <v>360</v>
      </c>
      <c r="U45" s="222">
        <f t="shared" si="5"/>
        <v>6.9230769230769234</v>
      </c>
      <c r="V45" s="361" t="s">
        <v>1235</v>
      </c>
      <c r="W45" s="72"/>
    </row>
    <row r="46" spans="1:23" x14ac:dyDescent="0.2">
      <c r="A46" s="293">
        <f t="shared" si="0"/>
        <v>30</v>
      </c>
      <c r="B46" s="163" t="s">
        <v>1288</v>
      </c>
      <c r="C46" s="163" t="s">
        <v>1304</v>
      </c>
      <c r="D46" s="163" t="s">
        <v>1306</v>
      </c>
      <c r="E46" s="175">
        <v>50</v>
      </c>
      <c r="F46" s="175">
        <v>80</v>
      </c>
      <c r="G46" s="130"/>
      <c r="H46" s="222">
        <f t="shared" si="1"/>
        <v>4000</v>
      </c>
      <c r="I46" s="222">
        <f t="shared" si="2"/>
        <v>76.92307692307692</v>
      </c>
      <c r="J46" s="67"/>
      <c r="K46" s="67"/>
      <c r="L46" s="360" t="s">
        <v>1235</v>
      </c>
      <c r="M46" s="294">
        <f t="shared" si="3"/>
        <v>30</v>
      </c>
      <c r="N46" s="492">
        <v>44399</v>
      </c>
      <c r="O46" s="163"/>
      <c r="P46" s="163"/>
      <c r="Q46" s="175">
        <v>1</v>
      </c>
      <c r="R46" s="175">
        <v>420</v>
      </c>
      <c r="S46" s="130"/>
      <c r="T46" s="223">
        <f t="shared" si="4"/>
        <v>420</v>
      </c>
      <c r="U46" s="222">
        <f t="shared" si="5"/>
        <v>8.0769230769230766</v>
      </c>
      <c r="V46" s="361" t="s">
        <v>1235</v>
      </c>
      <c r="W46" s="72"/>
    </row>
    <row r="47" spans="1:23" x14ac:dyDescent="0.2">
      <c r="A47" s="293">
        <f t="shared" si="0"/>
        <v>31</v>
      </c>
      <c r="B47" s="163" t="s">
        <v>1288</v>
      </c>
      <c r="C47" s="163" t="s">
        <v>1307</v>
      </c>
      <c r="D47" s="163" t="s">
        <v>1295</v>
      </c>
      <c r="E47" s="175">
        <v>45</v>
      </c>
      <c r="F47" s="175">
        <v>75</v>
      </c>
      <c r="G47" s="130"/>
      <c r="H47" s="222">
        <f t="shared" si="1"/>
        <v>3375</v>
      </c>
      <c r="I47" s="222">
        <f t="shared" si="2"/>
        <v>64.90384615384616</v>
      </c>
      <c r="J47" s="67"/>
      <c r="K47" s="67"/>
      <c r="L47" s="360" t="s">
        <v>1235</v>
      </c>
      <c r="M47" s="294">
        <f t="shared" si="3"/>
        <v>31</v>
      </c>
      <c r="N47" s="492">
        <v>44399</v>
      </c>
      <c r="O47" s="163"/>
      <c r="P47" s="163"/>
      <c r="Q47" s="175">
        <v>1</v>
      </c>
      <c r="R47" s="175">
        <v>720</v>
      </c>
      <c r="S47" s="130"/>
      <c r="T47" s="223">
        <f t="shared" si="4"/>
        <v>720</v>
      </c>
      <c r="U47" s="222">
        <f t="shared" si="5"/>
        <v>13.846153846153847</v>
      </c>
      <c r="V47" s="361" t="s">
        <v>1235</v>
      </c>
      <c r="W47" s="72"/>
    </row>
    <row r="48" spans="1:23" x14ac:dyDescent="0.2">
      <c r="A48" s="293">
        <f t="shared" si="0"/>
        <v>32</v>
      </c>
      <c r="B48" s="163" t="s">
        <v>1291</v>
      </c>
      <c r="C48" s="163" t="s">
        <v>1307</v>
      </c>
      <c r="D48" s="163" t="s">
        <v>1295</v>
      </c>
      <c r="E48" s="175">
        <v>45</v>
      </c>
      <c r="F48" s="175">
        <v>90</v>
      </c>
      <c r="G48" s="130"/>
      <c r="H48" s="222">
        <f t="shared" si="1"/>
        <v>4050</v>
      </c>
      <c r="I48" s="222">
        <f t="shared" si="2"/>
        <v>77.884615384615387</v>
      </c>
      <c r="J48" s="67"/>
      <c r="K48" s="67"/>
      <c r="L48" s="360" t="s">
        <v>1235</v>
      </c>
      <c r="M48" s="294">
        <f t="shared" si="3"/>
        <v>32</v>
      </c>
      <c r="N48" s="492">
        <v>44404</v>
      </c>
      <c r="O48" s="163"/>
      <c r="P48" s="163"/>
      <c r="Q48" s="175">
        <v>1</v>
      </c>
      <c r="R48" s="175">
        <v>240</v>
      </c>
      <c r="S48" s="130"/>
      <c r="T48" s="223">
        <f t="shared" si="4"/>
        <v>240</v>
      </c>
      <c r="U48" s="222">
        <f t="shared" si="5"/>
        <v>4.615384615384615</v>
      </c>
      <c r="V48" s="361" t="s">
        <v>1235</v>
      </c>
      <c r="W48" s="72"/>
    </row>
    <row r="49" spans="1:23" x14ac:dyDescent="0.2">
      <c r="A49" s="293">
        <f t="shared" si="0"/>
        <v>33</v>
      </c>
      <c r="B49" s="163" t="s">
        <v>1296</v>
      </c>
      <c r="C49" s="163" t="s">
        <v>1307</v>
      </c>
      <c r="D49" s="163" t="s">
        <v>1295</v>
      </c>
      <c r="E49" s="175">
        <v>45</v>
      </c>
      <c r="F49" s="175">
        <v>120</v>
      </c>
      <c r="G49" s="130"/>
      <c r="H49" s="222">
        <f t="shared" si="1"/>
        <v>5400</v>
      </c>
      <c r="I49" s="222">
        <f t="shared" si="2"/>
        <v>103.84615384615384</v>
      </c>
      <c r="J49" s="67"/>
      <c r="K49" s="67"/>
      <c r="L49" s="360" t="s">
        <v>1235</v>
      </c>
      <c r="M49" s="294">
        <f t="shared" si="3"/>
        <v>33</v>
      </c>
      <c r="N49" s="492">
        <v>44405</v>
      </c>
      <c r="O49" s="163"/>
      <c r="P49" s="163"/>
      <c r="Q49" s="175">
        <v>1</v>
      </c>
      <c r="R49" s="175">
        <v>420</v>
      </c>
      <c r="S49" s="130"/>
      <c r="T49" s="223">
        <f t="shared" si="4"/>
        <v>420</v>
      </c>
      <c r="U49" s="222">
        <f t="shared" si="5"/>
        <v>8.0769230769230766</v>
      </c>
      <c r="V49" s="361" t="s">
        <v>1235</v>
      </c>
      <c r="W49" s="72"/>
    </row>
    <row r="50" spans="1:23" x14ac:dyDescent="0.2">
      <c r="A50" s="293">
        <f t="shared" si="0"/>
        <v>34</v>
      </c>
      <c r="B50" s="163" t="s">
        <v>1288</v>
      </c>
      <c r="C50" s="163" t="s">
        <v>1307</v>
      </c>
      <c r="D50" s="163" t="s">
        <v>1298</v>
      </c>
      <c r="E50" s="175">
        <v>50</v>
      </c>
      <c r="F50" s="175">
        <v>95</v>
      </c>
      <c r="G50" s="130"/>
      <c r="H50" s="222">
        <f t="shared" si="1"/>
        <v>4750</v>
      </c>
      <c r="I50" s="222">
        <f t="shared" si="2"/>
        <v>91.34615384615384</v>
      </c>
      <c r="J50" s="67"/>
      <c r="K50" s="67"/>
      <c r="L50" s="360" t="s">
        <v>1235</v>
      </c>
      <c r="M50" s="294">
        <f t="shared" si="3"/>
        <v>34</v>
      </c>
      <c r="N50" s="492">
        <v>44406</v>
      </c>
      <c r="O50" s="163"/>
      <c r="P50" s="163"/>
      <c r="Q50" s="175">
        <v>1</v>
      </c>
      <c r="R50" s="175">
        <v>720</v>
      </c>
      <c r="S50" s="130"/>
      <c r="T50" s="223">
        <f t="shared" si="4"/>
        <v>720</v>
      </c>
      <c r="U50" s="222">
        <f t="shared" si="5"/>
        <v>13.846153846153847</v>
      </c>
      <c r="V50" s="361" t="s">
        <v>1235</v>
      </c>
      <c r="W50" s="72"/>
    </row>
    <row r="51" spans="1:23" x14ac:dyDescent="0.2">
      <c r="A51" s="293">
        <f t="shared" si="0"/>
        <v>35</v>
      </c>
      <c r="B51" s="163" t="s">
        <v>1296</v>
      </c>
      <c r="C51" s="163" t="s">
        <v>1307</v>
      </c>
      <c r="D51" s="163" t="s">
        <v>1298</v>
      </c>
      <c r="E51" s="175">
        <v>50</v>
      </c>
      <c r="F51" s="175">
        <v>180</v>
      </c>
      <c r="G51" s="130"/>
      <c r="H51" s="222">
        <f t="shared" si="1"/>
        <v>9000</v>
      </c>
      <c r="I51" s="222">
        <f t="shared" si="2"/>
        <v>173.07692307692307</v>
      </c>
      <c r="J51" s="67"/>
      <c r="K51" s="67"/>
      <c r="L51" s="360" t="s">
        <v>1235</v>
      </c>
      <c r="M51" s="294">
        <f t="shared" si="3"/>
        <v>35</v>
      </c>
      <c r="N51" s="492">
        <v>44407</v>
      </c>
      <c r="O51" s="163"/>
      <c r="P51" s="163"/>
      <c r="Q51" s="175">
        <v>1</v>
      </c>
      <c r="R51" s="175">
        <v>510</v>
      </c>
      <c r="S51" s="130"/>
      <c r="T51" s="223">
        <f t="shared" si="4"/>
        <v>510</v>
      </c>
      <c r="U51" s="222">
        <f t="shared" si="5"/>
        <v>9.8076923076923084</v>
      </c>
      <c r="V51" s="361" t="s">
        <v>1235</v>
      </c>
      <c r="W51" s="72"/>
    </row>
    <row r="52" spans="1:23" x14ac:dyDescent="0.2">
      <c r="A52" s="293">
        <f t="shared" si="0"/>
        <v>36</v>
      </c>
      <c r="B52" s="163" t="s">
        <v>1289</v>
      </c>
      <c r="C52" s="163" t="s">
        <v>1307</v>
      </c>
      <c r="D52" s="163" t="s">
        <v>1298</v>
      </c>
      <c r="E52" s="175">
        <v>50</v>
      </c>
      <c r="F52" s="175">
        <v>120</v>
      </c>
      <c r="G52" s="130"/>
      <c r="H52" s="222">
        <f t="shared" si="1"/>
        <v>6000</v>
      </c>
      <c r="I52" s="222">
        <f t="shared" si="2"/>
        <v>115.38461538461539</v>
      </c>
      <c r="J52" s="67"/>
      <c r="K52" s="67"/>
      <c r="L52" s="360" t="s">
        <v>1235</v>
      </c>
      <c r="M52" s="294">
        <f t="shared" si="3"/>
        <v>36</v>
      </c>
      <c r="N52" s="492">
        <v>44407</v>
      </c>
      <c r="O52" s="163"/>
      <c r="P52" s="163"/>
      <c r="Q52" s="175">
        <v>1</v>
      </c>
      <c r="R52" s="175">
        <v>720</v>
      </c>
      <c r="S52" s="130"/>
      <c r="T52" s="223">
        <f t="shared" si="4"/>
        <v>720</v>
      </c>
      <c r="U52" s="222">
        <f t="shared" si="5"/>
        <v>13.846153846153847</v>
      </c>
      <c r="V52" s="361" t="s">
        <v>1235</v>
      </c>
      <c r="W52" s="72"/>
    </row>
    <row r="53" spans="1:23" x14ac:dyDescent="0.2">
      <c r="A53" s="293">
        <f t="shared" si="0"/>
        <v>37</v>
      </c>
      <c r="B53" s="163" t="s">
        <v>1302</v>
      </c>
      <c r="C53" s="163" t="s">
        <v>1307</v>
      </c>
      <c r="D53" s="163" t="s">
        <v>1298</v>
      </c>
      <c r="E53" s="175">
        <v>50</v>
      </c>
      <c r="F53" s="175">
        <v>20</v>
      </c>
      <c r="G53" s="130"/>
      <c r="H53" s="222">
        <f t="shared" si="1"/>
        <v>1000</v>
      </c>
      <c r="I53" s="222">
        <f t="shared" si="2"/>
        <v>19.23076923076923</v>
      </c>
      <c r="J53" s="67"/>
      <c r="K53" s="67"/>
      <c r="L53" s="360" t="s">
        <v>1235</v>
      </c>
      <c r="M53" s="294">
        <f t="shared" si="3"/>
        <v>37</v>
      </c>
      <c r="N53" s="492">
        <v>44407</v>
      </c>
      <c r="O53" s="163"/>
      <c r="P53" s="163"/>
      <c r="Q53" s="175">
        <v>1</v>
      </c>
      <c r="R53" s="175">
        <v>210</v>
      </c>
      <c r="S53" s="130"/>
      <c r="T53" s="223">
        <f t="shared" si="4"/>
        <v>210</v>
      </c>
      <c r="U53" s="222">
        <f t="shared" si="5"/>
        <v>4.0384615384615383</v>
      </c>
      <c r="V53" s="361" t="s">
        <v>1235</v>
      </c>
      <c r="W53" s="72"/>
    </row>
    <row r="54" spans="1:23" x14ac:dyDescent="0.2">
      <c r="A54" s="293">
        <f t="shared" si="0"/>
        <v>38</v>
      </c>
      <c r="B54" s="163" t="s">
        <v>1288</v>
      </c>
      <c r="C54" s="163" t="s">
        <v>1307</v>
      </c>
      <c r="D54" s="163" t="s">
        <v>1299</v>
      </c>
      <c r="E54" s="175">
        <v>50</v>
      </c>
      <c r="F54" s="175">
        <v>95</v>
      </c>
      <c r="G54" s="130"/>
      <c r="H54" s="222">
        <f t="shared" si="1"/>
        <v>4750</v>
      </c>
      <c r="I54" s="222">
        <f t="shared" si="2"/>
        <v>91.34615384615384</v>
      </c>
      <c r="J54" s="67"/>
      <c r="K54" s="67"/>
      <c r="L54" s="360" t="s">
        <v>1235</v>
      </c>
      <c r="M54" s="294">
        <f t="shared" si="3"/>
        <v>38</v>
      </c>
      <c r="N54" s="492">
        <v>44412</v>
      </c>
      <c r="O54" s="163"/>
      <c r="P54" s="163"/>
      <c r="Q54" s="175">
        <v>1</v>
      </c>
      <c r="R54" s="175">
        <v>210</v>
      </c>
      <c r="S54" s="130"/>
      <c r="T54" s="223">
        <f t="shared" si="4"/>
        <v>210</v>
      </c>
      <c r="U54" s="222">
        <f t="shared" si="5"/>
        <v>4.0384615384615383</v>
      </c>
      <c r="V54" s="361" t="s">
        <v>1235</v>
      </c>
      <c r="W54" s="72"/>
    </row>
    <row r="55" spans="1:23" x14ac:dyDescent="0.2">
      <c r="A55" s="293">
        <f t="shared" si="0"/>
        <v>39</v>
      </c>
      <c r="B55" s="163" t="s">
        <v>1296</v>
      </c>
      <c r="C55" s="163" t="s">
        <v>1307</v>
      </c>
      <c r="D55" s="163" t="s">
        <v>1299</v>
      </c>
      <c r="E55" s="175">
        <v>50</v>
      </c>
      <c r="F55" s="175">
        <v>95</v>
      </c>
      <c r="G55" s="130"/>
      <c r="H55" s="222">
        <f t="shared" si="1"/>
        <v>4750</v>
      </c>
      <c r="I55" s="222">
        <f t="shared" si="2"/>
        <v>91.34615384615384</v>
      </c>
      <c r="J55" s="67"/>
      <c r="K55" s="67"/>
      <c r="L55" s="360" t="s">
        <v>1235</v>
      </c>
      <c r="M55" s="294">
        <f t="shared" si="3"/>
        <v>39</v>
      </c>
      <c r="N55" s="492">
        <v>44413</v>
      </c>
      <c r="O55" s="163"/>
      <c r="P55" s="163"/>
      <c r="Q55" s="175">
        <v>1</v>
      </c>
      <c r="R55" s="175">
        <v>210</v>
      </c>
      <c r="S55" s="130"/>
      <c r="T55" s="223">
        <f t="shared" si="4"/>
        <v>210</v>
      </c>
      <c r="U55" s="222">
        <f t="shared" si="5"/>
        <v>4.0384615384615383</v>
      </c>
      <c r="V55" s="361" t="s">
        <v>1235</v>
      </c>
      <c r="W55" s="72"/>
    </row>
    <row r="56" spans="1:23" x14ac:dyDescent="0.2">
      <c r="A56" s="293">
        <f t="shared" si="0"/>
        <v>40</v>
      </c>
      <c r="B56" s="163" t="s">
        <v>1289</v>
      </c>
      <c r="C56" s="163" t="s">
        <v>1307</v>
      </c>
      <c r="D56" s="163" t="s">
        <v>1299</v>
      </c>
      <c r="E56" s="175">
        <v>50</v>
      </c>
      <c r="F56" s="175">
        <v>100</v>
      </c>
      <c r="G56" s="130"/>
      <c r="H56" s="222">
        <f t="shared" si="1"/>
        <v>5000</v>
      </c>
      <c r="I56" s="222">
        <f t="shared" si="2"/>
        <v>96.15384615384616</v>
      </c>
      <c r="J56" s="67"/>
      <c r="K56" s="67"/>
      <c r="L56" s="360" t="s">
        <v>1235</v>
      </c>
      <c r="M56" s="294">
        <f t="shared" si="3"/>
        <v>40</v>
      </c>
      <c r="N56" s="492">
        <v>44415</v>
      </c>
      <c r="O56" s="163"/>
      <c r="P56" s="163"/>
      <c r="Q56" s="175">
        <v>1</v>
      </c>
      <c r="R56" s="175">
        <v>660</v>
      </c>
      <c r="S56" s="130"/>
      <c r="T56" s="223">
        <f t="shared" si="4"/>
        <v>660</v>
      </c>
      <c r="U56" s="222">
        <f t="shared" si="5"/>
        <v>12.692307692307692</v>
      </c>
      <c r="V56" s="361" t="s">
        <v>1235</v>
      </c>
      <c r="W56" s="72"/>
    </row>
    <row r="57" spans="1:23" x14ac:dyDescent="0.2">
      <c r="A57" s="293">
        <f t="shared" si="0"/>
        <v>41</v>
      </c>
      <c r="B57" s="163" t="s">
        <v>1302</v>
      </c>
      <c r="C57" s="163" t="s">
        <v>1307</v>
      </c>
      <c r="D57" s="163" t="s">
        <v>1299</v>
      </c>
      <c r="E57" s="175">
        <v>50</v>
      </c>
      <c r="F57" s="175">
        <v>20</v>
      </c>
      <c r="G57" s="130"/>
      <c r="H57" s="222">
        <f t="shared" si="1"/>
        <v>1000</v>
      </c>
      <c r="I57" s="222">
        <f t="shared" si="2"/>
        <v>19.23076923076923</v>
      </c>
      <c r="J57" s="67"/>
      <c r="K57" s="67"/>
      <c r="L57" s="360" t="s">
        <v>1235</v>
      </c>
      <c r="M57" s="294">
        <f t="shared" si="3"/>
        <v>41</v>
      </c>
      <c r="N57" s="492">
        <v>44416</v>
      </c>
      <c r="O57" s="163"/>
      <c r="P57" s="163"/>
      <c r="Q57" s="175">
        <v>1</v>
      </c>
      <c r="R57" s="175">
        <v>660</v>
      </c>
      <c r="S57" s="130"/>
      <c r="T57" s="223">
        <f t="shared" si="4"/>
        <v>660</v>
      </c>
      <c r="U57" s="222">
        <f t="shared" si="5"/>
        <v>12.692307692307692</v>
      </c>
      <c r="V57" s="361" t="s">
        <v>1235</v>
      </c>
      <c r="W57" s="72"/>
    </row>
    <row r="58" spans="1:23" x14ac:dyDescent="0.2">
      <c r="A58" s="293">
        <f t="shared" si="0"/>
        <v>42</v>
      </c>
      <c r="B58" s="163" t="s">
        <v>1288</v>
      </c>
      <c r="C58" s="163" t="s">
        <v>1307</v>
      </c>
      <c r="D58" s="163" t="s">
        <v>1300</v>
      </c>
      <c r="E58" s="175">
        <v>50</v>
      </c>
      <c r="F58" s="175">
        <v>95</v>
      </c>
      <c r="G58" s="130"/>
      <c r="H58" s="222">
        <f t="shared" si="1"/>
        <v>4750</v>
      </c>
      <c r="I58" s="222">
        <f t="shared" si="2"/>
        <v>91.34615384615384</v>
      </c>
      <c r="J58" s="67"/>
      <c r="K58" s="67"/>
      <c r="L58" s="360" t="s">
        <v>1235</v>
      </c>
      <c r="M58" s="294">
        <f t="shared" si="3"/>
        <v>42</v>
      </c>
      <c r="N58" s="492">
        <v>44416</v>
      </c>
      <c r="O58" s="163"/>
      <c r="P58" s="163"/>
      <c r="Q58" s="175">
        <v>1</v>
      </c>
      <c r="R58" s="175">
        <v>660</v>
      </c>
      <c r="S58" s="130"/>
      <c r="T58" s="223">
        <f t="shared" si="4"/>
        <v>660</v>
      </c>
      <c r="U58" s="222">
        <f t="shared" si="5"/>
        <v>12.692307692307692</v>
      </c>
      <c r="V58" s="361" t="s">
        <v>1235</v>
      </c>
      <c r="W58" s="72"/>
    </row>
    <row r="59" spans="1:23" x14ac:dyDescent="0.2">
      <c r="A59" s="293">
        <f t="shared" si="0"/>
        <v>43</v>
      </c>
      <c r="B59" s="163" t="s">
        <v>1296</v>
      </c>
      <c r="C59" s="163" t="s">
        <v>1307</v>
      </c>
      <c r="D59" s="163" t="s">
        <v>1300</v>
      </c>
      <c r="E59" s="175">
        <v>50</v>
      </c>
      <c r="F59" s="175">
        <v>160</v>
      </c>
      <c r="G59" s="130"/>
      <c r="H59" s="222">
        <f t="shared" si="1"/>
        <v>8000</v>
      </c>
      <c r="I59" s="222">
        <f t="shared" si="2"/>
        <v>153.84615384615384</v>
      </c>
      <c r="J59" s="67"/>
      <c r="K59" s="67"/>
      <c r="L59" s="360" t="s">
        <v>1235</v>
      </c>
      <c r="M59" s="294">
        <f t="shared" si="3"/>
        <v>43</v>
      </c>
      <c r="N59" s="492">
        <v>44417</v>
      </c>
      <c r="O59" s="163"/>
      <c r="P59" s="163"/>
      <c r="Q59" s="175">
        <v>1</v>
      </c>
      <c r="R59" s="175">
        <v>210</v>
      </c>
      <c r="S59" s="130"/>
      <c r="T59" s="223">
        <f t="shared" si="4"/>
        <v>210</v>
      </c>
      <c r="U59" s="222">
        <f t="shared" si="5"/>
        <v>4.0384615384615383</v>
      </c>
      <c r="V59" s="361" t="s">
        <v>1235</v>
      </c>
      <c r="W59" s="72"/>
    </row>
    <row r="60" spans="1:23" x14ac:dyDescent="0.2">
      <c r="A60" s="293">
        <f t="shared" si="0"/>
        <v>44</v>
      </c>
      <c r="B60" s="163" t="s">
        <v>1289</v>
      </c>
      <c r="C60" s="163" t="s">
        <v>1307</v>
      </c>
      <c r="D60" s="163" t="s">
        <v>1300</v>
      </c>
      <c r="E60" s="175">
        <v>50</v>
      </c>
      <c r="F60" s="175">
        <v>140</v>
      </c>
      <c r="G60" s="130"/>
      <c r="H60" s="222">
        <f t="shared" si="1"/>
        <v>7000</v>
      </c>
      <c r="I60" s="222">
        <f t="shared" si="2"/>
        <v>134.61538461538461</v>
      </c>
      <c r="J60" s="67"/>
      <c r="K60" s="67"/>
      <c r="L60" s="360" t="s">
        <v>1235</v>
      </c>
      <c r="M60" s="294">
        <f t="shared" si="3"/>
        <v>44</v>
      </c>
      <c r="N60" s="492">
        <v>44418</v>
      </c>
      <c r="O60" s="163"/>
      <c r="P60" s="163"/>
      <c r="Q60" s="175">
        <v>1</v>
      </c>
      <c r="R60" s="175">
        <v>660</v>
      </c>
      <c r="S60" s="130"/>
      <c r="T60" s="223">
        <f t="shared" si="4"/>
        <v>660</v>
      </c>
      <c r="U60" s="222">
        <f t="shared" si="5"/>
        <v>12.692307692307692</v>
      </c>
      <c r="V60" s="361" t="s">
        <v>1235</v>
      </c>
      <c r="W60" s="72"/>
    </row>
    <row r="61" spans="1:23" x14ac:dyDescent="0.2">
      <c r="A61" s="293">
        <f t="shared" si="0"/>
        <v>45</v>
      </c>
      <c r="B61" s="163" t="s">
        <v>1288</v>
      </c>
      <c r="C61" s="163" t="s">
        <v>1307</v>
      </c>
      <c r="D61" s="163" t="s">
        <v>1303</v>
      </c>
      <c r="E61" s="175">
        <v>49</v>
      </c>
      <c r="F61" s="175">
        <v>75</v>
      </c>
      <c r="G61" s="130"/>
      <c r="H61" s="222">
        <f t="shared" si="1"/>
        <v>3675</v>
      </c>
      <c r="I61" s="222">
        <f t="shared" si="2"/>
        <v>70.67307692307692</v>
      </c>
      <c r="J61" s="67"/>
      <c r="K61" s="67"/>
      <c r="L61" s="360" t="s">
        <v>1235</v>
      </c>
      <c r="M61" s="294">
        <f t="shared" si="3"/>
        <v>45</v>
      </c>
      <c r="N61" s="492">
        <v>44419</v>
      </c>
      <c r="O61" s="163"/>
      <c r="P61" s="163"/>
      <c r="Q61" s="175">
        <v>1</v>
      </c>
      <c r="R61" s="175">
        <v>660</v>
      </c>
      <c r="S61" s="130"/>
      <c r="T61" s="223">
        <f t="shared" si="4"/>
        <v>660</v>
      </c>
      <c r="U61" s="222">
        <f t="shared" si="5"/>
        <v>12.692307692307692</v>
      </c>
      <c r="V61" s="361" t="s">
        <v>1235</v>
      </c>
      <c r="W61" s="72"/>
    </row>
    <row r="62" spans="1:23" x14ac:dyDescent="0.2">
      <c r="A62" s="293">
        <f t="shared" si="0"/>
        <v>46</v>
      </c>
      <c r="B62" s="163" t="s">
        <v>1291</v>
      </c>
      <c r="C62" s="163" t="s">
        <v>1307</v>
      </c>
      <c r="D62" s="163" t="s">
        <v>1303</v>
      </c>
      <c r="E62" s="175">
        <v>49</v>
      </c>
      <c r="F62" s="175">
        <v>120</v>
      </c>
      <c r="G62" s="130"/>
      <c r="H62" s="222">
        <f t="shared" si="1"/>
        <v>5880</v>
      </c>
      <c r="I62" s="222">
        <f t="shared" si="2"/>
        <v>113.07692307692308</v>
      </c>
      <c r="J62" s="67"/>
      <c r="K62" s="67"/>
      <c r="L62" s="360" t="s">
        <v>1235</v>
      </c>
      <c r="M62" s="294">
        <f t="shared" si="3"/>
        <v>46</v>
      </c>
      <c r="N62" s="492">
        <v>44420</v>
      </c>
      <c r="O62" s="163"/>
      <c r="P62" s="163"/>
      <c r="Q62" s="175">
        <v>1</v>
      </c>
      <c r="R62" s="175">
        <v>210</v>
      </c>
      <c r="S62" s="130"/>
      <c r="T62" s="223">
        <f t="shared" si="4"/>
        <v>210</v>
      </c>
      <c r="U62" s="222">
        <f t="shared" si="5"/>
        <v>4.0384615384615383</v>
      </c>
      <c r="V62" s="361" t="s">
        <v>1235</v>
      </c>
      <c r="W62" s="72"/>
    </row>
    <row r="63" spans="1:23" x14ac:dyDescent="0.2">
      <c r="A63" s="293">
        <f t="shared" si="0"/>
        <v>47</v>
      </c>
      <c r="B63" s="163" t="s">
        <v>1296</v>
      </c>
      <c r="C63" s="163" t="s">
        <v>1307</v>
      </c>
      <c r="D63" s="163" t="s">
        <v>1303</v>
      </c>
      <c r="E63" s="175">
        <v>49</v>
      </c>
      <c r="F63" s="175">
        <v>100</v>
      </c>
      <c r="G63" s="130"/>
      <c r="H63" s="222">
        <f t="shared" si="1"/>
        <v>4900</v>
      </c>
      <c r="I63" s="222">
        <f t="shared" si="2"/>
        <v>94.230769230769226</v>
      </c>
      <c r="J63" s="67"/>
      <c r="K63" s="67"/>
      <c r="L63" s="360" t="s">
        <v>1235</v>
      </c>
      <c r="M63" s="294">
        <f t="shared" si="3"/>
        <v>47</v>
      </c>
      <c r="N63" s="492">
        <v>44423</v>
      </c>
      <c r="O63" s="163"/>
      <c r="P63" s="163"/>
      <c r="Q63" s="175">
        <v>1</v>
      </c>
      <c r="R63" s="175">
        <v>240</v>
      </c>
      <c r="S63" s="130"/>
      <c r="T63" s="223">
        <f t="shared" si="4"/>
        <v>240</v>
      </c>
      <c r="U63" s="222">
        <f t="shared" si="5"/>
        <v>4.615384615384615</v>
      </c>
      <c r="V63" s="361" t="s">
        <v>1235</v>
      </c>
      <c r="W63" s="72"/>
    </row>
    <row r="64" spans="1:23" x14ac:dyDescent="0.2">
      <c r="A64" s="293">
        <f t="shared" si="0"/>
        <v>48</v>
      </c>
      <c r="B64" s="163" t="s">
        <v>1289</v>
      </c>
      <c r="C64" s="163" t="s">
        <v>1307</v>
      </c>
      <c r="D64" s="163" t="s">
        <v>1303</v>
      </c>
      <c r="E64" s="175">
        <v>49</v>
      </c>
      <c r="F64" s="175">
        <v>100</v>
      </c>
      <c r="G64" s="130"/>
      <c r="H64" s="222">
        <f t="shared" si="1"/>
        <v>4900</v>
      </c>
      <c r="I64" s="222">
        <f t="shared" si="2"/>
        <v>94.230769230769226</v>
      </c>
      <c r="J64" s="67"/>
      <c r="K64" s="67"/>
      <c r="L64" s="360" t="s">
        <v>1235</v>
      </c>
      <c r="M64" s="294">
        <f t="shared" si="3"/>
        <v>48</v>
      </c>
      <c r="N64" s="492">
        <v>44423</v>
      </c>
      <c r="O64" s="163"/>
      <c r="P64" s="163"/>
      <c r="Q64" s="175">
        <v>1</v>
      </c>
      <c r="R64" s="175">
        <v>720</v>
      </c>
      <c r="S64" s="130"/>
      <c r="T64" s="223">
        <f t="shared" si="4"/>
        <v>720</v>
      </c>
      <c r="U64" s="222">
        <f t="shared" si="5"/>
        <v>13.846153846153847</v>
      </c>
      <c r="V64" s="361" t="s">
        <v>1235</v>
      </c>
      <c r="W64" s="72"/>
    </row>
    <row r="65" spans="1:23" x14ac:dyDescent="0.2">
      <c r="A65" s="293">
        <f t="shared" si="0"/>
        <v>49</v>
      </c>
      <c r="B65" s="163" t="s">
        <v>1288</v>
      </c>
      <c r="C65" s="163" t="s">
        <v>1307</v>
      </c>
      <c r="D65" s="163" t="s">
        <v>1305</v>
      </c>
      <c r="E65" s="175">
        <v>50</v>
      </c>
      <c r="F65" s="175">
        <v>160</v>
      </c>
      <c r="G65" s="130"/>
      <c r="H65" s="222">
        <f t="shared" si="1"/>
        <v>8000</v>
      </c>
      <c r="I65" s="222">
        <f t="shared" si="2"/>
        <v>153.84615384615384</v>
      </c>
      <c r="J65" s="67"/>
      <c r="K65" s="67"/>
      <c r="L65" s="360" t="s">
        <v>1235</v>
      </c>
      <c r="M65" s="294">
        <f t="shared" si="3"/>
        <v>49</v>
      </c>
      <c r="N65" s="492">
        <v>44425</v>
      </c>
      <c r="O65" s="163"/>
      <c r="P65" s="163"/>
      <c r="Q65" s="175">
        <v>1</v>
      </c>
      <c r="R65" s="175">
        <v>210</v>
      </c>
      <c r="S65" s="130"/>
      <c r="T65" s="223">
        <f t="shared" si="4"/>
        <v>210</v>
      </c>
      <c r="U65" s="222">
        <f t="shared" si="5"/>
        <v>4.0384615384615383</v>
      </c>
      <c r="V65" s="361" t="s">
        <v>1235</v>
      </c>
      <c r="W65" s="72"/>
    </row>
    <row r="66" spans="1:23" x14ac:dyDescent="0.2">
      <c r="A66" s="293">
        <f t="shared" si="0"/>
        <v>50</v>
      </c>
      <c r="B66" s="163" t="s">
        <v>1289</v>
      </c>
      <c r="C66" s="163" t="s">
        <v>1307</v>
      </c>
      <c r="D66" s="163" t="s">
        <v>1305</v>
      </c>
      <c r="E66" s="175">
        <v>50</v>
      </c>
      <c r="F66" s="175">
        <v>100</v>
      </c>
      <c r="G66" s="130"/>
      <c r="H66" s="222">
        <f t="shared" si="1"/>
        <v>5000</v>
      </c>
      <c r="I66" s="222">
        <f t="shared" si="2"/>
        <v>96.15384615384616</v>
      </c>
      <c r="J66" s="67"/>
      <c r="K66" s="67"/>
      <c r="L66" s="360" t="s">
        <v>1235</v>
      </c>
      <c r="M66" s="294">
        <f t="shared" si="3"/>
        <v>50</v>
      </c>
      <c r="N66" s="492">
        <v>44425</v>
      </c>
      <c r="O66" s="163"/>
      <c r="P66" s="163"/>
      <c r="Q66" s="175">
        <v>1</v>
      </c>
      <c r="R66" s="175">
        <v>660</v>
      </c>
      <c r="S66" s="130"/>
      <c r="T66" s="223">
        <f t="shared" si="4"/>
        <v>660</v>
      </c>
      <c r="U66" s="222">
        <f t="shared" si="5"/>
        <v>12.692307692307692</v>
      </c>
      <c r="V66" s="361" t="s">
        <v>1235</v>
      </c>
      <c r="W66" s="72"/>
    </row>
    <row r="67" spans="1:23" x14ac:dyDescent="0.2">
      <c r="A67" s="293">
        <f t="shared" si="0"/>
        <v>51</v>
      </c>
      <c r="B67" s="163" t="s">
        <v>1296</v>
      </c>
      <c r="C67" s="163" t="s">
        <v>1307</v>
      </c>
      <c r="D67" s="163" t="s">
        <v>1305</v>
      </c>
      <c r="E67" s="175">
        <v>50</v>
      </c>
      <c r="F67" s="175">
        <v>120</v>
      </c>
      <c r="G67" s="130"/>
      <c r="H67" s="222">
        <f t="shared" si="1"/>
        <v>6000</v>
      </c>
      <c r="I67" s="222">
        <f t="shared" si="2"/>
        <v>115.38461538461539</v>
      </c>
      <c r="J67" s="67"/>
      <c r="K67" s="67"/>
      <c r="L67" s="360" t="s">
        <v>1235</v>
      </c>
      <c r="M67" s="294">
        <f t="shared" si="3"/>
        <v>51</v>
      </c>
      <c r="N67" s="492">
        <v>44426</v>
      </c>
      <c r="O67" s="163"/>
      <c r="P67" s="163"/>
      <c r="Q67" s="175">
        <v>1</v>
      </c>
      <c r="R67" s="175">
        <v>210</v>
      </c>
      <c r="S67" s="130"/>
      <c r="T67" s="223">
        <f t="shared" si="4"/>
        <v>210</v>
      </c>
      <c r="U67" s="222">
        <f t="shared" si="5"/>
        <v>4.0384615384615383</v>
      </c>
      <c r="V67" s="361" t="s">
        <v>1235</v>
      </c>
      <c r="W67" s="72"/>
    </row>
    <row r="68" spans="1:23" x14ac:dyDescent="0.2">
      <c r="A68" s="293">
        <f t="shared" si="0"/>
        <v>52</v>
      </c>
      <c r="B68" s="163" t="s">
        <v>1288</v>
      </c>
      <c r="C68" s="163" t="s">
        <v>1307</v>
      </c>
      <c r="D68" s="163" t="s">
        <v>1306</v>
      </c>
      <c r="E68" s="175">
        <v>50</v>
      </c>
      <c r="F68" s="175">
        <v>160</v>
      </c>
      <c r="G68" s="130"/>
      <c r="H68" s="222">
        <f t="shared" si="1"/>
        <v>8000</v>
      </c>
      <c r="I68" s="222">
        <f t="shared" si="2"/>
        <v>153.84615384615384</v>
      </c>
      <c r="J68" s="67"/>
      <c r="K68" s="67"/>
      <c r="L68" s="360" t="s">
        <v>1235</v>
      </c>
      <c r="M68" s="294">
        <f t="shared" si="3"/>
        <v>52</v>
      </c>
      <c r="N68" s="492">
        <v>44427</v>
      </c>
      <c r="O68" s="163"/>
      <c r="P68" s="163"/>
      <c r="Q68" s="175">
        <v>1</v>
      </c>
      <c r="R68" s="175">
        <v>210</v>
      </c>
      <c r="S68" s="130"/>
      <c r="T68" s="223">
        <f t="shared" si="4"/>
        <v>210</v>
      </c>
      <c r="U68" s="222">
        <f t="shared" si="5"/>
        <v>4.0384615384615383</v>
      </c>
      <c r="V68" s="361" t="s">
        <v>1235</v>
      </c>
      <c r="W68" s="72"/>
    </row>
    <row r="69" spans="1:23" x14ac:dyDescent="0.2">
      <c r="A69" s="293">
        <f t="shared" si="0"/>
        <v>53</v>
      </c>
      <c r="B69" s="163" t="s">
        <v>1289</v>
      </c>
      <c r="C69" s="163" t="s">
        <v>1307</v>
      </c>
      <c r="D69" s="163" t="s">
        <v>1306</v>
      </c>
      <c r="E69" s="175">
        <v>50</v>
      </c>
      <c r="F69" s="175">
        <v>100</v>
      </c>
      <c r="G69" s="130"/>
      <c r="H69" s="222">
        <f t="shared" si="1"/>
        <v>5000</v>
      </c>
      <c r="I69" s="222">
        <f t="shared" si="2"/>
        <v>96.15384615384616</v>
      </c>
      <c r="J69" s="67"/>
      <c r="K69" s="67"/>
      <c r="L69" s="360" t="s">
        <v>1235</v>
      </c>
      <c r="M69" s="294">
        <f t="shared" si="3"/>
        <v>53</v>
      </c>
      <c r="N69" s="492">
        <v>44430</v>
      </c>
      <c r="O69" s="163"/>
      <c r="P69" s="163"/>
      <c r="Q69" s="175">
        <v>1</v>
      </c>
      <c r="R69" s="175">
        <v>720</v>
      </c>
      <c r="S69" s="130"/>
      <c r="T69" s="223">
        <f t="shared" si="4"/>
        <v>720</v>
      </c>
      <c r="U69" s="222">
        <f t="shared" si="5"/>
        <v>13.846153846153847</v>
      </c>
      <c r="V69" s="361" t="s">
        <v>1235</v>
      </c>
      <c r="W69" s="72"/>
    </row>
    <row r="70" spans="1:23" x14ac:dyDescent="0.2">
      <c r="A70" s="293">
        <f t="shared" si="0"/>
        <v>54</v>
      </c>
      <c r="B70" s="163" t="s">
        <v>1296</v>
      </c>
      <c r="C70" s="163" t="s">
        <v>1307</v>
      </c>
      <c r="D70" s="163" t="s">
        <v>1306</v>
      </c>
      <c r="E70" s="175">
        <v>50</v>
      </c>
      <c r="F70" s="175">
        <v>120</v>
      </c>
      <c r="G70" s="130"/>
      <c r="H70" s="222">
        <f t="shared" si="1"/>
        <v>6000</v>
      </c>
      <c r="I70" s="222">
        <f t="shared" si="2"/>
        <v>115.38461538461539</v>
      </c>
      <c r="J70" s="67"/>
      <c r="K70" s="67"/>
      <c r="L70" s="360" t="s">
        <v>1235</v>
      </c>
      <c r="M70" s="294">
        <f t="shared" si="3"/>
        <v>54</v>
      </c>
      <c r="N70" s="492">
        <v>44431</v>
      </c>
      <c r="O70" s="163"/>
      <c r="P70" s="163"/>
      <c r="Q70" s="175">
        <v>1</v>
      </c>
      <c r="R70" s="175">
        <v>210</v>
      </c>
      <c r="S70" s="130"/>
      <c r="T70" s="223">
        <f t="shared" si="4"/>
        <v>210</v>
      </c>
      <c r="U70" s="222">
        <f t="shared" si="5"/>
        <v>4.0384615384615383</v>
      </c>
      <c r="V70" s="361" t="s">
        <v>1235</v>
      </c>
      <c r="W70" s="72"/>
    </row>
    <row r="71" spans="1:23" x14ac:dyDescent="0.2">
      <c r="A71" s="293">
        <f t="shared" si="0"/>
        <v>0</v>
      </c>
      <c r="B71" s="163"/>
      <c r="C71" s="163"/>
      <c r="D71" s="163"/>
      <c r="E71" s="175"/>
      <c r="F71" s="175"/>
      <c r="G71" s="130"/>
      <c r="H71" s="222" t="str">
        <f t="shared" si="1"/>
        <v/>
      </c>
      <c r="I71" s="222" t="str">
        <f t="shared" si="2"/>
        <v/>
      </c>
      <c r="J71" s="67"/>
      <c r="K71" s="67"/>
      <c r="L71" s="360" t="s">
        <v>1235</v>
      </c>
      <c r="M71" s="294">
        <f t="shared" si="3"/>
        <v>0</v>
      </c>
      <c r="N71" s="176"/>
      <c r="O71" s="163"/>
      <c r="P71" s="163"/>
      <c r="Q71" s="175"/>
      <c r="R71" s="175"/>
      <c r="S71" s="130"/>
      <c r="T71" s="223" t="str">
        <f t="shared" si="4"/>
        <v/>
      </c>
      <c r="U71" s="222" t="str">
        <f t="shared" si="5"/>
        <v/>
      </c>
      <c r="V71" s="361" t="s">
        <v>1235</v>
      </c>
      <c r="W71" s="72"/>
    </row>
    <row r="72" spans="1:23" x14ac:dyDescent="0.2">
      <c r="A72" s="293">
        <f t="shared" si="0"/>
        <v>0</v>
      </c>
      <c r="B72" s="163"/>
      <c r="C72" s="163"/>
      <c r="D72" s="163"/>
      <c r="E72" s="175"/>
      <c r="F72" s="175"/>
      <c r="G72" s="130"/>
      <c r="H72" s="222" t="str">
        <f t="shared" si="1"/>
        <v/>
      </c>
      <c r="I72" s="222" t="str">
        <f t="shared" si="2"/>
        <v/>
      </c>
      <c r="J72" s="67"/>
      <c r="K72" s="67"/>
      <c r="L72" s="360" t="s">
        <v>1235</v>
      </c>
      <c r="M72" s="294">
        <f t="shared" si="3"/>
        <v>0</v>
      </c>
      <c r="N72" s="176"/>
      <c r="O72" s="163"/>
      <c r="P72" s="163"/>
      <c r="Q72" s="175"/>
      <c r="R72" s="175"/>
      <c r="S72" s="130"/>
      <c r="T72" s="223" t="str">
        <f t="shared" si="4"/>
        <v/>
      </c>
      <c r="U72" s="222" t="str">
        <f t="shared" si="5"/>
        <v/>
      </c>
      <c r="V72" s="361" t="s">
        <v>1235</v>
      </c>
      <c r="W72" s="72"/>
    </row>
    <row r="73" spans="1:23" x14ac:dyDescent="0.2">
      <c r="A73" s="293">
        <f t="shared" si="0"/>
        <v>0</v>
      </c>
      <c r="B73" s="163"/>
      <c r="C73" s="163"/>
      <c r="D73" s="163"/>
      <c r="E73" s="175"/>
      <c r="F73" s="175"/>
      <c r="G73" s="130"/>
      <c r="H73" s="222" t="str">
        <f t="shared" si="1"/>
        <v/>
      </c>
      <c r="I73" s="222" t="str">
        <f t="shared" si="2"/>
        <v/>
      </c>
      <c r="J73" s="67"/>
      <c r="K73" s="67"/>
      <c r="L73" s="360" t="s">
        <v>1235</v>
      </c>
      <c r="M73" s="294">
        <f t="shared" si="3"/>
        <v>0</v>
      </c>
      <c r="N73" s="176"/>
      <c r="O73" s="163"/>
      <c r="P73" s="163"/>
      <c r="Q73" s="175"/>
      <c r="R73" s="175"/>
      <c r="S73" s="130"/>
      <c r="T73" s="223" t="str">
        <f t="shared" si="4"/>
        <v/>
      </c>
      <c r="U73" s="222" t="str">
        <f t="shared" si="5"/>
        <v/>
      </c>
      <c r="V73" s="361" t="s">
        <v>1235</v>
      </c>
      <c r="W73" s="72"/>
    </row>
    <row r="74" spans="1:23" x14ac:dyDescent="0.2">
      <c r="A74" s="293">
        <f t="shared" si="0"/>
        <v>0</v>
      </c>
      <c r="B74" s="163"/>
      <c r="C74" s="163"/>
      <c r="D74" s="163"/>
      <c r="E74" s="175"/>
      <c r="F74" s="175"/>
      <c r="G74" s="130"/>
      <c r="H74" s="222" t="str">
        <f t="shared" si="1"/>
        <v/>
      </c>
      <c r="I74" s="222" t="str">
        <f t="shared" si="2"/>
        <v/>
      </c>
      <c r="J74" s="67"/>
      <c r="K74" s="67"/>
      <c r="L74" s="360" t="s">
        <v>1235</v>
      </c>
      <c r="M74" s="294">
        <f t="shared" si="3"/>
        <v>0</v>
      </c>
      <c r="N74" s="176"/>
      <c r="O74" s="163"/>
      <c r="P74" s="163"/>
      <c r="Q74" s="175"/>
      <c r="R74" s="175"/>
      <c r="S74" s="130"/>
      <c r="T74" s="223" t="str">
        <f t="shared" si="4"/>
        <v/>
      </c>
      <c r="U74" s="222" t="str">
        <f t="shared" si="5"/>
        <v/>
      </c>
      <c r="V74" s="361" t="s">
        <v>1235</v>
      </c>
      <c r="W74" s="72"/>
    </row>
    <row r="75" spans="1:23" x14ac:dyDescent="0.2">
      <c r="A75" s="293">
        <f t="shared" si="0"/>
        <v>0</v>
      </c>
      <c r="B75" s="163"/>
      <c r="C75" s="163"/>
      <c r="D75" s="163"/>
      <c r="E75" s="175"/>
      <c r="F75" s="175"/>
      <c r="G75" s="130"/>
      <c r="H75" s="222" t="str">
        <f t="shared" si="1"/>
        <v/>
      </c>
      <c r="I75" s="222" t="str">
        <f t="shared" si="2"/>
        <v/>
      </c>
      <c r="J75" s="67"/>
      <c r="K75" s="67"/>
      <c r="L75" s="360" t="s">
        <v>1235</v>
      </c>
      <c r="M75" s="294">
        <f t="shared" si="3"/>
        <v>0</v>
      </c>
      <c r="N75" s="176"/>
      <c r="O75" s="163"/>
      <c r="P75" s="163"/>
      <c r="Q75" s="175"/>
      <c r="R75" s="175"/>
      <c r="S75" s="130"/>
      <c r="T75" s="223" t="str">
        <f t="shared" si="4"/>
        <v/>
      </c>
      <c r="U75" s="222" t="str">
        <f t="shared" si="5"/>
        <v/>
      </c>
      <c r="V75" s="361" t="s">
        <v>1235</v>
      </c>
      <c r="W75" s="72"/>
    </row>
    <row r="76" spans="1:23" x14ac:dyDescent="0.2">
      <c r="A76" s="293">
        <f t="shared" si="0"/>
        <v>0</v>
      </c>
      <c r="B76" s="163"/>
      <c r="C76" s="163"/>
      <c r="D76" s="163"/>
      <c r="E76" s="175"/>
      <c r="F76" s="175"/>
      <c r="G76" s="130"/>
      <c r="H76" s="222" t="str">
        <f t="shared" si="1"/>
        <v/>
      </c>
      <c r="I76" s="222" t="str">
        <f t="shared" si="2"/>
        <v/>
      </c>
      <c r="J76" s="67"/>
      <c r="K76" s="67"/>
      <c r="L76" s="360" t="s">
        <v>1235</v>
      </c>
      <c r="M76" s="294">
        <f t="shared" si="3"/>
        <v>0</v>
      </c>
      <c r="N76" s="176"/>
      <c r="O76" s="163"/>
      <c r="P76" s="163"/>
      <c r="Q76" s="175"/>
      <c r="R76" s="175"/>
      <c r="S76" s="130"/>
      <c r="T76" s="223" t="str">
        <f t="shared" si="4"/>
        <v/>
      </c>
      <c r="U76" s="222" t="str">
        <f t="shared" si="5"/>
        <v/>
      </c>
      <c r="V76" s="361" t="s">
        <v>1235</v>
      </c>
      <c r="W76" s="72"/>
    </row>
    <row r="77" spans="1:23" x14ac:dyDescent="0.2">
      <c r="A77" s="293">
        <f t="shared" si="0"/>
        <v>0</v>
      </c>
      <c r="B77" s="163"/>
      <c r="C77" s="163"/>
      <c r="D77" s="163"/>
      <c r="E77" s="175"/>
      <c r="F77" s="175"/>
      <c r="G77" s="130"/>
      <c r="H77" s="222" t="str">
        <f t="shared" si="1"/>
        <v/>
      </c>
      <c r="I77" s="222" t="str">
        <f t="shared" si="2"/>
        <v/>
      </c>
      <c r="J77" s="67"/>
      <c r="K77" s="67"/>
      <c r="L77" s="360" t="s">
        <v>1235</v>
      </c>
      <c r="M77" s="294">
        <f t="shared" si="3"/>
        <v>0</v>
      </c>
      <c r="N77" s="176"/>
      <c r="O77" s="163"/>
      <c r="P77" s="163"/>
      <c r="Q77" s="175"/>
      <c r="R77" s="175"/>
      <c r="S77" s="130"/>
      <c r="T77" s="223" t="str">
        <f t="shared" si="4"/>
        <v/>
      </c>
      <c r="U77" s="222" t="str">
        <f t="shared" si="5"/>
        <v/>
      </c>
      <c r="V77" s="361" t="s">
        <v>1235</v>
      </c>
      <c r="W77" s="72"/>
    </row>
    <row r="78" spans="1:23" x14ac:dyDescent="0.2">
      <c r="A78" s="293">
        <f t="shared" si="0"/>
        <v>0</v>
      </c>
      <c r="B78" s="163"/>
      <c r="C78" s="163"/>
      <c r="D78" s="163"/>
      <c r="E78" s="175"/>
      <c r="F78" s="175"/>
      <c r="G78" s="130"/>
      <c r="H78" s="222" t="str">
        <f t="shared" si="1"/>
        <v/>
      </c>
      <c r="I78" s="222" t="str">
        <f t="shared" si="2"/>
        <v/>
      </c>
      <c r="J78" s="67"/>
      <c r="K78" s="67"/>
      <c r="L78" s="360" t="s">
        <v>1235</v>
      </c>
      <c r="M78" s="294">
        <f t="shared" si="3"/>
        <v>0</v>
      </c>
      <c r="N78" s="176"/>
      <c r="O78" s="163"/>
      <c r="P78" s="163"/>
      <c r="Q78" s="175"/>
      <c r="R78" s="175"/>
      <c r="S78" s="130"/>
      <c r="T78" s="223" t="str">
        <f t="shared" si="4"/>
        <v/>
      </c>
      <c r="U78" s="222" t="str">
        <f t="shared" si="5"/>
        <v/>
      </c>
      <c r="V78" s="361" t="s">
        <v>1235</v>
      </c>
      <c r="W78" s="72"/>
    </row>
    <row r="79" spans="1:23" x14ac:dyDescent="0.2">
      <c r="A79" s="293">
        <f t="shared" si="0"/>
        <v>0</v>
      </c>
      <c r="B79" s="163"/>
      <c r="C79" s="163"/>
      <c r="D79" s="163"/>
      <c r="E79" s="175"/>
      <c r="F79" s="175"/>
      <c r="G79" s="130"/>
      <c r="H79" s="222" t="str">
        <f t="shared" si="1"/>
        <v/>
      </c>
      <c r="I79" s="222" t="str">
        <f t="shared" si="2"/>
        <v/>
      </c>
      <c r="J79" s="67"/>
      <c r="K79" s="67"/>
      <c r="L79" s="360" t="s">
        <v>1235</v>
      </c>
      <c r="M79" s="294">
        <f t="shared" si="3"/>
        <v>0</v>
      </c>
      <c r="N79" s="176"/>
      <c r="O79" s="163"/>
      <c r="P79" s="163"/>
      <c r="Q79" s="175"/>
      <c r="R79" s="175"/>
      <c r="S79" s="130"/>
      <c r="T79" s="223" t="str">
        <f t="shared" si="4"/>
        <v/>
      </c>
      <c r="U79" s="222" t="str">
        <f t="shared" si="5"/>
        <v/>
      </c>
      <c r="V79" s="361" t="s">
        <v>1235</v>
      </c>
      <c r="W79" s="72"/>
    </row>
    <row r="80" spans="1:23" x14ac:dyDescent="0.2">
      <c r="A80" s="293">
        <f t="shared" si="0"/>
        <v>0</v>
      </c>
      <c r="B80" s="163"/>
      <c r="C80" s="163"/>
      <c r="D80" s="163"/>
      <c r="E80" s="175"/>
      <c r="F80" s="175"/>
      <c r="G80" s="130"/>
      <c r="H80" s="222" t="str">
        <f t="shared" si="1"/>
        <v/>
      </c>
      <c r="I80" s="222" t="str">
        <f t="shared" si="2"/>
        <v/>
      </c>
      <c r="J80" s="67"/>
      <c r="K80" s="67"/>
      <c r="L80" s="360" t="s">
        <v>1235</v>
      </c>
      <c r="M80" s="294">
        <f t="shared" si="3"/>
        <v>0</v>
      </c>
      <c r="N80" s="176"/>
      <c r="O80" s="163"/>
      <c r="P80" s="163"/>
      <c r="Q80" s="175"/>
      <c r="R80" s="175"/>
      <c r="S80" s="130"/>
      <c r="T80" s="223" t="str">
        <f t="shared" si="4"/>
        <v/>
      </c>
      <c r="U80" s="222" t="str">
        <f t="shared" si="5"/>
        <v/>
      </c>
      <c r="V80" s="361" t="s">
        <v>1235</v>
      </c>
      <c r="W80" s="72"/>
    </row>
    <row r="81" spans="1:23" x14ac:dyDescent="0.2">
      <c r="A81" s="293">
        <f t="shared" si="0"/>
        <v>0</v>
      </c>
      <c r="B81" s="163"/>
      <c r="C81" s="163"/>
      <c r="D81" s="163"/>
      <c r="E81" s="175"/>
      <c r="F81" s="175"/>
      <c r="G81" s="130"/>
      <c r="H81" s="222" t="str">
        <f t="shared" si="1"/>
        <v/>
      </c>
      <c r="I81" s="222" t="str">
        <f t="shared" si="2"/>
        <v/>
      </c>
      <c r="J81" s="67"/>
      <c r="K81" s="67"/>
      <c r="L81" s="360" t="s">
        <v>1235</v>
      </c>
      <c r="M81" s="294">
        <f t="shared" si="3"/>
        <v>0</v>
      </c>
      <c r="N81" s="176"/>
      <c r="O81" s="163"/>
      <c r="P81" s="163"/>
      <c r="Q81" s="175"/>
      <c r="R81" s="175"/>
      <c r="S81" s="130"/>
      <c r="T81" s="223" t="str">
        <f t="shared" si="4"/>
        <v/>
      </c>
      <c r="U81" s="222" t="str">
        <f t="shared" si="5"/>
        <v/>
      </c>
      <c r="V81" s="361" t="s">
        <v>1235</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0" t="s">
        <v>1235</v>
      </c>
      <c r="M82" s="294">
        <f t="shared" ref="M82:M116" si="9">IF(N82&lt;&gt;"",ROW(A66),0)</f>
        <v>0</v>
      </c>
      <c r="N82" s="176"/>
      <c r="O82" s="163"/>
      <c r="P82" s="163"/>
      <c r="Q82" s="175"/>
      <c r="R82" s="175"/>
      <c r="S82" s="130"/>
      <c r="T82" s="223" t="str">
        <f t="shared" ref="T82:T116" si="10">IF(ROW(A66)&lt;=$M$16,R82*Q82,"")</f>
        <v/>
      </c>
      <c r="U82" s="222" t="str">
        <f t="shared" ref="U82:U116" si="11">IFERROR(T82/52,"")</f>
        <v/>
      </c>
      <c r="V82" s="361" t="s">
        <v>1235</v>
      </c>
      <c r="W82" s="72"/>
    </row>
    <row r="83" spans="1:23" x14ac:dyDescent="0.2">
      <c r="A83" s="293">
        <f t="shared" si="6"/>
        <v>0</v>
      </c>
      <c r="B83" s="163"/>
      <c r="C83" s="163"/>
      <c r="D83" s="163"/>
      <c r="E83" s="175"/>
      <c r="F83" s="175"/>
      <c r="G83" s="130"/>
      <c r="H83" s="222" t="str">
        <f t="shared" si="7"/>
        <v/>
      </c>
      <c r="I83" s="222" t="str">
        <f t="shared" si="8"/>
        <v/>
      </c>
      <c r="J83" s="67"/>
      <c r="K83" s="67"/>
      <c r="L83" s="360" t="s">
        <v>1235</v>
      </c>
      <c r="M83" s="294">
        <f t="shared" si="9"/>
        <v>0</v>
      </c>
      <c r="N83" s="176"/>
      <c r="O83" s="163"/>
      <c r="P83" s="163"/>
      <c r="Q83" s="175"/>
      <c r="R83" s="175"/>
      <c r="S83" s="130"/>
      <c r="T83" s="223" t="str">
        <f t="shared" si="10"/>
        <v/>
      </c>
      <c r="U83" s="222" t="str">
        <f t="shared" si="11"/>
        <v/>
      </c>
      <c r="V83" s="361" t="s">
        <v>1235</v>
      </c>
      <c r="W83" s="72"/>
    </row>
    <row r="84" spans="1:23" x14ac:dyDescent="0.2">
      <c r="A84" s="293">
        <f t="shared" si="6"/>
        <v>0</v>
      </c>
      <c r="B84" s="163"/>
      <c r="C84" s="163"/>
      <c r="D84" s="163"/>
      <c r="E84" s="175"/>
      <c r="F84" s="175"/>
      <c r="G84" s="130"/>
      <c r="H84" s="222" t="str">
        <f t="shared" si="7"/>
        <v/>
      </c>
      <c r="I84" s="222" t="str">
        <f t="shared" si="8"/>
        <v/>
      </c>
      <c r="J84" s="67"/>
      <c r="K84" s="67"/>
      <c r="L84" s="360" t="s">
        <v>1235</v>
      </c>
      <c r="M84" s="294">
        <f t="shared" si="9"/>
        <v>0</v>
      </c>
      <c r="N84" s="176"/>
      <c r="O84" s="163"/>
      <c r="P84" s="163"/>
      <c r="Q84" s="175"/>
      <c r="R84" s="175"/>
      <c r="S84" s="130"/>
      <c r="T84" s="223" t="str">
        <f t="shared" si="10"/>
        <v/>
      </c>
      <c r="U84" s="222" t="str">
        <f t="shared" si="11"/>
        <v/>
      </c>
      <c r="V84" s="361" t="s">
        <v>1235</v>
      </c>
      <c r="W84" s="72"/>
    </row>
    <row r="85" spans="1:23" x14ac:dyDescent="0.2">
      <c r="A85" s="293">
        <f t="shared" si="6"/>
        <v>0</v>
      </c>
      <c r="B85" s="163"/>
      <c r="C85" s="163"/>
      <c r="D85" s="163"/>
      <c r="E85" s="175"/>
      <c r="F85" s="175"/>
      <c r="G85" s="130"/>
      <c r="H85" s="222" t="str">
        <f t="shared" si="7"/>
        <v/>
      </c>
      <c r="I85" s="222" t="str">
        <f t="shared" si="8"/>
        <v/>
      </c>
      <c r="J85" s="67"/>
      <c r="K85" s="67"/>
      <c r="L85" s="360" t="s">
        <v>1235</v>
      </c>
      <c r="M85" s="294">
        <f t="shared" si="9"/>
        <v>0</v>
      </c>
      <c r="N85" s="176"/>
      <c r="O85" s="163"/>
      <c r="P85" s="163"/>
      <c r="Q85" s="175"/>
      <c r="R85" s="175"/>
      <c r="S85" s="130"/>
      <c r="T85" s="223" t="str">
        <f t="shared" si="10"/>
        <v/>
      </c>
      <c r="U85" s="222" t="str">
        <f t="shared" si="11"/>
        <v/>
      </c>
      <c r="V85" s="361" t="s">
        <v>1235</v>
      </c>
      <c r="W85" s="72"/>
    </row>
    <row r="86" spans="1:23" x14ac:dyDescent="0.2">
      <c r="A86" s="293">
        <f t="shared" si="6"/>
        <v>0</v>
      </c>
      <c r="B86" s="163"/>
      <c r="C86" s="163"/>
      <c r="D86" s="163"/>
      <c r="E86" s="175"/>
      <c r="F86" s="175"/>
      <c r="G86" s="130"/>
      <c r="H86" s="222" t="str">
        <f t="shared" si="7"/>
        <v/>
      </c>
      <c r="I86" s="222" t="str">
        <f t="shared" si="8"/>
        <v/>
      </c>
      <c r="J86" s="67"/>
      <c r="K86" s="67"/>
      <c r="L86" s="360" t="s">
        <v>1235</v>
      </c>
      <c r="M86" s="294">
        <f t="shared" si="9"/>
        <v>0</v>
      </c>
      <c r="N86" s="176"/>
      <c r="O86" s="163"/>
      <c r="P86" s="163"/>
      <c r="Q86" s="175"/>
      <c r="R86" s="175"/>
      <c r="S86" s="130"/>
      <c r="T86" s="223" t="str">
        <f t="shared" si="10"/>
        <v/>
      </c>
      <c r="U86" s="222" t="str">
        <f t="shared" si="11"/>
        <v/>
      </c>
      <c r="V86" s="361" t="s">
        <v>1235</v>
      </c>
      <c r="W86" s="72"/>
    </row>
    <row r="87" spans="1:23" x14ac:dyDescent="0.2">
      <c r="A87" s="293">
        <f t="shared" si="6"/>
        <v>0</v>
      </c>
      <c r="B87" s="163"/>
      <c r="C87" s="163"/>
      <c r="D87" s="163"/>
      <c r="E87" s="175"/>
      <c r="F87" s="175"/>
      <c r="G87" s="130"/>
      <c r="H87" s="222" t="str">
        <f t="shared" si="7"/>
        <v/>
      </c>
      <c r="I87" s="222" t="str">
        <f t="shared" si="8"/>
        <v/>
      </c>
      <c r="J87" s="67"/>
      <c r="K87" s="67"/>
      <c r="L87" s="360" t="s">
        <v>1235</v>
      </c>
      <c r="M87" s="294">
        <f t="shared" si="9"/>
        <v>0</v>
      </c>
      <c r="N87" s="176"/>
      <c r="O87" s="163"/>
      <c r="P87" s="163"/>
      <c r="Q87" s="175"/>
      <c r="R87" s="175"/>
      <c r="S87" s="130"/>
      <c r="T87" s="223" t="str">
        <f t="shared" si="10"/>
        <v/>
      </c>
      <c r="U87" s="222" t="str">
        <f t="shared" si="11"/>
        <v/>
      </c>
      <c r="V87" s="361" t="s">
        <v>1235</v>
      </c>
      <c r="W87" s="72"/>
    </row>
    <row r="88" spans="1:23" x14ac:dyDescent="0.2">
      <c r="A88" s="293">
        <f t="shared" si="6"/>
        <v>0</v>
      </c>
      <c r="B88" s="163"/>
      <c r="C88" s="163"/>
      <c r="D88" s="163"/>
      <c r="E88" s="175"/>
      <c r="F88" s="175"/>
      <c r="G88" s="130"/>
      <c r="H88" s="222" t="str">
        <f t="shared" si="7"/>
        <v/>
      </c>
      <c r="I88" s="222" t="str">
        <f t="shared" si="8"/>
        <v/>
      </c>
      <c r="J88" s="67"/>
      <c r="K88" s="67"/>
      <c r="L88" s="360" t="s">
        <v>1235</v>
      </c>
      <c r="M88" s="294">
        <f t="shared" si="9"/>
        <v>0</v>
      </c>
      <c r="N88" s="176"/>
      <c r="O88" s="163"/>
      <c r="P88" s="163"/>
      <c r="Q88" s="175"/>
      <c r="R88" s="175"/>
      <c r="S88" s="130"/>
      <c r="T88" s="223" t="str">
        <f t="shared" si="10"/>
        <v/>
      </c>
      <c r="U88" s="222" t="str">
        <f t="shared" si="11"/>
        <v/>
      </c>
      <c r="V88" s="361" t="s">
        <v>1235</v>
      </c>
      <c r="W88" s="72"/>
    </row>
    <row r="89" spans="1:23" x14ac:dyDescent="0.2">
      <c r="A89" s="293">
        <f t="shared" si="6"/>
        <v>0</v>
      </c>
      <c r="B89" s="163"/>
      <c r="C89" s="163"/>
      <c r="D89" s="163"/>
      <c r="E89" s="175"/>
      <c r="F89" s="175"/>
      <c r="G89" s="130"/>
      <c r="H89" s="222" t="str">
        <f t="shared" si="7"/>
        <v/>
      </c>
      <c r="I89" s="222" t="str">
        <f t="shared" si="8"/>
        <v/>
      </c>
      <c r="J89" s="67"/>
      <c r="K89" s="67"/>
      <c r="L89" s="360" t="s">
        <v>1235</v>
      </c>
      <c r="M89" s="294">
        <f t="shared" si="9"/>
        <v>0</v>
      </c>
      <c r="N89" s="176"/>
      <c r="O89" s="163"/>
      <c r="P89" s="163"/>
      <c r="Q89" s="175"/>
      <c r="R89" s="175"/>
      <c r="S89" s="130"/>
      <c r="T89" s="223" t="str">
        <f t="shared" si="10"/>
        <v/>
      </c>
      <c r="U89" s="222" t="str">
        <f t="shared" si="11"/>
        <v/>
      </c>
      <c r="V89" s="361" t="s">
        <v>1235</v>
      </c>
      <c r="W89" s="72"/>
    </row>
    <row r="90" spans="1:23" x14ac:dyDescent="0.2">
      <c r="A90" s="293">
        <f t="shared" si="6"/>
        <v>0</v>
      </c>
      <c r="B90" s="163"/>
      <c r="C90" s="163"/>
      <c r="D90" s="163"/>
      <c r="E90" s="175"/>
      <c r="F90" s="175"/>
      <c r="G90" s="130"/>
      <c r="H90" s="222" t="str">
        <f t="shared" si="7"/>
        <v/>
      </c>
      <c r="I90" s="222" t="str">
        <f t="shared" si="8"/>
        <v/>
      </c>
      <c r="J90" s="67"/>
      <c r="K90" s="67"/>
      <c r="L90" s="360" t="s">
        <v>1235</v>
      </c>
      <c r="M90" s="294">
        <f t="shared" si="9"/>
        <v>0</v>
      </c>
      <c r="N90" s="176"/>
      <c r="O90" s="163"/>
      <c r="P90" s="163"/>
      <c r="Q90" s="175"/>
      <c r="R90" s="175"/>
      <c r="S90" s="130"/>
      <c r="T90" s="223" t="str">
        <f t="shared" si="10"/>
        <v/>
      </c>
      <c r="U90" s="222" t="str">
        <f t="shared" si="11"/>
        <v/>
      </c>
      <c r="V90" s="361" t="s">
        <v>1235</v>
      </c>
      <c r="W90" s="72"/>
    </row>
    <row r="91" spans="1:23" x14ac:dyDescent="0.2">
      <c r="A91" s="293">
        <f t="shared" si="6"/>
        <v>0</v>
      </c>
      <c r="B91" s="163"/>
      <c r="C91" s="163"/>
      <c r="D91" s="163"/>
      <c r="E91" s="175"/>
      <c r="F91" s="175"/>
      <c r="G91" s="130"/>
      <c r="H91" s="222" t="str">
        <f t="shared" si="7"/>
        <v/>
      </c>
      <c r="I91" s="222" t="str">
        <f t="shared" si="8"/>
        <v/>
      </c>
      <c r="J91" s="67"/>
      <c r="K91" s="67"/>
      <c r="L91" s="360" t="s">
        <v>1235</v>
      </c>
      <c r="M91" s="294">
        <f t="shared" si="9"/>
        <v>0</v>
      </c>
      <c r="N91" s="176"/>
      <c r="O91" s="163"/>
      <c r="P91" s="163"/>
      <c r="Q91" s="175"/>
      <c r="R91" s="175"/>
      <c r="S91" s="130"/>
      <c r="T91" s="223" t="str">
        <f t="shared" si="10"/>
        <v/>
      </c>
      <c r="U91" s="222" t="str">
        <f t="shared" si="11"/>
        <v/>
      </c>
      <c r="V91" s="361" t="s">
        <v>1235</v>
      </c>
      <c r="W91" s="72"/>
    </row>
    <row r="92" spans="1:23" x14ac:dyDescent="0.2">
      <c r="A92" s="293">
        <f t="shared" si="6"/>
        <v>0</v>
      </c>
      <c r="B92" s="163"/>
      <c r="C92" s="163"/>
      <c r="D92" s="163"/>
      <c r="E92" s="175"/>
      <c r="F92" s="175"/>
      <c r="G92" s="130"/>
      <c r="H92" s="222" t="str">
        <f t="shared" si="7"/>
        <v/>
      </c>
      <c r="I92" s="222" t="str">
        <f t="shared" si="8"/>
        <v/>
      </c>
      <c r="J92" s="67"/>
      <c r="K92" s="67"/>
      <c r="L92" s="360" t="s">
        <v>1235</v>
      </c>
      <c r="M92" s="294">
        <f t="shared" si="9"/>
        <v>0</v>
      </c>
      <c r="N92" s="176"/>
      <c r="O92" s="163"/>
      <c r="P92" s="163"/>
      <c r="Q92" s="175"/>
      <c r="R92" s="175"/>
      <c r="S92" s="130"/>
      <c r="T92" s="223" t="str">
        <f t="shared" si="10"/>
        <v/>
      </c>
      <c r="U92" s="222" t="str">
        <f t="shared" si="11"/>
        <v/>
      </c>
      <c r="V92" s="361" t="s">
        <v>1235</v>
      </c>
      <c r="W92" s="72"/>
    </row>
    <row r="93" spans="1:23" x14ac:dyDescent="0.2">
      <c r="A93" s="293">
        <f t="shared" si="6"/>
        <v>0</v>
      </c>
      <c r="B93" s="163"/>
      <c r="C93" s="163"/>
      <c r="D93" s="163"/>
      <c r="E93" s="175"/>
      <c r="F93" s="175"/>
      <c r="G93" s="130"/>
      <c r="H93" s="222" t="str">
        <f t="shared" si="7"/>
        <v/>
      </c>
      <c r="I93" s="222" t="str">
        <f t="shared" si="8"/>
        <v/>
      </c>
      <c r="J93" s="67"/>
      <c r="K93" s="67"/>
      <c r="L93" s="360" t="s">
        <v>1235</v>
      </c>
      <c r="M93" s="294">
        <f t="shared" si="9"/>
        <v>0</v>
      </c>
      <c r="N93" s="176"/>
      <c r="O93" s="163"/>
      <c r="P93" s="163"/>
      <c r="Q93" s="175"/>
      <c r="R93" s="175"/>
      <c r="S93" s="130"/>
      <c r="T93" s="223" t="str">
        <f t="shared" si="10"/>
        <v/>
      </c>
      <c r="U93" s="222" t="str">
        <f t="shared" si="11"/>
        <v/>
      </c>
      <c r="V93" s="361" t="s">
        <v>1235</v>
      </c>
      <c r="W93" s="72"/>
    </row>
    <row r="94" spans="1:23" x14ac:dyDescent="0.2">
      <c r="A94" s="293">
        <f t="shared" si="6"/>
        <v>0</v>
      </c>
      <c r="B94" s="163"/>
      <c r="C94" s="163"/>
      <c r="D94" s="163"/>
      <c r="E94" s="175"/>
      <c r="F94" s="175"/>
      <c r="G94" s="130"/>
      <c r="H94" s="222" t="str">
        <f t="shared" si="7"/>
        <v/>
      </c>
      <c r="I94" s="222" t="str">
        <f t="shared" si="8"/>
        <v/>
      </c>
      <c r="J94" s="67"/>
      <c r="K94" s="67"/>
      <c r="L94" s="360" t="s">
        <v>1235</v>
      </c>
      <c r="M94" s="294">
        <f t="shared" si="9"/>
        <v>0</v>
      </c>
      <c r="N94" s="176"/>
      <c r="O94" s="163"/>
      <c r="P94" s="163"/>
      <c r="Q94" s="175"/>
      <c r="R94" s="175"/>
      <c r="S94" s="130"/>
      <c r="T94" s="223" t="str">
        <f t="shared" si="10"/>
        <v/>
      </c>
      <c r="U94" s="222" t="str">
        <f t="shared" si="11"/>
        <v/>
      </c>
      <c r="V94" s="361" t="s">
        <v>1235</v>
      </c>
      <c r="W94" s="72"/>
    </row>
    <row r="95" spans="1:23" x14ac:dyDescent="0.2">
      <c r="A95" s="293">
        <f t="shared" si="6"/>
        <v>0</v>
      </c>
      <c r="B95" s="163"/>
      <c r="C95" s="163"/>
      <c r="D95" s="163"/>
      <c r="E95" s="175"/>
      <c r="F95" s="175"/>
      <c r="G95" s="130"/>
      <c r="H95" s="222" t="str">
        <f t="shared" si="7"/>
        <v/>
      </c>
      <c r="I95" s="222" t="str">
        <f t="shared" si="8"/>
        <v/>
      </c>
      <c r="J95" s="67"/>
      <c r="K95" s="67"/>
      <c r="L95" s="360" t="s">
        <v>1235</v>
      </c>
      <c r="M95" s="294">
        <f t="shared" si="9"/>
        <v>0</v>
      </c>
      <c r="N95" s="176"/>
      <c r="O95" s="163"/>
      <c r="P95" s="163"/>
      <c r="Q95" s="175"/>
      <c r="R95" s="175"/>
      <c r="S95" s="130"/>
      <c r="T95" s="223" t="str">
        <f t="shared" si="10"/>
        <v/>
      </c>
      <c r="U95" s="222" t="str">
        <f t="shared" si="11"/>
        <v/>
      </c>
      <c r="V95" s="361" t="s">
        <v>1235</v>
      </c>
      <c r="W95" s="72"/>
    </row>
    <row r="96" spans="1:23" x14ac:dyDescent="0.2">
      <c r="A96" s="293">
        <f t="shared" si="6"/>
        <v>0</v>
      </c>
      <c r="B96" s="163"/>
      <c r="C96" s="163"/>
      <c r="D96" s="163"/>
      <c r="E96" s="175"/>
      <c r="F96" s="175"/>
      <c r="G96" s="130"/>
      <c r="H96" s="222" t="str">
        <f t="shared" si="7"/>
        <v/>
      </c>
      <c r="I96" s="222" t="str">
        <f t="shared" si="8"/>
        <v/>
      </c>
      <c r="J96" s="67"/>
      <c r="K96" s="67"/>
      <c r="L96" s="360" t="s">
        <v>1235</v>
      </c>
      <c r="M96" s="294">
        <f t="shared" si="9"/>
        <v>0</v>
      </c>
      <c r="N96" s="176"/>
      <c r="O96" s="163"/>
      <c r="P96" s="163"/>
      <c r="Q96" s="175"/>
      <c r="R96" s="175"/>
      <c r="S96" s="130"/>
      <c r="T96" s="223" t="str">
        <f t="shared" si="10"/>
        <v/>
      </c>
      <c r="U96" s="222" t="str">
        <f t="shared" si="11"/>
        <v/>
      </c>
      <c r="V96" s="361" t="s">
        <v>1235</v>
      </c>
      <c r="W96" s="72"/>
    </row>
    <row r="97" spans="1:23" x14ac:dyDescent="0.2">
      <c r="A97" s="293">
        <f t="shared" si="6"/>
        <v>0</v>
      </c>
      <c r="B97" s="163"/>
      <c r="C97" s="163"/>
      <c r="D97" s="163"/>
      <c r="E97" s="175"/>
      <c r="F97" s="175"/>
      <c r="G97" s="130"/>
      <c r="H97" s="222" t="str">
        <f t="shared" si="7"/>
        <v/>
      </c>
      <c r="I97" s="222" t="str">
        <f t="shared" si="8"/>
        <v/>
      </c>
      <c r="J97" s="67"/>
      <c r="K97" s="67"/>
      <c r="L97" s="360" t="s">
        <v>1235</v>
      </c>
      <c r="M97" s="294">
        <f t="shared" si="9"/>
        <v>0</v>
      </c>
      <c r="N97" s="176"/>
      <c r="O97" s="163"/>
      <c r="P97" s="163"/>
      <c r="Q97" s="175"/>
      <c r="R97" s="175"/>
      <c r="S97" s="130"/>
      <c r="T97" s="223" t="str">
        <f t="shared" si="10"/>
        <v/>
      </c>
      <c r="U97" s="222" t="str">
        <f t="shared" si="11"/>
        <v/>
      </c>
      <c r="V97" s="361" t="s">
        <v>1235</v>
      </c>
      <c r="W97" s="72"/>
    </row>
    <row r="98" spans="1:23" x14ac:dyDescent="0.2">
      <c r="A98" s="293">
        <f t="shared" si="6"/>
        <v>0</v>
      </c>
      <c r="B98" s="163"/>
      <c r="C98" s="163"/>
      <c r="D98" s="163"/>
      <c r="E98" s="175"/>
      <c r="F98" s="175"/>
      <c r="G98" s="130"/>
      <c r="H98" s="222" t="str">
        <f t="shared" si="7"/>
        <v/>
      </c>
      <c r="I98" s="222" t="str">
        <f t="shared" si="8"/>
        <v/>
      </c>
      <c r="J98" s="67"/>
      <c r="K98" s="67"/>
      <c r="L98" s="360" t="s">
        <v>1235</v>
      </c>
      <c r="M98" s="294">
        <f t="shared" si="9"/>
        <v>0</v>
      </c>
      <c r="N98" s="176"/>
      <c r="O98" s="163"/>
      <c r="P98" s="163"/>
      <c r="Q98" s="175"/>
      <c r="R98" s="175"/>
      <c r="S98" s="130"/>
      <c r="T98" s="223" t="str">
        <f t="shared" si="10"/>
        <v/>
      </c>
      <c r="U98" s="222" t="str">
        <f t="shared" si="11"/>
        <v/>
      </c>
      <c r="V98" s="361" t="s">
        <v>1235</v>
      </c>
      <c r="W98" s="72"/>
    </row>
    <row r="99" spans="1:23" x14ac:dyDescent="0.2">
      <c r="A99" s="293">
        <f t="shared" si="6"/>
        <v>0</v>
      </c>
      <c r="B99" s="163"/>
      <c r="C99" s="163"/>
      <c r="D99" s="163"/>
      <c r="E99" s="175"/>
      <c r="F99" s="175"/>
      <c r="G99" s="130"/>
      <c r="H99" s="222" t="str">
        <f t="shared" si="7"/>
        <v/>
      </c>
      <c r="I99" s="222" t="str">
        <f t="shared" si="8"/>
        <v/>
      </c>
      <c r="J99" s="67"/>
      <c r="K99" s="67"/>
      <c r="L99" s="360" t="s">
        <v>1235</v>
      </c>
      <c r="M99" s="294">
        <f t="shared" si="9"/>
        <v>0</v>
      </c>
      <c r="N99" s="176"/>
      <c r="O99" s="163"/>
      <c r="P99" s="163"/>
      <c r="Q99" s="175"/>
      <c r="R99" s="175"/>
      <c r="S99" s="130"/>
      <c r="T99" s="223" t="str">
        <f t="shared" si="10"/>
        <v/>
      </c>
      <c r="U99" s="222" t="str">
        <f t="shared" si="11"/>
        <v/>
      </c>
      <c r="V99" s="361" t="s">
        <v>1235</v>
      </c>
      <c r="W99" s="72"/>
    </row>
    <row r="100" spans="1:23" x14ac:dyDescent="0.2">
      <c r="A100" s="293">
        <f t="shared" si="6"/>
        <v>0</v>
      </c>
      <c r="B100" s="163"/>
      <c r="C100" s="163"/>
      <c r="D100" s="163"/>
      <c r="E100" s="175"/>
      <c r="F100" s="175"/>
      <c r="G100" s="130"/>
      <c r="H100" s="222" t="str">
        <f t="shared" si="7"/>
        <v/>
      </c>
      <c r="I100" s="222" t="str">
        <f t="shared" si="8"/>
        <v/>
      </c>
      <c r="J100" s="67"/>
      <c r="K100" s="67"/>
      <c r="L100" s="360" t="s">
        <v>1235</v>
      </c>
      <c r="M100" s="294">
        <f t="shared" si="9"/>
        <v>0</v>
      </c>
      <c r="N100" s="176"/>
      <c r="O100" s="163"/>
      <c r="P100" s="163"/>
      <c r="Q100" s="175"/>
      <c r="R100" s="175"/>
      <c r="S100" s="130"/>
      <c r="T100" s="223" t="str">
        <f t="shared" si="10"/>
        <v/>
      </c>
      <c r="U100" s="222" t="str">
        <f t="shared" si="11"/>
        <v/>
      </c>
      <c r="V100" s="361" t="s">
        <v>1235</v>
      </c>
      <c r="W100" s="72"/>
    </row>
    <row r="101" spans="1:23" x14ac:dyDescent="0.2">
      <c r="A101" s="293">
        <f t="shared" si="6"/>
        <v>0</v>
      </c>
      <c r="B101" s="163"/>
      <c r="C101" s="163"/>
      <c r="D101" s="163"/>
      <c r="E101" s="175"/>
      <c r="F101" s="175"/>
      <c r="G101" s="130"/>
      <c r="H101" s="222" t="str">
        <f t="shared" si="7"/>
        <v/>
      </c>
      <c r="I101" s="222" t="str">
        <f t="shared" si="8"/>
        <v/>
      </c>
      <c r="J101" s="67"/>
      <c r="K101" s="67"/>
      <c r="L101" s="360" t="s">
        <v>1235</v>
      </c>
      <c r="M101" s="294">
        <f t="shared" si="9"/>
        <v>0</v>
      </c>
      <c r="N101" s="176"/>
      <c r="O101" s="163"/>
      <c r="P101" s="163"/>
      <c r="Q101" s="175"/>
      <c r="R101" s="175"/>
      <c r="S101" s="130"/>
      <c r="T101" s="223" t="str">
        <f t="shared" si="10"/>
        <v/>
      </c>
      <c r="U101" s="222" t="str">
        <f t="shared" si="11"/>
        <v/>
      </c>
      <c r="V101" s="361" t="s">
        <v>1235</v>
      </c>
      <c r="W101" s="72"/>
    </row>
    <row r="102" spans="1:23" x14ac:dyDescent="0.2">
      <c r="A102" s="293">
        <f t="shared" si="6"/>
        <v>0</v>
      </c>
      <c r="B102" s="163"/>
      <c r="C102" s="163"/>
      <c r="D102" s="163"/>
      <c r="E102" s="175"/>
      <c r="F102" s="175"/>
      <c r="G102" s="130"/>
      <c r="H102" s="222" t="str">
        <f t="shared" si="7"/>
        <v/>
      </c>
      <c r="I102" s="222" t="str">
        <f t="shared" si="8"/>
        <v/>
      </c>
      <c r="J102" s="67"/>
      <c r="K102" s="67"/>
      <c r="L102" s="360" t="s">
        <v>1235</v>
      </c>
      <c r="M102" s="294">
        <f t="shared" si="9"/>
        <v>0</v>
      </c>
      <c r="N102" s="176"/>
      <c r="O102" s="163"/>
      <c r="P102" s="163"/>
      <c r="Q102" s="175"/>
      <c r="R102" s="175"/>
      <c r="S102" s="130"/>
      <c r="T102" s="223" t="str">
        <f t="shared" si="10"/>
        <v/>
      </c>
      <c r="U102" s="222" t="str">
        <f t="shared" si="11"/>
        <v/>
      </c>
      <c r="V102" s="361" t="s">
        <v>1235</v>
      </c>
      <c r="W102" s="72"/>
    </row>
    <row r="103" spans="1:23" x14ac:dyDescent="0.2">
      <c r="A103" s="293">
        <f t="shared" si="6"/>
        <v>0</v>
      </c>
      <c r="B103" s="163"/>
      <c r="C103" s="163"/>
      <c r="D103" s="163"/>
      <c r="E103" s="175"/>
      <c r="F103" s="175"/>
      <c r="G103" s="130"/>
      <c r="H103" s="222" t="str">
        <f t="shared" si="7"/>
        <v/>
      </c>
      <c r="I103" s="222" t="str">
        <f t="shared" si="8"/>
        <v/>
      </c>
      <c r="J103" s="67"/>
      <c r="K103" s="67"/>
      <c r="L103" s="360" t="s">
        <v>1235</v>
      </c>
      <c r="M103" s="294">
        <f t="shared" si="9"/>
        <v>0</v>
      </c>
      <c r="N103" s="176"/>
      <c r="O103" s="163"/>
      <c r="P103" s="163"/>
      <c r="Q103" s="175"/>
      <c r="R103" s="175"/>
      <c r="S103" s="130"/>
      <c r="T103" s="223" t="str">
        <f t="shared" si="10"/>
        <v/>
      </c>
      <c r="U103" s="222" t="str">
        <f t="shared" si="11"/>
        <v/>
      </c>
      <c r="V103" s="361" t="s">
        <v>1235</v>
      </c>
      <c r="W103" s="72"/>
    </row>
    <row r="104" spans="1:23" x14ac:dyDescent="0.2">
      <c r="A104" s="293">
        <f t="shared" si="6"/>
        <v>0</v>
      </c>
      <c r="B104" s="163"/>
      <c r="C104" s="163"/>
      <c r="D104" s="163"/>
      <c r="E104" s="175"/>
      <c r="F104" s="175"/>
      <c r="G104" s="130"/>
      <c r="H104" s="222" t="str">
        <f t="shared" si="7"/>
        <v/>
      </c>
      <c r="I104" s="222" t="str">
        <f t="shared" si="8"/>
        <v/>
      </c>
      <c r="J104" s="67"/>
      <c r="K104" s="67"/>
      <c r="L104" s="360" t="s">
        <v>1235</v>
      </c>
      <c r="M104" s="294">
        <f t="shared" si="9"/>
        <v>0</v>
      </c>
      <c r="N104" s="176"/>
      <c r="O104" s="163"/>
      <c r="P104" s="163"/>
      <c r="Q104" s="175"/>
      <c r="R104" s="175"/>
      <c r="S104" s="130"/>
      <c r="T104" s="223" t="str">
        <f t="shared" si="10"/>
        <v/>
      </c>
      <c r="U104" s="222" t="str">
        <f t="shared" si="11"/>
        <v/>
      </c>
      <c r="V104" s="361" t="s">
        <v>1235</v>
      </c>
      <c r="W104" s="72"/>
    </row>
    <row r="105" spans="1:23" x14ac:dyDescent="0.2">
      <c r="A105" s="293">
        <f t="shared" si="6"/>
        <v>0</v>
      </c>
      <c r="B105" s="163"/>
      <c r="C105" s="163"/>
      <c r="D105" s="163"/>
      <c r="E105" s="175"/>
      <c r="F105" s="175"/>
      <c r="G105" s="130"/>
      <c r="H105" s="222" t="str">
        <f t="shared" si="7"/>
        <v/>
      </c>
      <c r="I105" s="222" t="str">
        <f t="shared" si="8"/>
        <v/>
      </c>
      <c r="J105" s="67"/>
      <c r="K105" s="67"/>
      <c r="L105" s="360" t="s">
        <v>1235</v>
      </c>
      <c r="M105" s="294">
        <f t="shared" si="9"/>
        <v>0</v>
      </c>
      <c r="N105" s="176"/>
      <c r="O105" s="163"/>
      <c r="P105" s="163"/>
      <c r="Q105" s="175"/>
      <c r="R105" s="175"/>
      <c r="S105" s="130"/>
      <c r="T105" s="223" t="str">
        <f t="shared" si="10"/>
        <v/>
      </c>
      <c r="U105" s="222" t="str">
        <f t="shared" si="11"/>
        <v/>
      </c>
      <c r="V105" s="361" t="s">
        <v>1235</v>
      </c>
      <c r="W105" s="72"/>
    </row>
    <row r="106" spans="1:23" x14ac:dyDescent="0.2">
      <c r="A106" s="293">
        <f t="shared" si="6"/>
        <v>0</v>
      </c>
      <c r="B106" s="163"/>
      <c r="C106" s="163"/>
      <c r="D106" s="163"/>
      <c r="E106" s="175"/>
      <c r="F106" s="175"/>
      <c r="G106" s="130"/>
      <c r="H106" s="222" t="str">
        <f t="shared" si="7"/>
        <v/>
      </c>
      <c r="I106" s="222" t="str">
        <f t="shared" si="8"/>
        <v/>
      </c>
      <c r="J106" s="67"/>
      <c r="K106" s="67"/>
      <c r="L106" s="360" t="s">
        <v>1235</v>
      </c>
      <c r="M106" s="294">
        <f t="shared" si="9"/>
        <v>0</v>
      </c>
      <c r="N106" s="176"/>
      <c r="O106" s="163"/>
      <c r="P106" s="163"/>
      <c r="Q106" s="175"/>
      <c r="R106" s="175"/>
      <c r="S106" s="130"/>
      <c r="T106" s="223" t="str">
        <f t="shared" si="10"/>
        <v/>
      </c>
      <c r="U106" s="222" t="str">
        <f t="shared" si="11"/>
        <v/>
      </c>
      <c r="V106" s="361" t="s">
        <v>1235</v>
      </c>
      <c r="W106" s="72"/>
    </row>
    <row r="107" spans="1:23" x14ac:dyDescent="0.2">
      <c r="A107" s="293">
        <f t="shared" si="6"/>
        <v>0</v>
      </c>
      <c r="B107" s="163"/>
      <c r="C107" s="163"/>
      <c r="D107" s="163"/>
      <c r="E107" s="175"/>
      <c r="F107" s="175"/>
      <c r="G107" s="130"/>
      <c r="H107" s="222" t="str">
        <f t="shared" si="7"/>
        <v/>
      </c>
      <c r="I107" s="222" t="str">
        <f t="shared" si="8"/>
        <v/>
      </c>
      <c r="J107" s="67"/>
      <c r="K107" s="67"/>
      <c r="L107" s="360" t="s">
        <v>1235</v>
      </c>
      <c r="M107" s="294">
        <f t="shared" si="9"/>
        <v>0</v>
      </c>
      <c r="N107" s="176"/>
      <c r="O107" s="163"/>
      <c r="P107" s="163"/>
      <c r="Q107" s="175"/>
      <c r="R107" s="175"/>
      <c r="S107" s="130"/>
      <c r="T107" s="223" t="str">
        <f t="shared" si="10"/>
        <v/>
      </c>
      <c r="U107" s="222" t="str">
        <f t="shared" si="11"/>
        <v/>
      </c>
      <c r="V107" s="361" t="s">
        <v>1235</v>
      </c>
      <c r="W107" s="72"/>
    </row>
    <row r="108" spans="1:23" x14ac:dyDescent="0.2">
      <c r="A108" s="293">
        <f t="shared" si="6"/>
        <v>0</v>
      </c>
      <c r="B108" s="163"/>
      <c r="C108" s="163"/>
      <c r="D108" s="163"/>
      <c r="E108" s="175"/>
      <c r="F108" s="175"/>
      <c r="G108" s="130"/>
      <c r="H108" s="222" t="str">
        <f t="shared" si="7"/>
        <v/>
      </c>
      <c r="I108" s="222" t="str">
        <f t="shared" si="8"/>
        <v/>
      </c>
      <c r="J108" s="67"/>
      <c r="K108" s="67"/>
      <c r="L108" s="360" t="s">
        <v>1235</v>
      </c>
      <c r="M108" s="294">
        <f t="shared" si="9"/>
        <v>0</v>
      </c>
      <c r="N108" s="176"/>
      <c r="O108" s="163"/>
      <c r="P108" s="163"/>
      <c r="Q108" s="175"/>
      <c r="R108" s="175"/>
      <c r="S108" s="130"/>
      <c r="T108" s="223" t="str">
        <f t="shared" si="10"/>
        <v/>
      </c>
      <c r="U108" s="222" t="str">
        <f t="shared" si="11"/>
        <v/>
      </c>
      <c r="V108" s="361" t="s">
        <v>1235</v>
      </c>
      <c r="W108" s="72"/>
    </row>
    <row r="109" spans="1:23" x14ac:dyDescent="0.2">
      <c r="A109" s="293">
        <f t="shared" si="6"/>
        <v>0</v>
      </c>
      <c r="B109" s="163"/>
      <c r="C109" s="163"/>
      <c r="D109" s="163"/>
      <c r="E109" s="175"/>
      <c r="F109" s="175"/>
      <c r="G109" s="130"/>
      <c r="H109" s="222" t="str">
        <f t="shared" si="7"/>
        <v/>
      </c>
      <c r="I109" s="222" t="str">
        <f t="shared" si="8"/>
        <v/>
      </c>
      <c r="J109" s="67"/>
      <c r="K109" s="67"/>
      <c r="L109" s="360" t="s">
        <v>1235</v>
      </c>
      <c r="M109" s="294">
        <f t="shared" si="9"/>
        <v>0</v>
      </c>
      <c r="N109" s="176"/>
      <c r="O109" s="163"/>
      <c r="P109" s="163"/>
      <c r="Q109" s="175"/>
      <c r="R109" s="175"/>
      <c r="S109" s="130"/>
      <c r="T109" s="223" t="str">
        <f t="shared" si="10"/>
        <v/>
      </c>
      <c r="U109" s="222" t="str">
        <f t="shared" si="11"/>
        <v/>
      </c>
      <c r="V109" s="361" t="s">
        <v>1235</v>
      </c>
      <c r="W109" s="72"/>
    </row>
    <row r="110" spans="1:23" x14ac:dyDescent="0.2">
      <c r="A110" s="293">
        <f t="shared" si="6"/>
        <v>0</v>
      </c>
      <c r="B110" s="163"/>
      <c r="C110" s="163"/>
      <c r="D110" s="163"/>
      <c r="E110" s="175"/>
      <c r="F110" s="175"/>
      <c r="G110" s="130"/>
      <c r="H110" s="222" t="str">
        <f t="shared" si="7"/>
        <v/>
      </c>
      <c r="I110" s="222" t="str">
        <f t="shared" si="8"/>
        <v/>
      </c>
      <c r="J110" s="67"/>
      <c r="K110" s="67"/>
      <c r="L110" s="360" t="s">
        <v>1235</v>
      </c>
      <c r="M110" s="294">
        <f t="shared" si="9"/>
        <v>0</v>
      </c>
      <c r="N110" s="176"/>
      <c r="O110" s="163"/>
      <c r="P110" s="163"/>
      <c r="Q110" s="175"/>
      <c r="R110" s="175"/>
      <c r="S110" s="130"/>
      <c r="T110" s="223" t="str">
        <f t="shared" si="10"/>
        <v/>
      </c>
      <c r="U110" s="222" t="str">
        <f t="shared" si="11"/>
        <v/>
      </c>
      <c r="V110" s="361" t="s">
        <v>1235</v>
      </c>
      <c r="W110" s="72"/>
    </row>
    <row r="111" spans="1:23" x14ac:dyDescent="0.2">
      <c r="A111" s="293">
        <f t="shared" si="6"/>
        <v>0</v>
      </c>
      <c r="B111" s="163"/>
      <c r="C111" s="163"/>
      <c r="D111" s="163"/>
      <c r="E111" s="175"/>
      <c r="F111" s="175"/>
      <c r="G111" s="130"/>
      <c r="H111" s="222" t="str">
        <f t="shared" si="7"/>
        <v/>
      </c>
      <c r="I111" s="222" t="str">
        <f t="shared" si="8"/>
        <v/>
      </c>
      <c r="J111" s="67"/>
      <c r="K111" s="67"/>
      <c r="L111" s="360" t="s">
        <v>1235</v>
      </c>
      <c r="M111" s="294">
        <f t="shared" si="9"/>
        <v>0</v>
      </c>
      <c r="N111" s="176"/>
      <c r="O111" s="163"/>
      <c r="P111" s="163"/>
      <c r="Q111" s="175"/>
      <c r="R111" s="175"/>
      <c r="S111" s="130"/>
      <c r="T111" s="223" t="str">
        <f t="shared" si="10"/>
        <v/>
      </c>
      <c r="U111" s="222" t="str">
        <f t="shared" si="11"/>
        <v/>
      </c>
      <c r="V111" s="361" t="s">
        <v>1235</v>
      </c>
      <c r="W111" s="72"/>
    </row>
    <row r="112" spans="1:23" x14ac:dyDescent="0.2">
      <c r="A112" s="293">
        <f t="shared" si="6"/>
        <v>0</v>
      </c>
      <c r="B112" s="163"/>
      <c r="C112" s="163"/>
      <c r="D112" s="163"/>
      <c r="E112" s="175"/>
      <c r="F112" s="175"/>
      <c r="G112" s="130"/>
      <c r="H112" s="222" t="str">
        <f t="shared" si="7"/>
        <v/>
      </c>
      <c r="I112" s="222" t="str">
        <f t="shared" si="8"/>
        <v/>
      </c>
      <c r="J112" s="67"/>
      <c r="K112" s="67"/>
      <c r="L112" s="360" t="s">
        <v>1235</v>
      </c>
      <c r="M112" s="294">
        <f t="shared" si="9"/>
        <v>0</v>
      </c>
      <c r="N112" s="176"/>
      <c r="O112" s="163"/>
      <c r="P112" s="163"/>
      <c r="Q112" s="175"/>
      <c r="R112" s="175"/>
      <c r="S112" s="130"/>
      <c r="T112" s="223" t="str">
        <f t="shared" si="10"/>
        <v/>
      </c>
      <c r="U112" s="222" t="str">
        <f t="shared" si="11"/>
        <v/>
      </c>
      <c r="V112" s="361" t="s">
        <v>1235</v>
      </c>
      <c r="W112" s="72"/>
    </row>
    <row r="113" spans="1:23" x14ac:dyDescent="0.2">
      <c r="A113" s="293">
        <f t="shared" si="6"/>
        <v>0</v>
      </c>
      <c r="B113" s="163"/>
      <c r="C113" s="163"/>
      <c r="D113" s="163"/>
      <c r="E113" s="175"/>
      <c r="F113" s="175"/>
      <c r="G113" s="130"/>
      <c r="H113" s="222" t="str">
        <f t="shared" si="7"/>
        <v/>
      </c>
      <c r="I113" s="222" t="str">
        <f t="shared" si="8"/>
        <v/>
      </c>
      <c r="J113" s="67"/>
      <c r="K113" s="67"/>
      <c r="L113" s="360" t="s">
        <v>1235</v>
      </c>
      <c r="M113" s="294">
        <f t="shared" si="9"/>
        <v>0</v>
      </c>
      <c r="N113" s="176"/>
      <c r="O113" s="163"/>
      <c r="P113" s="163"/>
      <c r="Q113" s="175"/>
      <c r="R113" s="175"/>
      <c r="S113" s="130"/>
      <c r="T113" s="223" t="str">
        <f t="shared" si="10"/>
        <v/>
      </c>
      <c r="U113" s="222" t="str">
        <f t="shared" si="11"/>
        <v/>
      </c>
      <c r="V113" s="361" t="s">
        <v>1235</v>
      </c>
      <c r="W113" s="72"/>
    </row>
    <row r="114" spans="1:23" x14ac:dyDescent="0.2">
      <c r="A114" s="293">
        <f t="shared" si="6"/>
        <v>0</v>
      </c>
      <c r="B114" s="163"/>
      <c r="C114" s="163"/>
      <c r="D114" s="163"/>
      <c r="E114" s="175"/>
      <c r="F114" s="175"/>
      <c r="G114" s="130"/>
      <c r="H114" s="222" t="str">
        <f t="shared" si="7"/>
        <v/>
      </c>
      <c r="I114" s="222" t="str">
        <f t="shared" si="8"/>
        <v/>
      </c>
      <c r="J114" s="67"/>
      <c r="K114" s="67"/>
      <c r="L114" s="360" t="s">
        <v>1235</v>
      </c>
      <c r="M114" s="294">
        <f t="shared" si="9"/>
        <v>0</v>
      </c>
      <c r="N114" s="176"/>
      <c r="O114" s="163"/>
      <c r="P114" s="163"/>
      <c r="Q114" s="175"/>
      <c r="R114" s="175"/>
      <c r="S114" s="130"/>
      <c r="T114" s="223" t="str">
        <f t="shared" si="10"/>
        <v/>
      </c>
      <c r="U114" s="222" t="str">
        <f t="shared" si="11"/>
        <v/>
      </c>
      <c r="V114" s="361" t="s">
        <v>1235</v>
      </c>
      <c r="W114" s="72"/>
    </row>
    <row r="115" spans="1:23" x14ac:dyDescent="0.2">
      <c r="A115" s="293">
        <f t="shared" si="6"/>
        <v>0</v>
      </c>
      <c r="B115" s="163"/>
      <c r="C115" s="163"/>
      <c r="D115" s="163"/>
      <c r="E115" s="175"/>
      <c r="F115" s="175"/>
      <c r="G115" s="130"/>
      <c r="H115" s="222" t="str">
        <f t="shared" si="7"/>
        <v/>
      </c>
      <c r="I115" s="222" t="str">
        <f t="shared" si="8"/>
        <v/>
      </c>
      <c r="J115" s="67"/>
      <c r="K115" s="67"/>
      <c r="L115" s="360" t="s">
        <v>1235</v>
      </c>
      <c r="M115" s="294">
        <f t="shared" si="9"/>
        <v>0</v>
      </c>
      <c r="N115" s="176"/>
      <c r="O115" s="163"/>
      <c r="P115" s="163"/>
      <c r="Q115" s="175"/>
      <c r="R115" s="175"/>
      <c r="S115" s="130"/>
      <c r="T115" s="223" t="str">
        <f t="shared" si="10"/>
        <v/>
      </c>
      <c r="U115" s="222" t="str">
        <f t="shared" si="11"/>
        <v/>
      </c>
      <c r="V115" s="361" t="s">
        <v>1235</v>
      </c>
      <c r="W115" s="72"/>
    </row>
    <row r="116" spans="1:23" x14ac:dyDescent="0.2">
      <c r="A116" s="293">
        <f t="shared" si="6"/>
        <v>0</v>
      </c>
      <c r="B116" s="163"/>
      <c r="C116" s="163"/>
      <c r="D116" s="163"/>
      <c r="E116" s="175"/>
      <c r="F116" s="175"/>
      <c r="G116" s="130"/>
      <c r="H116" s="222" t="str">
        <f t="shared" si="7"/>
        <v/>
      </c>
      <c r="I116" s="222" t="str">
        <f t="shared" si="8"/>
        <v/>
      </c>
      <c r="J116" s="67"/>
      <c r="K116" s="67"/>
      <c r="L116" s="360" t="s">
        <v>1235</v>
      </c>
      <c r="M116" s="294">
        <f t="shared" si="9"/>
        <v>0</v>
      </c>
      <c r="N116" s="176"/>
      <c r="O116" s="163"/>
      <c r="P116" s="163"/>
      <c r="Q116" s="175"/>
      <c r="R116" s="175"/>
      <c r="S116" s="130"/>
      <c r="T116" s="223" t="str">
        <f t="shared" si="10"/>
        <v/>
      </c>
      <c r="U116" s="222" t="str">
        <f t="shared" si="11"/>
        <v/>
      </c>
      <c r="V116" s="361" t="s">
        <v>1235</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CdK1hwBlDFzXR5EmBt+VQAVnDNKA16WHFWlMUPjVcKCFzgoA6xfXbXdHrxf8o/bh1sKHpLqVROjIeGrleA0KEA==" saltValue="/1m/CN9ToqPhU+rD1MKCRg=="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44396</v>
      </c>
      <c r="F3" s="111"/>
    </row>
    <row r="4" spans="1:19" x14ac:dyDescent="0.2">
      <c r="B4" s="139" t="s">
        <v>437</v>
      </c>
      <c r="C4" s="139"/>
      <c r="D4" s="271">
        <f>IF(Capacity!C4="",DATE(YEAR(D3)+1,MONTH(D3),DAY(D3))-1,Capacity!C4)</f>
        <v>44760</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2" t="s">
        <v>475</v>
      </c>
      <c r="E8" s="422"/>
      <c r="F8" s="422"/>
      <c r="G8" s="422"/>
      <c r="H8" s="422"/>
      <c r="I8" s="422"/>
      <c r="J8" s="422"/>
      <c r="K8" s="422"/>
      <c r="L8" s="108"/>
      <c r="M8" s="106"/>
      <c r="N8" s="106"/>
      <c r="O8" s="108"/>
      <c r="P8" s="106"/>
      <c r="Q8" s="106"/>
      <c r="S8" s="78"/>
    </row>
    <row r="10" spans="1:19" x14ac:dyDescent="0.2">
      <c r="D10" s="420" t="s">
        <v>444</v>
      </c>
      <c r="E10" s="421"/>
      <c r="F10" s="112"/>
      <c r="G10" s="418" t="s">
        <v>445</v>
      </c>
      <c r="H10" s="419"/>
      <c r="I10" s="112"/>
      <c r="J10" s="420" t="s">
        <v>446</v>
      </c>
      <c r="K10" s="421"/>
      <c r="L10" s="112"/>
      <c r="M10" s="418" t="s">
        <v>447</v>
      </c>
      <c r="N10" s="419"/>
      <c r="O10" s="112"/>
      <c r="P10" s="420" t="s">
        <v>448</v>
      </c>
      <c r="Q10" s="421"/>
    </row>
    <row r="11" spans="1:19" x14ac:dyDescent="0.2">
      <c r="A11" s="74">
        <f>MAX(A12:A111)</f>
        <v>5</v>
      </c>
      <c r="B11" s="114" t="s">
        <v>944</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1251</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1252</v>
      </c>
      <c r="D13" s="174">
        <v>43815</v>
      </c>
      <c r="E13" s="174">
        <v>43849</v>
      </c>
      <c r="F13" s="111"/>
      <c r="G13" s="174"/>
      <c r="H13" s="174"/>
      <c r="J13" s="174"/>
      <c r="K13" s="174"/>
      <c r="M13" s="174"/>
      <c r="N13" s="174"/>
      <c r="P13" s="174"/>
      <c r="Q13" s="174"/>
    </row>
    <row r="14" spans="1:19" x14ac:dyDescent="0.2">
      <c r="A14" s="74">
        <f t="shared" si="0"/>
        <v>3</v>
      </c>
      <c r="B14" s="172" t="s">
        <v>1253</v>
      </c>
      <c r="D14" s="174">
        <v>43682</v>
      </c>
      <c r="E14" s="174">
        <v>43723</v>
      </c>
      <c r="F14" s="111"/>
      <c r="G14" s="174"/>
      <c r="H14" s="174"/>
      <c r="J14" s="174"/>
      <c r="K14" s="174"/>
      <c r="M14" s="174"/>
      <c r="N14" s="174"/>
      <c r="P14" s="174"/>
      <c r="Q14" s="174"/>
    </row>
    <row r="15" spans="1:19" x14ac:dyDescent="0.2">
      <c r="A15" s="74">
        <f t="shared" si="0"/>
        <v>4</v>
      </c>
      <c r="B15" s="172" t="s">
        <v>1254</v>
      </c>
      <c r="D15" s="174"/>
      <c r="E15" s="174"/>
      <c r="G15" s="174"/>
      <c r="H15" s="174"/>
      <c r="J15" s="174"/>
      <c r="K15" s="174"/>
      <c r="M15" s="174"/>
      <c r="N15" s="174"/>
      <c r="P15" s="174"/>
      <c r="Q15" s="174"/>
    </row>
    <row r="16" spans="1:19" x14ac:dyDescent="0.2">
      <c r="A16" s="74">
        <f t="shared" si="0"/>
        <v>5</v>
      </c>
      <c r="B16" s="172" t="s">
        <v>1255</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3" t="s">
        <v>473</v>
      </c>
      <c r="C1" s="423"/>
      <c r="D1" s="423"/>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877</v>
      </c>
      <c r="J11" s="121" t="s">
        <v>294</v>
      </c>
    </row>
    <row r="12" spans="1:11" x14ac:dyDescent="0.2">
      <c r="B12" s="218" t="str">
        <f>IF(Capacity!B17=0,"",Capacity!B17)</f>
        <v>Slot A</v>
      </c>
      <c r="C12" s="132" t="s">
        <v>1256</v>
      </c>
      <c r="D12" s="132"/>
      <c r="E12" s="132"/>
      <c r="F12" s="215">
        <f>IF(ROW(A1)&lt;=Capacity!$A$16,Capacity!E17,"")</f>
        <v>45</v>
      </c>
      <c r="G12" s="216">
        <f ca="1">IF(ROW(A1)&lt;=Capacity!$A$16,'Capacity calculation (hide)'!BH5,"")</f>
        <v>52</v>
      </c>
      <c r="H12" s="215">
        <f>IF(ROW(A1)&lt;=Capacity!$A$16,Capacity!H17,"")</f>
        <v>1800</v>
      </c>
      <c r="I12" s="217">
        <f ca="1">IF(ROW(A1)&lt;=Capacity!$A$16,'Capacity calculation (hide)'!DL5,"")</f>
        <v>1799.9999999999986</v>
      </c>
      <c r="J12" s="218" t="str">
        <f ca="1">IFERROR(IF(G12-F12 &lt;0, "Under","Over"),"")</f>
        <v>Over</v>
      </c>
    </row>
    <row r="13" spans="1:11" x14ac:dyDescent="0.2">
      <c r="B13" s="218" t="str">
        <f>IF(Capacity!B18=0,"",Capacity!B18)</f>
        <v>Slot B</v>
      </c>
      <c r="C13" s="132" t="s">
        <v>1256</v>
      </c>
      <c r="D13" s="132" t="s">
        <v>1257</v>
      </c>
      <c r="E13" s="132"/>
      <c r="F13" s="215">
        <f>IF(ROW(A2)&lt;=Capacity!$A$16,Capacity!E18,"")</f>
        <v>45</v>
      </c>
      <c r="G13" s="216">
        <f ca="1">IF(ROW(A2)&lt;=Capacity!$A$16,'Capacity calculation (hide)'!BH6,"")</f>
        <v>52</v>
      </c>
      <c r="H13" s="215">
        <f>IF(ROW(A2)&lt;=Capacity!$A$16,Capacity!H18,"")</f>
        <v>2700</v>
      </c>
      <c r="I13" s="217">
        <f ca="1">IF(ROW(A2)&lt;=Capacity!$A$16,'Capacity calculation (hide)'!DL6,"")</f>
        <v>2700.0000000000023</v>
      </c>
      <c r="J13" s="218" t="str">
        <f t="shared" ref="J13:J76" ca="1" si="0">IFERROR(IF(G13-F13 &lt;0, "Under","Over"),"")</f>
        <v>Over</v>
      </c>
    </row>
    <row r="14" spans="1:11" x14ac:dyDescent="0.2">
      <c r="B14" s="218" t="str">
        <f>IF(Capacity!B19=0,"",Capacity!B19)</f>
        <v>2 ww</v>
      </c>
      <c r="C14" s="132" t="s">
        <v>1257</v>
      </c>
      <c r="D14" s="132" t="s">
        <v>1258</v>
      </c>
      <c r="E14" s="132"/>
      <c r="F14" s="215">
        <f>IF(ROW(A3)&lt;=Capacity!$A$16,Capacity!E19,"")</f>
        <v>45</v>
      </c>
      <c r="G14" s="216">
        <f ca="1">IF(ROW(A3)&lt;=Capacity!$A$16,'Capacity calculation (hide)'!BH7,"")</f>
        <v>52</v>
      </c>
      <c r="H14" s="215">
        <f>IF(ROW(A3)&lt;=Capacity!$A$16,Capacity!H19,"")</f>
        <v>9900</v>
      </c>
      <c r="I14" s="217">
        <f ca="1">IF(ROW(A3)&lt;=Capacity!$A$16,'Capacity calculation (hide)'!DL7,"")</f>
        <v>9899.9999999999945</v>
      </c>
      <c r="J14" s="218" t="str">
        <f t="shared" ca="1" si="0"/>
        <v>Over</v>
      </c>
    </row>
    <row r="15" spans="1:11" x14ac:dyDescent="0.2">
      <c r="B15" s="218" t="str">
        <f>IF(Capacity!B20=0,"",Capacity!B20)</f>
        <v>Biopsy</v>
      </c>
      <c r="C15" s="132" t="s">
        <v>1258</v>
      </c>
      <c r="D15" s="132"/>
      <c r="E15" s="132"/>
      <c r="F15" s="215">
        <f>IF(ROW(A4)&lt;=Capacity!$A$16,Capacity!E20,"")</f>
        <v>45</v>
      </c>
      <c r="G15" s="216">
        <f ca="1">IF(ROW(A4)&lt;=Capacity!$A$16,'Capacity calculation (hide)'!BH8,"")</f>
        <v>52</v>
      </c>
      <c r="H15" s="215">
        <f>IF(ROW(A4)&lt;=Capacity!$A$16,Capacity!H20,"")</f>
        <v>8100</v>
      </c>
      <c r="I15" s="217">
        <f ca="1">IF(ROW(A4)&lt;=Capacity!$A$16,'Capacity calculation (hide)'!DL8,"")</f>
        <v>8099.9999999999945</v>
      </c>
      <c r="J15" s="218" t="str">
        <f t="shared" ca="1" si="0"/>
        <v>Over</v>
      </c>
    </row>
    <row r="16" spans="1:11" x14ac:dyDescent="0.2">
      <c r="B16" s="218" t="str">
        <f>IF(Capacity!B21=0,"",Capacity!B21)</f>
        <v>Slot A</v>
      </c>
      <c r="C16" s="132"/>
      <c r="D16" s="132"/>
      <c r="E16" s="132"/>
      <c r="F16" s="215">
        <f>IF(ROW(A5)&lt;=Capacity!$A$16,Capacity!E21,"")</f>
        <v>50</v>
      </c>
      <c r="G16" s="216">
        <f ca="1">IF(ROW(A5)&lt;=Capacity!$A$16,'Capacity calculation (hide)'!BH9,"")</f>
        <v>52</v>
      </c>
      <c r="H16" s="215">
        <f>IF(ROW(A5)&lt;=Capacity!$A$16,Capacity!H21,"")</f>
        <v>500</v>
      </c>
      <c r="I16" s="217">
        <f ca="1">IF(ROW(A5)&lt;=Capacity!$A$16,'Capacity calculation (hide)'!DL9,"")</f>
        <v>500.00000000000063</v>
      </c>
      <c r="J16" s="218" t="str">
        <f t="shared" ca="1" si="0"/>
        <v>Over</v>
      </c>
    </row>
    <row r="17" spans="2:10" x14ac:dyDescent="0.2">
      <c r="B17" s="218" t="str">
        <f>IF(Capacity!B22=0,"",Capacity!B22)</f>
        <v>2 ww</v>
      </c>
      <c r="C17" s="132"/>
      <c r="D17" s="132"/>
      <c r="E17" s="132"/>
      <c r="F17" s="215">
        <f>IF(ROW(A6)&lt;=Capacity!$A$16,Capacity!E22,"")</f>
        <v>50</v>
      </c>
      <c r="G17" s="216">
        <f ca="1">IF(ROW(A6)&lt;=Capacity!$A$16,'Capacity calculation (hide)'!BH10,"")</f>
        <v>52</v>
      </c>
      <c r="H17" s="215">
        <f>IF(ROW(A6)&lt;=Capacity!$A$16,Capacity!H22,"")</f>
        <v>3000</v>
      </c>
      <c r="I17" s="217">
        <f ca="1">IF(ROW(A6)&lt;=Capacity!$A$16,'Capacity calculation (hide)'!DL10,"")</f>
        <v>2999.9999999999982</v>
      </c>
      <c r="J17" s="218" t="str">
        <f t="shared" ca="1" si="0"/>
        <v>Over</v>
      </c>
    </row>
    <row r="18" spans="2:10" x14ac:dyDescent="0.2">
      <c r="B18" s="218" t="str">
        <f>IF(Capacity!B23=0,"",Capacity!B23)</f>
        <v>CT Colon</v>
      </c>
      <c r="C18" s="132"/>
      <c r="D18" s="132"/>
      <c r="E18" s="132"/>
      <c r="F18" s="215">
        <f>IF(ROW(A7)&lt;=Capacity!$A$16,Capacity!E23,"")</f>
        <v>50</v>
      </c>
      <c r="G18" s="216">
        <f ca="1">IF(ROW(A7)&lt;=Capacity!$A$16,'Capacity calculation (hide)'!BH11,"")</f>
        <v>52</v>
      </c>
      <c r="H18" s="215">
        <f>IF(ROW(A7)&lt;=Capacity!$A$16,Capacity!H23,"")</f>
        <v>17500</v>
      </c>
      <c r="I18" s="217">
        <f ca="1">IF(ROW(A7)&lt;=Capacity!$A$16,'Capacity calculation (hide)'!DL11,"")</f>
        <v>17499.999999999989</v>
      </c>
      <c r="J18" s="218" t="str">
        <f t="shared" ca="1" si="0"/>
        <v>Over</v>
      </c>
    </row>
    <row r="19" spans="2:10" x14ac:dyDescent="0.2">
      <c r="B19" s="218" t="str">
        <f>IF(Capacity!B24=0,"",Capacity!B24)</f>
        <v>Slot A</v>
      </c>
      <c r="C19" s="132"/>
      <c r="D19" s="132"/>
      <c r="E19" s="132"/>
      <c r="F19" s="215">
        <f>IF(ROW(A8)&lt;=Capacity!$A$16,Capacity!E24,"")</f>
        <v>50</v>
      </c>
      <c r="G19" s="216">
        <f ca="1">IF(ROW(A8)&lt;=Capacity!$A$16,'Capacity calculation (hide)'!BH12,"")</f>
        <v>52</v>
      </c>
      <c r="H19" s="215">
        <f>IF(ROW(A8)&lt;=Capacity!$A$16,Capacity!H24,"")</f>
        <v>500</v>
      </c>
      <c r="I19" s="217">
        <f ca="1">IF(ROW(A8)&lt;=Capacity!$A$16,'Capacity calculation (hide)'!DL12,"")</f>
        <v>500.00000000000063</v>
      </c>
      <c r="J19" s="218" t="str">
        <f t="shared" ca="1" si="0"/>
        <v>Over</v>
      </c>
    </row>
    <row r="20" spans="2:10" x14ac:dyDescent="0.2">
      <c r="B20" s="218" t="str">
        <f>IF(Capacity!B25=0,"",Capacity!B25)</f>
        <v>2 ww</v>
      </c>
      <c r="C20" s="132"/>
      <c r="D20" s="132"/>
      <c r="E20" s="132"/>
      <c r="F20" s="215">
        <f>IF(ROW(A9)&lt;=Capacity!$A$16,Capacity!E25,"")</f>
        <v>50</v>
      </c>
      <c r="G20" s="216">
        <f ca="1">IF(ROW(A9)&lt;=Capacity!$A$16,'Capacity calculation (hide)'!BH13,"")</f>
        <v>52</v>
      </c>
      <c r="H20" s="215">
        <f>IF(ROW(A9)&lt;=Capacity!$A$16,Capacity!H25,"")</f>
        <v>3000</v>
      </c>
      <c r="I20" s="217">
        <f ca="1">IF(ROW(A9)&lt;=Capacity!$A$16,'Capacity calculation (hide)'!DL13,"")</f>
        <v>2999.9999999999982</v>
      </c>
      <c r="J20" s="218" t="str">
        <f t="shared" ca="1" si="0"/>
        <v>Over</v>
      </c>
    </row>
    <row r="21" spans="2:10" x14ac:dyDescent="0.2">
      <c r="B21" s="218" t="str">
        <f>IF(Capacity!B26=0,"",Capacity!B26)</f>
        <v>CT Colon</v>
      </c>
      <c r="C21" s="132"/>
      <c r="D21" s="132"/>
      <c r="E21" s="132"/>
      <c r="F21" s="215">
        <f>IF(ROW(A10)&lt;=Capacity!$A$16,Capacity!E26,"")</f>
        <v>50</v>
      </c>
      <c r="G21" s="216">
        <f ca="1">IF(ROW(A10)&lt;=Capacity!$A$16,'Capacity calculation (hide)'!BH14,"")</f>
        <v>52</v>
      </c>
      <c r="H21" s="215">
        <f>IF(ROW(A10)&lt;=Capacity!$A$16,Capacity!H26,"")</f>
        <v>17500</v>
      </c>
      <c r="I21" s="217">
        <f ca="1">IF(ROW(A10)&lt;=Capacity!$A$16,'Capacity calculation (hide)'!DL14,"")</f>
        <v>17499.999999999989</v>
      </c>
      <c r="J21" s="218" t="str">
        <f t="shared" ca="1" si="0"/>
        <v>Over</v>
      </c>
    </row>
    <row r="22" spans="2:10" x14ac:dyDescent="0.2">
      <c r="B22" s="218" t="str">
        <f>IF(Capacity!B27=0,"",Capacity!B27)</f>
        <v>Slot A</v>
      </c>
      <c r="C22" s="132"/>
      <c r="D22" s="132"/>
      <c r="E22" s="132"/>
      <c r="F22" s="215">
        <f>IF(ROW(A11)&lt;=Capacity!$A$16,Capacity!E27,"")</f>
        <v>50</v>
      </c>
      <c r="G22" s="216">
        <f ca="1">IF(ROW(A11)&lt;=Capacity!$A$16,'Capacity calculation (hide)'!BH15,"")</f>
        <v>52</v>
      </c>
      <c r="H22" s="215">
        <f>IF(ROW(A11)&lt;=Capacity!$A$16,Capacity!H27,"")</f>
        <v>1500</v>
      </c>
      <c r="I22" s="217">
        <f ca="1">IF(ROW(A11)&lt;=Capacity!$A$16,'Capacity calculation (hide)'!DL15,"")</f>
        <v>1499.9999999999991</v>
      </c>
      <c r="J22" s="218" t="str">
        <f t="shared" ca="1" si="0"/>
        <v>Over</v>
      </c>
    </row>
    <row r="23" spans="2:10" x14ac:dyDescent="0.2">
      <c r="B23" s="218" t="str">
        <f>IF(Capacity!B28=0,"",Capacity!B28)</f>
        <v>2 ww</v>
      </c>
      <c r="C23" s="132"/>
      <c r="D23" s="132"/>
      <c r="E23" s="132"/>
      <c r="F23" s="215">
        <f>IF(ROW(A12)&lt;=Capacity!$A$16,Capacity!E28,"")</f>
        <v>50</v>
      </c>
      <c r="G23" s="216">
        <f ca="1">IF(ROW(A12)&lt;=Capacity!$A$16,'Capacity calculation (hide)'!BH16,"")</f>
        <v>52</v>
      </c>
      <c r="H23" s="215">
        <f>IF(ROW(A12)&lt;=Capacity!$A$16,Capacity!H28,"")</f>
        <v>4500</v>
      </c>
      <c r="I23" s="217">
        <f ca="1">IF(ROW(A12)&lt;=Capacity!$A$16,'Capacity calculation (hide)'!DL16,"")</f>
        <v>4499.9999999999982</v>
      </c>
      <c r="J23" s="218" t="str">
        <f t="shared" ca="1" si="0"/>
        <v>Over</v>
      </c>
    </row>
    <row r="24" spans="2:10" x14ac:dyDescent="0.2">
      <c r="B24" s="218" t="str">
        <f>IF(Capacity!B29=0,"",Capacity!B29)</f>
        <v>Cardiac</v>
      </c>
      <c r="C24" s="132"/>
      <c r="D24" s="132"/>
      <c r="E24" s="132"/>
      <c r="F24" s="215">
        <f>IF(ROW(A13)&lt;=Capacity!$A$16,Capacity!E29,"")</f>
        <v>50</v>
      </c>
      <c r="G24" s="216">
        <f ca="1">IF(ROW(A13)&lt;=Capacity!$A$16,'Capacity calculation (hide)'!BH17,"")</f>
        <v>52</v>
      </c>
      <c r="H24" s="215">
        <f>IF(ROW(A13)&lt;=Capacity!$A$16,Capacity!H29,"")</f>
        <v>10500</v>
      </c>
      <c r="I24" s="217">
        <f ca="1">IF(ROW(A13)&lt;=Capacity!$A$16,'Capacity calculation (hide)'!DL17,"")</f>
        <v>10499.999999999998</v>
      </c>
      <c r="J24" s="218" t="str">
        <f t="shared" ca="1" si="0"/>
        <v>Over</v>
      </c>
    </row>
    <row r="25" spans="2:10" x14ac:dyDescent="0.2">
      <c r="B25" s="218" t="str">
        <f>IF(Capacity!B30=0,"",Capacity!B30)</f>
        <v>Slot B</v>
      </c>
      <c r="C25" s="132"/>
      <c r="D25" s="132"/>
      <c r="E25" s="132"/>
      <c r="F25" s="215">
        <f>IF(ROW(A14)&lt;=Capacity!$A$16,Capacity!E30,"")</f>
        <v>50</v>
      </c>
      <c r="G25" s="216">
        <f ca="1">IF(ROW(A14)&lt;=Capacity!$A$16,'Capacity calculation (hide)'!BH18,"")</f>
        <v>52</v>
      </c>
      <c r="H25" s="215">
        <f>IF(ROW(A14)&lt;=Capacity!$A$16,Capacity!H30,"")</f>
        <v>3000</v>
      </c>
      <c r="I25" s="217">
        <f ca="1">IF(ROW(A14)&lt;=Capacity!$A$16,'Capacity calculation (hide)'!DL18,"")</f>
        <v>2999.9999999999982</v>
      </c>
      <c r="J25" s="218" t="str">
        <f t="shared" ca="1" si="0"/>
        <v>Over</v>
      </c>
    </row>
    <row r="26" spans="2:10" x14ac:dyDescent="0.2">
      <c r="B26" s="218" t="str">
        <f>IF(Capacity!B31=0,"",Capacity!B31)</f>
        <v>PP</v>
      </c>
      <c r="C26" s="132"/>
      <c r="D26" s="132"/>
      <c r="E26" s="132"/>
      <c r="F26" s="215">
        <f>IF(ROW(A15)&lt;=Capacity!$A$16,Capacity!E31,"")</f>
        <v>50</v>
      </c>
      <c r="G26" s="216">
        <f ca="1">IF(ROW(A15)&lt;=Capacity!$A$16,'Capacity calculation (hide)'!BH19,"")</f>
        <v>52</v>
      </c>
      <c r="H26" s="215">
        <f>IF(ROW(A15)&lt;=Capacity!$A$16,Capacity!H31,"")</f>
        <v>1000</v>
      </c>
      <c r="I26" s="217">
        <f ca="1">IF(ROW(A15)&lt;=Capacity!$A$16,'Capacity calculation (hide)'!DL19,"")</f>
        <v>1000.0000000000013</v>
      </c>
      <c r="J26" s="218" t="str">
        <f t="shared" ca="1" si="0"/>
        <v>Over</v>
      </c>
    </row>
    <row r="27" spans="2:10" x14ac:dyDescent="0.2">
      <c r="B27" s="218" t="str">
        <f>IF(Capacity!B32=0,"",Capacity!B32)</f>
        <v>Slot A</v>
      </c>
      <c r="C27" s="132"/>
      <c r="D27" s="132"/>
      <c r="E27" s="132"/>
      <c r="F27" s="215">
        <f>IF(ROW(A16)&lt;=Capacity!$A$16,Capacity!E32,"")</f>
        <v>49</v>
      </c>
      <c r="G27" s="216">
        <f ca="1">IF(ROW(A16)&lt;=Capacity!$A$16,'Capacity calculation (hide)'!BH20,"")</f>
        <v>52</v>
      </c>
      <c r="H27" s="215">
        <f>IF(ROW(A16)&lt;=Capacity!$A$16,Capacity!H32,"")</f>
        <v>2450</v>
      </c>
      <c r="I27" s="217">
        <f ca="1">IF(ROW(A16)&lt;=Capacity!$A$16,'Capacity calculation (hide)'!DL20,"")</f>
        <v>2449.9999999999995</v>
      </c>
      <c r="J27" s="218" t="str">
        <f t="shared" ca="1" si="0"/>
        <v>Over</v>
      </c>
    </row>
    <row r="28" spans="2:10" x14ac:dyDescent="0.2">
      <c r="B28" s="218" t="str">
        <f>IF(Capacity!B33=0,"",Capacity!B33)</f>
        <v>2 ww</v>
      </c>
      <c r="C28" s="132"/>
      <c r="D28" s="132"/>
      <c r="E28" s="132"/>
      <c r="F28" s="215">
        <f>IF(ROW(A17)&lt;=Capacity!$A$16,Capacity!E33,"")</f>
        <v>49</v>
      </c>
      <c r="G28" s="216">
        <f ca="1">IF(ROW(A17)&lt;=Capacity!$A$16,'Capacity calculation (hide)'!BH21,"")</f>
        <v>52</v>
      </c>
      <c r="H28" s="215">
        <f>IF(ROW(A17)&lt;=Capacity!$A$16,Capacity!H33,"")</f>
        <v>8820</v>
      </c>
      <c r="I28" s="217">
        <f ca="1">IF(ROW(A17)&lt;=Capacity!$A$16,'Capacity calculation (hide)'!DL21,"")</f>
        <v>8820.0000000000036</v>
      </c>
      <c r="J28" s="218" t="str">
        <f t="shared" ca="1" si="0"/>
        <v>Over</v>
      </c>
    </row>
    <row r="29" spans="2:10" x14ac:dyDescent="0.2">
      <c r="B29" s="218" t="str">
        <f>IF(Capacity!B34=0,"",Capacity!B34)</f>
        <v>Biopsy</v>
      </c>
      <c r="C29" s="132"/>
      <c r="D29" s="132"/>
      <c r="E29" s="132"/>
      <c r="F29" s="215">
        <f>IF(ROW(A18)&lt;=Capacity!$A$16,Capacity!E34,"")</f>
        <v>42</v>
      </c>
      <c r="G29" s="216">
        <f ca="1">IF(ROW(A18)&lt;=Capacity!$A$16,'Capacity calculation (hide)'!BH22,"")</f>
        <v>52</v>
      </c>
      <c r="H29" s="215">
        <f>IF(ROW(A18)&lt;=Capacity!$A$16,Capacity!H34,"")</f>
        <v>3360</v>
      </c>
      <c r="I29" s="217">
        <f ca="1">IF(ROW(A18)&lt;=Capacity!$A$16,'Capacity calculation (hide)'!DL22,"")</f>
        <v>3360.0000000000018</v>
      </c>
      <c r="J29" s="218" t="str">
        <f t="shared" ca="1" si="0"/>
        <v>Over</v>
      </c>
    </row>
    <row r="30" spans="2:10" x14ac:dyDescent="0.2">
      <c r="B30" s="218" t="str">
        <f>IF(Capacity!B35=0,"",Capacity!B35)</f>
        <v>Slot B</v>
      </c>
      <c r="C30" s="132"/>
      <c r="D30" s="132"/>
      <c r="E30" s="132"/>
      <c r="F30" s="215">
        <f>IF(ROW(A19)&lt;=Capacity!$A$16,Capacity!E35,"")</f>
        <v>49</v>
      </c>
      <c r="G30" s="216">
        <f ca="1">IF(ROW(A19)&lt;=Capacity!$A$16,'Capacity calculation (hide)'!BH23,"")</f>
        <v>52</v>
      </c>
      <c r="H30" s="215">
        <f>IF(ROW(A19)&lt;=Capacity!$A$16,Capacity!H35,"")</f>
        <v>6860</v>
      </c>
      <c r="I30" s="217">
        <f ca="1">IF(ROW(A19)&lt;=Capacity!$A$16,'Capacity calculation (hide)'!DL23,"")</f>
        <v>6860.0000000000073</v>
      </c>
      <c r="J30" s="218" t="str">
        <f t="shared" ca="1" si="0"/>
        <v>Over</v>
      </c>
    </row>
    <row r="31" spans="2:10" x14ac:dyDescent="0.2">
      <c r="B31" s="218" t="str">
        <f>IF(Capacity!B36=0,"",Capacity!B36)</f>
        <v>Slot A</v>
      </c>
      <c r="C31" s="132"/>
      <c r="D31" s="132"/>
      <c r="E31" s="132"/>
      <c r="F31" s="215">
        <f>IF(ROW(A20)&lt;=Capacity!$A$16,Capacity!E36,"")</f>
        <v>45</v>
      </c>
      <c r="G31" s="216">
        <f ca="1">IF(ROW(A20)&lt;=Capacity!$A$16,'Capacity calculation (hide)'!BH24,"")</f>
        <v>52</v>
      </c>
      <c r="H31" s="215">
        <f>IF(ROW(A20)&lt;=Capacity!$A$16,Capacity!H36,"")</f>
        <v>900</v>
      </c>
      <c r="I31" s="217">
        <f ca="1">IF(ROW(A20)&lt;=Capacity!$A$16,'Capacity calculation (hide)'!DL24,"")</f>
        <v>899.99999999999932</v>
      </c>
      <c r="J31" s="218" t="str">
        <f t="shared" ca="1" si="0"/>
        <v>Over</v>
      </c>
    </row>
    <row r="32" spans="2:10" x14ac:dyDescent="0.2">
      <c r="B32" s="218" t="str">
        <f>IF(Capacity!B37=0,"",Capacity!B37)</f>
        <v>2 ww</v>
      </c>
      <c r="C32" s="132"/>
      <c r="D32" s="132"/>
      <c r="E32" s="132"/>
      <c r="F32" s="215">
        <f>IF(ROW(A21)&lt;=Capacity!$A$16,Capacity!E37,"")</f>
        <v>45</v>
      </c>
      <c r="G32" s="216">
        <f ca="1">IF(ROW(A21)&lt;=Capacity!$A$16,'Capacity calculation (hide)'!BH25,"")</f>
        <v>52</v>
      </c>
      <c r="H32" s="215">
        <f>IF(ROW(A21)&lt;=Capacity!$A$16,Capacity!H37,"")</f>
        <v>1800</v>
      </c>
      <c r="I32" s="217">
        <f ca="1">IF(ROW(A21)&lt;=Capacity!$A$16,'Capacity calculation (hide)'!DL25,"")</f>
        <v>1799.9999999999986</v>
      </c>
      <c r="J32" s="218" t="str">
        <f t="shared" ca="1" si="0"/>
        <v>Over</v>
      </c>
    </row>
    <row r="33" spans="2:10" x14ac:dyDescent="0.2">
      <c r="B33" s="218" t="str">
        <f>IF(Capacity!B38=0,"",Capacity!B38)</f>
        <v>2 ww</v>
      </c>
      <c r="C33" s="132"/>
      <c r="D33" s="132"/>
      <c r="E33" s="132"/>
      <c r="F33" s="215">
        <f>IF(ROW(A22)&lt;=Capacity!$A$16,Capacity!E38,"")</f>
        <v>50</v>
      </c>
      <c r="G33" s="216">
        <f ca="1">IF(ROW(A22)&lt;=Capacity!$A$16,'Capacity calculation (hide)'!BH26,"")</f>
        <v>52</v>
      </c>
      <c r="H33" s="215">
        <f>IF(ROW(A22)&lt;=Capacity!$A$16,Capacity!H38,"")</f>
        <v>3000</v>
      </c>
      <c r="I33" s="217">
        <f ca="1">IF(ROW(A22)&lt;=Capacity!$A$16,'Capacity calculation (hide)'!DL26,"")</f>
        <v>2999.9999999999982</v>
      </c>
      <c r="J33" s="218" t="str">
        <f t="shared" ca="1" si="0"/>
        <v>Over</v>
      </c>
    </row>
    <row r="34" spans="2:10" x14ac:dyDescent="0.2">
      <c r="B34" s="218" t="str">
        <f>IF(Capacity!B39=0,"",Capacity!B39)</f>
        <v>2 ww</v>
      </c>
      <c r="C34" s="132"/>
      <c r="D34" s="132"/>
      <c r="E34" s="132"/>
      <c r="F34" s="215">
        <f>IF(ROW(A23)&lt;=Capacity!$A$16,Capacity!E39,"")</f>
        <v>50</v>
      </c>
      <c r="G34" s="216">
        <f ca="1">IF(ROW(A23)&lt;=Capacity!$A$16,'Capacity calculation (hide)'!BH27,"")</f>
        <v>52</v>
      </c>
      <c r="H34" s="215">
        <f>IF(ROW(A23)&lt;=Capacity!$A$16,Capacity!H39,"")</f>
        <v>3000</v>
      </c>
      <c r="I34" s="217">
        <f ca="1">IF(ROW(A23)&lt;=Capacity!$A$16,'Capacity calculation (hide)'!DL27,"")</f>
        <v>2999.9999999999982</v>
      </c>
      <c r="J34" s="218" t="str">
        <f t="shared" ca="1" si="0"/>
        <v>Over</v>
      </c>
    </row>
    <row r="35" spans="2:10" x14ac:dyDescent="0.2">
      <c r="B35" s="218" t="str">
        <f>IF(Capacity!B40=0,"",Capacity!B40)</f>
        <v>Slot A</v>
      </c>
      <c r="C35" s="132"/>
      <c r="D35" s="132"/>
      <c r="E35" s="132"/>
      <c r="F35" s="215">
        <f>IF(ROW(A24)&lt;=Capacity!$A$16,Capacity!E40,"")</f>
        <v>50</v>
      </c>
      <c r="G35" s="216">
        <f ca="1">IF(ROW(A24)&lt;=Capacity!$A$16,'Capacity calculation (hide)'!BH28,"")</f>
        <v>52</v>
      </c>
      <c r="H35" s="215">
        <f>IF(ROW(A24)&lt;=Capacity!$A$16,Capacity!H40,"")</f>
        <v>2000</v>
      </c>
      <c r="I35" s="217">
        <f ca="1">IF(ROW(A24)&lt;=Capacity!$A$16,'Capacity calculation (hide)'!DL28,"")</f>
        <v>2000.0000000000025</v>
      </c>
      <c r="J35" s="218" t="str">
        <f t="shared" ca="1" si="0"/>
        <v>Over</v>
      </c>
    </row>
    <row r="36" spans="2:10" x14ac:dyDescent="0.2">
      <c r="B36" s="218" t="str">
        <f>IF(Capacity!B41=0,"",Capacity!B41)</f>
        <v>Slot A</v>
      </c>
      <c r="C36" s="132"/>
      <c r="D36" s="132"/>
      <c r="E36" s="132"/>
      <c r="F36" s="215">
        <f>IF(ROW(A25)&lt;=Capacity!$A$16,Capacity!E41,"")</f>
        <v>49</v>
      </c>
      <c r="G36" s="216">
        <f ca="1">IF(ROW(A25)&lt;=Capacity!$A$16,'Capacity calculation (hide)'!BH29,"")</f>
        <v>52</v>
      </c>
      <c r="H36" s="215">
        <f>IF(ROW(A25)&lt;=Capacity!$A$16,Capacity!H41,"")</f>
        <v>1960</v>
      </c>
      <c r="I36" s="217">
        <f ca="1">IF(ROW(A25)&lt;=Capacity!$A$16,'Capacity calculation (hide)'!DL29,"")</f>
        <v>1959.9999999999989</v>
      </c>
      <c r="J36" s="218" t="str">
        <f t="shared" ca="1" si="0"/>
        <v>Over</v>
      </c>
    </row>
    <row r="37" spans="2:10" x14ac:dyDescent="0.2">
      <c r="B37" s="218" t="str">
        <f>IF(Capacity!B42=0,"",Capacity!B42)</f>
        <v>PP</v>
      </c>
      <c r="C37" s="132"/>
      <c r="D37" s="132"/>
      <c r="E37" s="132"/>
      <c r="F37" s="215">
        <f>IF(ROW(A26)&lt;=Capacity!$A$16,Capacity!E42,"")</f>
        <v>50</v>
      </c>
      <c r="G37" s="216">
        <f ca="1">IF(ROW(A26)&lt;=Capacity!$A$16,'Capacity calculation (hide)'!BH30,"")</f>
        <v>52</v>
      </c>
      <c r="H37" s="215">
        <f>IF(ROW(A26)&lt;=Capacity!$A$16,Capacity!H42,"")</f>
        <v>1000</v>
      </c>
      <c r="I37" s="217">
        <f ca="1">IF(ROW(A26)&lt;=Capacity!$A$16,'Capacity calculation (hide)'!DL30,"")</f>
        <v>1000.0000000000013</v>
      </c>
      <c r="J37" s="218" t="str">
        <f t="shared" ca="1" si="0"/>
        <v>Over</v>
      </c>
    </row>
    <row r="38" spans="2:10" x14ac:dyDescent="0.2">
      <c r="B38" s="218" t="str">
        <f>IF(Capacity!B43=0,"",Capacity!B43)</f>
        <v>Slot A</v>
      </c>
      <c r="C38" s="132"/>
      <c r="D38" s="132"/>
      <c r="E38" s="132"/>
      <c r="F38" s="215">
        <f>IF(ROW(A27)&lt;=Capacity!$A$16,Capacity!E43,"")</f>
        <v>50</v>
      </c>
      <c r="G38" s="216">
        <f ca="1">IF(ROW(A27)&lt;=Capacity!$A$16,'Capacity calculation (hide)'!BH31,"")</f>
        <v>52</v>
      </c>
      <c r="H38" s="215">
        <f>IF(ROW(A27)&lt;=Capacity!$A$16,Capacity!H43,"")</f>
        <v>7000</v>
      </c>
      <c r="I38" s="217">
        <f ca="1">IF(ROW(A27)&lt;=Capacity!$A$16,'Capacity calculation (hide)'!DL31,"")</f>
        <v>7000.0000000000045</v>
      </c>
      <c r="J38" s="218" t="str">
        <f t="shared" ca="1" si="0"/>
        <v>Over</v>
      </c>
    </row>
    <row r="39" spans="2:10" x14ac:dyDescent="0.2">
      <c r="B39" s="218" t="str">
        <f>IF(Capacity!B44=0,"",Capacity!B44)</f>
        <v>PP</v>
      </c>
      <c r="C39" s="132"/>
      <c r="D39" s="132"/>
      <c r="E39" s="132"/>
      <c r="F39" s="215">
        <f>IF(ROW(A28)&lt;=Capacity!$A$16,Capacity!E44,"")</f>
        <v>50</v>
      </c>
      <c r="G39" s="216">
        <f ca="1">IF(ROW(A28)&lt;=Capacity!$A$16,'Capacity calculation (hide)'!BH32,"")</f>
        <v>52</v>
      </c>
      <c r="H39" s="215">
        <f>IF(ROW(A28)&lt;=Capacity!$A$16,Capacity!H44,"")</f>
        <v>1000</v>
      </c>
      <c r="I39" s="217">
        <f ca="1">IF(ROW(A28)&lt;=Capacity!$A$16,'Capacity calculation (hide)'!DL32,"")</f>
        <v>1000.0000000000013</v>
      </c>
      <c r="J39" s="218" t="str">
        <f t="shared" ca="1" si="0"/>
        <v>Over</v>
      </c>
    </row>
    <row r="40" spans="2:10" x14ac:dyDescent="0.2">
      <c r="B40" s="218" t="str">
        <f>IF(Capacity!B45=0,"",Capacity!B45)</f>
        <v>2 ww</v>
      </c>
      <c r="C40" s="132"/>
      <c r="D40" s="132"/>
      <c r="E40" s="132"/>
      <c r="F40" s="215">
        <f>IF(ROW(A29)&lt;=Capacity!$A$16,Capacity!E45,"")</f>
        <v>50</v>
      </c>
      <c r="G40" s="216">
        <f ca="1">IF(ROW(A29)&lt;=Capacity!$A$16,'Capacity calculation (hide)'!BH33,"")</f>
        <v>52</v>
      </c>
      <c r="H40" s="215">
        <f>IF(ROW(A29)&lt;=Capacity!$A$16,Capacity!H45,"")</f>
        <v>4000</v>
      </c>
      <c r="I40" s="217">
        <f ca="1">IF(ROW(A29)&lt;=Capacity!$A$16,'Capacity calculation (hide)'!DL33,"")</f>
        <v>4000.000000000005</v>
      </c>
      <c r="J40" s="218" t="str">
        <f t="shared" ca="1" si="0"/>
        <v>Over</v>
      </c>
    </row>
    <row r="41" spans="2:10" x14ac:dyDescent="0.2">
      <c r="B41" s="218" t="str">
        <f>IF(Capacity!B46=0,"",Capacity!B46)</f>
        <v>Slot A</v>
      </c>
      <c r="C41" s="132"/>
      <c r="D41" s="132"/>
      <c r="E41" s="132"/>
      <c r="F41" s="215">
        <f>IF(ROW(A30)&lt;=Capacity!$A$16,Capacity!E46,"")</f>
        <v>50</v>
      </c>
      <c r="G41" s="216">
        <f ca="1">IF(ROW(A30)&lt;=Capacity!$A$16,'Capacity calculation (hide)'!BH34,"")</f>
        <v>52</v>
      </c>
      <c r="H41" s="215">
        <f>IF(ROW(A30)&lt;=Capacity!$A$16,Capacity!H46,"")</f>
        <v>4000</v>
      </c>
      <c r="I41" s="217">
        <f ca="1">IF(ROW(A30)&lt;=Capacity!$A$16,'Capacity calculation (hide)'!DL34,"")</f>
        <v>4000.000000000005</v>
      </c>
      <c r="J41" s="218" t="str">
        <f t="shared" ca="1" si="0"/>
        <v>Over</v>
      </c>
    </row>
    <row r="42" spans="2:10" x14ac:dyDescent="0.2">
      <c r="B42" s="218" t="str">
        <f>IF(Capacity!B47=0,"",Capacity!B47)</f>
        <v>Slot A</v>
      </c>
      <c r="C42" s="132"/>
      <c r="D42" s="132"/>
      <c r="E42" s="132"/>
      <c r="F42" s="215">
        <f>IF(ROW(A31)&lt;=Capacity!$A$16,Capacity!E47,"")</f>
        <v>45</v>
      </c>
      <c r="G42" s="216">
        <f ca="1">IF(ROW(A31)&lt;=Capacity!$A$16,'Capacity calculation (hide)'!BH35,"")</f>
        <v>52</v>
      </c>
      <c r="H42" s="215">
        <f>IF(ROW(A31)&lt;=Capacity!$A$16,Capacity!H47,"")</f>
        <v>3375</v>
      </c>
      <c r="I42" s="217">
        <f ca="1">IF(ROW(A31)&lt;=Capacity!$A$16,'Capacity calculation (hide)'!DL35,"")</f>
        <v>3375.0000000000014</v>
      </c>
      <c r="J42" s="218" t="str">
        <f t="shared" ca="1" si="0"/>
        <v>Over</v>
      </c>
    </row>
    <row r="43" spans="2:10" x14ac:dyDescent="0.2">
      <c r="B43" s="218" t="str">
        <f>IF(Capacity!B48=0,"",Capacity!B48)</f>
        <v>CT Colon</v>
      </c>
      <c r="C43" s="132"/>
      <c r="D43" s="132"/>
      <c r="E43" s="132"/>
      <c r="F43" s="215">
        <f>IF(ROW(A32)&lt;=Capacity!$A$16,Capacity!E48,"")</f>
        <v>45</v>
      </c>
      <c r="G43" s="216">
        <f ca="1">IF(ROW(A32)&lt;=Capacity!$A$16,'Capacity calculation (hide)'!BH36,"")</f>
        <v>52</v>
      </c>
      <c r="H43" s="215">
        <f>IF(ROW(A32)&lt;=Capacity!$A$16,Capacity!H48,"")</f>
        <v>4050</v>
      </c>
      <c r="I43" s="217">
        <f ca="1">IF(ROW(A32)&lt;=Capacity!$A$16,'Capacity calculation (hide)'!DL36,"")</f>
        <v>4049.9999999999973</v>
      </c>
      <c r="J43" s="218" t="str">
        <f t="shared" ca="1" si="0"/>
        <v>Over</v>
      </c>
    </row>
    <row r="44" spans="2:10" x14ac:dyDescent="0.2">
      <c r="B44" s="218" t="str">
        <f>IF(Capacity!B49=0,"",Capacity!B49)</f>
        <v>2 ww</v>
      </c>
      <c r="C44" s="132"/>
      <c r="D44" s="132"/>
      <c r="E44" s="132"/>
      <c r="F44" s="215">
        <f>IF(ROW(A33)&lt;=Capacity!$A$16,Capacity!E49,"")</f>
        <v>45</v>
      </c>
      <c r="G44" s="216">
        <f ca="1">IF(ROW(A33)&lt;=Capacity!$A$16,'Capacity calculation (hide)'!BH37,"")</f>
        <v>52</v>
      </c>
      <c r="H44" s="215">
        <f>IF(ROW(A33)&lt;=Capacity!$A$16,Capacity!H49,"")</f>
        <v>5400</v>
      </c>
      <c r="I44" s="217">
        <f ca="1">IF(ROW(A33)&lt;=Capacity!$A$16,'Capacity calculation (hide)'!DL37,"")</f>
        <v>5400.0000000000045</v>
      </c>
      <c r="J44" s="218" t="str">
        <f t="shared" ca="1" si="0"/>
        <v>Over</v>
      </c>
    </row>
    <row r="45" spans="2:10" x14ac:dyDescent="0.2">
      <c r="B45" s="218" t="str">
        <f>IF(Capacity!B50=0,"",Capacity!B50)</f>
        <v>Slot A</v>
      </c>
      <c r="C45" s="132"/>
      <c r="D45" s="132"/>
      <c r="E45" s="132"/>
      <c r="F45" s="215">
        <f>IF(ROW(A34)&lt;=Capacity!$A$16,Capacity!E50,"")</f>
        <v>50</v>
      </c>
      <c r="G45" s="216">
        <f ca="1">IF(ROW(A34)&lt;=Capacity!$A$16,'Capacity calculation (hide)'!BH38,"")</f>
        <v>52</v>
      </c>
      <c r="H45" s="215">
        <f>IF(ROW(A34)&lt;=Capacity!$A$16,Capacity!H50,"")</f>
        <v>4750</v>
      </c>
      <c r="I45" s="217">
        <f ca="1">IF(ROW(A34)&lt;=Capacity!$A$16,'Capacity calculation (hide)'!DL38,"")</f>
        <v>4750.0000000000018</v>
      </c>
      <c r="J45" s="218" t="str">
        <f t="shared" ca="1" si="0"/>
        <v>Over</v>
      </c>
    </row>
    <row r="46" spans="2:10" x14ac:dyDescent="0.2">
      <c r="B46" s="218" t="str">
        <f>IF(Capacity!B51=0,"",Capacity!B51)</f>
        <v>2 ww</v>
      </c>
      <c r="C46" s="132"/>
      <c r="D46" s="132"/>
      <c r="E46" s="132"/>
      <c r="F46" s="215">
        <f>IF(ROW(A35)&lt;=Capacity!$A$16,Capacity!E51,"")</f>
        <v>50</v>
      </c>
      <c r="G46" s="216">
        <f ca="1">IF(ROW(A35)&lt;=Capacity!$A$16,'Capacity calculation (hide)'!BH39,"")</f>
        <v>52</v>
      </c>
      <c r="H46" s="215">
        <f>IF(ROW(A35)&lt;=Capacity!$A$16,Capacity!H51,"")</f>
        <v>9000</v>
      </c>
      <c r="I46" s="217">
        <f ca="1">IF(ROW(A35)&lt;=Capacity!$A$16,'Capacity calculation (hide)'!DL39,"")</f>
        <v>8999.9999999999964</v>
      </c>
      <c r="J46" s="218" t="str">
        <f t="shared" ca="1" si="0"/>
        <v>Over</v>
      </c>
    </row>
    <row r="47" spans="2:10" x14ac:dyDescent="0.2">
      <c r="B47" s="218" t="str">
        <f>IF(Capacity!B52=0,"",Capacity!B52)</f>
        <v>Slot B</v>
      </c>
      <c r="C47" s="132"/>
      <c r="D47" s="132"/>
      <c r="E47" s="132"/>
      <c r="F47" s="215">
        <f>IF(ROW(A36)&lt;=Capacity!$A$16,Capacity!E52,"")</f>
        <v>50</v>
      </c>
      <c r="G47" s="216">
        <f ca="1">IF(ROW(A36)&lt;=Capacity!$A$16,'Capacity calculation (hide)'!BH40,"")</f>
        <v>52</v>
      </c>
      <c r="H47" s="215">
        <f>IF(ROW(A36)&lt;=Capacity!$A$16,Capacity!H52,"")</f>
        <v>6000</v>
      </c>
      <c r="I47" s="217">
        <f ca="1">IF(ROW(A36)&lt;=Capacity!$A$16,'Capacity calculation (hide)'!DL40,"")</f>
        <v>5999.9999999999964</v>
      </c>
      <c r="J47" s="218" t="str">
        <f t="shared" ca="1" si="0"/>
        <v>Over</v>
      </c>
    </row>
    <row r="48" spans="2:10" x14ac:dyDescent="0.2">
      <c r="B48" s="218" t="str">
        <f>IF(Capacity!B53=0,"",Capacity!B53)</f>
        <v>PP</v>
      </c>
      <c r="C48" s="132"/>
      <c r="D48" s="132"/>
      <c r="E48" s="132"/>
      <c r="F48" s="215">
        <f>IF(ROW(A37)&lt;=Capacity!$A$16,Capacity!E53,"")</f>
        <v>50</v>
      </c>
      <c r="G48" s="216">
        <f ca="1">IF(ROW(A37)&lt;=Capacity!$A$16,'Capacity calculation (hide)'!BH41,"")</f>
        <v>52</v>
      </c>
      <c r="H48" s="215">
        <f>IF(ROW(A37)&lt;=Capacity!$A$16,Capacity!H53,"")</f>
        <v>1000</v>
      </c>
      <c r="I48" s="217">
        <f ca="1">IF(ROW(A37)&lt;=Capacity!$A$16,'Capacity calculation (hide)'!DL41,"")</f>
        <v>1000.0000000000013</v>
      </c>
      <c r="J48" s="218" t="str">
        <f t="shared" ca="1" si="0"/>
        <v>Over</v>
      </c>
    </row>
    <row r="49" spans="2:10" x14ac:dyDescent="0.2">
      <c r="B49" s="218" t="str">
        <f>IF(Capacity!B54=0,"",Capacity!B54)</f>
        <v>Slot A</v>
      </c>
      <c r="C49" s="132"/>
      <c r="D49" s="132"/>
      <c r="E49" s="132"/>
      <c r="F49" s="215">
        <f>IF(ROW(A38)&lt;=Capacity!$A$16,Capacity!E54,"")</f>
        <v>50</v>
      </c>
      <c r="G49" s="216">
        <f ca="1">IF(ROW(A38)&lt;=Capacity!$A$16,'Capacity calculation (hide)'!BH42,"")</f>
        <v>52</v>
      </c>
      <c r="H49" s="215">
        <f>IF(ROW(A38)&lt;=Capacity!$A$16,Capacity!H54,"")</f>
        <v>4750</v>
      </c>
      <c r="I49" s="217">
        <f ca="1">IF(ROW(A38)&lt;=Capacity!$A$16,'Capacity calculation (hide)'!DL42,"")</f>
        <v>4750.0000000000018</v>
      </c>
      <c r="J49" s="218" t="str">
        <f t="shared" ca="1" si="0"/>
        <v>Over</v>
      </c>
    </row>
    <row r="50" spans="2:10" x14ac:dyDescent="0.2">
      <c r="B50" s="218" t="str">
        <f>IF(Capacity!B55=0,"",Capacity!B55)</f>
        <v>2 ww</v>
      </c>
      <c r="C50" s="132"/>
      <c r="D50" s="132"/>
      <c r="E50" s="132"/>
      <c r="F50" s="215">
        <f>IF(ROW(A39)&lt;=Capacity!$A$16,Capacity!E55,"")</f>
        <v>50</v>
      </c>
      <c r="G50" s="216">
        <f ca="1">IF(ROW(A39)&lt;=Capacity!$A$16,'Capacity calculation (hide)'!BH43,"")</f>
        <v>52</v>
      </c>
      <c r="H50" s="215">
        <f>IF(ROW(A39)&lt;=Capacity!$A$16,Capacity!H55,"")</f>
        <v>4750</v>
      </c>
      <c r="I50" s="217">
        <f ca="1">IF(ROW(A39)&lt;=Capacity!$A$16,'Capacity calculation (hide)'!DL43,"")</f>
        <v>4750.0000000000018</v>
      </c>
      <c r="J50" s="218" t="str">
        <f t="shared" ca="1" si="0"/>
        <v>Over</v>
      </c>
    </row>
    <row r="51" spans="2:10" x14ac:dyDescent="0.2">
      <c r="B51" s="218" t="str">
        <f>IF(Capacity!B56=0,"",Capacity!B56)</f>
        <v>Slot B</v>
      </c>
      <c r="C51" s="132"/>
      <c r="D51" s="132"/>
      <c r="E51" s="132"/>
      <c r="F51" s="215">
        <f>IF(ROW(A40)&lt;=Capacity!$A$16,Capacity!E56,"")</f>
        <v>50</v>
      </c>
      <c r="G51" s="216">
        <f ca="1">IF(ROW(A40)&lt;=Capacity!$A$16,'Capacity calculation (hide)'!BH44,"")</f>
        <v>52</v>
      </c>
      <c r="H51" s="215">
        <f>IF(ROW(A40)&lt;=Capacity!$A$16,Capacity!H56,"")</f>
        <v>5000</v>
      </c>
      <c r="I51" s="217">
        <f ca="1">IF(ROW(A40)&lt;=Capacity!$A$16,'Capacity calculation (hide)'!DL44,"")</f>
        <v>4999.9999999999973</v>
      </c>
      <c r="J51" s="218" t="str">
        <f t="shared" ca="1" si="0"/>
        <v>Over</v>
      </c>
    </row>
    <row r="52" spans="2:10" x14ac:dyDescent="0.2">
      <c r="B52" s="218" t="str">
        <f>IF(Capacity!B57=0,"",Capacity!B57)</f>
        <v>PP</v>
      </c>
      <c r="C52" s="132"/>
      <c r="D52" s="132"/>
      <c r="E52" s="132"/>
      <c r="F52" s="215">
        <f>IF(ROW(A41)&lt;=Capacity!$A$16,Capacity!E57,"")</f>
        <v>50</v>
      </c>
      <c r="G52" s="216">
        <f ca="1">IF(ROW(A41)&lt;=Capacity!$A$16,'Capacity calculation (hide)'!BH45,"")</f>
        <v>52</v>
      </c>
      <c r="H52" s="215">
        <f>IF(ROW(A41)&lt;=Capacity!$A$16,Capacity!H57,"")</f>
        <v>1000</v>
      </c>
      <c r="I52" s="217">
        <f ca="1">IF(ROW(A41)&lt;=Capacity!$A$16,'Capacity calculation (hide)'!DL45,"")</f>
        <v>1000.0000000000013</v>
      </c>
      <c r="J52" s="218" t="str">
        <f t="shared" ca="1" si="0"/>
        <v>Over</v>
      </c>
    </row>
    <row r="53" spans="2:10" x14ac:dyDescent="0.2">
      <c r="B53" s="218" t="str">
        <f>IF(Capacity!B58=0,"",Capacity!B58)</f>
        <v>Slot A</v>
      </c>
      <c r="C53" s="132"/>
      <c r="D53" s="132"/>
      <c r="E53" s="132"/>
      <c r="F53" s="215">
        <f>IF(ROW(A42)&lt;=Capacity!$A$16,Capacity!E58,"")</f>
        <v>50</v>
      </c>
      <c r="G53" s="216">
        <f ca="1">IF(ROW(A42)&lt;=Capacity!$A$16,'Capacity calculation (hide)'!BH46,"")</f>
        <v>52</v>
      </c>
      <c r="H53" s="215">
        <f>IF(ROW(A42)&lt;=Capacity!$A$16,Capacity!H58,"")</f>
        <v>4750</v>
      </c>
      <c r="I53" s="217">
        <f ca="1">IF(ROW(A42)&lt;=Capacity!$A$16,'Capacity calculation (hide)'!DL46,"")</f>
        <v>4750.0000000000018</v>
      </c>
      <c r="J53" s="218" t="str">
        <f t="shared" ca="1" si="0"/>
        <v>Over</v>
      </c>
    </row>
    <row r="54" spans="2:10" x14ac:dyDescent="0.2">
      <c r="B54" s="218" t="str">
        <f>IF(Capacity!B59=0,"",Capacity!B59)</f>
        <v>2 ww</v>
      </c>
      <c r="C54" s="132"/>
      <c r="D54" s="132"/>
      <c r="E54" s="132"/>
      <c r="F54" s="215">
        <f>IF(ROW(A43)&lt;=Capacity!$A$16,Capacity!E59,"")</f>
        <v>50</v>
      </c>
      <c r="G54" s="216">
        <f ca="1">IF(ROW(A43)&lt;=Capacity!$A$16,'Capacity calculation (hide)'!BH47,"")</f>
        <v>52</v>
      </c>
      <c r="H54" s="215">
        <f>IF(ROW(A43)&lt;=Capacity!$A$16,Capacity!H59,"")</f>
        <v>8000</v>
      </c>
      <c r="I54" s="217">
        <f ca="1">IF(ROW(A43)&lt;=Capacity!$A$16,'Capacity calculation (hide)'!DL47,"")</f>
        <v>8000.00000000001</v>
      </c>
      <c r="J54" s="218" t="str">
        <f t="shared" ca="1" si="0"/>
        <v>Over</v>
      </c>
    </row>
    <row r="55" spans="2:10" x14ac:dyDescent="0.2">
      <c r="B55" s="218" t="str">
        <f>IF(Capacity!B60=0,"",Capacity!B60)</f>
        <v>Slot B</v>
      </c>
      <c r="C55" s="132"/>
      <c r="D55" s="132"/>
      <c r="E55" s="132"/>
      <c r="F55" s="215">
        <f>IF(ROW(A44)&lt;=Capacity!$A$16,Capacity!E60,"")</f>
        <v>50</v>
      </c>
      <c r="G55" s="216">
        <f ca="1">IF(ROW(A44)&lt;=Capacity!$A$16,'Capacity calculation (hide)'!BH48,"")</f>
        <v>52</v>
      </c>
      <c r="H55" s="215">
        <f>IF(ROW(A44)&lt;=Capacity!$A$16,Capacity!H60,"")</f>
        <v>7000</v>
      </c>
      <c r="I55" s="217">
        <f ca="1">IF(ROW(A44)&lt;=Capacity!$A$16,'Capacity calculation (hide)'!DL48,"")</f>
        <v>7000.0000000000045</v>
      </c>
      <c r="J55" s="218" t="str">
        <f t="shared" ca="1" si="0"/>
        <v>Over</v>
      </c>
    </row>
    <row r="56" spans="2:10" x14ac:dyDescent="0.2">
      <c r="B56" s="218" t="str">
        <f>IF(Capacity!B61=0,"",Capacity!B61)</f>
        <v>Slot A</v>
      </c>
      <c r="C56" s="132"/>
      <c r="D56" s="132"/>
      <c r="E56" s="132"/>
      <c r="F56" s="215">
        <f>IF(ROW(A45)&lt;=Capacity!$A$16,Capacity!E61,"")</f>
        <v>49</v>
      </c>
      <c r="G56" s="216">
        <f ca="1">IF(ROW(A45)&lt;=Capacity!$A$16,'Capacity calculation (hide)'!BH49,"")</f>
        <v>52</v>
      </c>
      <c r="H56" s="215">
        <f>IF(ROW(A45)&lt;=Capacity!$A$16,Capacity!H61,"")</f>
        <v>3675</v>
      </c>
      <c r="I56" s="217">
        <f ca="1">IF(ROW(A45)&lt;=Capacity!$A$16,'Capacity calculation (hide)'!DL49,"")</f>
        <v>3675.0000000000045</v>
      </c>
      <c r="J56" s="218" t="str">
        <f t="shared" ca="1" si="0"/>
        <v>Over</v>
      </c>
    </row>
    <row r="57" spans="2:10" x14ac:dyDescent="0.2">
      <c r="B57" s="218" t="str">
        <f>IF(Capacity!B62=0,"",Capacity!B62)</f>
        <v>CT Colon</v>
      </c>
      <c r="C57" s="132"/>
      <c r="D57" s="132"/>
      <c r="E57" s="132"/>
      <c r="F57" s="215">
        <f>IF(ROW(A46)&lt;=Capacity!$A$16,Capacity!E62,"")</f>
        <v>49</v>
      </c>
      <c r="G57" s="216">
        <f ca="1">IF(ROW(A46)&lt;=Capacity!$A$16,'Capacity calculation (hide)'!BH50,"")</f>
        <v>52</v>
      </c>
      <c r="H57" s="215">
        <f>IF(ROW(A46)&lt;=Capacity!$A$16,Capacity!H62,"")</f>
        <v>5880</v>
      </c>
      <c r="I57" s="217">
        <f ca="1">IF(ROW(A46)&lt;=Capacity!$A$16,'Capacity calculation (hide)'!DL50,"")</f>
        <v>5879.9999999999936</v>
      </c>
      <c r="J57" s="218" t="str">
        <f t="shared" ca="1" si="0"/>
        <v>Over</v>
      </c>
    </row>
    <row r="58" spans="2:10" x14ac:dyDescent="0.2">
      <c r="B58" s="218" t="str">
        <f>IF(Capacity!B63=0,"",Capacity!B63)</f>
        <v>2 ww</v>
      </c>
      <c r="C58" s="132"/>
      <c r="D58" s="132"/>
      <c r="E58" s="132"/>
      <c r="F58" s="215">
        <f>IF(ROW(A47)&lt;=Capacity!$A$16,Capacity!E63,"")</f>
        <v>49</v>
      </c>
      <c r="G58" s="216">
        <f ca="1">IF(ROW(A47)&lt;=Capacity!$A$16,'Capacity calculation (hide)'!BH51,"")</f>
        <v>52</v>
      </c>
      <c r="H58" s="215">
        <f>IF(ROW(A47)&lt;=Capacity!$A$16,Capacity!H63,"")</f>
        <v>4900</v>
      </c>
      <c r="I58" s="217">
        <f ca="1">IF(ROW(A47)&lt;=Capacity!$A$16,'Capacity calculation (hide)'!DL51,"")</f>
        <v>4899.9999999999991</v>
      </c>
      <c r="J58" s="218" t="str">
        <f t="shared" ca="1" si="0"/>
        <v>Over</v>
      </c>
    </row>
    <row r="59" spans="2:10" x14ac:dyDescent="0.2">
      <c r="B59" s="218" t="str">
        <f>IF(Capacity!B64=0,"",Capacity!B64)</f>
        <v>Slot B</v>
      </c>
      <c r="C59" s="132"/>
      <c r="D59" s="132"/>
      <c r="E59" s="132"/>
      <c r="F59" s="215">
        <f>IF(ROW(A48)&lt;=Capacity!$A$16,Capacity!E64,"")</f>
        <v>49</v>
      </c>
      <c r="G59" s="216">
        <f ca="1">IF(ROW(A48)&lt;=Capacity!$A$16,'Capacity calculation (hide)'!BH52,"")</f>
        <v>52</v>
      </c>
      <c r="H59" s="215">
        <f>IF(ROW(A48)&lt;=Capacity!$A$16,Capacity!H64,"")</f>
        <v>4900</v>
      </c>
      <c r="I59" s="217">
        <f ca="1">IF(ROW(A48)&lt;=Capacity!$A$16,'Capacity calculation (hide)'!DL52,"")</f>
        <v>4899.9999999999991</v>
      </c>
      <c r="J59" s="218" t="str">
        <f t="shared" ca="1" si="0"/>
        <v>Over</v>
      </c>
    </row>
    <row r="60" spans="2:10" x14ac:dyDescent="0.2">
      <c r="B60" s="218" t="str">
        <f>IF(Capacity!B65=0,"",Capacity!B65)</f>
        <v>Slot A</v>
      </c>
      <c r="C60" s="132"/>
      <c r="D60" s="132"/>
      <c r="E60" s="132"/>
      <c r="F60" s="215">
        <f>IF(ROW(A49)&lt;=Capacity!$A$16,Capacity!E65,"")</f>
        <v>50</v>
      </c>
      <c r="G60" s="216">
        <f ca="1">IF(ROW(A49)&lt;=Capacity!$A$16,'Capacity calculation (hide)'!BH53,"")</f>
        <v>52</v>
      </c>
      <c r="H60" s="215">
        <f>IF(ROW(A49)&lt;=Capacity!$A$16,Capacity!H65,"")</f>
        <v>8000</v>
      </c>
      <c r="I60" s="217">
        <f ca="1">IF(ROW(A49)&lt;=Capacity!$A$16,'Capacity calculation (hide)'!DL53,"")</f>
        <v>8000.00000000001</v>
      </c>
      <c r="J60" s="218" t="str">
        <f t="shared" ca="1" si="0"/>
        <v>Over</v>
      </c>
    </row>
    <row r="61" spans="2:10" x14ac:dyDescent="0.2">
      <c r="B61" s="218" t="str">
        <f>IF(Capacity!B66=0,"",Capacity!B66)</f>
        <v>Slot B</v>
      </c>
      <c r="C61" s="132"/>
      <c r="D61" s="132"/>
      <c r="E61" s="132"/>
      <c r="F61" s="215">
        <f>IF(ROW(A50)&lt;=Capacity!$A$16,Capacity!E66,"")</f>
        <v>50</v>
      </c>
      <c r="G61" s="216">
        <f ca="1">IF(ROW(A50)&lt;=Capacity!$A$16,'Capacity calculation (hide)'!BH54,"")</f>
        <v>52</v>
      </c>
      <c r="H61" s="215">
        <f>IF(ROW(A50)&lt;=Capacity!$A$16,Capacity!H66,"")</f>
        <v>5000</v>
      </c>
      <c r="I61" s="217">
        <f ca="1">IF(ROW(A50)&lt;=Capacity!$A$16,'Capacity calculation (hide)'!DL54,"")</f>
        <v>4999.9999999999973</v>
      </c>
      <c r="J61" s="218" t="str">
        <f t="shared" ca="1" si="0"/>
        <v>Over</v>
      </c>
    </row>
    <row r="62" spans="2:10" x14ac:dyDescent="0.2">
      <c r="B62" s="218" t="str">
        <f>IF(Capacity!B67=0,"",Capacity!B67)</f>
        <v>2 ww</v>
      </c>
      <c r="C62" s="132"/>
      <c r="D62" s="132"/>
      <c r="E62" s="132"/>
      <c r="F62" s="215">
        <f>IF(ROW(A51)&lt;=Capacity!$A$16,Capacity!E67,"")</f>
        <v>50</v>
      </c>
      <c r="G62" s="216">
        <f ca="1">IF(ROW(A51)&lt;=Capacity!$A$16,'Capacity calculation (hide)'!BH55,"")</f>
        <v>52</v>
      </c>
      <c r="H62" s="215">
        <f>IF(ROW(A51)&lt;=Capacity!$A$16,Capacity!H67,"")</f>
        <v>6000</v>
      </c>
      <c r="I62" s="217">
        <f ca="1">IF(ROW(A51)&lt;=Capacity!$A$16,'Capacity calculation (hide)'!DL55,"")</f>
        <v>5999.9999999999964</v>
      </c>
      <c r="J62" s="218" t="str">
        <f t="shared" ca="1" si="0"/>
        <v>Over</v>
      </c>
    </row>
    <row r="63" spans="2:10" x14ac:dyDescent="0.2">
      <c r="B63" s="218" t="str">
        <f>IF(Capacity!B68=0,"",Capacity!B68)</f>
        <v>Slot A</v>
      </c>
      <c r="C63" s="132"/>
      <c r="D63" s="132"/>
      <c r="E63" s="132"/>
      <c r="F63" s="215">
        <f>IF(ROW(A52)&lt;=Capacity!$A$16,Capacity!E68,"")</f>
        <v>50</v>
      </c>
      <c r="G63" s="216">
        <f ca="1">IF(ROW(A52)&lt;=Capacity!$A$16,'Capacity calculation (hide)'!BH56,"")</f>
        <v>52</v>
      </c>
      <c r="H63" s="215">
        <f>IF(ROW(A52)&lt;=Capacity!$A$16,Capacity!H68,"")</f>
        <v>8000</v>
      </c>
      <c r="I63" s="217">
        <f ca="1">IF(ROW(A52)&lt;=Capacity!$A$16,'Capacity calculation (hide)'!DL56,"")</f>
        <v>8000.00000000001</v>
      </c>
      <c r="J63" s="218" t="str">
        <f t="shared" ca="1" si="0"/>
        <v>Over</v>
      </c>
    </row>
    <row r="64" spans="2:10" x14ac:dyDescent="0.2">
      <c r="B64" s="218" t="str">
        <f>IF(Capacity!B69=0,"",Capacity!B69)</f>
        <v>Slot B</v>
      </c>
      <c r="C64" s="132"/>
      <c r="D64" s="132"/>
      <c r="E64" s="132"/>
      <c r="F64" s="215">
        <f>IF(ROW(A53)&lt;=Capacity!$A$16,Capacity!E69,"")</f>
        <v>50</v>
      </c>
      <c r="G64" s="216">
        <f ca="1">IF(ROW(A53)&lt;=Capacity!$A$16,'Capacity calculation (hide)'!BH57,"")</f>
        <v>52</v>
      </c>
      <c r="H64" s="215">
        <f>IF(ROW(A53)&lt;=Capacity!$A$16,Capacity!H69,"")</f>
        <v>5000</v>
      </c>
      <c r="I64" s="217">
        <f ca="1">IF(ROW(A53)&lt;=Capacity!$A$16,'Capacity calculation (hide)'!DL57,"")</f>
        <v>4999.9999999999973</v>
      </c>
      <c r="J64" s="218" t="str">
        <f t="shared" ca="1" si="0"/>
        <v>Over</v>
      </c>
    </row>
    <row r="65" spans="2:10" x14ac:dyDescent="0.2">
      <c r="B65" s="218" t="str">
        <f>IF(Capacity!B70=0,"",Capacity!B70)</f>
        <v>2 ww</v>
      </c>
      <c r="C65" s="132"/>
      <c r="D65" s="132"/>
      <c r="E65" s="132"/>
      <c r="F65" s="215">
        <f>IF(ROW(A54)&lt;=Capacity!$A$16,Capacity!E70,"")</f>
        <v>50</v>
      </c>
      <c r="G65" s="216">
        <f ca="1">IF(ROW(A54)&lt;=Capacity!$A$16,'Capacity calculation (hide)'!BH58,"")</f>
        <v>52</v>
      </c>
      <c r="H65" s="215">
        <f>IF(ROW(A54)&lt;=Capacity!$A$16,Capacity!H70,"")</f>
        <v>6000</v>
      </c>
      <c r="I65" s="217">
        <f ca="1">IF(ROW(A54)&lt;=Capacity!$A$16,'Capacity calculation (hide)'!DL58,"")</f>
        <v>5999.9999999999964</v>
      </c>
      <c r="J65" s="218" t="str">
        <f t="shared" ca="1" si="0"/>
        <v>Over</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Session name</v>
      </c>
      <c r="C118" s="132" t="s">
        <v>1258</v>
      </c>
      <c r="D118" s="132"/>
      <c r="E118" s="132"/>
      <c r="F118" s="215">
        <f>IF(ROW(A1)&lt;=Capacity!$M$16,Capacity!Q17,"")</f>
        <v>0</v>
      </c>
      <c r="G118" s="320">
        <f ca="1">IF(ROW(A1)&lt;=Capacity!$M$16,'Capacity calculation (hide)'!BH112,"")</f>
        <v>52</v>
      </c>
      <c r="H118" s="215">
        <f>IF(ROW(A1)&lt;=Capacity!$M$16,Capacity!T17,"")</f>
        <v>0</v>
      </c>
      <c r="I118" s="217">
        <f ca="1">IF(ROW(A1)&lt;=Capacity!$M$16,'Capacity calculation (hide)'!DL111,"")</f>
        <v>21312.115384615368</v>
      </c>
      <c r="J118" s="218" t="str">
        <f ca="1">IFERROR(IF(G118-F118 &lt;0, "Under","Over"),"")</f>
        <v>Over</v>
      </c>
    </row>
    <row r="119" spans="2:10" hidden="1" x14ac:dyDescent="0.2">
      <c r="B119" s="218">
        <f>IF(Capacity!N18=0,"",Capacity!N18)</f>
        <v>44323</v>
      </c>
      <c r="C119" s="132" t="s">
        <v>1258</v>
      </c>
      <c r="D119" s="132" t="s">
        <v>1257</v>
      </c>
      <c r="E119" s="132"/>
      <c r="F119" s="215">
        <f>IF(ROW(A2)&lt;=Capacity!$M$16,Capacity!Q18,"")</f>
        <v>1</v>
      </c>
      <c r="G119" s="320">
        <f ca="1">IF(ROW(A2)&lt;=Capacity!$M$16,'Capacity calculation (hide)'!BH113,"")</f>
        <v>52</v>
      </c>
      <c r="H119" s="215">
        <f>IF(ROW(A2)&lt;=Capacity!$M$16,Capacity!T18,"")</f>
        <v>450</v>
      </c>
      <c r="I119" s="217">
        <f ca="1">IF(ROW(A2)&lt;=Capacity!$M$16,'Capacity calculation (hide)'!DL112,"")</f>
        <v>0</v>
      </c>
      <c r="J119" s="218" t="str">
        <f t="shared" ref="J119:J182" ca="1" si="2">IFERROR(IF(G119-F119 &lt;0, "Under","Over"),"")</f>
        <v>Over</v>
      </c>
    </row>
    <row r="120" spans="2:10" hidden="1" x14ac:dyDescent="0.2">
      <c r="B120" s="218">
        <f>IF(Capacity!N19=0,"",Capacity!N19)</f>
        <v>44326</v>
      </c>
      <c r="C120" s="132"/>
      <c r="D120" s="132"/>
      <c r="E120" s="132"/>
      <c r="F120" s="215">
        <f>IF(ROW(A3)&lt;=Capacity!$M$16,Capacity!Q19,"")</f>
        <v>1</v>
      </c>
      <c r="G120" s="320">
        <f ca="1">IF(ROW(A3)&lt;=Capacity!$M$16,'Capacity calculation (hide)'!BH114,"")</f>
        <v>52</v>
      </c>
      <c r="H120" s="215">
        <f>IF(ROW(A3)&lt;=Capacity!$M$16,Capacity!T19,"")</f>
        <v>480</v>
      </c>
      <c r="I120" s="217">
        <f ca="1">IF(ROW(A3)&lt;=Capacity!$M$16,'Capacity calculation (hide)'!DL113,"")</f>
        <v>449.99999999999966</v>
      </c>
      <c r="J120" s="218" t="str">
        <f t="shared" ca="1" si="2"/>
        <v>Over</v>
      </c>
    </row>
    <row r="121" spans="2:10" hidden="1" x14ac:dyDescent="0.2">
      <c r="B121" s="218">
        <f>IF(Capacity!N20=0,"",Capacity!N20)</f>
        <v>44331</v>
      </c>
      <c r="C121" s="132"/>
      <c r="D121" s="132"/>
      <c r="E121" s="132"/>
      <c r="F121" s="215">
        <f>IF(ROW(A4)&lt;=Capacity!$M$16,Capacity!Q20,"")</f>
        <v>1</v>
      </c>
      <c r="G121" s="320">
        <f ca="1">IF(ROW(A4)&lt;=Capacity!$M$16,'Capacity calculation (hide)'!BH115,"")</f>
        <v>52</v>
      </c>
      <c r="H121" s="215">
        <f>IF(ROW(A4)&lt;=Capacity!$M$16,Capacity!T20,"")</f>
        <v>450</v>
      </c>
      <c r="I121" s="217">
        <f ca="1">IF(ROW(A4)&lt;=Capacity!$M$16,'Capacity calculation (hide)'!DL114,"")</f>
        <v>479.99999999999983</v>
      </c>
      <c r="J121" s="218" t="str">
        <f t="shared" ca="1" si="2"/>
        <v>Over</v>
      </c>
    </row>
    <row r="122" spans="2:10" hidden="1" x14ac:dyDescent="0.2">
      <c r="B122" s="218">
        <f>IF(Capacity!N21=0,"",Capacity!N21)</f>
        <v>44333</v>
      </c>
      <c r="C122" s="132"/>
      <c r="D122" s="132"/>
      <c r="E122" s="132"/>
      <c r="F122" s="215">
        <f>IF(ROW(A5)&lt;=Capacity!$M$16,Capacity!Q21,"")</f>
        <v>1</v>
      </c>
      <c r="G122" s="320">
        <f ca="1">IF(ROW(A5)&lt;=Capacity!$M$16,'Capacity calculation (hide)'!BH116,"")</f>
        <v>52</v>
      </c>
      <c r="H122" s="215">
        <f>IF(ROW(A5)&lt;=Capacity!$M$16,Capacity!T21,"")</f>
        <v>270</v>
      </c>
      <c r="I122" s="217">
        <f ca="1">IF(ROW(A5)&lt;=Capacity!$M$16,'Capacity calculation (hide)'!DL115,"")</f>
        <v>449.99999999999966</v>
      </c>
      <c r="J122" s="218" t="str">
        <f t="shared" ca="1" si="2"/>
        <v>Over</v>
      </c>
    </row>
    <row r="123" spans="2:10" hidden="1" x14ac:dyDescent="0.2">
      <c r="B123" s="218">
        <f>IF(Capacity!N22=0,"",Capacity!N22)</f>
        <v>44335</v>
      </c>
      <c r="C123" s="132"/>
      <c r="D123" s="132"/>
      <c r="E123" s="132"/>
      <c r="F123" s="215">
        <f>IF(ROW(A6)&lt;=Capacity!$M$16,Capacity!Q22,"")</f>
        <v>1</v>
      </c>
      <c r="G123" s="320">
        <f ca="1">IF(ROW(A6)&lt;=Capacity!$M$16,'Capacity calculation (hide)'!BH117,"")</f>
        <v>52</v>
      </c>
      <c r="H123" s="215">
        <f>IF(ROW(A6)&lt;=Capacity!$M$16,Capacity!T22,"")</f>
        <v>180</v>
      </c>
      <c r="I123" s="217">
        <f ca="1">IF(ROW(A6)&lt;=Capacity!$M$16,'Capacity calculation (hide)'!DL116,"")</f>
        <v>269.99999999999966</v>
      </c>
      <c r="J123" s="218" t="str">
        <f t="shared" ca="1" si="2"/>
        <v>Over</v>
      </c>
    </row>
    <row r="124" spans="2:10" hidden="1" x14ac:dyDescent="0.2">
      <c r="B124" s="218">
        <f>IF(Capacity!N23=0,"",Capacity!N23)</f>
        <v>44337</v>
      </c>
      <c r="C124" s="132"/>
      <c r="D124" s="132"/>
      <c r="E124" s="132"/>
      <c r="F124" s="215">
        <f>IF(ROW(A7)&lt;=Capacity!$M$16,Capacity!Q23,"")</f>
        <v>1</v>
      </c>
      <c r="G124" s="320">
        <f ca="1">IF(ROW(A7)&lt;=Capacity!$M$16,'Capacity calculation (hide)'!BH118,"")</f>
        <v>52</v>
      </c>
      <c r="H124" s="215">
        <f>IF(ROW(A7)&lt;=Capacity!$M$16,Capacity!T23,"")</f>
        <v>270</v>
      </c>
      <c r="I124" s="217">
        <f ca="1">IF(ROW(A7)&lt;=Capacity!$M$16,'Capacity calculation (hide)'!DL117,"")</f>
        <v>179.99999999999994</v>
      </c>
      <c r="J124" s="218" t="str">
        <f t="shared" ca="1" si="2"/>
        <v>Over</v>
      </c>
    </row>
    <row r="125" spans="2:10" hidden="1" x14ac:dyDescent="0.2">
      <c r="B125" s="218">
        <f>IF(Capacity!N24=0,"",Capacity!N24)</f>
        <v>44338</v>
      </c>
      <c r="C125" s="132"/>
      <c r="D125" s="132"/>
      <c r="E125" s="132"/>
      <c r="F125" s="215">
        <f>IF(ROW(A8)&lt;=Capacity!$M$16,Capacity!Q24,"")</f>
        <v>1</v>
      </c>
      <c r="G125" s="320">
        <f ca="1">IF(ROW(A8)&lt;=Capacity!$M$16,'Capacity calculation (hide)'!BH119,"")</f>
        <v>52</v>
      </c>
      <c r="H125" s="215">
        <f>IF(ROW(A8)&lt;=Capacity!$M$16,Capacity!T24,"")</f>
        <v>390</v>
      </c>
      <c r="I125" s="217">
        <f ca="1">IF(ROW(A8)&lt;=Capacity!$M$16,'Capacity calculation (hide)'!DL118,"")</f>
        <v>269.99999999999966</v>
      </c>
      <c r="J125" s="218" t="str">
        <f t="shared" ca="1" si="2"/>
        <v>Over</v>
      </c>
    </row>
    <row r="126" spans="2:10" hidden="1" x14ac:dyDescent="0.2">
      <c r="B126" s="218">
        <f>IF(Capacity!N25=0,"",Capacity!N25)</f>
        <v>44341</v>
      </c>
      <c r="C126" s="132"/>
      <c r="D126" s="132"/>
      <c r="E126" s="132"/>
      <c r="F126" s="215">
        <f>IF(ROW(A9)&lt;=Capacity!$M$16,Capacity!Q25,"")</f>
        <v>1</v>
      </c>
      <c r="G126" s="320">
        <f ca="1">IF(ROW(A9)&lt;=Capacity!$M$16,'Capacity calculation (hide)'!BH120,"")</f>
        <v>52</v>
      </c>
      <c r="H126" s="215">
        <f>IF(ROW(A9)&lt;=Capacity!$M$16,Capacity!T25,"")</f>
        <v>240</v>
      </c>
      <c r="I126" s="217">
        <f ca="1">IF(ROW(A9)&lt;=Capacity!$M$16,'Capacity calculation (hide)'!DL119,"")</f>
        <v>390</v>
      </c>
      <c r="J126" s="218" t="str">
        <f t="shared" ca="1" si="2"/>
        <v>Over</v>
      </c>
    </row>
    <row r="127" spans="2:10" hidden="1" x14ac:dyDescent="0.2">
      <c r="B127" s="218">
        <f>IF(Capacity!N26=0,"",Capacity!N26)</f>
        <v>44349</v>
      </c>
      <c r="C127" s="132"/>
      <c r="D127" s="132"/>
      <c r="E127" s="132"/>
      <c r="F127" s="215">
        <f>IF(ROW(A10)&lt;=Capacity!$M$16,Capacity!Q26,"")</f>
        <v>1</v>
      </c>
      <c r="G127" s="320">
        <f ca="1">IF(ROW(A10)&lt;=Capacity!$M$16,'Capacity calculation (hide)'!BH121,"")</f>
        <v>52</v>
      </c>
      <c r="H127" s="215">
        <f>IF(ROW(A10)&lt;=Capacity!$M$16,Capacity!T26,"")</f>
        <v>240</v>
      </c>
      <c r="I127" s="217">
        <f ca="1">IF(ROW(A10)&lt;=Capacity!$M$16,'Capacity calculation (hide)'!DL120,"")</f>
        <v>239.99999999999991</v>
      </c>
      <c r="J127" s="218" t="str">
        <f t="shared" ca="1" si="2"/>
        <v>Over</v>
      </c>
    </row>
    <row r="128" spans="2:10" hidden="1" x14ac:dyDescent="0.2">
      <c r="B128" s="218">
        <f>IF(Capacity!N27=0,"",Capacity!N27)</f>
        <v>44356</v>
      </c>
      <c r="C128" s="132"/>
      <c r="D128" s="132"/>
      <c r="E128" s="132"/>
      <c r="F128" s="215">
        <f>IF(ROW(A11)&lt;=Capacity!$M$16,Capacity!Q27,"")</f>
        <v>1</v>
      </c>
      <c r="G128" s="320">
        <f ca="1">IF(ROW(A11)&lt;=Capacity!$M$16,'Capacity calculation (hide)'!BH122,"")</f>
        <v>52</v>
      </c>
      <c r="H128" s="215">
        <f>IF(ROW(A11)&lt;=Capacity!$M$16,Capacity!T27,"")</f>
        <v>240</v>
      </c>
      <c r="I128" s="217">
        <f ca="1">IF(ROW(A11)&lt;=Capacity!$M$16,'Capacity calculation (hide)'!DL121,"")</f>
        <v>239.99999999999991</v>
      </c>
      <c r="J128" s="218" t="str">
        <f t="shared" ca="1" si="2"/>
        <v>Over</v>
      </c>
    </row>
    <row r="129" spans="2:10" hidden="1" x14ac:dyDescent="0.2">
      <c r="B129" s="218">
        <f>IF(Capacity!N28=0,"",Capacity!N28)</f>
        <v>44357</v>
      </c>
      <c r="C129" s="132"/>
      <c r="D129" s="132"/>
      <c r="E129" s="132"/>
      <c r="F129" s="215">
        <f>IF(ROW(A12)&lt;=Capacity!$M$16,Capacity!Q28,"")</f>
        <v>1</v>
      </c>
      <c r="G129" s="320">
        <f ca="1">IF(ROW(A12)&lt;=Capacity!$M$16,'Capacity calculation (hide)'!BH123,"")</f>
        <v>52</v>
      </c>
      <c r="H129" s="215">
        <f>IF(ROW(A12)&lt;=Capacity!$M$16,Capacity!T28,"")</f>
        <v>240</v>
      </c>
      <c r="I129" s="217">
        <f ca="1">IF(ROW(A12)&lt;=Capacity!$M$16,'Capacity calculation (hide)'!DL122,"")</f>
        <v>239.99999999999991</v>
      </c>
      <c r="J129" s="218" t="str">
        <f t="shared" ca="1" si="2"/>
        <v>Over</v>
      </c>
    </row>
    <row r="130" spans="2:10" hidden="1" x14ac:dyDescent="0.2">
      <c r="B130" s="218">
        <f>IF(Capacity!N29=0,"",Capacity!N29)</f>
        <v>44359</v>
      </c>
      <c r="C130" s="132"/>
      <c r="D130" s="132"/>
      <c r="E130" s="132"/>
      <c r="F130" s="215">
        <f>IF(ROW(A13)&lt;=Capacity!$M$16,Capacity!Q29,"")</f>
        <v>1</v>
      </c>
      <c r="G130" s="320">
        <f ca="1">IF(ROW(A13)&lt;=Capacity!$M$16,'Capacity calculation (hide)'!BH124,"")</f>
        <v>52</v>
      </c>
      <c r="H130" s="215">
        <f>IF(ROW(A13)&lt;=Capacity!$M$16,Capacity!T29,"")</f>
        <v>720</v>
      </c>
      <c r="I130" s="217">
        <f ca="1">IF(ROW(A13)&lt;=Capacity!$M$16,'Capacity calculation (hide)'!DL123,"")</f>
        <v>239.99999999999991</v>
      </c>
      <c r="J130" s="218" t="str">
        <f t="shared" ca="1" si="2"/>
        <v>Over</v>
      </c>
    </row>
    <row r="131" spans="2:10" hidden="1" x14ac:dyDescent="0.2">
      <c r="B131" s="218">
        <f>IF(Capacity!N30=0,"",Capacity!N30)</f>
        <v>44360</v>
      </c>
      <c r="C131" s="132"/>
      <c r="D131" s="132"/>
      <c r="E131" s="132"/>
      <c r="F131" s="215">
        <f>IF(ROW(A14)&lt;=Capacity!$M$16,Capacity!Q30,"")</f>
        <v>1</v>
      </c>
      <c r="G131" s="320">
        <f ca="1">IF(ROW(A14)&lt;=Capacity!$M$16,'Capacity calculation (hide)'!BH125,"")</f>
        <v>52</v>
      </c>
      <c r="H131" s="215">
        <f>IF(ROW(A14)&lt;=Capacity!$M$16,Capacity!T30,"")</f>
        <v>720</v>
      </c>
      <c r="I131" s="217">
        <f ca="1">IF(ROW(A14)&lt;=Capacity!$M$16,'Capacity calculation (hide)'!DL124,"")</f>
        <v>719.99999999999977</v>
      </c>
      <c r="J131" s="218" t="str">
        <f t="shared" ca="1" si="2"/>
        <v>Over</v>
      </c>
    </row>
    <row r="132" spans="2:10" hidden="1" x14ac:dyDescent="0.2">
      <c r="B132" s="218">
        <f>IF(Capacity!N31=0,"",Capacity!N31)</f>
        <v>44362</v>
      </c>
      <c r="C132" s="132"/>
      <c r="D132" s="132"/>
      <c r="E132" s="132"/>
      <c r="F132" s="215">
        <f>IF(ROW(A15)&lt;=Capacity!$M$16,Capacity!Q31,"")</f>
        <v>1</v>
      </c>
      <c r="G132" s="320">
        <f ca="1">IF(ROW(A15)&lt;=Capacity!$M$16,'Capacity calculation (hide)'!BH126,"")</f>
        <v>52</v>
      </c>
      <c r="H132" s="215">
        <f>IF(ROW(A15)&lt;=Capacity!$M$16,Capacity!T31,"")</f>
        <v>240</v>
      </c>
      <c r="I132" s="217">
        <f ca="1">IF(ROW(A15)&lt;=Capacity!$M$16,'Capacity calculation (hide)'!DL125,"")</f>
        <v>719.99999999999977</v>
      </c>
      <c r="J132" s="218" t="str">
        <f t="shared" ca="1" si="2"/>
        <v>Over</v>
      </c>
    </row>
    <row r="133" spans="2:10" hidden="1" x14ac:dyDescent="0.2">
      <c r="B133" s="218">
        <f>IF(Capacity!N32=0,"",Capacity!N32)</f>
        <v>44364</v>
      </c>
      <c r="C133" s="132"/>
      <c r="D133" s="132"/>
      <c r="E133" s="132"/>
      <c r="F133" s="215">
        <f>IF(ROW(A16)&lt;=Capacity!$M$16,Capacity!Q32,"")</f>
        <v>1</v>
      </c>
      <c r="G133" s="320">
        <f ca="1">IF(ROW(A16)&lt;=Capacity!$M$16,'Capacity calculation (hide)'!BH127,"")</f>
        <v>52</v>
      </c>
      <c r="H133" s="215">
        <f>IF(ROW(A16)&lt;=Capacity!$M$16,Capacity!T32,"")</f>
        <v>240</v>
      </c>
      <c r="I133" s="217">
        <f ca="1">IF(ROW(A16)&lt;=Capacity!$M$16,'Capacity calculation (hide)'!DL126,"")</f>
        <v>239.99999999999991</v>
      </c>
      <c r="J133" s="218" t="str">
        <f t="shared" ca="1" si="2"/>
        <v>Over</v>
      </c>
    </row>
    <row r="134" spans="2:10" hidden="1" x14ac:dyDescent="0.2">
      <c r="B134" s="218">
        <f>IF(Capacity!N33=0,"",Capacity!N33)</f>
        <v>44368</v>
      </c>
      <c r="C134" s="132"/>
      <c r="D134" s="132"/>
      <c r="E134" s="132"/>
      <c r="F134" s="215">
        <f>IF(ROW(A17)&lt;=Capacity!$M$16,Capacity!Q33,"")</f>
        <v>1</v>
      </c>
      <c r="G134" s="320">
        <f ca="1">IF(ROW(A17)&lt;=Capacity!$M$16,'Capacity calculation (hide)'!BH128,"")</f>
        <v>52</v>
      </c>
      <c r="H134" s="215">
        <f>IF(ROW(A17)&lt;=Capacity!$M$16,Capacity!T33,"")</f>
        <v>240</v>
      </c>
      <c r="I134" s="217">
        <f ca="1">IF(ROW(A17)&lt;=Capacity!$M$16,'Capacity calculation (hide)'!DL127,"")</f>
        <v>239.99999999999991</v>
      </c>
      <c r="J134" s="218" t="str">
        <f t="shared" ca="1" si="2"/>
        <v>Over</v>
      </c>
    </row>
    <row r="135" spans="2:10" hidden="1" x14ac:dyDescent="0.2">
      <c r="B135" s="218">
        <f>IF(Capacity!N34=0,"",Capacity!N34)</f>
        <v>44370</v>
      </c>
      <c r="C135" s="132"/>
      <c r="D135" s="132"/>
      <c r="E135" s="132"/>
      <c r="F135" s="215">
        <f>IF(ROW(A18)&lt;=Capacity!$M$16,Capacity!Q34,"")</f>
        <v>1</v>
      </c>
      <c r="G135" s="320">
        <f ca="1">IF(ROW(A18)&lt;=Capacity!$M$16,'Capacity calculation (hide)'!BH129,"")</f>
        <v>52</v>
      </c>
      <c r="H135" s="215">
        <f>IF(ROW(A18)&lt;=Capacity!$M$16,Capacity!T34,"")</f>
        <v>270</v>
      </c>
      <c r="I135" s="217">
        <f ca="1">IF(ROW(A18)&lt;=Capacity!$M$16,'Capacity calculation (hide)'!DL128,"")</f>
        <v>239.99999999999991</v>
      </c>
      <c r="J135" s="218" t="str">
        <f t="shared" ca="1" si="2"/>
        <v>Over</v>
      </c>
    </row>
    <row r="136" spans="2:10" hidden="1" x14ac:dyDescent="0.2">
      <c r="B136" s="218">
        <f>IF(Capacity!N35=0,"",Capacity!N35)</f>
        <v>44371</v>
      </c>
      <c r="C136" s="132"/>
      <c r="D136" s="132"/>
      <c r="E136" s="132"/>
      <c r="F136" s="215">
        <f>IF(ROW(A19)&lt;=Capacity!$M$16,Capacity!Q35,"")</f>
        <v>1</v>
      </c>
      <c r="G136" s="320">
        <f ca="1">IF(ROW(A19)&lt;=Capacity!$M$16,'Capacity calculation (hide)'!BH130,"")</f>
        <v>52</v>
      </c>
      <c r="H136" s="215">
        <f>IF(ROW(A19)&lt;=Capacity!$M$16,Capacity!T35,"")</f>
        <v>360</v>
      </c>
      <c r="I136" s="217">
        <f ca="1">IF(ROW(A19)&lt;=Capacity!$M$16,'Capacity calculation (hide)'!DL129,"")</f>
        <v>269.99999999999966</v>
      </c>
      <c r="J136" s="218" t="str">
        <f t="shared" ca="1" si="2"/>
        <v>Over</v>
      </c>
    </row>
    <row r="137" spans="2:10" hidden="1" x14ac:dyDescent="0.2">
      <c r="B137" s="218">
        <f>IF(Capacity!N36=0,"",Capacity!N36)</f>
        <v>44371</v>
      </c>
      <c r="C137" s="132"/>
      <c r="D137" s="132"/>
      <c r="E137" s="132"/>
      <c r="F137" s="215">
        <f>IF(ROW(A20)&lt;=Capacity!$M$16,Capacity!Q36,"")</f>
        <v>1</v>
      </c>
      <c r="G137" s="320">
        <f ca="1">IF(ROW(A20)&lt;=Capacity!$M$16,'Capacity calculation (hide)'!BH131,"")</f>
        <v>52</v>
      </c>
      <c r="H137" s="215">
        <f>IF(ROW(A20)&lt;=Capacity!$M$16,Capacity!T36,"")</f>
        <v>270</v>
      </c>
      <c r="I137" s="217">
        <f ca="1">IF(ROW(A20)&lt;=Capacity!$M$16,'Capacity calculation (hide)'!DL130,"")</f>
        <v>359.99999999999989</v>
      </c>
      <c r="J137" s="218" t="str">
        <f t="shared" ca="1" si="2"/>
        <v>Over</v>
      </c>
    </row>
    <row r="138" spans="2:10" hidden="1" x14ac:dyDescent="0.2">
      <c r="B138" s="218">
        <f>IF(Capacity!N37=0,"",Capacity!N37)</f>
        <v>44376</v>
      </c>
      <c r="C138" s="132"/>
      <c r="D138" s="132"/>
      <c r="E138" s="132"/>
      <c r="F138" s="215">
        <f>IF(ROW(A21)&lt;=Capacity!$M$16,Capacity!Q37,"")</f>
        <v>1</v>
      </c>
      <c r="G138" s="320">
        <f ca="1">IF(ROW(A21)&lt;=Capacity!$M$16,'Capacity calculation (hide)'!BH132,"")</f>
        <v>52</v>
      </c>
      <c r="H138" s="215">
        <f>IF(ROW(A21)&lt;=Capacity!$M$16,Capacity!T37,"")</f>
        <v>240</v>
      </c>
      <c r="I138" s="217">
        <f ca="1">IF(ROW(A21)&lt;=Capacity!$M$16,'Capacity calculation (hide)'!DL131,"")</f>
        <v>269.99999999999966</v>
      </c>
      <c r="J138" s="218" t="str">
        <f t="shared" ca="1" si="2"/>
        <v>Over</v>
      </c>
    </row>
    <row r="139" spans="2:10" hidden="1" x14ac:dyDescent="0.2">
      <c r="B139" s="218">
        <f>IF(Capacity!N38=0,"",Capacity!N38)</f>
        <v>44381</v>
      </c>
      <c r="C139" s="132"/>
      <c r="D139" s="132"/>
      <c r="E139" s="132"/>
      <c r="F139" s="215">
        <f>IF(ROW(A22)&lt;=Capacity!$M$16,Capacity!Q38,"")</f>
        <v>1</v>
      </c>
      <c r="G139" s="320">
        <f ca="1">IF(ROW(A22)&lt;=Capacity!$M$16,'Capacity calculation (hide)'!BH133,"")</f>
        <v>52</v>
      </c>
      <c r="H139" s="215">
        <f>IF(ROW(A22)&lt;=Capacity!$M$16,Capacity!T38,"")</f>
        <v>360</v>
      </c>
      <c r="I139" s="217">
        <f ca="1">IF(ROW(A22)&lt;=Capacity!$M$16,'Capacity calculation (hide)'!DL132,"")</f>
        <v>239.99999999999991</v>
      </c>
      <c r="J139" s="218" t="str">
        <f t="shared" ca="1" si="2"/>
        <v>Over</v>
      </c>
    </row>
    <row r="140" spans="2:10" hidden="1" x14ac:dyDescent="0.2">
      <c r="B140" s="218">
        <f>IF(Capacity!N39=0,"",Capacity!N39)</f>
        <v>44382</v>
      </c>
      <c r="C140" s="132"/>
      <c r="D140" s="132"/>
      <c r="E140" s="132"/>
      <c r="F140" s="215">
        <f>IF(ROW(A23)&lt;=Capacity!$M$16,Capacity!Q39,"")</f>
        <v>1</v>
      </c>
      <c r="G140" s="320">
        <f ca="1">IF(ROW(A23)&lt;=Capacity!$M$16,'Capacity calculation (hide)'!BH134,"")</f>
        <v>52</v>
      </c>
      <c r="H140" s="215">
        <f>IF(ROW(A23)&lt;=Capacity!$M$16,Capacity!T39,"")</f>
        <v>240</v>
      </c>
      <c r="I140" s="217">
        <f ca="1">IF(ROW(A23)&lt;=Capacity!$M$16,'Capacity calculation (hide)'!DL133,"")</f>
        <v>359.99999999999989</v>
      </c>
      <c r="J140" s="218" t="str">
        <f t="shared" ca="1" si="2"/>
        <v>Over</v>
      </c>
    </row>
    <row r="141" spans="2:10" hidden="1" x14ac:dyDescent="0.2">
      <c r="B141" s="218">
        <f>IF(Capacity!N40=0,"",Capacity!N40)</f>
        <v>44390</v>
      </c>
      <c r="C141" s="132"/>
      <c r="D141" s="132"/>
      <c r="E141" s="132"/>
      <c r="F141" s="215">
        <f>IF(ROW(A24)&lt;=Capacity!$M$16,Capacity!Q40,"")</f>
        <v>1</v>
      </c>
      <c r="G141" s="320">
        <f ca="1">IF(ROW(A24)&lt;=Capacity!$M$16,'Capacity calculation (hide)'!BH135,"")</f>
        <v>52</v>
      </c>
      <c r="H141" s="215">
        <f>IF(ROW(A24)&lt;=Capacity!$M$16,Capacity!T40,"")</f>
        <v>240</v>
      </c>
      <c r="I141" s="217">
        <f ca="1">IF(ROW(A24)&lt;=Capacity!$M$16,'Capacity calculation (hide)'!DL134,"")</f>
        <v>239.99999999999991</v>
      </c>
      <c r="J141" s="218" t="str">
        <f t="shared" ca="1" si="2"/>
        <v>Over</v>
      </c>
    </row>
    <row r="142" spans="2:10" hidden="1" x14ac:dyDescent="0.2">
      <c r="B142" s="218">
        <f>IF(Capacity!N41=0,"",Capacity!N41)</f>
        <v>44391</v>
      </c>
      <c r="C142" s="132"/>
      <c r="D142" s="132"/>
      <c r="E142" s="132"/>
      <c r="F142" s="215">
        <f>IF(ROW(A25)&lt;=Capacity!$M$16,Capacity!Q41,"")</f>
        <v>1</v>
      </c>
      <c r="G142" s="320">
        <f ca="1">IF(ROW(A25)&lt;=Capacity!$M$16,'Capacity calculation (hide)'!BH136,"")</f>
        <v>52</v>
      </c>
      <c r="H142" s="215">
        <f>IF(ROW(A25)&lt;=Capacity!$M$16,Capacity!T41,"")</f>
        <v>420</v>
      </c>
      <c r="I142" s="217">
        <f ca="1">IF(ROW(A25)&lt;=Capacity!$M$16,'Capacity calculation (hide)'!DL135,"")</f>
        <v>239.99999999999991</v>
      </c>
      <c r="J142" s="218" t="str">
        <f t="shared" ca="1" si="2"/>
        <v>Over</v>
      </c>
    </row>
    <row r="143" spans="2:10" hidden="1" x14ac:dyDescent="0.2">
      <c r="B143" s="218">
        <f>IF(Capacity!N42=0,"",Capacity!N42)</f>
        <v>44392</v>
      </c>
      <c r="C143" s="132"/>
      <c r="D143" s="132"/>
      <c r="E143" s="132"/>
      <c r="F143" s="215">
        <f>IF(ROW(A26)&lt;=Capacity!$M$16,Capacity!Q42,"")</f>
        <v>1</v>
      </c>
      <c r="G143" s="320">
        <f ca="1">IF(ROW(A26)&lt;=Capacity!$M$16,'Capacity calculation (hide)'!BH137,"")</f>
        <v>52</v>
      </c>
      <c r="H143" s="215">
        <f>IF(ROW(A26)&lt;=Capacity!$M$16,Capacity!T42,"")</f>
        <v>420</v>
      </c>
      <c r="I143" s="217">
        <f ca="1">IF(ROW(A26)&lt;=Capacity!$M$16,'Capacity calculation (hide)'!DL136,"")</f>
        <v>420.00000000000023</v>
      </c>
      <c r="J143" s="218" t="str">
        <f t="shared" ca="1" si="2"/>
        <v>Over</v>
      </c>
    </row>
    <row r="144" spans="2:10" hidden="1" x14ac:dyDescent="0.2">
      <c r="B144" s="218">
        <f>IF(Capacity!N43=0,"",Capacity!N43)</f>
        <v>44393</v>
      </c>
      <c r="C144" s="132"/>
      <c r="D144" s="132"/>
      <c r="E144" s="132"/>
      <c r="F144" s="215">
        <f>IF(ROW(A27)&lt;=Capacity!$M$16,Capacity!Q43,"")</f>
        <v>1</v>
      </c>
      <c r="G144" s="320">
        <f ca="1">IF(ROW(A27)&lt;=Capacity!$M$16,'Capacity calculation (hide)'!BH138,"")</f>
        <v>52</v>
      </c>
      <c r="H144" s="215">
        <f>IF(ROW(A27)&lt;=Capacity!$M$16,Capacity!T43,"")</f>
        <v>420</v>
      </c>
      <c r="I144" s="217">
        <f ca="1">IF(ROW(A27)&lt;=Capacity!$M$16,'Capacity calculation (hide)'!DL137,"")</f>
        <v>420.00000000000023</v>
      </c>
      <c r="J144" s="218" t="str">
        <f t="shared" ca="1" si="2"/>
        <v>Over</v>
      </c>
    </row>
    <row r="145" spans="2:10" hidden="1" x14ac:dyDescent="0.2">
      <c r="B145" s="218">
        <f>IF(Capacity!N44=0,"",Capacity!N44)</f>
        <v>44397</v>
      </c>
      <c r="C145" s="132"/>
      <c r="D145" s="132"/>
      <c r="E145" s="132"/>
      <c r="F145" s="215">
        <f>IF(ROW(A28)&lt;=Capacity!$M$16,Capacity!Q44,"")</f>
        <v>1</v>
      </c>
      <c r="G145" s="320">
        <f ca="1">IF(ROW(A28)&lt;=Capacity!$M$16,'Capacity calculation (hide)'!BH139,"")</f>
        <v>52</v>
      </c>
      <c r="H145" s="215">
        <f>IF(ROW(A28)&lt;=Capacity!$M$16,Capacity!T44,"")</f>
        <v>420</v>
      </c>
      <c r="I145" s="217">
        <f ca="1">IF(ROW(A28)&lt;=Capacity!$M$16,'Capacity calculation (hide)'!DL138,"")</f>
        <v>420.00000000000023</v>
      </c>
      <c r="J145" s="218" t="str">
        <f t="shared" ca="1" si="2"/>
        <v>Over</v>
      </c>
    </row>
    <row r="146" spans="2:10" hidden="1" x14ac:dyDescent="0.2">
      <c r="B146" s="218">
        <f>IF(Capacity!N45=0,"",Capacity!N45)</f>
        <v>44397</v>
      </c>
      <c r="C146" s="132"/>
      <c r="D146" s="132"/>
      <c r="E146" s="132"/>
      <c r="F146" s="215">
        <f>IF(ROW(A29)&lt;=Capacity!$M$16,Capacity!Q45,"")</f>
        <v>1</v>
      </c>
      <c r="G146" s="320">
        <f ca="1">IF(ROW(A29)&lt;=Capacity!$M$16,'Capacity calculation (hide)'!BH140,"")</f>
        <v>52</v>
      </c>
      <c r="H146" s="215">
        <f>IF(ROW(A29)&lt;=Capacity!$M$16,Capacity!T45,"")</f>
        <v>360</v>
      </c>
      <c r="I146" s="217">
        <f ca="1">IF(ROW(A29)&lt;=Capacity!$M$16,'Capacity calculation (hide)'!DL139,"")</f>
        <v>420.00000000000023</v>
      </c>
      <c r="J146" s="218" t="str">
        <f t="shared" ca="1" si="2"/>
        <v>Over</v>
      </c>
    </row>
    <row r="147" spans="2:10" hidden="1" x14ac:dyDescent="0.2">
      <c r="B147" s="218">
        <f>IF(Capacity!N46=0,"",Capacity!N46)</f>
        <v>44399</v>
      </c>
      <c r="C147" s="132"/>
      <c r="D147" s="132"/>
      <c r="E147" s="132"/>
      <c r="F147" s="215">
        <f>IF(ROW(A30)&lt;=Capacity!$M$16,Capacity!Q46,"")</f>
        <v>1</v>
      </c>
      <c r="G147" s="320">
        <f ca="1">IF(ROW(A30)&lt;=Capacity!$M$16,'Capacity calculation (hide)'!BH141,"")</f>
        <v>52</v>
      </c>
      <c r="H147" s="215">
        <f>IF(ROW(A30)&lt;=Capacity!$M$16,Capacity!T46,"")</f>
        <v>420</v>
      </c>
      <c r="I147" s="217">
        <f ca="1">IF(ROW(A30)&lt;=Capacity!$M$16,'Capacity calculation (hide)'!DL140,"")</f>
        <v>359.99999999999989</v>
      </c>
      <c r="J147" s="218" t="str">
        <f t="shared" ca="1" si="2"/>
        <v>Over</v>
      </c>
    </row>
    <row r="148" spans="2:10" hidden="1" x14ac:dyDescent="0.2">
      <c r="B148" s="218">
        <f>IF(Capacity!N47=0,"",Capacity!N47)</f>
        <v>44399</v>
      </c>
      <c r="C148" s="132"/>
      <c r="D148" s="132"/>
      <c r="E148" s="132"/>
      <c r="F148" s="215">
        <f>IF(ROW(A31)&lt;=Capacity!$M$16,Capacity!Q47,"")</f>
        <v>1</v>
      </c>
      <c r="G148" s="320">
        <f ca="1">IF(ROW(A31)&lt;=Capacity!$M$16,'Capacity calculation (hide)'!BH142,"")</f>
        <v>52</v>
      </c>
      <c r="H148" s="215">
        <f>IF(ROW(A31)&lt;=Capacity!$M$16,Capacity!T47,"")</f>
        <v>720</v>
      </c>
      <c r="I148" s="217">
        <f ca="1">IF(ROW(A31)&lt;=Capacity!$M$16,'Capacity calculation (hide)'!DL141,"")</f>
        <v>420.00000000000023</v>
      </c>
      <c r="J148" s="218" t="str">
        <f t="shared" ca="1" si="2"/>
        <v>Over</v>
      </c>
    </row>
    <row r="149" spans="2:10" hidden="1" x14ac:dyDescent="0.2">
      <c r="B149" s="218">
        <f>IF(Capacity!N48=0,"",Capacity!N48)</f>
        <v>44404</v>
      </c>
      <c r="C149" s="132"/>
      <c r="D149" s="132"/>
      <c r="E149" s="132"/>
      <c r="F149" s="215">
        <f>IF(ROW(A32)&lt;=Capacity!$M$16,Capacity!Q48,"")</f>
        <v>1</v>
      </c>
      <c r="G149" s="320">
        <f ca="1">IF(ROW(A32)&lt;=Capacity!$M$16,'Capacity calculation (hide)'!BH143,"")</f>
        <v>52</v>
      </c>
      <c r="H149" s="215">
        <f>IF(ROW(A32)&lt;=Capacity!$M$16,Capacity!T48,"")</f>
        <v>240</v>
      </c>
      <c r="I149" s="217">
        <f ca="1">IF(ROW(A32)&lt;=Capacity!$M$16,'Capacity calculation (hide)'!DL142,"")</f>
        <v>719.99999999999977</v>
      </c>
      <c r="J149" s="218" t="str">
        <f t="shared" ca="1" si="2"/>
        <v>Over</v>
      </c>
    </row>
    <row r="150" spans="2:10" hidden="1" x14ac:dyDescent="0.2">
      <c r="B150" s="218">
        <f>IF(Capacity!N49=0,"",Capacity!N49)</f>
        <v>44405</v>
      </c>
      <c r="C150" s="132"/>
      <c r="D150" s="132"/>
      <c r="E150" s="132"/>
      <c r="F150" s="215">
        <f>IF(ROW(A33)&lt;=Capacity!$M$16,Capacity!Q49,"")</f>
        <v>1</v>
      </c>
      <c r="G150" s="320">
        <f ca="1">IF(ROW(A33)&lt;=Capacity!$M$16,'Capacity calculation (hide)'!BH144,"")</f>
        <v>52</v>
      </c>
      <c r="H150" s="215">
        <f>IF(ROW(A33)&lt;=Capacity!$M$16,Capacity!T49,"")</f>
        <v>420</v>
      </c>
      <c r="I150" s="217">
        <f ca="1">IF(ROW(A33)&lt;=Capacity!$M$16,'Capacity calculation (hide)'!DL143,"")</f>
        <v>239.99999999999991</v>
      </c>
      <c r="J150" s="218" t="str">
        <f t="shared" ca="1" si="2"/>
        <v>Over</v>
      </c>
    </row>
    <row r="151" spans="2:10" hidden="1" x14ac:dyDescent="0.2">
      <c r="B151" s="218">
        <f>IF(Capacity!N50=0,"",Capacity!N50)</f>
        <v>44406</v>
      </c>
      <c r="C151" s="132"/>
      <c r="D151" s="132"/>
      <c r="E151" s="132"/>
      <c r="F151" s="215">
        <f>IF(ROW(A34)&lt;=Capacity!$M$16,Capacity!Q50,"")</f>
        <v>1</v>
      </c>
      <c r="G151" s="320">
        <f ca="1">IF(ROW(A34)&lt;=Capacity!$M$16,'Capacity calculation (hide)'!BH145,"")</f>
        <v>52</v>
      </c>
      <c r="H151" s="215">
        <f>IF(ROW(A34)&lt;=Capacity!$M$16,Capacity!T50,"")</f>
        <v>720</v>
      </c>
      <c r="I151" s="217">
        <f ca="1">IF(ROW(A34)&lt;=Capacity!$M$16,'Capacity calculation (hide)'!DL144,"")</f>
        <v>420.00000000000023</v>
      </c>
      <c r="J151" s="218" t="str">
        <f t="shared" ca="1" si="2"/>
        <v>Over</v>
      </c>
    </row>
    <row r="152" spans="2:10" hidden="1" x14ac:dyDescent="0.2">
      <c r="B152" s="218">
        <f>IF(Capacity!N51=0,"",Capacity!N51)</f>
        <v>44407</v>
      </c>
      <c r="C152" s="132"/>
      <c r="D152" s="132"/>
      <c r="E152" s="132"/>
      <c r="F152" s="215">
        <f>IF(ROW(A35)&lt;=Capacity!$M$16,Capacity!Q51,"")</f>
        <v>1</v>
      </c>
      <c r="G152" s="320">
        <f ca="1">IF(ROW(A35)&lt;=Capacity!$M$16,'Capacity calculation (hide)'!BH146,"")</f>
        <v>52</v>
      </c>
      <c r="H152" s="215">
        <f>IF(ROW(A35)&lt;=Capacity!$M$16,Capacity!T51,"")</f>
        <v>510</v>
      </c>
      <c r="I152" s="217">
        <f ca="1">IF(ROW(A35)&lt;=Capacity!$M$16,'Capacity calculation (hide)'!DL145,"")</f>
        <v>719.99999999999977</v>
      </c>
      <c r="J152" s="218" t="str">
        <f t="shared" ca="1" si="2"/>
        <v>Over</v>
      </c>
    </row>
    <row r="153" spans="2:10" hidden="1" x14ac:dyDescent="0.2">
      <c r="B153" s="218">
        <f>IF(Capacity!N52=0,"",Capacity!N52)</f>
        <v>44407</v>
      </c>
      <c r="C153" s="132"/>
      <c r="D153" s="132"/>
      <c r="E153" s="132"/>
      <c r="F153" s="215">
        <f>IF(ROW(A36)&lt;=Capacity!$M$16,Capacity!Q52,"")</f>
        <v>1</v>
      </c>
      <c r="G153" s="320">
        <f ca="1">IF(ROW(A36)&lt;=Capacity!$M$16,'Capacity calculation (hide)'!BH147,"")</f>
        <v>52</v>
      </c>
      <c r="H153" s="215">
        <f>IF(ROW(A36)&lt;=Capacity!$M$16,Capacity!T52,"")</f>
        <v>720</v>
      </c>
      <c r="I153" s="217">
        <f ca="1">IF(ROW(A36)&lt;=Capacity!$M$16,'Capacity calculation (hide)'!DL146,"")</f>
        <v>510.00000000000051</v>
      </c>
      <c r="J153" s="218" t="str">
        <f t="shared" ca="1" si="2"/>
        <v>Over</v>
      </c>
    </row>
    <row r="154" spans="2:10" hidden="1" x14ac:dyDescent="0.2">
      <c r="B154" s="218">
        <f>IF(Capacity!N53=0,"",Capacity!N53)</f>
        <v>44407</v>
      </c>
      <c r="C154" s="132"/>
      <c r="D154" s="132"/>
      <c r="E154" s="132"/>
      <c r="F154" s="215">
        <f>IF(ROW(A37)&lt;=Capacity!$M$16,Capacity!Q53,"")</f>
        <v>1</v>
      </c>
      <c r="G154" s="320">
        <f ca="1">IF(ROW(A37)&lt;=Capacity!$M$16,'Capacity calculation (hide)'!BH148,"")</f>
        <v>52</v>
      </c>
      <c r="H154" s="215">
        <f>IF(ROW(A37)&lt;=Capacity!$M$16,Capacity!T53,"")</f>
        <v>210</v>
      </c>
      <c r="I154" s="217">
        <f ca="1">IF(ROW(A37)&lt;=Capacity!$M$16,'Capacity calculation (hide)'!DL147,"")</f>
        <v>719.99999999999977</v>
      </c>
      <c r="J154" s="218" t="str">
        <f t="shared" ca="1" si="2"/>
        <v>Over</v>
      </c>
    </row>
    <row r="155" spans="2:10" hidden="1" x14ac:dyDescent="0.2">
      <c r="B155" s="218">
        <f>IF(Capacity!N54=0,"",Capacity!N54)</f>
        <v>44412</v>
      </c>
      <c r="C155" s="132"/>
      <c r="D155" s="132"/>
      <c r="E155" s="132"/>
      <c r="F155" s="215">
        <f>IF(ROW(A38)&lt;=Capacity!$M$16,Capacity!Q54,"")</f>
        <v>1</v>
      </c>
      <c r="G155" s="320">
        <f ca="1">IF(ROW(A38)&lt;=Capacity!$M$16,'Capacity calculation (hide)'!BH149,"")</f>
        <v>52</v>
      </c>
      <c r="H155" s="215">
        <f>IF(ROW(A38)&lt;=Capacity!$M$16,Capacity!T54,"")</f>
        <v>210</v>
      </c>
      <c r="I155" s="217">
        <f ca="1">IF(ROW(A38)&lt;=Capacity!$M$16,'Capacity calculation (hide)'!DL148,"")</f>
        <v>210.00000000000011</v>
      </c>
      <c r="J155" s="218" t="str">
        <f t="shared" ca="1" si="2"/>
        <v>Over</v>
      </c>
    </row>
    <row r="156" spans="2:10" hidden="1" x14ac:dyDescent="0.2">
      <c r="B156" s="218">
        <f>IF(Capacity!N55=0,"",Capacity!N55)</f>
        <v>44413</v>
      </c>
      <c r="C156" s="132"/>
      <c r="D156" s="132"/>
      <c r="E156" s="132"/>
      <c r="F156" s="215">
        <f>IF(ROW(A39)&lt;=Capacity!$M$16,Capacity!Q55,"")</f>
        <v>1</v>
      </c>
      <c r="G156" s="320">
        <f ca="1">IF(ROW(A39)&lt;=Capacity!$M$16,'Capacity calculation (hide)'!BH150,"")</f>
        <v>52</v>
      </c>
      <c r="H156" s="215">
        <f>IF(ROW(A39)&lt;=Capacity!$M$16,Capacity!T55,"")</f>
        <v>210</v>
      </c>
      <c r="I156" s="217">
        <f ca="1">IF(ROW(A39)&lt;=Capacity!$M$16,'Capacity calculation (hide)'!DL149,"")</f>
        <v>210.00000000000011</v>
      </c>
      <c r="J156" s="218" t="str">
        <f t="shared" ca="1" si="2"/>
        <v>Over</v>
      </c>
    </row>
    <row r="157" spans="2:10" hidden="1" x14ac:dyDescent="0.2">
      <c r="B157" s="218">
        <f>IF(Capacity!N56=0,"",Capacity!N56)</f>
        <v>44415</v>
      </c>
      <c r="C157" s="132"/>
      <c r="D157" s="132"/>
      <c r="E157" s="132"/>
      <c r="F157" s="215">
        <f>IF(ROW(A40)&lt;=Capacity!$M$16,Capacity!Q56,"")</f>
        <v>1</v>
      </c>
      <c r="G157" s="320">
        <f ca="1">IF(ROW(A40)&lt;=Capacity!$M$16,'Capacity calculation (hide)'!BH151,"")</f>
        <v>52</v>
      </c>
      <c r="H157" s="215">
        <f>IF(ROW(A40)&lt;=Capacity!$M$16,Capacity!T56,"")</f>
        <v>660</v>
      </c>
      <c r="I157" s="217">
        <f ca="1">IF(ROW(A40)&lt;=Capacity!$M$16,'Capacity calculation (hide)'!DL150,"")</f>
        <v>210.00000000000011</v>
      </c>
      <c r="J157" s="218" t="str">
        <f t="shared" ca="1" si="2"/>
        <v>Over</v>
      </c>
    </row>
    <row r="158" spans="2:10" hidden="1" x14ac:dyDescent="0.2">
      <c r="B158" s="218">
        <f>IF(Capacity!N57=0,"",Capacity!N57)</f>
        <v>44416</v>
      </c>
      <c r="C158" s="132"/>
      <c r="D158" s="132"/>
      <c r="E158" s="132"/>
      <c r="F158" s="215">
        <f>IF(ROW(A41)&lt;=Capacity!$M$16,Capacity!Q57,"")</f>
        <v>1</v>
      </c>
      <c r="G158" s="320">
        <f ca="1">IF(ROW(A41)&lt;=Capacity!$M$16,'Capacity calculation (hide)'!BH152,"")</f>
        <v>52</v>
      </c>
      <c r="H158" s="215">
        <f>IF(ROW(A41)&lt;=Capacity!$M$16,Capacity!T57,"")</f>
        <v>660</v>
      </c>
      <c r="I158" s="217">
        <f ca="1">IF(ROW(A41)&lt;=Capacity!$M$16,'Capacity calculation (hide)'!DL151,"")</f>
        <v>660.00000000000011</v>
      </c>
      <c r="J158" s="218" t="str">
        <f t="shared" ca="1" si="2"/>
        <v>Over</v>
      </c>
    </row>
    <row r="159" spans="2:10" hidden="1" x14ac:dyDescent="0.2">
      <c r="B159" s="218">
        <f>IF(Capacity!N58=0,"",Capacity!N58)</f>
        <v>44416</v>
      </c>
      <c r="C159" s="132"/>
      <c r="D159" s="132"/>
      <c r="E159" s="132"/>
      <c r="F159" s="215">
        <f>IF(ROW(A42)&lt;=Capacity!$M$16,Capacity!Q58,"")</f>
        <v>1</v>
      </c>
      <c r="G159" s="320">
        <f ca="1">IF(ROW(A42)&lt;=Capacity!$M$16,'Capacity calculation (hide)'!BH153,"")</f>
        <v>52</v>
      </c>
      <c r="H159" s="215">
        <f>IF(ROW(A42)&lt;=Capacity!$M$16,Capacity!T58,"")</f>
        <v>660</v>
      </c>
      <c r="I159" s="217">
        <f ca="1">IF(ROW(A42)&lt;=Capacity!$M$16,'Capacity calculation (hide)'!DL152,"")</f>
        <v>660.00000000000011</v>
      </c>
      <c r="J159" s="218" t="str">
        <f t="shared" ca="1" si="2"/>
        <v>Over</v>
      </c>
    </row>
    <row r="160" spans="2:10" hidden="1" x14ac:dyDescent="0.2">
      <c r="B160" s="218">
        <f>IF(Capacity!N59=0,"",Capacity!N59)</f>
        <v>44417</v>
      </c>
      <c r="C160" s="132"/>
      <c r="D160" s="132"/>
      <c r="E160" s="132"/>
      <c r="F160" s="215">
        <f>IF(ROW(A43)&lt;=Capacity!$M$16,Capacity!Q59,"")</f>
        <v>1</v>
      </c>
      <c r="G160" s="320">
        <f ca="1">IF(ROW(A43)&lt;=Capacity!$M$16,'Capacity calculation (hide)'!BH154,"")</f>
        <v>52</v>
      </c>
      <c r="H160" s="215">
        <f>IF(ROW(A43)&lt;=Capacity!$M$16,Capacity!T59,"")</f>
        <v>210</v>
      </c>
      <c r="I160" s="217">
        <f ca="1">IF(ROW(A43)&lt;=Capacity!$M$16,'Capacity calculation (hide)'!DL153,"")</f>
        <v>660.00000000000011</v>
      </c>
      <c r="J160" s="218" t="str">
        <f t="shared" ca="1" si="2"/>
        <v>Over</v>
      </c>
    </row>
    <row r="161" spans="2:10" hidden="1" x14ac:dyDescent="0.2">
      <c r="B161" s="218">
        <f>IF(Capacity!N60=0,"",Capacity!N60)</f>
        <v>44418</v>
      </c>
      <c r="C161" s="132"/>
      <c r="D161" s="132"/>
      <c r="E161" s="132"/>
      <c r="F161" s="215">
        <f>IF(ROW(A44)&lt;=Capacity!$M$16,Capacity!Q60,"")</f>
        <v>1</v>
      </c>
      <c r="G161" s="320">
        <f ca="1">IF(ROW(A44)&lt;=Capacity!$M$16,'Capacity calculation (hide)'!BH155,"")</f>
        <v>52</v>
      </c>
      <c r="H161" s="215">
        <f>IF(ROW(A44)&lt;=Capacity!$M$16,Capacity!T60,"")</f>
        <v>660</v>
      </c>
      <c r="I161" s="217">
        <f ca="1">IF(ROW(A44)&lt;=Capacity!$M$16,'Capacity calculation (hide)'!DL154,"")</f>
        <v>210.00000000000011</v>
      </c>
      <c r="J161" s="218" t="str">
        <f t="shared" ca="1" si="2"/>
        <v>Over</v>
      </c>
    </row>
    <row r="162" spans="2:10" hidden="1" x14ac:dyDescent="0.2">
      <c r="B162" s="218">
        <f>IF(Capacity!N61=0,"",Capacity!N61)</f>
        <v>44419</v>
      </c>
      <c r="C162" s="132"/>
      <c r="D162" s="132"/>
      <c r="E162" s="132"/>
      <c r="F162" s="215">
        <f>IF(ROW(A45)&lt;=Capacity!$M$16,Capacity!Q61,"")</f>
        <v>1</v>
      </c>
      <c r="G162" s="320">
        <f ca="1">IF(ROW(A45)&lt;=Capacity!$M$16,'Capacity calculation (hide)'!BH156,"")</f>
        <v>52</v>
      </c>
      <c r="H162" s="215">
        <f>IF(ROW(A45)&lt;=Capacity!$M$16,Capacity!T61,"")</f>
        <v>660</v>
      </c>
      <c r="I162" s="217">
        <f ca="1">IF(ROW(A45)&lt;=Capacity!$M$16,'Capacity calculation (hide)'!DL155,"")</f>
        <v>660.00000000000011</v>
      </c>
      <c r="J162" s="218" t="str">
        <f t="shared" ca="1" si="2"/>
        <v>Over</v>
      </c>
    </row>
    <row r="163" spans="2:10" hidden="1" x14ac:dyDescent="0.2">
      <c r="B163" s="218">
        <f>IF(Capacity!N62=0,"",Capacity!N62)</f>
        <v>44420</v>
      </c>
      <c r="C163" s="132"/>
      <c r="D163" s="132"/>
      <c r="E163" s="132"/>
      <c r="F163" s="215">
        <f>IF(ROW(A46)&lt;=Capacity!$M$16,Capacity!Q62,"")</f>
        <v>1</v>
      </c>
      <c r="G163" s="320">
        <f ca="1">IF(ROW(A46)&lt;=Capacity!$M$16,'Capacity calculation (hide)'!BH157,"")</f>
        <v>52</v>
      </c>
      <c r="H163" s="215">
        <f>IF(ROW(A46)&lt;=Capacity!$M$16,Capacity!T62,"")</f>
        <v>210</v>
      </c>
      <c r="I163" s="217">
        <f ca="1">IF(ROW(A46)&lt;=Capacity!$M$16,'Capacity calculation (hide)'!DL156,"")</f>
        <v>660.00000000000011</v>
      </c>
      <c r="J163" s="218" t="str">
        <f t="shared" ca="1" si="2"/>
        <v>Over</v>
      </c>
    </row>
    <row r="164" spans="2:10" hidden="1" x14ac:dyDescent="0.2">
      <c r="B164" s="218">
        <f>IF(Capacity!N63=0,"",Capacity!N63)</f>
        <v>44423</v>
      </c>
      <c r="C164" s="132"/>
      <c r="D164" s="132"/>
      <c r="E164" s="132"/>
      <c r="F164" s="215">
        <f>IF(ROW(A47)&lt;=Capacity!$M$16,Capacity!Q63,"")</f>
        <v>1</v>
      </c>
      <c r="G164" s="320">
        <f ca="1">IF(ROW(A47)&lt;=Capacity!$M$16,'Capacity calculation (hide)'!BH158,"")</f>
        <v>52</v>
      </c>
      <c r="H164" s="215">
        <f>IF(ROW(A47)&lt;=Capacity!$M$16,Capacity!T63,"")</f>
        <v>240</v>
      </c>
      <c r="I164" s="217">
        <f ca="1">IF(ROW(A47)&lt;=Capacity!$M$16,'Capacity calculation (hide)'!DL157,"")</f>
        <v>210.00000000000011</v>
      </c>
      <c r="J164" s="218" t="str">
        <f t="shared" ca="1" si="2"/>
        <v>Over</v>
      </c>
    </row>
    <row r="165" spans="2:10" hidden="1" x14ac:dyDescent="0.2">
      <c r="B165" s="218">
        <f>IF(Capacity!N64=0,"",Capacity!N64)</f>
        <v>44423</v>
      </c>
      <c r="C165" s="132"/>
      <c r="D165" s="132"/>
      <c r="E165" s="132"/>
      <c r="F165" s="215">
        <f>IF(ROW(A48)&lt;=Capacity!$M$16,Capacity!Q64,"")</f>
        <v>1</v>
      </c>
      <c r="G165" s="320">
        <f ca="1">IF(ROW(A48)&lt;=Capacity!$M$16,'Capacity calculation (hide)'!BH159,"")</f>
        <v>52</v>
      </c>
      <c r="H165" s="215">
        <f>IF(ROW(A48)&lt;=Capacity!$M$16,Capacity!T64,"")</f>
        <v>720</v>
      </c>
      <c r="I165" s="217">
        <f ca="1">IF(ROW(A48)&lt;=Capacity!$M$16,'Capacity calculation (hide)'!DL158,"")</f>
        <v>239.99999999999991</v>
      </c>
      <c r="J165" s="218" t="str">
        <f t="shared" ca="1" si="2"/>
        <v>Over</v>
      </c>
    </row>
    <row r="166" spans="2:10" hidden="1" x14ac:dyDescent="0.2">
      <c r="B166" s="218">
        <f>IF(Capacity!N65=0,"",Capacity!N65)</f>
        <v>44425</v>
      </c>
      <c r="C166" s="132"/>
      <c r="D166" s="132"/>
      <c r="E166" s="132"/>
      <c r="F166" s="215">
        <f>IF(ROW(A49)&lt;=Capacity!$M$16,Capacity!Q65,"")</f>
        <v>1</v>
      </c>
      <c r="G166" s="320">
        <f ca="1">IF(ROW(A49)&lt;=Capacity!$M$16,'Capacity calculation (hide)'!BH160,"")</f>
        <v>52</v>
      </c>
      <c r="H166" s="215">
        <f>IF(ROW(A49)&lt;=Capacity!$M$16,Capacity!T65,"")</f>
        <v>210</v>
      </c>
      <c r="I166" s="217">
        <f ca="1">IF(ROW(A49)&lt;=Capacity!$M$16,'Capacity calculation (hide)'!DL159,"")</f>
        <v>719.99999999999977</v>
      </c>
      <c r="J166" s="218" t="str">
        <f t="shared" ca="1" si="2"/>
        <v>Over</v>
      </c>
    </row>
    <row r="167" spans="2:10" hidden="1" x14ac:dyDescent="0.2">
      <c r="B167" s="218">
        <f>IF(Capacity!N66=0,"",Capacity!N66)</f>
        <v>44425</v>
      </c>
      <c r="C167" s="132"/>
      <c r="D167" s="132"/>
      <c r="E167" s="132"/>
      <c r="F167" s="215">
        <f>IF(ROW(A50)&lt;=Capacity!$M$16,Capacity!Q66,"")</f>
        <v>1</v>
      </c>
      <c r="G167" s="320">
        <f ca="1">IF(ROW(A50)&lt;=Capacity!$M$16,'Capacity calculation (hide)'!BH161,"")</f>
        <v>52</v>
      </c>
      <c r="H167" s="215">
        <f>IF(ROW(A50)&lt;=Capacity!$M$16,Capacity!T66,"")</f>
        <v>660</v>
      </c>
      <c r="I167" s="217">
        <f ca="1">IF(ROW(A50)&lt;=Capacity!$M$16,'Capacity calculation (hide)'!DL160,"")</f>
        <v>210.00000000000011</v>
      </c>
      <c r="J167" s="218" t="str">
        <f t="shared" ca="1" si="2"/>
        <v>Over</v>
      </c>
    </row>
    <row r="168" spans="2:10" hidden="1" x14ac:dyDescent="0.2">
      <c r="B168" s="218">
        <f>IF(Capacity!N67=0,"",Capacity!N67)</f>
        <v>44426</v>
      </c>
      <c r="C168" s="132"/>
      <c r="D168" s="132"/>
      <c r="E168" s="132"/>
      <c r="F168" s="215">
        <f>IF(ROW(A51)&lt;=Capacity!$M$16,Capacity!Q67,"")</f>
        <v>1</v>
      </c>
      <c r="G168" s="320">
        <f ca="1">IF(ROW(A51)&lt;=Capacity!$M$16,'Capacity calculation (hide)'!BH162,"")</f>
        <v>52</v>
      </c>
      <c r="H168" s="215">
        <f>IF(ROW(A51)&lt;=Capacity!$M$16,Capacity!T67,"")</f>
        <v>210</v>
      </c>
      <c r="I168" s="217">
        <f ca="1">IF(ROW(A51)&lt;=Capacity!$M$16,'Capacity calculation (hide)'!DL161,"")</f>
        <v>660.00000000000011</v>
      </c>
      <c r="J168" s="218" t="str">
        <f t="shared" ca="1" si="2"/>
        <v>Over</v>
      </c>
    </row>
    <row r="169" spans="2:10" hidden="1" x14ac:dyDescent="0.2">
      <c r="B169" s="218">
        <f>IF(Capacity!N68=0,"",Capacity!N68)</f>
        <v>44427</v>
      </c>
      <c r="C169" s="132"/>
      <c r="D169" s="132"/>
      <c r="E169" s="132"/>
      <c r="F169" s="215">
        <f>IF(ROW(A52)&lt;=Capacity!$M$16,Capacity!Q68,"")</f>
        <v>1</v>
      </c>
      <c r="G169" s="320">
        <f ca="1">IF(ROW(A52)&lt;=Capacity!$M$16,'Capacity calculation (hide)'!BH163,"")</f>
        <v>52</v>
      </c>
      <c r="H169" s="215">
        <f>IF(ROW(A52)&lt;=Capacity!$M$16,Capacity!T68,"")</f>
        <v>210</v>
      </c>
      <c r="I169" s="217">
        <f ca="1">IF(ROW(A52)&lt;=Capacity!$M$16,'Capacity calculation (hide)'!DL162,"")</f>
        <v>210.00000000000011</v>
      </c>
      <c r="J169" s="218" t="str">
        <f t="shared" ca="1" si="2"/>
        <v>Over</v>
      </c>
    </row>
    <row r="170" spans="2:10" hidden="1" x14ac:dyDescent="0.2">
      <c r="B170" s="218">
        <f>IF(Capacity!N69=0,"",Capacity!N69)</f>
        <v>44430</v>
      </c>
      <c r="C170" s="132"/>
      <c r="D170" s="132"/>
      <c r="E170" s="132"/>
      <c r="F170" s="215">
        <f>IF(ROW(A53)&lt;=Capacity!$M$16,Capacity!Q69,"")</f>
        <v>1</v>
      </c>
      <c r="G170" s="320">
        <f ca="1">IF(ROW(A53)&lt;=Capacity!$M$16,'Capacity calculation (hide)'!BH164,"")</f>
        <v>52</v>
      </c>
      <c r="H170" s="215">
        <f>IF(ROW(A53)&lt;=Capacity!$M$16,Capacity!T69,"")</f>
        <v>720</v>
      </c>
      <c r="I170" s="217">
        <f ca="1">IF(ROW(A53)&lt;=Capacity!$M$16,'Capacity calculation (hide)'!DL163,"")</f>
        <v>210.00000000000011</v>
      </c>
      <c r="J170" s="218" t="str">
        <f t="shared" ca="1" si="2"/>
        <v>Over</v>
      </c>
    </row>
    <row r="171" spans="2:10" hidden="1" x14ac:dyDescent="0.2">
      <c r="B171" s="218">
        <f>IF(Capacity!N70=0,"",Capacity!N70)</f>
        <v>44431</v>
      </c>
      <c r="C171" s="132"/>
      <c r="D171" s="132"/>
      <c r="E171" s="132"/>
      <c r="F171" s="215">
        <f>IF(ROW(A54)&lt;=Capacity!$M$16,Capacity!Q70,"")</f>
        <v>1</v>
      </c>
      <c r="G171" s="320">
        <f ca="1">IF(ROW(A54)&lt;=Capacity!$M$16,'Capacity calculation (hide)'!BH165,"")</f>
        <v>52</v>
      </c>
      <c r="H171" s="215">
        <f>IF(ROW(A54)&lt;=Capacity!$M$16,Capacity!T70,"")</f>
        <v>210</v>
      </c>
      <c r="I171" s="217">
        <f ca="1">IF(ROW(A54)&lt;=Capacity!$M$16,'Capacity calculation (hide)'!DL164,"")</f>
        <v>719.99999999999977</v>
      </c>
      <c r="J171" s="218" t="str">
        <f t="shared" ca="1" si="2"/>
        <v>Over</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(Minutes per year):</v>
      </c>
      <c r="C4" s="221">
        <f ca="1">'Capacity calculation (hide)'!DL4</f>
        <v>267374.80769230751</v>
      </c>
      <c r="D4" s="221">
        <f ca="1">'Capacity calculation (hide)'!DL111</f>
        <v>21312.115384615368</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395" t="s">
        <v>57</v>
      </c>
      <c r="D10" s="396"/>
      <c r="E10" s="397"/>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395" t="s">
        <v>57</v>
      </c>
      <c r="D11" s="396"/>
      <c r="E11" s="397"/>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1155</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4" t="s">
        <v>1205</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5" t="s">
        <v>1206</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1207</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4" t="s">
        <v>1270</v>
      </c>
      <c r="C21" s="427" t="s">
        <v>486</v>
      </c>
      <c r="D21" s="428"/>
      <c r="E21" s="431" t="s">
        <v>483</v>
      </c>
      <c r="F21" s="432"/>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5"/>
      <c r="C22" s="429"/>
      <c r="D22" s="430"/>
      <c r="E22" s="433"/>
      <c r="F22" s="434"/>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6"/>
      <c r="C23" s="303" t="s">
        <v>484</v>
      </c>
      <c r="D23" s="143" t="s">
        <v>485</v>
      </c>
      <c r="E23" s="143" t="s">
        <v>484</v>
      </c>
      <c r="F23" s="282" t="s">
        <v>485</v>
      </c>
      <c r="H23" s="340"/>
      <c r="I23" s="340"/>
      <c r="J23" s="340"/>
      <c r="K23" s="340"/>
      <c r="L23" s="340"/>
      <c r="M23" s="340"/>
      <c r="N23" s="340"/>
      <c r="O23" s="340"/>
      <c r="P23" s="340"/>
      <c r="Q23" s="340"/>
      <c r="R23" s="340"/>
      <c r="S23" s="340"/>
      <c r="T23" s="340"/>
      <c r="U23" s="340"/>
      <c r="V23" s="340"/>
      <c r="W23" s="340"/>
      <c r="X23" s="340"/>
      <c r="Y23" s="340"/>
      <c r="Z23" s="340"/>
      <c r="AA23" s="340"/>
      <c r="AB23" s="340"/>
      <c r="AC23" s="340"/>
      <c r="AD23" s="340"/>
      <c r="AE23" s="340"/>
      <c r="AF23" s="340"/>
      <c r="AG23" s="340"/>
      <c r="AH23" s="340"/>
      <c r="AI23" s="340"/>
      <c r="AJ23" s="340"/>
      <c r="AK23" s="340"/>
      <c r="AL23" s="340"/>
      <c r="AM23" s="340"/>
      <c r="AN23" s="340"/>
      <c r="AO23" s="340"/>
      <c r="AP23" s="340"/>
      <c r="AQ23" s="340"/>
      <c r="AR23" s="340"/>
      <c r="AS23" s="340"/>
      <c r="AT23" s="340"/>
      <c r="AU23" s="340"/>
      <c r="AV23" s="340"/>
      <c r="AW23" s="340"/>
      <c r="AX23" s="340"/>
      <c r="AY23" s="340"/>
      <c r="AZ23" s="340"/>
      <c r="BA23" s="340"/>
      <c r="BB23" s="340"/>
      <c r="BC23" s="340"/>
      <c r="BD23" s="340"/>
      <c r="BE23" s="340"/>
      <c r="BF23" s="340"/>
      <c r="BG23" s="340"/>
      <c r="BH23" s="125"/>
      <c r="BI23" s="282" t="s">
        <v>1240</v>
      </c>
      <c r="BJ23" s="125"/>
      <c r="BK23" s="125"/>
      <c r="BL23" s="125"/>
    </row>
    <row r="24" spans="2:64" hidden="1" x14ac:dyDescent="0.2">
      <c r="B24" s="219" t="str">
        <f>IF(Capacity!N17="","",Capacity!N17)</f>
        <v>Session name</v>
      </c>
      <c r="C24" s="220">
        <f>IF(B24="","",Capacity!Q17)</f>
        <v>0</v>
      </c>
      <c r="D24" s="309">
        <f>IF(B24="","",Capacity!R17)</f>
        <v>0</v>
      </c>
      <c r="E24" s="220">
        <f ca="1">IF(B24="","",IF(COUNTBLANK(H24:BG24)=52,SUM('Capacity calculation (hide)'!H112:BG112),52-COUNTBLANK(H24:BG24)))</f>
        <v>52</v>
      </c>
      <c r="F24" s="310">
        <f ca="1">'Capacity calculation (hide)'!BI112</f>
        <v>0</v>
      </c>
      <c r="H24" s="363"/>
      <c r="I24" s="363"/>
      <c r="J24" s="363"/>
      <c r="K24" s="363"/>
      <c r="L24" s="363"/>
      <c r="M24" s="363"/>
      <c r="N24" s="363"/>
      <c r="O24" s="363"/>
      <c r="P24" s="363"/>
      <c r="Q24" s="363"/>
      <c r="R24" s="363"/>
      <c r="S24" s="363"/>
      <c r="T24" s="363"/>
      <c r="U24" s="363"/>
      <c r="V24" s="363"/>
      <c r="W24" s="363"/>
      <c r="X24" s="363"/>
      <c r="Y24" s="363"/>
      <c r="Z24" s="363"/>
      <c r="AA24" s="363"/>
      <c r="AB24" s="363"/>
      <c r="AC24" s="363"/>
      <c r="AD24" s="363"/>
      <c r="AE24" s="363"/>
      <c r="AF24" s="363"/>
      <c r="AG24" s="363"/>
      <c r="AH24" s="363"/>
      <c r="AI24" s="363"/>
      <c r="AJ24" s="363"/>
      <c r="AK24" s="363"/>
      <c r="AL24" s="363"/>
      <c r="AM24" s="363"/>
      <c r="AN24" s="363"/>
      <c r="AO24" s="363"/>
      <c r="AP24" s="363"/>
      <c r="AQ24" s="363"/>
      <c r="AR24" s="363"/>
      <c r="AS24" s="363"/>
      <c r="AT24" s="363"/>
      <c r="AU24" s="363"/>
      <c r="AV24" s="363"/>
      <c r="AW24" s="363"/>
      <c r="AX24" s="363"/>
      <c r="AY24" s="363"/>
      <c r="AZ24" s="363"/>
      <c r="BA24" s="363"/>
      <c r="BB24" s="363"/>
      <c r="BC24" s="363"/>
      <c r="BD24" s="363"/>
      <c r="BE24" s="363"/>
      <c r="BF24" s="363"/>
      <c r="BG24" s="363"/>
      <c r="BH24" s="66"/>
      <c r="BI24" s="341" t="s">
        <v>1235</v>
      </c>
      <c r="BJ24" s="66"/>
      <c r="BK24" s="66"/>
      <c r="BL24" s="66"/>
    </row>
    <row r="25" spans="2:64" hidden="1" x14ac:dyDescent="0.2">
      <c r="B25" s="219">
        <f>IF(Capacity!N18="","",Capacity!N18)</f>
        <v>44323</v>
      </c>
      <c r="C25" s="220">
        <f>IF(B25="","",Capacity!Q18)</f>
        <v>1</v>
      </c>
      <c r="D25" s="309">
        <f>IF(B25="","",Capacity!R18)</f>
        <v>450</v>
      </c>
      <c r="E25" s="220">
        <f ca="1">IF(B25="","",IF(COUNTBLANK(H25:BG25)=52,SUM('Capacity calculation (hide)'!H113:BG113),52-COUNTBLANK(H25:BG25)))</f>
        <v>52</v>
      </c>
      <c r="F25" s="310">
        <f ca="1">'Capacity calculation (hide)'!BI113</f>
        <v>8.6538461538461533</v>
      </c>
      <c r="H25" s="364"/>
      <c r="I25" s="363"/>
      <c r="J25" s="363"/>
      <c r="K25" s="363"/>
      <c r="L25" s="363"/>
      <c r="M25" s="363"/>
      <c r="N25" s="363"/>
      <c r="O25" s="363"/>
      <c r="P25" s="363"/>
      <c r="Q25" s="363"/>
      <c r="R25" s="363"/>
      <c r="S25" s="363"/>
      <c r="T25" s="363"/>
      <c r="U25" s="363"/>
      <c r="V25" s="363"/>
      <c r="W25" s="363"/>
      <c r="X25" s="363"/>
      <c r="Y25" s="363"/>
      <c r="Z25" s="363"/>
      <c r="AA25" s="363"/>
      <c r="AB25" s="363"/>
      <c r="AC25" s="363"/>
      <c r="AD25" s="363"/>
      <c r="AE25" s="363"/>
      <c r="AF25" s="363"/>
      <c r="AG25" s="363"/>
      <c r="AH25" s="363"/>
      <c r="AI25" s="363"/>
      <c r="AJ25" s="363"/>
      <c r="AK25" s="363"/>
      <c r="AL25" s="363"/>
      <c r="AM25" s="363"/>
      <c r="AN25" s="363"/>
      <c r="AO25" s="363"/>
      <c r="AP25" s="363"/>
      <c r="AQ25" s="363"/>
      <c r="AR25" s="363"/>
      <c r="AS25" s="363"/>
      <c r="AT25" s="363"/>
      <c r="AU25" s="363"/>
      <c r="AV25" s="363"/>
      <c r="AW25" s="363"/>
      <c r="AX25" s="363"/>
      <c r="AY25" s="363"/>
      <c r="AZ25" s="363"/>
      <c r="BA25" s="363"/>
      <c r="BB25" s="363"/>
      <c r="BC25" s="363"/>
      <c r="BD25" s="363"/>
      <c r="BE25" s="363"/>
      <c r="BF25" s="363"/>
      <c r="BG25" s="365"/>
      <c r="BH25" s="66"/>
      <c r="BI25" s="341" t="s">
        <v>1235</v>
      </c>
    </row>
    <row r="26" spans="2:64" hidden="1" x14ac:dyDescent="0.2">
      <c r="B26" s="219">
        <f>IF(Capacity!N19="","",Capacity!N19)</f>
        <v>44326</v>
      </c>
      <c r="C26" s="220">
        <f>IF(B26="","",Capacity!Q19)</f>
        <v>1</v>
      </c>
      <c r="D26" s="309">
        <f>IF(B26="","",Capacity!R19)</f>
        <v>480</v>
      </c>
      <c r="E26" s="220">
        <f ca="1">IF(B26="","",IF(COUNTBLANK(H26:BG26)=52,SUM('Capacity calculation (hide)'!H114:BG114),52-COUNTBLANK(H26:BG26)))</f>
        <v>52</v>
      </c>
      <c r="F26" s="310">
        <f ca="1">'Capacity calculation (hide)'!BI114</f>
        <v>9.2307692307692299</v>
      </c>
      <c r="H26" s="363"/>
      <c r="I26" s="363"/>
      <c r="J26" s="363"/>
      <c r="K26" s="363"/>
      <c r="L26" s="363"/>
      <c r="M26" s="363"/>
      <c r="N26" s="363"/>
      <c r="O26" s="363"/>
      <c r="P26" s="363"/>
      <c r="Q26" s="363"/>
      <c r="R26" s="363"/>
      <c r="S26" s="363"/>
      <c r="T26" s="363"/>
      <c r="U26" s="363"/>
      <c r="V26" s="363"/>
      <c r="W26" s="363"/>
      <c r="X26" s="363"/>
      <c r="Y26" s="363"/>
      <c r="Z26" s="363"/>
      <c r="AA26" s="363"/>
      <c r="AB26" s="363"/>
      <c r="AC26" s="363"/>
      <c r="AD26" s="363"/>
      <c r="AE26" s="363"/>
      <c r="AF26" s="363"/>
      <c r="AG26" s="363"/>
      <c r="AH26" s="363"/>
      <c r="AI26" s="363"/>
      <c r="AJ26" s="363"/>
      <c r="AK26" s="363"/>
      <c r="AL26" s="363"/>
      <c r="AM26" s="363"/>
      <c r="AN26" s="363"/>
      <c r="AO26" s="363"/>
      <c r="AP26" s="363"/>
      <c r="AQ26" s="363"/>
      <c r="AR26" s="363"/>
      <c r="AS26" s="363"/>
      <c r="AT26" s="363"/>
      <c r="AU26" s="363"/>
      <c r="AV26" s="363"/>
      <c r="AW26" s="363"/>
      <c r="AX26" s="363"/>
      <c r="AY26" s="363"/>
      <c r="AZ26" s="363"/>
      <c r="BA26" s="363"/>
      <c r="BB26" s="363"/>
      <c r="BC26" s="363"/>
      <c r="BD26" s="363"/>
      <c r="BE26" s="363"/>
      <c r="BF26" s="363"/>
      <c r="BG26" s="363"/>
      <c r="BH26" s="129"/>
      <c r="BI26" s="341" t="s">
        <v>1235</v>
      </c>
    </row>
    <row r="27" spans="2:64" hidden="1" x14ac:dyDescent="0.2">
      <c r="B27" s="219">
        <f>IF(Capacity!N20="","",Capacity!N20)</f>
        <v>44331</v>
      </c>
      <c r="C27" s="220">
        <f>IF(B27="","",Capacity!Q20)</f>
        <v>1</v>
      </c>
      <c r="D27" s="309">
        <f>IF(B27="","",Capacity!R20)</f>
        <v>450</v>
      </c>
      <c r="E27" s="220">
        <f ca="1">IF(B27="","",IF(COUNTBLANK(H27:BG27)=52,SUM('Capacity calculation (hide)'!H115:BG115),52-COUNTBLANK(H27:BG27)))</f>
        <v>52</v>
      </c>
      <c r="F27" s="310">
        <f ca="1">'Capacity calculation (hide)'!BI115</f>
        <v>8.6538461538461533</v>
      </c>
      <c r="H27" s="363"/>
      <c r="I27" s="363"/>
      <c r="J27" s="363"/>
      <c r="K27" s="363"/>
      <c r="L27" s="363"/>
      <c r="M27" s="363"/>
      <c r="N27" s="363"/>
      <c r="O27" s="363"/>
      <c r="P27" s="363"/>
      <c r="Q27" s="363"/>
      <c r="R27" s="363"/>
      <c r="S27" s="363"/>
      <c r="T27" s="363"/>
      <c r="U27" s="363"/>
      <c r="V27" s="363"/>
      <c r="W27" s="363"/>
      <c r="X27" s="363"/>
      <c r="Y27" s="363"/>
      <c r="Z27" s="363"/>
      <c r="AA27" s="363"/>
      <c r="AB27" s="363"/>
      <c r="AC27" s="363"/>
      <c r="AD27" s="362"/>
      <c r="AE27" s="362"/>
      <c r="AF27" s="362"/>
      <c r="AG27" s="362"/>
      <c r="AH27" s="362"/>
      <c r="AI27" s="362"/>
      <c r="AJ27" s="362"/>
      <c r="AK27" s="362"/>
      <c r="AL27" s="362"/>
      <c r="AM27" s="362"/>
      <c r="AN27" s="362"/>
      <c r="AO27" s="362"/>
      <c r="AP27" s="362"/>
      <c r="AQ27" s="362"/>
      <c r="AR27" s="362"/>
      <c r="AS27" s="362"/>
      <c r="AT27" s="362"/>
      <c r="AU27" s="362"/>
      <c r="AV27" s="362"/>
      <c r="AW27" s="362"/>
      <c r="AX27" s="362"/>
      <c r="AY27" s="362"/>
      <c r="AZ27" s="362"/>
      <c r="BA27" s="362"/>
      <c r="BB27" s="362"/>
      <c r="BC27" s="362"/>
      <c r="BD27" s="362"/>
      <c r="BE27" s="362"/>
      <c r="BF27" s="362"/>
      <c r="BG27" s="362"/>
      <c r="BI27" s="341" t="s">
        <v>1235</v>
      </c>
    </row>
    <row r="28" spans="2:64" hidden="1" x14ac:dyDescent="0.2">
      <c r="B28" s="219">
        <f>IF(Capacity!N21="","",Capacity!N21)</f>
        <v>44333</v>
      </c>
      <c r="C28" s="220">
        <f>IF(B28="","",Capacity!Q21)</f>
        <v>1</v>
      </c>
      <c r="D28" s="309">
        <f>IF(B28="","",Capacity!R21)</f>
        <v>270</v>
      </c>
      <c r="E28" s="220">
        <f ca="1">IF(B28="","",IF(COUNTBLANK(H28:BG28)=52,SUM('Capacity calculation (hide)'!H116:BG116),52-COUNTBLANK(H28:BG28)))</f>
        <v>52</v>
      </c>
      <c r="F28" s="310">
        <f ca="1">'Capacity calculation (hide)'!BI116</f>
        <v>5.1923076923076925</v>
      </c>
      <c r="H28" s="363"/>
      <c r="I28" s="363"/>
      <c r="J28" s="363"/>
      <c r="K28" s="363"/>
      <c r="L28" s="363"/>
      <c r="M28" s="363"/>
      <c r="N28" s="363"/>
      <c r="O28" s="363"/>
      <c r="P28" s="363"/>
      <c r="Q28" s="363"/>
      <c r="R28" s="363"/>
      <c r="S28" s="363"/>
      <c r="T28" s="363"/>
      <c r="U28" s="363"/>
      <c r="V28" s="363"/>
      <c r="W28" s="363"/>
      <c r="X28" s="363"/>
      <c r="Y28" s="363"/>
      <c r="Z28" s="363"/>
      <c r="AA28" s="363"/>
      <c r="AB28" s="363"/>
      <c r="AC28" s="363"/>
      <c r="AD28" s="362"/>
      <c r="AE28" s="362"/>
      <c r="AF28" s="362"/>
      <c r="AG28" s="362"/>
      <c r="AH28" s="362"/>
      <c r="AI28" s="362"/>
      <c r="AJ28" s="362"/>
      <c r="AK28" s="362"/>
      <c r="AL28" s="362"/>
      <c r="AM28" s="362"/>
      <c r="AN28" s="362"/>
      <c r="AO28" s="362"/>
      <c r="AP28" s="362"/>
      <c r="AQ28" s="362"/>
      <c r="AR28" s="362"/>
      <c r="AS28" s="362"/>
      <c r="AT28" s="362"/>
      <c r="AU28" s="362"/>
      <c r="AV28" s="362"/>
      <c r="AW28" s="362"/>
      <c r="AX28" s="362"/>
      <c r="AY28" s="362"/>
      <c r="AZ28" s="362"/>
      <c r="BA28" s="362"/>
      <c r="BB28" s="362"/>
      <c r="BC28" s="362"/>
      <c r="BD28" s="362"/>
      <c r="BE28" s="362"/>
      <c r="BF28" s="362"/>
      <c r="BG28" s="362"/>
      <c r="BI28" s="341" t="s">
        <v>1235</v>
      </c>
    </row>
    <row r="29" spans="2:64" hidden="1" x14ac:dyDescent="0.2">
      <c r="B29" s="219">
        <f>IF(Capacity!N22="","",Capacity!N22)</f>
        <v>44335</v>
      </c>
      <c r="C29" s="220">
        <f>IF(B29="","",Capacity!Q22)</f>
        <v>1</v>
      </c>
      <c r="D29" s="309">
        <f>IF(B29="","",Capacity!R22)</f>
        <v>180</v>
      </c>
      <c r="E29" s="220">
        <f ca="1">IF(B29="","",IF(COUNTBLANK(H29:BG29)=52,SUM('Capacity calculation (hide)'!H117:BG117),52-COUNTBLANK(H29:BG29)))</f>
        <v>52</v>
      </c>
      <c r="F29" s="310">
        <f ca="1">'Capacity calculation (hide)'!BI117</f>
        <v>3.4615384615384617</v>
      </c>
      <c r="H29" s="363"/>
      <c r="I29" s="363"/>
      <c r="J29" s="363"/>
      <c r="K29" s="363"/>
      <c r="L29" s="363"/>
      <c r="M29" s="363"/>
      <c r="N29" s="363"/>
      <c r="O29" s="363"/>
      <c r="P29" s="363"/>
      <c r="Q29" s="363"/>
      <c r="R29" s="363"/>
      <c r="S29" s="363"/>
      <c r="T29" s="363"/>
      <c r="U29" s="363"/>
      <c r="V29" s="363"/>
      <c r="W29" s="363"/>
      <c r="X29" s="363"/>
      <c r="Y29" s="363"/>
      <c r="Z29" s="363"/>
      <c r="AA29" s="363"/>
      <c r="AB29" s="363"/>
      <c r="AC29" s="363"/>
      <c r="AD29" s="362"/>
      <c r="AE29" s="362"/>
      <c r="AF29" s="362"/>
      <c r="AG29" s="362"/>
      <c r="AH29" s="362"/>
      <c r="AI29" s="362"/>
      <c r="AJ29" s="362"/>
      <c r="AK29" s="362"/>
      <c r="AL29" s="362"/>
      <c r="AM29" s="362"/>
      <c r="AN29" s="362"/>
      <c r="AO29" s="362"/>
      <c r="AP29" s="362"/>
      <c r="AQ29" s="362"/>
      <c r="AR29" s="362"/>
      <c r="AS29" s="362"/>
      <c r="AT29" s="362"/>
      <c r="AU29" s="362"/>
      <c r="AV29" s="362"/>
      <c r="AW29" s="362"/>
      <c r="AX29" s="362"/>
      <c r="AY29" s="362"/>
      <c r="AZ29" s="362"/>
      <c r="BA29" s="362"/>
      <c r="BB29" s="362"/>
      <c r="BC29" s="362"/>
      <c r="BD29" s="362"/>
      <c r="BE29" s="362"/>
      <c r="BF29" s="362"/>
      <c r="BG29" s="362"/>
      <c r="BI29" s="341" t="s">
        <v>1235</v>
      </c>
    </row>
    <row r="30" spans="2:64" hidden="1" x14ac:dyDescent="0.2">
      <c r="B30" s="219">
        <f>IF(Capacity!N23="","",Capacity!N23)</f>
        <v>44337</v>
      </c>
      <c r="C30" s="220">
        <f>IF(B30="","",Capacity!Q23)</f>
        <v>1</v>
      </c>
      <c r="D30" s="309">
        <f>IF(B30="","",Capacity!R23)</f>
        <v>270</v>
      </c>
      <c r="E30" s="220">
        <f ca="1">IF(B30="","",IF(COUNTBLANK(H30:BG30)=52,SUM('Capacity calculation (hide)'!H118:BG118),52-COUNTBLANK(H30:BG30)))</f>
        <v>52</v>
      </c>
      <c r="F30" s="310">
        <f ca="1">'Capacity calculation (hide)'!BI118</f>
        <v>5.1923076923076925</v>
      </c>
      <c r="H30" s="363"/>
      <c r="I30" s="363"/>
      <c r="J30" s="363"/>
      <c r="K30" s="363"/>
      <c r="L30" s="363"/>
      <c r="M30" s="363"/>
      <c r="N30" s="363"/>
      <c r="O30" s="363"/>
      <c r="P30" s="363"/>
      <c r="Q30" s="363"/>
      <c r="R30" s="363"/>
      <c r="S30" s="363"/>
      <c r="T30" s="363"/>
      <c r="U30" s="363"/>
      <c r="V30" s="363"/>
      <c r="W30" s="363"/>
      <c r="X30" s="363"/>
      <c r="Y30" s="363"/>
      <c r="Z30" s="363"/>
      <c r="AA30" s="363"/>
      <c r="AB30" s="363"/>
      <c r="AC30" s="363"/>
      <c r="AD30" s="362"/>
      <c r="AE30" s="362"/>
      <c r="AF30" s="362"/>
      <c r="AG30" s="362"/>
      <c r="AH30" s="362"/>
      <c r="AI30" s="362"/>
      <c r="AJ30" s="362"/>
      <c r="AK30" s="362"/>
      <c r="AL30" s="362"/>
      <c r="AM30" s="362"/>
      <c r="AN30" s="362"/>
      <c r="AO30" s="362"/>
      <c r="AP30" s="362"/>
      <c r="AQ30" s="362"/>
      <c r="AR30" s="362"/>
      <c r="AS30" s="362"/>
      <c r="AT30" s="362"/>
      <c r="AU30" s="362"/>
      <c r="AV30" s="362"/>
      <c r="AW30" s="362"/>
      <c r="AX30" s="362"/>
      <c r="AY30" s="362"/>
      <c r="AZ30" s="362"/>
      <c r="BA30" s="362"/>
      <c r="BB30" s="362"/>
      <c r="BC30" s="362"/>
      <c r="BD30" s="362"/>
      <c r="BE30" s="362"/>
      <c r="BF30" s="362"/>
      <c r="BG30" s="362"/>
      <c r="BI30" s="341" t="s">
        <v>1235</v>
      </c>
    </row>
    <row r="31" spans="2:64" hidden="1" x14ac:dyDescent="0.2">
      <c r="B31" s="219">
        <f>IF(Capacity!N24="","",Capacity!N24)</f>
        <v>44338</v>
      </c>
      <c r="C31" s="220">
        <f>IF(B31="","",Capacity!Q24)</f>
        <v>1</v>
      </c>
      <c r="D31" s="309">
        <f>IF(B31="","",Capacity!R24)</f>
        <v>390</v>
      </c>
      <c r="E31" s="220">
        <f ca="1">IF(B31="","",IF(COUNTBLANK(H31:BG31)=52,SUM('Capacity calculation (hide)'!H119:BG119),52-COUNTBLANK(H31:BG31)))</f>
        <v>52</v>
      </c>
      <c r="F31" s="310">
        <f ca="1">'Capacity calculation (hide)'!BI119</f>
        <v>7.5</v>
      </c>
      <c r="H31" s="363"/>
      <c r="I31" s="363"/>
      <c r="J31" s="363"/>
      <c r="K31" s="363"/>
      <c r="L31" s="363"/>
      <c r="M31" s="363"/>
      <c r="N31" s="363"/>
      <c r="O31" s="363"/>
      <c r="P31" s="363"/>
      <c r="Q31" s="363"/>
      <c r="R31" s="363"/>
      <c r="S31" s="363"/>
      <c r="T31" s="363"/>
      <c r="U31" s="363"/>
      <c r="V31" s="363"/>
      <c r="W31" s="363"/>
      <c r="X31" s="363"/>
      <c r="Y31" s="363"/>
      <c r="Z31" s="363"/>
      <c r="AA31" s="363"/>
      <c r="AB31" s="363"/>
      <c r="AC31" s="363"/>
      <c r="AD31" s="362"/>
      <c r="AE31" s="362"/>
      <c r="AF31" s="362"/>
      <c r="AG31" s="362"/>
      <c r="AH31" s="362"/>
      <c r="AI31" s="362"/>
      <c r="AJ31" s="362"/>
      <c r="AK31" s="362"/>
      <c r="AL31" s="362"/>
      <c r="AM31" s="362"/>
      <c r="AN31" s="362"/>
      <c r="AO31" s="362"/>
      <c r="AP31" s="362"/>
      <c r="AQ31" s="362"/>
      <c r="AR31" s="362"/>
      <c r="AS31" s="362"/>
      <c r="AT31" s="362"/>
      <c r="AU31" s="362"/>
      <c r="AV31" s="362"/>
      <c r="AW31" s="362"/>
      <c r="AX31" s="362"/>
      <c r="AY31" s="362"/>
      <c r="AZ31" s="362"/>
      <c r="BA31" s="362"/>
      <c r="BB31" s="362"/>
      <c r="BC31" s="362"/>
      <c r="BD31" s="362"/>
      <c r="BE31" s="362"/>
      <c r="BF31" s="362"/>
      <c r="BG31" s="362"/>
      <c r="BI31" s="341" t="s">
        <v>1235</v>
      </c>
    </row>
    <row r="32" spans="2:64" hidden="1" x14ac:dyDescent="0.2">
      <c r="B32" s="219">
        <f>IF(Capacity!N25="","",Capacity!N25)</f>
        <v>44341</v>
      </c>
      <c r="C32" s="220">
        <f>IF(B32="","",Capacity!Q25)</f>
        <v>1</v>
      </c>
      <c r="D32" s="309">
        <f>IF(B32="","",Capacity!R25)</f>
        <v>240</v>
      </c>
      <c r="E32" s="220">
        <f ca="1">IF(B32="","",IF(COUNTBLANK(H32:BG32)=52,SUM('Capacity calculation (hide)'!H120:BG120),52-COUNTBLANK(H32:BG32)))</f>
        <v>52</v>
      </c>
      <c r="F32" s="310">
        <f ca="1">'Capacity calculation (hide)'!BI120</f>
        <v>4.615384615384615</v>
      </c>
      <c r="H32" s="363"/>
      <c r="I32" s="363"/>
      <c r="J32" s="363"/>
      <c r="K32" s="363"/>
      <c r="L32" s="363"/>
      <c r="M32" s="363"/>
      <c r="N32" s="363"/>
      <c r="O32" s="363"/>
      <c r="P32" s="363"/>
      <c r="Q32" s="363"/>
      <c r="R32" s="363"/>
      <c r="S32" s="363"/>
      <c r="T32" s="363"/>
      <c r="U32" s="363"/>
      <c r="V32" s="363"/>
      <c r="W32" s="363"/>
      <c r="X32" s="363"/>
      <c r="Y32" s="363"/>
      <c r="Z32" s="363"/>
      <c r="AA32" s="363"/>
      <c r="AB32" s="363"/>
      <c r="AC32" s="363"/>
      <c r="AD32" s="362"/>
      <c r="AE32" s="362"/>
      <c r="AF32" s="362"/>
      <c r="AG32" s="362"/>
      <c r="AH32" s="362"/>
      <c r="AI32" s="362"/>
      <c r="AJ32" s="362"/>
      <c r="AK32" s="362"/>
      <c r="AL32" s="362"/>
      <c r="AM32" s="362"/>
      <c r="AN32" s="362"/>
      <c r="AO32" s="362"/>
      <c r="AP32" s="362"/>
      <c r="AQ32" s="362"/>
      <c r="AR32" s="362"/>
      <c r="AS32" s="362"/>
      <c r="AT32" s="362"/>
      <c r="AU32" s="362"/>
      <c r="AV32" s="362"/>
      <c r="AW32" s="362"/>
      <c r="AX32" s="362"/>
      <c r="AY32" s="362"/>
      <c r="AZ32" s="362"/>
      <c r="BA32" s="362"/>
      <c r="BB32" s="362"/>
      <c r="BC32" s="362"/>
      <c r="BD32" s="362"/>
      <c r="BE32" s="362"/>
      <c r="BF32" s="362"/>
      <c r="BG32" s="362"/>
      <c r="BI32" s="341" t="s">
        <v>1235</v>
      </c>
    </row>
    <row r="33" spans="2:61" hidden="1" x14ac:dyDescent="0.2">
      <c r="B33" s="219">
        <f>IF(Capacity!N26="","",Capacity!N26)</f>
        <v>44349</v>
      </c>
      <c r="C33" s="220">
        <f>IF(B33="","",Capacity!Q26)</f>
        <v>1</v>
      </c>
      <c r="D33" s="309">
        <f>IF(B33="","",Capacity!R26)</f>
        <v>240</v>
      </c>
      <c r="E33" s="220">
        <f ca="1">IF(B33="","",IF(COUNTBLANK(H33:BG33)=52,SUM('Capacity calculation (hide)'!H121:BG121),52-COUNTBLANK(H33:BG33)))</f>
        <v>52</v>
      </c>
      <c r="F33" s="310">
        <f ca="1">'Capacity calculation (hide)'!BI121</f>
        <v>4.615384615384615</v>
      </c>
      <c r="H33" s="363"/>
      <c r="I33" s="363"/>
      <c r="J33" s="363"/>
      <c r="K33" s="363"/>
      <c r="L33" s="363"/>
      <c r="M33" s="363"/>
      <c r="N33" s="363"/>
      <c r="O33" s="363"/>
      <c r="P33" s="363"/>
      <c r="Q33" s="363"/>
      <c r="R33" s="363"/>
      <c r="S33" s="363"/>
      <c r="T33" s="363"/>
      <c r="U33" s="363"/>
      <c r="V33" s="363"/>
      <c r="W33" s="363"/>
      <c r="X33" s="363"/>
      <c r="Y33" s="363"/>
      <c r="Z33" s="363"/>
      <c r="AA33" s="363"/>
      <c r="AB33" s="363"/>
      <c r="AC33" s="363"/>
      <c r="AD33" s="362"/>
      <c r="AE33" s="362"/>
      <c r="AF33" s="362"/>
      <c r="AG33" s="362"/>
      <c r="AH33" s="362"/>
      <c r="AI33" s="362"/>
      <c r="AJ33" s="362"/>
      <c r="AK33" s="362"/>
      <c r="AL33" s="362"/>
      <c r="AM33" s="362"/>
      <c r="AN33" s="362"/>
      <c r="AO33" s="362"/>
      <c r="AP33" s="362"/>
      <c r="AQ33" s="362"/>
      <c r="AR33" s="362"/>
      <c r="AS33" s="362"/>
      <c r="AT33" s="362"/>
      <c r="AU33" s="362"/>
      <c r="AV33" s="362"/>
      <c r="AW33" s="362"/>
      <c r="AX33" s="362"/>
      <c r="AY33" s="362"/>
      <c r="AZ33" s="362"/>
      <c r="BA33" s="362"/>
      <c r="BB33" s="362"/>
      <c r="BC33" s="362"/>
      <c r="BD33" s="362"/>
      <c r="BE33" s="362"/>
      <c r="BF33" s="362"/>
      <c r="BG33" s="362"/>
      <c r="BI33" s="341" t="s">
        <v>1235</v>
      </c>
    </row>
    <row r="34" spans="2:61" hidden="1" x14ac:dyDescent="0.2">
      <c r="B34" s="219">
        <f>IF(Capacity!N27="","",Capacity!N27)</f>
        <v>44356</v>
      </c>
      <c r="C34" s="220">
        <f>IF(B34="","",Capacity!Q27)</f>
        <v>1</v>
      </c>
      <c r="D34" s="309">
        <f>IF(B34="","",Capacity!R27)</f>
        <v>240</v>
      </c>
      <c r="E34" s="220">
        <f ca="1">IF(B34="","",IF(COUNTBLANK(H34:BG34)=52,SUM('Capacity calculation (hide)'!H122:BG122),52-COUNTBLANK(H34:BG34)))</f>
        <v>52</v>
      </c>
      <c r="F34" s="310">
        <f ca="1">'Capacity calculation (hide)'!BI122</f>
        <v>4.615384615384615</v>
      </c>
      <c r="H34" s="362"/>
      <c r="I34" s="362"/>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c r="AZ34" s="366"/>
      <c r="BA34" s="366"/>
      <c r="BB34" s="366"/>
      <c r="BC34" s="366"/>
      <c r="BD34" s="366"/>
      <c r="BE34" s="366"/>
      <c r="BF34" s="366"/>
      <c r="BG34" s="362"/>
      <c r="BI34" s="341" t="s">
        <v>1235</v>
      </c>
    </row>
    <row r="35" spans="2:61" hidden="1" x14ac:dyDescent="0.2">
      <c r="B35" s="219">
        <f>IF(Capacity!N28="","",Capacity!N28)</f>
        <v>44357</v>
      </c>
      <c r="C35" s="220">
        <f>IF(B35="","",Capacity!Q28)</f>
        <v>1</v>
      </c>
      <c r="D35" s="309">
        <f>IF(B35="","",Capacity!R28)</f>
        <v>240</v>
      </c>
      <c r="E35" s="220">
        <f ca="1">IF(B35="","",IF(COUNTBLANK(H35:BG35)=52,SUM('Capacity calculation (hide)'!H123:BG123),52-COUNTBLANK(H35:BG35)))</f>
        <v>52</v>
      </c>
      <c r="F35" s="310">
        <f ca="1">'Capacity calculation (hide)'!BI123</f>
        <v>4.615384615384615</v>
      </c>
      <c r="H35" s="363"/>
      <c r="I35" s="363"/>
      <c r="J35" s="363"/>
      <c r="K35" s="363"/>
      <c r="L35" s="363"/>
      <c r="M35" s="363"/>
      <c r="N35" s="363"/>
      <c r="O35" s="363"/>
      <c r="P35" s="363"/>
      <c r="Q35" s="363"/>
      <c r="R35" s="363"/>
      <c r="S35" s="363"/>
      <c r="T35" s="363"/>
      <c r="U35" s="363"/>
      <c r="V35" s="363"/>
      <c r="W35" s="363"/>
      <c r="X35" s="363"/>
      <c r="Y35" s="363"/>
      <c r="Z35" s="363"/>
      <c r="AA35" s="363"/>
      <c r="AB35" s="363"/>
      <c r="AC35" s="363"/>
      <c r="AD35" s="363"/>
      <c r="AE35" s="363"/>
      <c r="AF35" s="363"/>
      <c r="AG35" s="363"/>
      <c r="AH35" s="363"/>
      <c r="AI35" s="363"/>
      <c r="AJ35" s="363"/>
      <c r="AK35" s="363"/>
      <c r="AL35" s="363"/>
      <c r="AM35" s="363"/>
      <c r="AN35" s="363"/>
      <c r="AO35" s="363"/>
      <c r="AP35" s="363"/>
      <c r="AQ35" s="363"/>
      <c r="AR35" s="363"/>
      <c r="AS35" s="363"/>
      <c r="AT35" s="363"/>
      <c r="AU35" s="363"/>
      <c r="AV35" s="363"/>
      <c r="AW35" s="363"/>
      <c r="AX35" s="363"/>
      <c r="AY35" s="363"/>
      <c r="AZ35" s="363"/>
      <c r="BA35" s="363"/>
      <c r="BB35" s="363"/>
      <c r="BC35" s="363"/>
      <c r="BD35" s="363"/>
      <c r="BE35" s="363"/>
      <c r="BF35" s="363"/>
      <c r="BG35" s="363"/>
      <c r="BI35" s="341" t="s">
        <v>1235</v>
      </c>
    </row>
    <row r="36" spans="2:61" hidden="1" x14ac:dyDescent="0.2">
      <c r="B36" s="219">
        <f>IF(Capacity!N29="","",Capacity!N29)</f>
        <v>44359</v>
      </c>
      <c r="C36" s="220">
        <f>IF(B36="","",Capacity!Q29)</f>
        <v>1</v>
      </c>
      <c r="D36" s="309">
        <f>IF(B36="","",Capacity!R29)</f>
        <v>720</v>
      </c>
      <c r="E36" s="220">
        <f ca="1">IF(B36="","",IF(COUNTBLANK(H36:BG36)=52,SUM('Capacity calculation (hide)'!H124:BG124),52-COUNTBLANK(H36:BG36)))</f>
        <v>52</v>
      </c>
      <c r="F36" s="310">
        <f ca="1">'Capacity calculation (hide)'!BI124</f>
        <v>13.846153846153847</v>
      </c>
      <c r="H36" s="363"/>
      <c r="I36" s="363"/>
      <c r="J36" s="363"/>
      <c r="K36" s="363"/>
      <c r="L36" s="363"/>
      <c r="M36" s="363"/>
      <c r="N36" s="363"/>
      <c r="O36" s="363"/>
      <c r="P36" s="363"/>
      <c r="Q36" s="363"/>
      <c r="R36" s="363"/>
      <c r="S36" s="363"/>
      <c r="T36" s="363"/>
      <c r="U36" s="363"/>
      <c r="V36" s="363"/>
      <c r="W36" s="363"/>
      <c r="X36" s="363"/>
      <c r="Y36" s="363"/>
      <c r="Z36" s="363"/>
      <c r="AA36" s="363"/>
      <c r="AB36" s="363"/>
      <c r="AC36" s="363"/>
      <c r="AD36" s="363"/>
      <c r="AE36" s="363"/>
      <c r="AF36" s="363"/>
      <c r="AG36" s="363"/>
      <c r="AH36" s="363"/>
      <c r="AI36" s="363"/>
      <c r="AJ36" s="363"/>
      <c r="AK36" s="363"/>
      <c r="AL36" s="363"/>
      <c r="AM36" s="363"/>
      <c r="AN36" s="363"/>
      <c r="AO36" s="363"/>
      <c r="AP36" s="363"/>
      <c r="AQ36" s="363"/>
      <c r="AR36" s="363"/>
      <c r="AS36" s="363"/>
      <c r="AT36" s="363"/>
      <c r="AU36" s="363"/>
      <c r="AV36" s="363"/>
      <c r="AW36" s="363"/>
      <c r="AX36" s="363"/>
      <c r="AY36" s="363"/>
      <c r="AZ36" s="363"/>
      <c r="BA36" s="363"/>
      <c r="BB36" s="363"/>
      <c r="BC36" s="363"/>
      <c r="BD36" s="363"/>
      <c r="BE36" s="363"/>
      <c r="BF36" s="363"/>
      <c r="BG36" s="363"/>
      <c r="BI36" s="341" t="s">
        <v>1235</v>
      </c>
    </row>
    <row r="37" spans="2:61" hidden="1" x14ac:dyDescent="0.2">
      <c r="B37" s="219">
        <f>IF(Capacity!N30="","",Capacity!N30)</f>
        <v>44360</v>
      </c>
      <c r="C37" s="220">
        <f>IF(B37="","",Capacity!Q30)</f>
        <v>1</v>
      </c>
      <c r="D37" s="309">
        <f>IF(B37="","",Capacity!R30)</f>
        <v>720</v>
      </c>
      <c r="E37" s="220">
        <f ca="1">IF(B37="","",IF(COUNTBLANK(H37:BG37)=52,SUM('Capacity calculation (hide)'!H125:BG125),52-COUNTBLANK(H37:BG37)))</f>
        <v>52</v>
      </c>
      <c r="F37" s="310">
        <f ca="1">'Capacity calculation (hide)'!BI125</f>
        <v>13.846153846153847</v>
      </c>
      <c r="H37" s="362"/>
      <c r="I37" s="362"/>
      <c r="J37" s="362"/>
      <c r="K37" s="362"/>
      <c r="L37" s="362"/>
      <c r="M37" s="362"/>
      <c r="N37" s="362"/>
      <c r="O37" s="362"/>
      <c r="P37" s="362"/>
      <c r="Q37" s="362"/>
      <c r="R37" s="362"/>
      <c r="S37" s="362"/>
      <c r="T37" s="362"/>
      <c r="U37" s="362"/>
      <c r="V37" s="362"/>
      <c r="W37" s="362"/>
      <c r="X37" s="362"/>
      <c r="Y37" s="362"/>
      <c r="Z37" s="362"/>
      <c r="AA37" s="362"/>
      <c r="AB37" s="362"/>
      <c r="AC37" s="362"/>
      <c r="AD37" s="362"/>
      <c r="AE37" s="362"/>
      <c r="AF37" s="362"/>
      <c r="AG37" s="362"/>
      <c r="AH37" s="362"/>
      <c r="AI37" s="362"/>
      <c r="AJ37" s="362"/>
      <c r="AK37" s="362"/>
      <c r="AL37" s="362"/>
      <c r="AM37" s="362"/>
      <c r="AN37" s="362"/>
      <c r="AO37" s="362"/>
      <c r="AP37" s="362"/>
      <c r="AQ37" s="362"/>
      <c r="AR37" s="362"/>
      <c r="AS37" s="362"/>
      <c r="AT37" s="362"/>
      <c r="AU37" s="362"/>
      <c r="AV37" s="362"/>
      <c r="AW37" s="362"/>
      <c r="AX37" s="362"/>
      <c r="AY37" s="362"/>
      <c r="AZ37" s="362"/>
      <c r="BA37" s="362"/>
      <c r="BB37" s="362"/>
      <c r="BC37" s="362"/>
      <c r="BD37" s="362"/>
      <c r="BE37" s="362"/>
      <c r="BF37" s="362"/>
      <c r="BG37" s="362"/>
      <c r="BI37" s="341" t="s">
        <v>1235</v>
      </c>
    </row>
    <row r="38" spans="2:61" hidden="1" x14ac:dyDescent="0.2">
      <c r="B38" s="219">
        <f>IF(Capacity!N31="","",Capacity!N31)</f>
        <v>44362</v>
      </c>
      <c r="C38" s="220">
        <f>IF(B38="","",Capacity!Q31)</f>
        <v>1</v>
      </c>
      <c r="D38" s="309">
        <f>IF(B38="","",Capacity!R31)</f>
        <v>240</v>
      </c>
      <c r="E38" s="220">
        <f ca="1">IF(B38="","",IF(COUNTBLANK(H38:BG38)=52,SUM('Capacity calculation (hide)'!H126:BG126),52-COUNTBLANK(H38:BG38)))</f>
        <v>52</v>
      </c>
      <c r="F38" s="310">
        <f ca="1">'Capacity calculation (hide)'!BI126</f>
        <v>4.615384615384615</v>
      </c>
      <c r="H38" s="362"/>
      <c r="I38" s="362"/>
      <c r="J38" s="362"/>
      <c r="K38" s="362"/>
      <c r="L38" s="362"/>
      <c r="M38" s="362"/>
      <c r="N38" s="362"/>
      <c r="O38" s="362"/>
      <c r="P38" s="362"/>
      <c r="Q38" s="362"/>
      <c r="R38" s="362"/>
      <c r="S38" s="362"/>
      <c r="T38" s="362"/>
      <c r="U38" s="362"/>
      <c r="V38" s="362"/>
      <c r="W38" s="362"/>
      <c r="X38" s="362"/>
      <c r="Y38" s="362"/>
      <c r="Z38" s="362"/>
      <c r="AA38" s="362"/>
      <c r="AB38" s="362"/>
      <c r="AC38" s="362"/>
      <c r="AD38" s="362"/>
      <c r="AE38" s="362"/>
      <c r="AF38" s="362"/>
      <c r="AG38" s="362"/>
      <c r="AH38" s="362"/>
      <c r="AI38" s="362"/>
      <c r="AJ38" s="362"/>
      <c r="AK38" s="362"/>
      <c r="AL38" s="362"/>
      <c r="AM38" s="362"/>
      <c r="AN38" s="362"/>
      <c r="AO38" s="362"/>
      <c r="AP38" s="362"/>
      <c r="AQ38" s="362"/>
      <c r="AR38" s="362"/>
      <c r="AS38" s="362"/>
      <c r="AT38" s="362"/>
      <c r="AU38" s="362"/>
      <c r="AV38" s="362"/>
      <c r="AW38" s="362"/>
      <c r="AX38" s="362"/>
      <c r="AY38" s="362"/>
      <c r="AZ38" s="362"/>
      <c r="BA38" s="362"/>
      <c r="BB38" s="362"/>
      <c r="BC38" s="362"/>
      <c r="BD38" s="362"/>
      <c r="BE38" s="362"/>
      <c r="BF38" s="362"/>
      <c r="BG38" s="362"/>
      <c r="BI38" s="341" t="s">
        <v>1235</v>
      </c>
    </row>
    <row r="39" spans="2:61" hidden="1" x14ac:dyDescent="0.2">
      <c r="B39" s="219">
        <f>IF(Capacity!N32="","",Capacity!N32)</f>
        <v>44364</v>
      </c>
      <c r="C39" s="220">
        <f>IF(B39="","",Capacity!Q32)</f>
        <v>1</v>
      </c>
      <c r="D39" s="309">
        <f>IF(B39="","",Capacity!R32)</f>
        <v>240</v>
      </c>
      <c r="E39" s="220">
        <f ca="1">IF(B39="","",IF(COUNTBLANK(H39:BG39)=52,SUM('Capacity calculation (hide)'!H127:BG127),52-COUNTBLANK(H39:BG39)))</f>
        <v>52</v>
      </c>
      <c r="F39" s="310">
        <f ca="1">'Capacity calculation (hide)'!BI127</f>
        <v>4.615384615384615</v>
      </c>
      <c r="H39" s="362"/>
      <c r="I39" s="362"/>
      <c r="J39" s="362"/>
      <c r="K39" s="362"/>
      <c r="L39" s="362"/>
      <c r="M39" s="362"/>
      <c r="N39" s="362"/>
      <c r="O39" s="362"/>
      <c r="P39" s="362"/>
      <c r="Q39" s="362"/>
      <c r="R39" s="362"/>
      <c r="S39" s="362"/>
      <c r="T39" s="362"/>
      <c r="U39" s="362"/>
      <c r="V39" s="362"/>
      <c r="W39" s="362"/>
      <c r="X39" s="362"/>
      <c r="Y39" s="362"/>
      <c r="Z39" s="362"/>
      <c r="AA39" s="362"/>
      <c r="AB39" s="362"/>
      <c r="AC39" s="362"/>
      <c r="AD39" s="362"/>
      <c r="AE39" s="362"/>
      <c r="AF39" s="362"/>
      <c r="AG39" s="362"/>
      <c r="AH39" s="362"/>
      <c r="AI39" s="362"/>
      <c r="AJ39" s="362"/>
      <c r="AK39" s="362"/>
      <c r="AL39" s="362"/>
      <c r="AM39" s="362"/>
      <c r="AN39" s="362"/>
      <c r="AO39" s="362"/>
      <c r="AP39" s="362"/>
      <c r="AQ39" s="362"/>
      <c r="AR39" s="362"/>
      <c r="AS39" s="362"/>
      <c r="AT39" s="362"/>
      <c r="AU39" s="362"/>
      <c r="AV39" s="362"/>
      <c r="AW39" s="362"/>
      <c r="AX39" s="362"/>
      <c r="AY39" s="362"/>
      <c r="AZ39" s="362"/>
      <c r="BA39" s="362"/>
      <c r="BB39" s="362"/>
      <c r="BC39" s="362"/>
      <c r="BD39" s="362"/>
      <c r="BE39" s="362"/>
      <c r="BF39" s="362"/>
      <c r="BG39" s="362"/>
      <c r="BI39" s="341" t="s">
        <v>1235</v>
      </c>
    </row>
    <row r="40" spans="2:61" hidden="1" x14ac:dyDescent="0.2">
      <c r="B40" s="219">
        <f>IF(Capacity!N33="","",Capacity!N33)</f>
        <v>44368</v>
      </c>
      <c r="C40" s="220">
        <f>IF(B40="","",Capacity!Q33)</f>
        <v>1</v>
      </c>
      <c r="D40" s="309">
        <f>IF(B40="","",Capacity!R33)</f>
        <v>240</v>
      </c>
      <c r="E40" s="220">
        <f ca="1">IF(B40="","",IF(COUNTBLANK(H40:BG40)=52,SUM('Capacity calculation (hide)'!H128:BG128),52-COUNTBLANK(H40:BG40)))</f>
        <v>52</v>
      </c>
      <c r="F40" s="310">
        <f ca="1">'Capacity calculation (hide)'!BI128</f>
        <v>4.615384615384615</v>
      </c>
      <c r="H40" s="362"/>
      <c r="I40" s="362"/>
      <c r="J40" s="362"/>
      <c r="K40" s="362"/>
      <c r="L40" s="362"/>
      <c r="M40" s="362"/>
      <c r="N40" s="362"/>
      <c r="O40" s="362"/>
      <c r="P40" s="362"/>
      <c r="Q40" s="362"/>
      <c r="R40" s="362"/>
      <c r="S40" s="362"/>
      <c r="T40" s="362"/>
      <c r="U40" s="362"/>
      <c r="V40" s="362"/>
      <c r="W40" s="362"/>
      <c r="X40" s="362"/>
      <c r="Y40" s="362"/>
      <c r="Z40" s="362"/>
      <c r="AA40" s="362"/>
      <c r="AB40" s="362"/>
      <c r="AC40" s="362"/>
      <c r="AD40" s="362"/>
      <c r="AE40" s="362"/>
      <c r="AF40" s="362"/>
      <c r="AG40" s="362"/>
      <c r="AH40" s="362"/>
      <c r="AI40" s="362"/>
      <c r="AJ40" s="362"/>
      <c r="AK40" s="362"/>
      <c r="AL40" s="362"/>
      <c r="AM40" s="362"/>
      <c r="AN40" s="362"/>
      <c r="AO40" s="362"/>
      <c r="AP40" s="362"/>
      <c r="AQ40" s="362"/>
      <c r="AR40" s="362"/>
      <c r="AS40" s="362"/>
      <c r="AT40" s="362"/>
      <c r="AU40" s="362"/>
      <c r="AV40" s="362"/>
      <c r="AW40" s="362"/>
      <c r="AX40" s="362"/>
      <c r="AY40" s="362"/>
      <c r="AZ40" s="362"/>
      <c r="BA40" s="362"/>
      <c r="BB40" s="362"/>
      <c r="BC40" s="362"/>
      <c r="BD40" s="362"/>
      <c r="BE40" s="362"/>
      <c r="BF40" s="362"/>
      <c r="BG40" s="362"/>
      <c r="BI40" s="341" t="s">
        <v>1235</v>
      </c>
    </row>
    <row r="41" spans="2:61" hidden="1" x14ac:dyDescent="0.2">
      <c r="B41" s="219">
        <f>IF(Capacity!N34="","",Capacity!N34)</f>
        <v>44370</v>
      </c>
      <c r="C41" s="220">
        <f>IF(B41="","",Capacity!Q34)</f>
        <v>1</v>
      </c>
      <c r="D41" s="309">
        <f>IF(B41="","",Capacity!R34)</f>
        <v>270</v>
      </c>
      <c r="E41" s="220">
        <f ca="1">IF(B41="","",IF(COUNTBLANK(H41:BG41)=52,SUM('Capacity calculation (hide)'!H129:BG129),52-COUNTBLANK(H41:BG41)))</f>
        <v>52</v>
      </c>
      <c r="F41" s="310">
        <f ca="1">'Capacity calculation (hide)'!BI129</f>
        <v>5.1923076923076925</v>
      </c>
      <c r="H41" s="362"/>
      <c r="I41" s="362"/>
      <c r="J41" s="362"/>
      <c r="K41" s="362"/>
      <c r="L41" s="362"/>
      <c r="M41" s="362"/>
      <c r="N41" s="362"/>
      <c r="O41" s="362"/>
      <c r="P41" s="362"/>
      <c r="Q41" s="362"/>
      <c r="R41" s="362"/>
      <c r="S41" s="362"/>
      <c r="T41" s="362"/>
      <c r="U41" s="362"/>
      <c r="V41" s="362"/>
      <c r="W41" s="362"/>
      <c r="X41" s="362"/>
      <c r="Y41" s="362"/>
      <c r="Z41" s="362"/>
      <c r="AA41" s="362"/>
      <c r="AB41" s="362"/>
      <c r="AC41" s="362"/>
      <c r="AD41" s="362"/>
      <c r="AE41" s="362"/>
      <c r="AF41" s="362"/>
      <c r="AG41" s="362"/>
      <c r="AH41" s="362"/>
      <c r="AI41" s="362"/>
      <c r="AJ41" s="362"/>
      <c r="AK41" s="362"/>
      <c r="AL41" s="362"/>
      <c r="AM41" s="362"/>
      <c r="AN41" s="362"/>
      <c r="AO41" s="362"/>
      <c r="AP41" s="362"/>
      <c r="AQ41" s="362"/>
      <c r="AR41" s="362"/>
      <c r="AS41" s="362"/>
      <c r="AT41" s="362"/>
      <c r="AU41" s="362"/>
      <c r="AV41" s="362"/>
      <c r="AW41" s="362"/>
      <c r="AX41" s="362"/>
      <c r="AY41" s="362"/>
      <c r="AZ41" s="362"/>
      <c r="BA41" s="362"/>
      <c r="BB41" s="362"/>
      <c r="BC41" s="362"/>
      <c r="BD41" s="362"/>
      <c r="BE41" s="362"/>
      <c r="BF41" s="362"/>
      <c r="BG41" s="362"/>
      <c r="BI41" s="341" t="s">
        <v>1235</v>
      </c>
    </row>
    <row r="42" spans="2:61" hidden="1" x14ac:dyDescent="0.2">
      <c r="B42" s="219">
        <f>IF(Capacity!N35="","",Capacity!N35)</f>
        <v>44371</v>
      </c>
      <c r="C42" s="220">
        <f>IF(B42="","",Capacity!Q35)</f>
        <v>1</v>
      </c>
      <c r="D42" s="309">
        <f>IF(B42="","",Capacity!R35)</f>
        <v>360</v>
      </c>
      <c r="E42" s="220">
        <f ca="1">IF(B42="","",IF(COUNTBLANK(H42:BG42)=52,SUM('Capacity calculation (hide)'!H130:BG130),52-COUNTBLANK(H42:BG42)))</f>
        <v>52</v>
      </c>
      <c r="F42" s="310">
        <f ca="1">'Capacity calculation (hide)'!BI130</f>
        <v>6.9230769230769234</v>
      </c>
      <c r="H42" s="362"/>
      <c r="I42" s="362"/>
      <c r="J42" s="362"/>
      <c r="K42" s="362"/>
      <c r="L42" s="362"/>
      <c r="M42" s="362"/>
      <c r="N42" s="362"/>
      <c r="O42" s="362"/>
      <c r="P42" s="362"/>
      <c r="Q42" s="362"/>
      <c r="R42" s="362"/>
      <c r="S42" s="362"/>
      <c r="T42" s="362"/>
      <c r="U42" s="362"/>
      <c r="V42" s="362"/>
      <c r="W42" s="362"/>
      <c r="X42" s="362"/>
      <c r="Y42" s="362"/>
      <c r="Z42" s="362"/>
      <c r="AA42" s="362"/>
      <c r="AB42" s="362"/>
      <c r="AC42" s="362"/>
      <c r="AD42" s="362"/>
      <c r="AE42" s="362"/>
      <c r="AF42" s="362"/>
      <c r="AG42" s="362"/>
      <c r="AH42" s="362"/>
      <c r="AI42" s="362"/>
      <c r="AJ42" s="362"/>
      <c r="AK42" s="362"/>
      <c r="AL42" s="362"/>
      <c r="AM42" s="362"/>
      <c r="AN42" s="362"/>
      <c r="AO42" s="362"/>
      <c r="AP42" s="362"/>
      <c r="AQ42" s="362"/>
      <c r="AR42" s="362"/>
      <c r="AS42" s="362"/>
      <c r="AT42" s="362"/>
      <c r="AU42" s="362"/>
      <c r="AV42" s="362"/>
      <c r="AW42" s="362"/>
      <c r="AX42" s="362"/>
      <c r="AY42" s="362"/>
      <c r="AZ42" s="362"/>
      <c r="BA42" s="362"/>
      <c r="BB42" s="362"/>
      <c r="BC42" s="362"/>
      <c r="BD42" s="362"/>
      <c r="BE42" s="362"/>
      <c r="BF42" s="362"/>
      <c r="BG42" s="362"/>
      <c r="BI42" s="341" t="s">
        <v>1235</v>
      </c>
    </row>
    <row r="43" spans="2:61" hidden="1" x14ac:dyDescent="0.2">
      <c r="B43" s="219">
        <f>IF(Capacity!N36="","",Capacity!N36)</f>
        <v>44371</v>
      </c>
      <c r="C43" s="220">
        <f>IF(B43="","",Capacity!Q36)</f>
        <v>1</v>
      </c>
      <c r="D43" s="309">
        <f>IF(B43="","",Capacity!R36)</f>
        <v>270</v>
      </c>
      <c r="E43" s="220">
        <f ca="1">IF(B43="","",IF(COUNTBLANK(H43:BG43)=52,SUM('Capacity calculation (hide)'!H131:BG131),52-COUNTBLANK(H43:BG43)))</f>
        <v>52</v>
      </c>
      <c r="F43" s="310">
        <f ca="1">'Capacity calculation (hide)'!BI131</f>
        <v>5.1923076923076925</v>
      </c>
      <c r="H43" s="362"/>
      <c r="I43" s="362"/>
      <c r="J43" s="362"/>
      <c r="K43" s="362"/>
      <c r="L43" s="362"/>
      <c r="M43" s="362"/>
      <c r="N43" s="362"/>
      <c r="O43" s="362"/>
      <c r="P43" s="362"/>
      <c r="Q43" s="362"/>
      <c r="R43" s="362"/>
      <c r="S43" s="362"/>
      <c r="T43" s="362"/>
      <c r="U43" s="362"/>
      <c r="V43" s="362"/>
      <c r="W43" s="362"/>
      <c r="X43" s="362"/>
      <c r="Y43" s="362"/>
      <c r="Z43" s="362"/>
      <c r="AA43" s="362"/>
      <c r="AB43" s="362"/>
      <c r="AC43" s="362"/>
      <c r="AD43" s="362"/>
      <c r="AE43" s="362"/>
      <c r="AF43" s="362"/>
      <c r="AG43" s="362"/>
      <c r="AH43" s="362"/>
      <c r="AI43" s="362"/>
      <c r="AJ43" s="362"/>
      <c r="AK43" s="362"/>
      <c r="AL43" s="362"/>
      <c r="AM43" s="362"/>
      <c r="AN43" s="362"/>
      <c r="AO43" s="362"/>
      <c r="AP43" s="362"/>
      <c r="AQ43" s="362"/>
      <c r="AR43" s="362"/>
      <c r="AS43" s="362"/>
      <c r="AT43" s="362"/>
      <c r="AU43" s="362"/>
      <c r="AV43" s="362"/>
      <c r="AW43" s="362"/>
      <c r="AX43" s="362"/>
      <c r="AY43" s="362"/>
      <c r="AZ43" s="362"/>
      <c r="BA43" s="362"/>
      <c r="BB43" s="362"/>
      <c r="BC43" s="362"/>
      <c r="BD43" s="362"/>
      <c r="BE43" s="362"/>
      <c r="BF43" s="362"/>
      <c r="BG43" s="362"/>
      <c r="BI43" s="341" t="s">
        <v>1235</v>
      </c>
    </row>
    <row r="44" spans="2:61" hidden="1" x14ac:dyDescent="0.2">
      <c r="B44" s="219">
        <f>IF(Capacity!N37="","",Capacity!N37)</f>
        <v>44376</v>
      </c>
      <c r="C44" s="220">
        <f>IF(B44="","",Capacity!Q37)</f>
        <v>1</v>
      </c>
      <c r="D44" s="309">
        <f>IF(B44="","",Capacity!R37)</f>
        <v>240</v>
      </c>
      <c r="E44" s="220">
        <f ca="1">IF(B44="","",IF(COUNTBLANK(H44:BG44)=52,SUM('Capacity calculation (hide)'!H132:BG132),52-COUNTBLANK(H44:BG44)))</f>
        <v>52</v>
      </c>
      <c r="F44" s="310">
        <f ca="1">'Capacity calculation (hide)'!BI132</f>
        <v>4.615384615384615</v>
      </c>
      <c r="H44" s="362"/>
      <c r="I44" s="362"/>
      <c r="J44" s="362"/>
      <c r="K44" s="362"/>
      <c r="L44" s="362"/>
      <c r="M44" s="362"/>
      <c r="N44" s="362"/>
      <c r="O44" s="362"/>
      <c r="P44" s="362"/>
      <c r="Q44" s="362"/>
      <c r="R44" s="362"/>
      <c r="S44" s="362"/>
      <c r="T44" s="362"/>
      <c r="U44" s="362"/>
      <c r="V44" s="362"/>
      <c r="W44" s="362"/>
      <c r="X44" s="362"/>
      <c r="Y44" s="362"/>
      <c r="Z44" s="362"/>
      <c r="AA44" s="362"/>
      <c r="AB44" s="362"/>
      <c r="AC44" s="362"/>
      <c r="AD44" s="362"/>
      <c r="AE44" s="362"/>
      <c r="AF44" s="362"/>
      <c r="AG44" s="362"/>
      <c r="AH44" s="362"/>
      <c r="AI44" s="362"/>
      <c r="AJ44" s="362"/>
      <c r="AK44" s="362"/>
      <c r="AL44" s="362"/>
      <c r="AM44" s="362"/>
      <c r="AN44" s="362"/>
      <c r="AO44" s="362"/>
      <c r="AP44" s="362"/>
      <c r="AQ44" s="362"/>
      <c r="AR44" s="362"/>
      <c r="AS44" s="362"/>
      <c r="AT44" s="362"/>
      <c r="AU44" s="362"/>
      <c r="AV44" s="362"/>
      <c r="AW44" s="362"/>
      <c r="AX44" s="362"/>
      <c r="AY44" s="362"/>
      <c r="AZ44" s="362"/>
      <c r="BA44" s="362"/>
      <c r="BB44" s="362"/>
      <c r="BC44" s="362"/>
      <c r="BD44" s="362"/>
      <c r="BE44" s="362"/>
      <c r="BF44" s="362"/>
      <c r="BG44" s="362"/>
      <c r="BI44" s="341" t="s">
        <v>1235</v>
      </c>
    </row>
    <row r="45" spans="2:61" hidden="1" x14ac:dyDescent="0.2">
      <c r="B45" s="219">
        <f>IF(Capacity!N38="","",Capacity!N38)</f>
        <v>44381</v>
      </c>
      <c r="C45" s="220">
        <f>IF(B45="","",Capacity!Q38)</f>
        <v>1</v>
      </c>
      <c r="D45" s="309">
        <f>IF(B45="","",Capacity!R38)</f>
        <v>360</v>
      </c>
      <c r="E45" s="220">
        <f ca="1">IF(B45="","",IF(COUNTBLANK(H45:BG45)=52,SUM('Capacity calculation (hide)'!H133:BG133),52-COUNTBLANK(H45:BG45)))</f>
        <v>52</v>
      </c>
      <c r="F45" s="310">
        <f ca="1">'Capacity calculation (hide)'!BI133</f>
        <v>6.9230769230769234</v>
      </c>
      <c r="H45" s="362"/>
      <c r="I45" s="362"/>
      <c r="J45" s="362"/>
      <c r="K45" s="362"/>
      <c r="L45" s="362"/>
      <c r="M45" s="362"/>
      <c r="N45" s="362"/>
      <c r="O45" s="362"/>
      <c r="P45" s="362"/>
      <c r="Q45" s="362"/>
      <c r="R45" s="362"/>
      <c r="S45" s="362"/>
      <c r="T45" s="362"/>
      <c r="U45" s="362"/>
      <c r="V45" s="362"/>
      <c r="W45" s="362"/>
      <c r="X45" s="362"/>
      <c r="Y45" s="362"/>
      <c r="Z45" s="362"/>
      <c r="AA45" s="362"/>
      <c r="AB45" s="362"/>
      <c r="AC45" s="362"/>
      <c r="AD45" s="362"/>
      <c r="AE45" s="362"/>
      <c r="AF45" s="362"/>
      <c r="AG45" s="362"/>
      <c r="AH45" s="362"/>
      <c r="AI45" s="362"/>
      <c r="AJ45" s="362"/>
      <c r="AK45" s="362"/>
      <c r="AL45" s="362"/>
      <c r="AM45" s="362"/>
      <c r="AN45" s="362"/>
      <c r="AO45" s="362"/>
      <c r="AP45" s="362"/>
      <c r="AQ45" s="362"/>
      <c r="AR45" s="362"/>
      <c r="AS45" s="362"/>
      <c r="AT45" s="362"/>
      <c r="AU45" s="362"/>
      <c r="AV45" s="362"/>
      <c r="AW45" s="362"/>
      <c r="AX45" s="362"/>
      <c r="AY45" s="362"/>
      <c r="AZ45" s="362"/>
      <c r="BA45" s="362"/>
      <c r="BB45" s="362"/>
      <c r="BC45" s="362"/>
      <c r="BD45" s="362"/>
      <c r="BE45" s="362"/>
      <c r="BF45" s="362"/>
      <c r="BG45" s="362"/>
      <c r="BI45" s="341" t="s">
        <v>1235</v>
      </c>
    </row>
    <row r="46" spans="2:61" hidden="1" x14ac:dyDescent="0.2">
      <c r="B46" s="219">
        <f>IF(Capacity!N39="","",Capacity!N39)</f>
        <v>44382</v>
      </c>
      <c r="C46" s="220">
        <f>IF(B46="","",Capacity!Q39)</f>
        <v>1</v>
      </c>
      <c r="D46" s="309">
        <f>IF(B46="","",Capacity!R39)</f>
        <v>240</v>
      </c>
      <c r="E46" s="220">
        <f ca="1">IF(B46="","",IF(COUNTBLANK(H46:BG46)=52,SUM('Capacity calculation (hide)'!H134:BG134),52-COUNTBLANK(H46:BG46)))</f>
        <v>52</v>
      </c>
      <c r="F46" s="310">
        <f ca="1">'Capacity calculation (hide)'!BI134</f>
        <v>4.615384615384615</v>
      </c>
      <c r="H46" s="362"/>
      <c r="I46" s="362"/>
      <c r="J46" s="362"/>
      <c r="K46" s="362"/>
      <c r="L46" s="362"/>
      <c r="M46" s="362"/>
      <c r="N46" s="362"/>
      <c r="O46" s="362"/>
      <c r="P46" s="362"/>
      <c r="Q46" s="362"/>
      <c r="R46" s="362"/>
      <c r="S46" s="362"/>
      <c r="T46" s="362"/>
      <c r="U46" s="362"/>
      <c r="V46" s="362"/>
      <c r="W46" s="362"/>
      <c r="X46" s="362"/>
      <c r="Y46" s="362"/>
      <c r="Z46" s="362"/>
      <c r="AA46" s="362"/>
      <c r="AB46" s="362"/>
      <c r="AC46" s="362"/>
      <c r="AD46" s="362"/>
      <c r="AE46" s="362"/>
      <c r="AF46" s="362"/>
      <c r="AG46" s="362"/>
      <c r="AH46" s="362"/>
      <c r="AI46" s="362"/>
      <c r="AJ46" s="362"/>
      <c r="AK46" s="362"/>
      <c r="AL46" s="362"/>
      <c r="AM46" s="362"/>
      <c r="AN46" s="362"/>
      <c r="AO46" s="362"/>
      <c r="AP46" s="362"/>
      <c r="AQ46" s="362"/>
      <c r="AR46" s="362"/>
      <c r="AS46" s="362"/>
      <c r="AT46" s="362"/>
      <c r="AU46" s="362"/>
      <c r="AV46" s="362"/>
      <c r="AW46" s="362"/>
      <c r="AX46" s="362"/>
      <c r="AY46" s="362"/>
      <c r="AZ46" s="362"/>
      <c r="BA46" s="362"/>
      <c r="BB46" s="362"/>
      <c r="BC46" s="362"/>
      <c r="BD46" s="362"/>
      <c r="BE46" s="362"/>
      <c r="BF46" s="362"/>
      <c r="BG46" s="362"/>
      <c r="BI46" s="341" t="s">
        <v>1235</v>
      </c>
    </row>
    <row r="47" spans="2:61" hidden="1" x14ac:dyDescent="0.2">
      <c r="B47" s="219">
        <f>IF(Capacity!N40="","",Capacity!N40)</f>
        <v>44390</v>
      </c>
      <c r="C47" s="220">
        <f>IF(B47="","",Capacity!Q40)</f>
        <v>1</v>
      </c>
      <c r="D47" s="309">
        <f>IF(B47="","",Capacity!R40)</f>
        <v>240</v>
      </c>
      <c r="E47" s="220">
        <f ca="1">IF(B47="","",IF(COUNTBLANK(H47:BG47)=52,SUM('Capacity calculation (hide)'!H135:BG135),52-COUNTBLANK(H47:BG47)))</f>
        <v>52</v>
      </c>
      <c r="F47" s="310">
        <f ca="1">'Capacity calculation (hide)'!BI135</f>
        <v>4.615384615384615</v>
      </c>
      <c r="H47" s="362"/>
      <c r="I47" s="362"/>
      <c r="J47" s="362"/>
      <c r="K47" s="362"/>
      <c r="L47" s="362"/>
      <c r="M47" s="362"/>
      <c r="N47" s="362"/>
      <c r="O47" s="362"/>
      <c r="P47" s="362"/>
      <c r="Q47" s="362"/>
      <c r="R47" s="362"/>
      <c r="S47" s="362"/>
      <c r="T47" s="362"/>
      <c r="U47" s="362"/>
      <c r="V47" s="362"/>
      <c r="W47" s="362"/>
      <c r="X47" s="362"/>
      <c r="Y47" s="362"/>
      <c r="Z47" s="362"/>
      <c r="AA47" s="362"/>
      <c r="AB47" s="362"/>
      <c r="AC47" s="362"/>
      <c r="AD47" s="362"/>
      <c r="AE47" s="362"/>
      <c r="AF47" s="362"/>
      <c r="AG47" s="362"/>
      <c r="AH47" s="362"/>
      <c r="AI47" s="362"/>
      <c r="AJ47" s="362"/>
      <c r="AK47" s="362"/>
      <c r="AL47" s="362"/>
      <c r="AM47" s="362"/>
      <c r="AN47" s="362"/>
      <c r="AO47" s="362"/>
      <c r="AP47" s="362"/>
      <c r="AQ47" s="362"/>
      <c r="AR47" s="362"/>
      <c r="AS47" s="362"/>
      <c r="AT47" s="362"/>
      <c r="AU47" s="362"/>
      <c r="AV47" s="362"/>
      <c r="AW47" s="362"/>
      <c r="AX47" s="362"/>
      <c r="AY47" s="362"/>
      <c r="AZ47" s="362"/>
      <c r="BA47" s="362"/>
      <c r="BB47" s="362"/>
      <c r="BC47" s="362"/>
      <c r="BD47" s="362"/>
      <c r="BE47" s="362"/>
      <c r="BF47" s="362"/>
      <c r="BG47" s="362"/>
      <c r="BI47" s="341" t="s">
        <v>1235</v>
      </c>
    </row>
    <row r="48" spans="2:61" hidden="1" x14ac:dyDescent="0.2">
      <c r="B48" s="219">
        <f>IF(Capacity!N41="","",Capacity!N41)</f>
        <v>44391</v>
      </c>
      <c r="C48" s="220">
        <f>IF(B48="","",Capacity!Q41)</f>
        <v>1</v>
      </c>
      <c r="D48" s="309">
        <f>IF(B48="","",Capacity!R41)</f>
        <v>420</v>
      </c>
      <c r="E48" s="220">
        <f ca="1">IF(B48="","",IF(COUNTBLANK(H48:BG48)=52,SUM('Capacity calculation (hide)'!H136:BG136),52-COUNTBLANK(H48:BG48)))</f>
        <v>52</v>
      </c>
      <c r="F48" s="310">
        <f ca="1">'Capacity calculation (hide)'!BI136</f>
        <v>8.0769230769230766</v>
      </c>
      <c r="H48" s="362"/>
      <c r="I48" s="362"/>
      <c r="J48" s="362"/>
      <c r="K48" s="362"/>
      <c r="L48" s="362"/>
      <c r="M48" s="362"/>
      <c r="N48" s="362"/>
      <c r="O48" s="362"/>
      <c r="P48" s="362"/>
      <c r="Q48" s="362"/>
      <c r="R48" s="362"/>
      <c r="S48" s="362"/>
      <c r="T48" s="362"/>
      <c r="U48" s="362"/>
      <c r="V48" s="362"/>
      <c r="W48" s="362"/>
      <c r="X48" s="362"/>
      <c r="Y48" s="362"/>
      <c r="Z48" s="362"/>
      <c r="AA48" s="362"/>
      <c r="AB48" s="362"/>
      <c r="AC48" s="362"/>
      <c r="AD48" s="362"/>
      <c r="AE48" s="362"/>
      <c r="AF48" s="362"/>
      <c r="AG48" s="362"/>
      <c r="AH48" s="362"/>
      <c r="AI48" s="362"/>
      <c r="AJ48" s="362"/>
      <c r="AK48" s="362"/>
      <c r="AL48" s="362"/>
      <c r="AM48" s="362"/>
      <c r="AN48" s="362"/>
      <c r="AO48" s="362"/>
      <c r="AP48" s="362"/>
      <c r="AQ48" s="362"/>
      <c r="AR48" s="362"/>
      <c r="AS48" s="362"/>
      <c r="AT48" s="362"/>
      <c r="AU48" s="362"/>
      <c r="AV48" s="362"/>
      <c r="AW48" s="362"/>
      <c r="AX48" s="362"/>
      <c r="AY48" s="362"/>
      <c r="AZ48" s="362"/>
      <c r="BA48" s="362"/>
      <c r="BB48" s="362"/>
      <c r="BC48" s="362"/>
      <c r="BD48" s="362"/>
      <c r="BE48" s="362"/>
      <c r="BF48" s="362"/>
      <c r="BG48" s="362"/>
      <c r="BI48" s="341" t="s">
        <v>1235</v>
      </c>
    </row>
    <row r="49" spans="2:61" hidden="1" x14ac:dyDescent="0.2">
      <c r="B49" s="219">
        <f>IF(Capacity!N42="","",Capacity!N42)</f>
        <v>44392</v>
      </c>
      <c r="C49" s="220">
        <f>IF(B49="","",Capacity!Q42)</f>
        <v>1</v>
      </c>
      <c r="D49" s="309">
        <f>IF(B49="","",Capacity!R42)</f>
        <v>420</v>
      </c>
      <c r="E49" s="220">
        <f ca="1">IF(B49="","",IF(COUNTBLANK(H49:BG49)=52,SUM('Capacity calculation (hide)'!H137:BG137),52-COUNTBLANK(H49:BG49)))</f>
        <v>52</v>
      </c>
      <c r="F49" s="310">
        <f ca="1">'Capacity calculation (hide)'!BI137</f>
        <v>8.0769230769230766</v>
      </c>
      <c r="H49" s="362"/>
      <c r="I49" s="362"/>
      <c r="J49" s="362"/>
      <c r="K49" s="362"/>
      <c r="L49" s="362"/>
      <c r="M49" s="362"/>
      <c r="N49" s="362"/>
      <c r="O49" s="362"/>
      <c r="P49" s="362"/>
      <c r="Q49" s="362"/>
      <c r="R49" s="362"/>
      <c r="S49" s="362"/>
      <c r="T49" s="362"/>
      <c r="U49" s="362"/>
      <c r="V49" s="362"/>
      <c r="W49" s="362"/>
      <c r="X49" s="362"/>
      <c r="Y49" s="362"/>
      <c r="Z49" s="362"/>
      <c r="AA49" s="362"/>
      <c r="AB49" s="362"/>
      <c r="AC49" s="362"/>
      <c r="AD49" s="362"/>
      <c r="AE49" s="362"/>
      <c r="AF49" s="362"/>
      <c r="AG49" s="362"/>
      <c r="AH49" s="362"/>
      <c r="AI49" s="362"/>
      <c r="AJ49" s="362"/>
      <c r="AK49" s="362"/>
      <c r="AL49" s="362"/>
      <c r="AM49" s="362"/>
      <c r="AN49" s="362"/>
      <c r="AO49" s="362"/>
      <c r="AP49" s="362"/>
      <c r="AQ49" s="362"/>
      <c r="AR49" s="362"/>
      <c r="AS49" s="362"/>
      <c r="AT49" s="362"/>
      <c r="AU49" s="362"/>
      <c r="AV49" s="362"/>
      <c r="AW49" s="362"/>
      <c r="AX49" s="362"/>
      <c r="AY49" s="362"/>
      <c r="AZ49" s="362"/>
      <c r="BA49" s="362"/>
      <c r="BB49" s="362"/>
      <c r="BC49" s="362"/>
      <c r="BD49" s="362"/>
      <c r="BE49" s="362"/>
      <c r="BF49" s="362"/>
      <c r="BG49" s="362"/>
      <c r="BI49" s="341" t="s">
        <v>1235</v>
      </c>
    </row>
    <row r="50" spans="2:61" hidden="1" x14ac:dyDescent="0.2">
      <c r="B50" s="219">
        <f>IF(Capacity!N43="","",Capacity!N43)</f>
        <v>44393</v>
      </c>
      <c r="C50" s="220">
        <f>IF(B50="","",Capacity!Q43)</f>
        <v>1</v>
      </c>
      <c r="D50" s="309">
        <f>IF(B50="","",Capacity!R43)</f>
        <v>420</v>
      </c>
      <c r="E50" s="220">
        <f ca="1">IF(B50="","",IF(COUNTBLANK(H50:BG50)=52,SUM('Capacity calculation (hide)'!H138:BG138),52-COUNTBLANK(H50:BG50)))</f>
        <v>52</v>
      </c>
      <c r="F50" s="310">
        <f ca="1">'Capacity calculation (hide)'!BI138</f>
        <v>8.0769230769230766</v>
      </c>
      <c r="H50" s="362"/>
      <c r="I50" s="362"/>
      <c r="J50" s="362"/>
      <c r="K50" s="362"/>
      <c r="L50" s="362"/>
      <c r="M50" s="362"/>
      <c r="N50" s="362"/>
      <c r="O50" s="362"/>
      <c r="P50" s="362"/>
      <c r="Q50" s="362"/>
      <c r="R50" s="362"/>
      <c r="S50" s="362"/>
      <c r="T50" s="362"/>
      <c r="U50" s="362"/>
      <c r="V50" s="362"/>
      <c r="W50" s="362"/>
      <c r="X50" s="362"/>
      <c r="Y50" s="362"/>
      <c r="Z50" s="362"/>
      <c r="AA50" s="362"/>
      <c r="AB50" s="362"/>
      <c r="AC50" s="362"/>
      <c r="AD50" s="362"/>
      <c r="AE50" s="362"/>
      <c r="AF50" s="362"/>
      <c r="AG50" s="362"/>
      <c r="AH50" s="362"/>
      <c r="AI50" s="362"/>
      <c r="AJ50" s="362"/>
      <c r="AK50" s="362"/>
      <c r="AL50" s="362"/>
      <c r="AM50" s="362"/>
      <c r="AN50" s="362"/>
      <c r="AO50" s="362"/>
      <c r="AP50" s="362"/>
      <c r="AQ50" s="362"/>
      <c r="AR50" s="362"/>
      <c r="AS50" s="362"/>
      <c r="AT50" s="362"/>
      <c r="AU50" s="362"/>
      <c r="AV50" s="362"/>
      <c r="AW50" s="362"/>
      <c r="AX50" s="362"/>
      <c r="AY50" s="362"/>
      <c r="AZ50" s="362"/>
      <c r="BA50" s="362"/>
      <c r="BB50" s="362"/>
      <c r="BC50" s="362"/>
      <c r="BD50" s="362"/>
      <c r="BE50" s="362"/>
      <c r="BF50" s="362"/>
      <c r="BG50" s="362"/>
      <c r="BI50" s="341" t="s">
        <v>1235</v>
      </c>
    </row>
    <row r="51" spans="2:61" hidden="1" x14ac:dyDescent="0.2">
      <c r="B51" s="219">
        <f>IF(Capacity!N44="","",Capacity!N44)</f>
        <v>44397</v>
      </c>
      <c r="C51" s="220">
        <f>IF(B51="","",Capacity!Q44)</f>
        <v>1</v>
      </c>
      <c r="D51" s="309">
        <f>IF(B51="","",Capacity!R44)</f>
        <v>420</v>
      </c>
      <c r="E51" s="220">
        <f ca="1">IF(B51="","",IF(COUNTBLANK(H51:BG51)=52,SUM('Capacity calculation (hide)'!H139:BG139),52-COUNTBLANK(H51:BG51)))</f>
        <v>52</v>
      </c>
      <c r="F51" s="310">
        <f ca="1">'Capacity calculation (hide)'!BI139</f>
        <v>8.0769230769230766</v>
      </c>
      <c r="H51" s="362"/>
      <c r="I51" s="362"/>
      <c r="J51" s="362"/>
      <c r="K51" s="362"/>
      <c r="L51" s="362"/>
      <c r="M51" s="362"/>
      <c r="N51" s="362"/>
      <c r="O51" s="362"/>
      <c r="P51" s="362"/>
      <c r="Q51" s="362"/>
      <c r="R51" s="362"/>
      <c r="S51" s="362"/>
      <c r="T51" s="362"/>
      <c r="U51" s="362"/>
      <c r="V51" s="362"/>
      <c r="W51" s="362"/>
      <c r="X51" s="362"/>
      <c r="Y51" s="362"/>
      <c r="Z51" s="362"/>
      <c r="AA51" s="362"/>
      <c r="AB51" s="362"/>
      <c r="AC51" s="362"/>
      <c r="AD51" s="362"/>
      <c r="AE51" s="362"/>
      <c r="AF51" s="362"/>
      <c r="AG51" s="362"/>
      <c r="AH51" s="362"/>
      <c r="AI51" s="362"/>
      <c r="AJ51" s="362"/>
      <c r="AK51" s="362"/>
      <c r="AL51" s="362"/>
      <c r="AM51" s="362"/>
      <c r="AN51" s="362"/>
      <c r="AO51" s="362"/>
      <c r="AP51" s="362"/>
      <c r="AQ51" s="362"/>
      <c r="AR51" s="362"/>
      <c r="AS51" s="362"/>
      <c r="AT51" s="362"/>
      <c r="AU51" s="362"/>
      <c r="AV51" s="362"/>
      <c r="AW51" s="362"/>
      <c r="AX51" s="362"/>
      <c r="AY51" s="362"/>
      <c r="AZ51" s="362"/>
      <c r="BA51" s="362"/>
      <c r="BB51" s="362"/>
      <c r="BC51" s="362"/>
      <c r="BD51" s="362"/>
      <c r="BE51" s="362"/>
      <c r="BF51" s="362"/>
      <c r="BG51" s="362"/>
      <c r="BI51" s="341" t="s">
        <v>1235</v>
      </c>
    </row>
    <row r="52" spans="2:61" hidden="1" x14ac:dyDescent="0.2">
      <c r="B52" s="219">
        <f>IF(Capacity!N45="","",Capacity!N45)</f>
        <v>44397</v>
      </c>
      <c r="C52" s="220">
        <f>IF(B52="","",Capacity!Q45)</f>
        <v>1</v>
      </c>
      <c r="D52" s="309">
        <f>IF(B52="","",Capacity!R45)</f>
        <v>360</v>
      </c>
      <c r="E52" s="220">
        <f ca="1">IF(B52="","",IF(COUNTBLANK(H52:BG52)=52,SUM('Capacity calculation (hide)'!H140:BG140),52-COUNTBLANK(H52:BG52)))</f>
        <v>52</v>
      </c>
      <c r="F52" s="310">
        <f ca="1">'Capacity calculation (hide)'!BI140</f>
        <v>6.9230769230769234</v>
      </c>
      <c r="H52" s="362"/>
      <c r="I52" s="362"/>
      <c r="J52" s="362"/>
      <c r="K52" s="362"/>
      <c r="L52" s="362"/>
      <c r="M52" s="362"/>
      <c r="N52" s="362"/>
      <c r="O52" s="362"/>
      <c r="P52" s="362"/>
      <c r="Q52" s="362"/>
      <c r="R52" s="362"/>
      <c r="S52" s="362"/>
      <c r="T52" s="362"/>
      <c r="U52" s="362"/>
      <c r="V52" s="362"/>
      <c r="W52" s="362"/>
      <c r="X52" s="362"/>
      <c r="Y52" s="362"/>
      <c r="Z52" s="362"/>
      <c r="AA52" s="362"/>
      <c r="AB52" s="362"/>
      <c r="AC52" s="362"/>
      <c r="AD52" s="362"/>
      <c r="AE52" s="362"/>
      <c r="AF52" s="362"/>
      <c r="AG52" s="362"/>
      <c r="AH52" s="362"/>
      <c r="AI52" s="362"/>
      <c r="AJ52" s="362"/>
      <c r="AK52" s="362"/>
      <c r="AL52" s="362"/>
      <c r="AM52" s="362"/>
      <c r="AN52" s="362"/>
      <c r="AO52" s="362"/>
      <c r="AP52" s="362"/>
      <c r="AQ52" s="362"/>
      <c r="AR52" s="362"/>
      <c r="AS52" s="362"/>
      <c r="AT52" s="362"/>
      <c r="AU52" s="362"/>
      <c r="AV52" s="362"/>
      <c r="AW52" s="362"/>
      <c r="AX52" s="362"/>
      <c r="AY52" s="362"/>
      <c r="AZ52" s="362"/>
      <c r="BA52" s="362"/>
      <c r="BB52" s="362"/>
      <c r="BC52" s="362"/>
      <c r="BD52" s="362"/>
      <c r="BE52" s="362"/>
      <c r="BF52" s="362"/>
      <c r="BG52" s="362"/>
      <c r="BI52" s="341" t="s">
        <v>1235</v>
      </c>
    </row>
    <row r="53" spans="2:61" hidden="1" x14ac:dyDescent="0.2">
      <c r="B53" s="219">
        <f>IF(Capacity!N46="","",Capacity!N46)</f>
        <v>44399</v>
      </c>
      <c r="C53" s="220">
        <f>IF(B53="","",Capacity!Q46)</f>
        <v>1</v>
      </c>
      <c r="D53" s="309">
        <f>IF(B53="","",Capacity!R46)</f>
        <v>420</v>
      </c>
      <c r="E53" s="220">
        <f ca="1">IF(B53="","",IF(COUNTBLANK(H53:BG53)=52,SUM('Capacity calculation (hide)'!H141:BG141),52-COUNTBLANK(H53:BG53)))</f>
        <v>52</v>
      </c>
      <c r="F53" s="310">
        <f ca="1">'Capacity calculation (hide)'!BI141</f>
        <v>8.0769230769230766</v>
      </c>
      <c r="H53" s="362"/>
      <c r="I53" s="362"/>
      <c r="J53" s="362"/>
      <c r="K53" s="362"/>
      <c r="L53" s="362"/>
      <c r="M53" s="362"/>
      <c r="N53" s="362"/>
      <c r="O53" s="362"/>
      <c r="P53" s="362"/>
      <c r="Q53" s="362"/>
      <c r="R53" s="362"/>
      <c r="S53" s="362"/>
      <c r="T53" s="362"/>
      <c r="U53" s="362"/>
      <c r="V53" s="362"/>
      <c r="W53" s="362"/>
      <c r="X53" s="362"/>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2"/>
      <c r="BA53" s="362"/>
      <c r="BB53" s="362"/>
      <c r="BC53" s="362"/>
      <c r="BD53" s="362"/>
      <c r="BE53" s="362"/>
      <c r="BF53" s="362"/>
      <c r="BG53" s="362"/>
      <c r="BI53" s="341" t="s">
        <v>1235</v>
      </c>
    </row>
    <row r="54" spans="2:61" hidden="1" x14ac:dyDescent="0.2">
      <c r="B54" s="219">
        <f>IF(Capacity!N47="","",Capacity!N47)</f>
        <v>44399</v>
      </c>
      <c r="C54" s="220">
        <f>IF(B54="","",Capacity!Q47)</f>
        <v>1</v>
      </c>
      <c r="D54" s="309">
        <f>IF(B54="","",Capacity!R47)</f>
        <v>720</v>
      </c>
      <c r="E54" s="220">
        <f ca="1">IF(B54="","",IF(COUNTBLANK(H54:BG54)=52,SUM('Capacity calculation (hide)'!H142:BG142),52-COUNTBLANK(H54:BG54)))</f>
        <v>52</v>
      </c>
      <c r="F54" s="310">
        <f ca="1">'Capacity calculation (hide)'!BI142</f>
        <v>13.846153846153847</v>
      </c>
      <c r="H54" s="362"/>
      <c r="I54" s="362"/>
      <c r="J54" s="362"/>
      <c r="K54" s="362"/>
      <c r="L54" s="362"/>
      <c r="M54" s="362"/>
      <c r="N54" s="362"/>
      <c r="O54" s="362"/>
      <c r="P54" s="362"/>
      <c r="Q54" s="362"/>
      <c r="R54" s="362"/>
      <c r="S54" s="362"/>
      <c r="T54" s="362"/>
      <c r="U54" s="362"/>
      <c r="V54" s="362"/>
      <c r="W54" s="362"/>
      <c r="X54" s="362"/>
      <c r="Y54" s="362"/>
      <c r="Z54" s="362"/>
      <c r="AA54" s="362"/>
      <c r="AB54" s="362"/>
      <c r="AC54" s="362"/>
      <c r="AD54" s="362"/>
      <c r="AE54" s="362"/>
      <c r="AF54" s="362"/>
      <c r="AG54" s="362"/>
      <c r="AH54" s="362"/>
      <c r="AI54" s="362"/>
      <c r="AJ54" s="362"/>
      <c r="AK54" s="362"/>
      <c r="AL54" s="362"/>
      <c r="AM54" s="362"/>
      <c r="AN54" s="362"/>
      <c r="AO54" s="362"/>
      <c r="AP54" s="362"/>
      <c r="AQ54" s="362"/>
      <c r="AR54" s="362"/>
      <c r="AS54" s="362"/>
      <c r="AT54" s="362"/>
      <c r="AU54" s="362"/>
      <c r="AV54" s="362"/>
      <c r="AW54" s="362"/>
      <c r="AX54" s="362"/>
      <c r="AY54" s="362"/>
      <c r="AZ54" s="362"/>
      <c r="BA54" s="362"/>
      <c r="BB54" s="362"/>
      <c r="BC54" s="362"/>
      <c r="BD54" s="362"/>
      <c r="BE54" s="362"/>
      <c r="BF54" s="362"/>
      <c r="BG54" s="362"/>
      <c r="BI54" s="341" t="s">
        <v>1235</v>
      </c>
    </row>
    <row r="55" spans="2:61" hidden="1" x14ac:dyDescent="0.2">
      <c r="B55" s="219">
        <f>IF(Capacity!N48="","",Capacity!N48)</f>
        <v>44404</v>
      </c>
      <c r="C55" s="220">
        <f>IF(B55="","",Capacity!Q48)</f>
        <v>1</v>
      </c>
      <c r="D55" s="309">
        <f>IF(B55="","",Capacity!R48)</f>
        <v>240</v>
      </c>
      <c r="E55" s="220">
        <f ca="1">IF(B55="","",IF(COUNTBLANK(H55:BG55)=52,SUM('Capacity calculation (hide)'!H143:BG143),52-COUNTBLANK(H55:BG55)))</f>
        <v>52</v>
      </c>
      <c r="F55" s="310">
        <f ca="1">'Capacity calculation (hide)'!BI143</f>
        <v>4.615384615384615</v>
      </c>
      <c r="H55" s="362"/>
      <c r="I55" s="362"/>
      <c r="J55" s="362"/>
      <c r="K55" s="362"/>
      <c r="L55" s="362"/>
      <c r="M55" s="362"/>
      <c r="N55" s="362"/>
      <c r="O55" s="362"/>
      <c r="P55" s="362"/>
      <c r="Q55" s="362"/>
      <c r="R55" s="362"/>
      <c r="S55" s="362"/>
      <c r="T55" s="362"/>
      <c r="U55" s="362"/>
      <c r="V55" s="362"/>
      <c r="W55" s="362"/>
      <c r="X55" s="362"/>
      <c r="Y55" s="362"/>
      <c r="Z55" s="362"/>
      <c r="AA55" s="362"/>
      <c r="AB55" s="362"/>
      <c r="AC55" s="362"/>
      <c r="AD55" s="362"/>
      <c r="AE55" s="362"/>
      <c r="AF55" s="362"/>
      <c r="AG55" s="362"/>
      <c r="AH55" s="362"/>
      <c r="AI55" s="362"/>
      <c r="AJ55" s="362"/>
      <c r="AK55" s="362"/>
      <c r="AL55" s="362"/>
      <c r="AM55" s="362"/>
      <c r="AN55" s="362"/>
      <c r="AO55" s="362"/>
      <c r="AP55" s="362"/>
      <c r="AQ55" s="362"/>
      <c r="AR55" s="362"/>
      <c r="AS55" s="362"/>
      <c r="AT55" s="362"/>
      <c r="AU55" s="362"/>
      <c r="AV55" s="362"/>
      <c r="AW55" s="362"/>
      <c r="AX55" s="362"/>
      <c r="AY55" s="362"/>
      <c r="AZ55" s="362"/>
      <c r="BA55" s="362"/>
      <c r="BB55" s="362"/>
      <c r="BC55" s="362"/>
      <c r="BD55" s="362"/>
      <c r="BE55" s="362"/>
      <c r="BF55" s="362"/>
      <c r="BG55" s="362"/>
      <c r="BI55" s="341" t="s">
        <v>1235</v>
      </c>
    </row>
    <row r="56" spans="2:61" hidden="1" x14ac:dyDescent="0.2">
      <c r="B56" s="219">
        <f>IF(Capacity!N49="","",Capacity!N49)</f>
        <v>44405</v>
      </c>
      <c r="C56" s="220">
        <f>IF(B56="","",Capacity!Q49)</f>
        <v>1</v>
      </c>
      <c r="D56" s="309">
        <f>IF(B56="","",Capacity!R49)</f>
        <v>420</v>
      </c>
      <c r="E56" s="220">
        <f ca="1">IF(B56="","",IF(COUNTBLANK(H56:BG56)=52,SUM('Capacity calculation (hide)'!H144:BG144),52-COUNTBLANK(H56:BG56)))</f>
        <v>52</v>
      </c>
      <c r="F56" s="310">
        <f ca="1">'Capacity calculation (hide)'!BI144</f>
        <v>8.0769230769230766</v>
      </c>
      <c r="H56" s="362"/>
      <c r="I56" s="362"/>
      <c r="J56" s="362"/>
      <c r="K56" s="362"/>
      <c r="L56" s="362"/>
      <c r="M56" s="362"/>
      <c r="N56" s="362"/>
      <c r="O56" s="362"/>
      <c r="P56" s="362"/>
      <c r="Q56" s="362"/>
      <c r="R56" s="362"/>
      <c r="S56" s="362"/>
      <c r="T56" s="362"/>
      <c r="U56" s="362"/>
      <c r="V56" s="362"/>
      <c r="W56" s="362"/>
      <c r="X56" s="362"/>
      <c r="Y56" s="362"/>
      <c r="Z56" s="362"/>
      <c r="AA56" s="362"/>
      <c r="AB56" s="362"/>
      <c r="AC56" s="362"/>
      <c r="AD56" s="362"/>
      <c r="AE56" s="362"/>
      <c r="AF56" s="362"/>
      <c r="AG56" s="362"/>
      <c r="AH56" s="362"/>
      <c r="AI56" s="362"/>
      <c r="AJ56" s="362"/>
      <c r="AK56" s="362"/>
      <c r="AL56" s="362"/>
      <c r="AM56" s="362"/>
      <c r="AN56" s="362"/>
      <c r="AO56" s="362"/>
      <c r="AP56" s="362"/>
      <c r="AQ56" s="362"/>
      <c r="AR56" s="362"/>
      <c r="AS56" s="362"/>
      <c r="AT56" s="362"/>
      <c r="AU56" s="362"/>
      <c r="AV56" s="362"/>
      <c r="AW56" s="362"/>
      <c r="AX56" s="362"/>
      <c r="AY56" s="362"/>
      <c r="AZ56" s="362"/>
      <c r="BA56" s="362"/>
      <c r="BB56" s="362"/>
      <c r="BC56" s="362"/>
      <c r="BD56" s="362"/>
      <c r="BE56" s="362"/>
      <c r="BF56" s="362"/>
      <c r="BG56" s="362"/>
      <c r="BI56" s="341" t="s">
        <v>1235</v>
      </c>
    </row>
    <row r="57" spans="2:61" hidden="1" x14ac:dyDescent="0.2">
      <c r="B57" s="219">
        <f>IF(Capacity!N50="","",Capacity!N50)</f>
        <v>44406</v>
      </c>
      <c r="C57" s="220">
        <f>IF(B57="","",Capacity!Q50)</f>
        <v>1</v>
      </c>
      <c r="D57" s="309">
        <f>IF(B57="","",Capacity!R50)</f>
        <v>720</v>
      </c>
      <c r="E57" s="220">
        <f ca="1">IF(B57="","",IF(COUNTBLANK(H57:BG57)=52,SUM('Capacity calculation (hide)'!H145:BG145),52-COUNTBLANK(H57:BG57)))</f>
        <v>52</v>
      </c>
      <c r="F57" s="310">
        <f ca="1">'Capacity calculation (hide)'!BI145</f>
        <v>13.846153846153847</v>
      </c>
      <c r="H57" s="362"/>
      <c r="I57" s="362"/>
      <c r="J57" s="362"/>
      <c r="K57" s="362"/>
      <c r="L57" s="362"/>
      <c r="M57" s="362"/>
      <c r="N57" s="362"/>
      <c r="O57" s="362"/>
      <c r="P57" s="362"/>
      <c r="Q57" s="362"/>
      <c r="R57" s="362"/>
      <c r="S57" s="362"/>
      <c r="T57" s="362"/>
      <c r="U57" s="362"/>
      <c r="V57" s="362"/>
      <c r="W57" s="362"/>
      <c r="X57" s="362"/>
      <c r="Y57" s="362"/>
      <c r="Z57" s="362"/>
      <c r="AA57" s="362"/>
      <c r="AB57" s="362"/>
      <c r="AC57" s="362"/>
      <c r="AD57" s="362"/>
      <c r="AE57" s="362"/>
      <c r="AF57" s="362"/>
      <c r="AG57" s="362"/>
      <c r="AH57" s="362"/>
      <c r="AI57" s="362"/>
      <c r="AJ57" s="362"/>
      <c r="AK57" s="362"/>
      <c r="AL57" s="362"/>
      <c r="AM57" s="362"/>
      <c r="AN57" s="362"/>
      <c r="AO57" s="362"/>
      <c r="AP57" s="362"/>
      <c r="AQ57" s="362"/>
      <c r="AR57" s="362"/>
      <c r="AS57" s="362"/>
      <c r="AT57" s="362"/>
      <c r="AU57" s="362"/>
      <c r="AV57" s="362"/>
      <c r="AW57" s="362"/>
      <c r="AX57" s="362"/>
      <c r="AY57" s="362"/>
      <c r="AZ57" s="362"/>
      <c r="BA57" s="362"/>
      <c r="BB57" s="362"/>
      <c r="BC57" s="362"/>
      <c r="BD57" s="362"/>
      <c r="BE57" s="362"/>
      <c r="BF57" s="362"/>
      <c r="BG57" s="362"/>
      <c r="BI57" s="341" t="s">
        <v>1235</v>
      </c>
    </row>
    <row r="58" spans="2:61" hidden="1" x14ac:dyDescent="0.2">
      <c r="B58" s="219">
        <f>IF(Capacity!N51="","",Capacity!N51)</f>
        <v>44407</v>
      </c>
      <c r="C58" s="220">
        <f>IF(B58="","",Capacity!Q51)</f>
        <v>1</v>
      </c>
      <c r="D58" s="309">
        <f>IF(B58="","",Capacity!R51)</f>
        <v>510</v>
      </c>
      <c r="E58" s="220">
        <f ca="1">IF(B58="","",IF(COUNTBLANK(H58:BG58)=52,SUM('Capacity calculation (hide)'!H146:BG146),52-COUNTBLANK(H58:BG58)))</f>
        <v>52</v>
      </c>
      <c r="F58" s="310">
        <f ca="1">'Capacity calculation (hide)'!BI146</f>
        <v>9.8076923076923084</v>
      </c>
      <c r="H58" s="362"/>
      <c r="I58" s="362"/>
      <c r="J58" s="362"/>
      <c r="K58" s="362"/>
      <c r="L58" s="362"/>
      <c r="M58" s="362"/>
      <c r="N58" s="362"/>
      <c r="O58" s="362"/>
      <c r="P58" s="362"/>
      <c r="Q58" s="362"/>
      <c r="R58" s="362"/>
      <c r="S58" s="362"/>
      <c r="T58" s="362"/>
      <c r="U58" s="362"/>
      <c r="V58" s="362"/>
      <c r="W58" s="362"/>
      <c r="X58" s="362"/>
      <c r="Y58" s="362"/>
      <c r="Z58" s="362"/>
      <c r="AA58" s="362"/>
      <c r="AB58" s="362"/>
      <c r="AC58" s="362"/>
      <c r="AD58" s="362"/>
      <c r="AE58" s="362"/>
      <c r="AF58" s="362"/>
      <c r="AG58" s="362"/>
      <c r="AH58" s="362"/>
      <c r="AI58" s="362"/>
      <c r="AJ58" s="362"/>
      <c r="AK58" s="362"/>
      <c r="AL58" s="362"/>
      <c r="AM58" s="362"/>
      <c r="AN58" s="362"/>
      <c r="AO58" s="362"/>
      <c r="AP58" s="362"/>
      <c r="AQ58" s="362"/>
      <c r="AR58" s="362"/>
      <c r="AS58" s="362"/>
      <c r="AT58" s="362"/>
      <c r="AU58" s="362"/>
      <c r="AV58" s="362"/>
      <c r="AW58" s="362"/>
      <c r="AX58" s="362"/>
      <c r="AY58" s="362"/>
      <c r="AZ58" s="362"/>
      <c r="BA58" s="362"/>
      <c r="BB58" s="362"/>
      <c r="BC58" s="362"/>
      <c r="BD58" s="362"/>
      <c r="BE58" s="362"/>
      <c r="BF58" s="362"/>
      <c r="BG58" s="362"/>
      <c r="BI58" s="341" t="s">
        <v>1235</v>
      </c>
    </row>
    <row r="59" spans="2:61" hidden="1" x14ac:dyDescent="0.2">
      <c r="B59" s="219">
        <f>IF(Capacity!N52="","",Capacity!N52)</f>
        <v>44407</v>
      </c>
      <c r="C59" s="220">
        <f>IF(B59="","",Capacity!Q52)</f>
        <v>1</v>
      </c>
      <c r="D59" s="309">
        <f>IF(B59="","",Capacity!R52)</f>
        <v>720</v>
      </c>
      <c r="E59" s="220">
        <f ca="1">IF(B59="","",IF(COUNTBLANK(H59:BG59)=52,SUM('Capacity calculation (hide)'!H147:BG147),52-COUNTBLANK(H59:BG59)))</f>
        <v>52</v>
      </c>
      <c r="F59" s="310">
        <f ca="1">'Capacity calculation (hide)'!BI147</f>
        <v>13.846153846153847</v>
      </c>
      <c r="H59" s="362"/>
      <c r="I59" s="362"/>
      <c r="J59" s="362"/>
      <c r="K59" s="362"/>
      <c r="L59" s="362"/>
      <c r="M59" s="362"/>
      <c r="N59" s="362"/>
      <c r="O59" s="362"/>
      <c r="P59" s="362"/>
      <c r="Q59" s="362"/>
      <c r="R59" s="362"/>
      <c r="S59" s="362"/>
      <c r="T59" s="362"/>
      <c r="U59" s="362"/>
      <c r="V59" s="362"/>
      <c r="W59" s="362"/>
      <c r="X59" s="362"/>
      <c r="Y59" s="362"/>
      <c r="Z59" s="362"/>
      <c r="AA59" s="362"/>
      <c r="AB59" s="362"/>
      <c r="AC59" s="362"/>
      <c r="AD59" s="362"/>
      <c r="AE59" s="362"/>
      <c r="AF59" s="362"/>
      <c r="AG59" s="362"/>
      <c r="AH59" s="362"/>
      <c r="AI59" s="362"/>
      <c r="AJ59" s="362"/>
      <c r="AK59" s="362"/>
      <c r="AL59" s="362"/>
      <c r="AM59" s="362"/>
      <c r="AN59" s="362"/>
      <c r="AO59" s="362"/>
      <c r="AP59" s="362"/>
      <c r="AQ59" s="362"/>
      <c r="AR59" s="362"/>
      <c r="AS59" s="362"/>
      <c r="AT59" s="362"/>
      <c r="AU59" s="362"/>
      <c r="AV59" s="362"/>
      <c r="AW59" s="362"/>
      <c r="AX59" s="362"/>
      <c r="AY59" s="362"/>
      <c r="AZ59" s="362"/>
      <c r="BA59" s="362"/>
      <c r="BB59" s="362"/>
      <c r="BC59" s="362"/>
      <c r="BD59" s="362"/>
      <c r="BE59" s="362"/>
      <c r="BF59" s="362"/>
      <c r="BG59" s="362"/>
      <c r="BI59" s="341" t="s">
        <v>1235</v>
      </c>
    </row>
    <row r="60" spans="2:61" hidden="1" x14ac:dyDescent="0.2">
      <c r="B60" s="219">
        <f>IF(Capacity!N53="","",Capacity!N53)</f>
        <v>44407</v>
      </c>
      <c r="C60" s="220">
        <f>IF(B60="","",Capacity!Q53)</f>
        <v>1</v>
      </c>
      <c r="D60" s="309">
        <f>IF(B60="","",Capacity!R53)</f>
        <v>210</v>
      </c>
      <c r="E60" s="220">
        <f ca="1">IF(B60="","",IF(COUNTBLANK(H60:BG60)=52,SUM('Capacity calculation (hide)'!H148:BG148),52-COUNTBLANK(H60:BG60)))</f>
        <v>52</v>
      </c>
      <c r="F60" s="310">
        <f ca="1">'Capacity calculation (hide)'!BI148</f>
        <v>4.0384615384615383</v>
      </c>
      <c r="H60" s="362"/>
      <c r="I60" s="362"/>
      <c r="J60" s="362"/>
      <c r="K60" s="362"/>
      <c r="L60" s="362"/>
      <c r="M60" s="362"/>
      <c r="N60" s="362"/>
      <c r="O60" s="362"/>
      <c r="P60" s="362"/>
      <c r="Q60" s="362"/>
      <c r="R60" s="362"/>
      <c r="S60" s="362"/>
      <c r="T60" s="362"/>
      <c r="U60" s="362"/>
      <c r="V60" s="362"/>
      <c r="W60" s="362"/>
      <c r="X60" s="362"/>
      <c r="Y60" s="362"/>
      <c r="Z60" s="362"/>
      <c r="AA60" s="362"/>
      <c r="AB60" s="362"/>
      <c r="AC60" s="362"/>
      <c r="AD60" s="362"/>
      <c r="AE60" s="362"/>
      <c r="AF60" s="362"/>
      <c r="AG60" s="362"/>
      <c r="AH60" s="362"/>
      <c r="AI60" s="362"/>
      <c r="AJ60" s="362"/>
      <c r="AK60" s="362"/>
      <c r="AL60" s="362"/>
      <c r="AM60" s="362"/>
      <c r="AN60" s="362"/>
      <c r="AO60" s="362"/>
      <c r="AP60" s="362"/>
      <c r="AQ60" s="362"/>
      <c r="AR60" s="362"/>
      <c r="AS60" s="362"/>
      <c r="AT60" s="362"/>
      <c r="AU60" s="362"/>
      <c r="AV60" s="362"/>
      <c r="AW60" s="362"/>
      <c r="AX60" s="362"/>
      <c r="AY60" s="362"/>
      <c r="AZ60" s="362"/>
      <c r="BA60" s="362"/>
      <c r="BB60" s="362"/>
      <c r="BC60" s="362"/>
      <c r="BD60" s="362"/>
      <c r="BE60" s="362"/>
      <c r="BF60" s="362"/>
      <c r="BG60" s="362"/>
      <c r="BI60" s="341" t="s">
        <v>1235</v>
      </c>
    </row>
    <row r="61" spans="2:61" hidden="1" x14ac:dyDescent="0.2">
      <c r="B61" s="219">
        <f>IF(Capacity!N54="","",Capacity!N54)</f>
        <v>44412</v>
      </c>
      <c r="C61" s="220">
        <f>IF(B61="","",Capacity!Q54)</f>
        <v>1</v>
      </c>
      <c r="D61" s="309">
        <f>IF(B61="","",Capacity!R54)</f>
        <v>210</v>
      </c>
      <c r="E61" s="220">
        <f ca="1">IF(B61="","",IF(COUNTBLANK(H61:BG61)=52,SUM('Capacity calculation (hide)'!H149:BG149),52-COUNTBLANK(H61:BG61)))</f>
        <v>52</v>
      </c>
      <c r="F61" s="310">
        <f ca="1">'Capacity calculation (hide)'!BI149</f>
        <v>4.0384615384615383</v>
      </c>
      <c r="H61" s="362"/>
      <c r="I61" s="362"/>
      <c r="J61" s="362"/>
      <c r="K61" s="362"/>
      <c r="L61" s="362"/>
      <c r="M61" s="362"/>
      <c r="N61" s="362"/>
      <c r="O61" s="362"/>
      <c r="P61" s="362"/>
      <c r="Q61" s="362"/>
      <c r="R61" s="362"/>
      <c r="S61" s="362"/>
      <c r="T61" s="362"/>
      <c r="U61" s="362"/>
      <c r="V61" s="362"/>
      <c r="W61" s="362"/>
      <c r="X61" s="362"/>
      <c r="Y61" s="362"/>
      <c r="Z61" s="362"/>
      <c r="AA61" s="362"/>
      <c r="AB61" s="362"/>
      <c r="AC61" s="362"/>
      <c r="AD61" s="362"/>
      <c r="AE61" s="362"/>
      <c r="AF61" s="362"/>
      <c r="AG61" s="362"/>
      <c r="AH61" s="362"/>
      <c r="AI61" s="362"/>
      <c r="AJ61" s="362"/>
      <c r="AK61" s="362"/>
      <c r="AL61" s="362"/>
      <c r="AM61" s="362"/>
      <c r="AN61" s="362"/>
      <c r="AO61" s="362"/>
      <c r="AP61" s="362"/>
      <c r="AQ61" s="362"/>
      <c r="AR61" s="362"/>
      <c r="AS61" s="362"/>
      <c r="AT61" s="362"/>
      <c r="AU61" s="362"/>
      <c r="AV61" s="362"/>
      <c r="AW61" s="362"/>
      <c r="AX61" s="362"/>
      <c r="AY61" s="362"/>
      <c r="AZ61" s="362"/>
      <c r="BA61" s="362"/>
      <c r="BB61" s="362"/>
      <c r="BC61" s="362"/>
      <c r="BD61" s="362"/>
      <c r="BE61" s="362"/>
      <c r="BF61" s="362"/>
      <c r="BG61" s="362"/>
      <c r="BI61" s="341" t="s">
        <v>1235</v>
      </c>
    </row>
    <row r="62" spans="2:61" hidden="1" x14ac:dyDescent="0.2">
      <c r="B62" s="219">
        <f>IF(Capacity!N55="","",Capacity!N55)</f>
        <v>44413</v>
      </c>
      <c r="C62" s="220">
        <f>IF(B62="","",Capacity!Q55)</f>
        <v>1</v>
      </c>
      <c r="D62" s="309">
        <f>IF(B62="","",Capacity!R55)</f>
        <v>210</v>
      </c>
      <c r="E62" s="220">
        <f ca="1">IF(B62="","",IF(COUNTBLANK(H62:BG62)=52,SUM('Capacity calculation (hide)'!H150:BG150),52-COUNTBLANK(H62:BG62)))</f>
        <v>52</v>
      </c>
      <c r="F62" s="310">
        <f ca="1">'Capacity calculation (hide)'!BI150</f>
        <v>4.0384615384615383</v>
      </c>
      <c r="H62" s="362"/>
      <c r="I62" s="362"/>
      <c r="J62" s="362"/>
      <c r="K62" s="362"/>
      <c r="L62" s="362"/>
      <c r="M62" s="362"/>
      <c r="N62" s="362"/>
      <c r="O62" s="362"/>
      <c r="P62" s="362"/>
      <c r="Q62" s="362"/>
      <c r="R62" s="362"/>
      <c r="S62" s="362"/>
      <c r="T62" s="362"/>
      <c r="U62" s="362"/>
      <c r="V62" s="362"/>
      <c r="W62" s="362"/>
      <c r="X62" s="362"/>
      <c r="Y62" s="362"/>
      <c r="Z62" s="362"/>
      <c r="AA62" s="362"/>
      <c r="AB62" s="362"/>
      <c r="AC62" s="362"/>
      <c r="AD62" s="362"/>
      <c r="AE62" s="362"/>
      <c r="AF62" s="362"/>
      <c r="AG62" s="362"/>
      <c r="AH62" s="362"/>
      <c r="AI62" s="362"/>
      <c r="AJ62" s="362"/>
      <c r="AK62" s="362"/>
      <c r="AL62" s="362"/>
      <c r="AM62" s="362"/>
      <c r="AN62" s="362"/>
      <c r="AO62" s="362"/>
      <c r="AP62" s="362"/>
      <c r="AQ62" s="362"/>
      <c r="AR62" s="362"/>
      <c r="AS62" s="362"/>
      <c r="AT62" s="362"/>
      <c r="AU62" s="362"/>
      <c r="AV62" s="362"/>
      <c r="AW62" s="362"/>
      <c r="AX62" s="362"/>
      <c r="AY62" s="362"/>
      <c r="AZ62" s="362"/>
      <c r="BA62" s="362"/>
      <c r="BB62" s="362"/>
      <c r="BC62" s="362"/>
      <c r="BD62" s="362"/>
      <c r="BE62" s="362"/>
      <c r="BF62" s="362"/>
      <c r="BG62" s="362"/>
      <c r="BI62" s="341" t="s">
        <v>1235</v>
      </c>
    </row>
    <row r="63" spans="2:61" hidden="1" x14ac:dyDescent="0.2">
      <c r="B63" s="219">
        <f>IF(Capacity!N56="","",Capacity!N56)</f>
        <v>44415</v>
      </c>
      <c r="C63" s="220">
        <f>IF(B63="","",Capacity!Q56)</f>
        <v>1</v>
      </c>
      <c r="D63" s="309">
        <f>IF(B63="","",Capacity!R56)</f>
        <v>660</v>
      </c>
      <c r="E63" s="220">
        <f ca="1">IF(B63="","",IF(COUNTBLANK(H63:BG63)=52,SUM('Capacity calculation (hide)'!H151:BG151),52-COUNTBLANK(H63:BG63)))</f>
        <v>52</v>
      </c>
      <c r="F63" s="310">
        <f ca="1">'Capacity calculation (hide)'!BI151</f>
        <v>12.692307692307692</v>
      </c>
      <c r="H63" s="362"/>
      <c r="I63" s="362"/>
      <c r="J63" s="362"/>
      <c r="K63" s="362"/>
      <c r="L63" s="362"/>
      <c r="M63" s="362"/>
      <c r="N63" s="362"/>
      <c r="O63" s="362"/>
      <c r="P63" s="362"/>
      <c r="Q63" s="362"/>
      <c r="R63" s="362"/>
      <c r="S63" s="362"/>
      <c r="T63" s="362"/>
      <c r="U63" s="362"/>
      <c r="V63" s="362"/>
      <c r="W63" s="362"/>
      <c r="X63" s="362"/>
      <c r="Y63" s="362"/>
      <c r="Z63" s="362"/>
      <c r="AA63" s="362"/>
      <c r="AB63" s="362"/>
      <c r="AC63" s="362"/>
      <c r="AD63" s="362"/>
      <c r="AE63" s="362"/>
      <c r="AF63" s="362"/>
      <c r="AG63" s="362"/>
      <c r="AH63" s="362"/>
      <c r="AI63" s="362"/>
      <c r="AJ63" s="362"/>
      <c r="AK63" s="362"/>
      <c r="AL63" s="362"/>
      <c r="AM63" s="362"/>
      <c r="AN63" s="362"/>
      <c r="AO63" s="362"/>
      <c r="AP63" s="362"/>
      <c r="AQ63" s="362"/>
      <c r="AR63" s="362"/>
      <c r="AS63" s="362"/>
      <c r="AT63" s="362"/>
      <c r="AU63" s="362"/>
      <c r="AV63" s="362"/>
      <c r="AW63" s="362"/>
      <c r="AX63" s="362"/>
      <c r="AY63" s="362"/>
      <c r="AZ63" s="362"/>
      <c r="BA63" s="362"/>
      <c r="BB63" s="362"/>
      <c r="BC63" s="362"/>
      <c r="BD63" s="362"/>
      <c r="BE63" s="362"/>
      <c r="BF63" s="362"/>
      <c r="BG63" s="362"/>
      <c r="BI63" s="341" t="s">
        <v>1235</v>
      </c>
    </row>
    <row r="64" spans="2:61" hidden="1" x14ac:dyDescent="0.2">
      <c r="B64" s="219">
        <f>IF(Capacity!N57="","",Capacity!N57)</f>
        <v>44416</v>
      </c>
      <c r="C64" s="220">
        <f>IF(B64="","",Capacity!Q57)</f>
        <v>1</v>
      </c>
      <c r="D64" s="309">
        <f>IF(B64="","",Capacity!R57)</f>
        <v>660</v>
      </c>
      <c r="E64" s="220">
        <f ca="1">IF(B64="","",IF(COUNTBLANK(H64:BG64)=52,SUM('Capacity calculation (hide)'!H152:BG152),52-COUNTBLANK(H64:BG64)))</f>
        <v>52</v>
      </c>
      <c r="F64" s="310">
        <f ca="1">'Capacity calculation (hide)'!BI152</f>
        <v>12.692307692307692</v>
      </c>
      <c r="H64" s="362"/>
      <c r="I64" s="362"/>
      <c r="J64" s="362"/>
      <c r="K64" s="362"/>
      <c r="L64" s="362"/>
      <c r="M64" s="362"/>
      <c r="N64" s="362"/>
      <c r="O64" s="362"/>
      <c r="P64" s="362"/>
      <c r="Q64" s="362"/>
      <c r="R64" s="362"/>
      <c r="S64" s="362"/>
      <c r="T64" s="362"/>
      <c r="U64" s="362"/>
      <c r="V64" s="362"/>
      <c r="W64" s="362"/>
      <c r="X64" s="362"/>
      <c r="Y64" s="362"/>
      <c r="Z64" s="362"/>
      <c r="AA64" s="362"/>
      <c r="AB64" s="362"/>
      <c r="AC64" s="362"/>
      <c r="AD64" s="362"/>
      <c r="AE64" s="362"/>
      <c r="AF64" s="362"/>
      <c r="AG64" s="362"/>
      <c r="AH64" s="362"/>
      <c r="AI64" s="362"/>
      <c r="AJ64" s="362"/>
      <c r="AK64" s="362"/>
      <c r="AL64" s="362"/>
      <c r="AM64" s="362"/>
      <c r="AN64" s="362"/>
      <c r="AO64" s="362"/>
      <c r="AP64" s="362"/>
      <c r="AQ64" s="362"/>
      <c r="AR64" s="362"/>
      <c r="AS64" s="362"/>
      <c r="AT64" s="362"/>
      <c r="AU64" s="362"/>
      <c r="AV64" s="362"/>
      <c r="AW64" s="362"/>
      <c r="AX64" s="362"/>
      <c r="AY64" s="362"/>
      <c r="AZ64" s="362"/>
      <c r="BA64" s="362"/>
      <c r="BB64" s="362"/>
      <c r="BC64" s="362"/>
      <c r="BD64" s="362"/>
      <c r="BE64" s="362"/>
      <c r="BF64" s="362"/>
      <c r="BG64" s="362"/>
      <c r="BI64" s="341" t="s">
        <v>1235</v>
      </c>
    </row>
    <row r="65" spans="2:61" hidden="1" x14ac:dyDescent="0.2">
      <c r="B65" s="219">
        <f>IF(Capacity!N58="","",Capacity!N58)</f>
        <v>44416</v>
      </c>
      <c r="C65" s="220">
        <f>IF(B65="","",Capacity!Q58)</f>
        <v>1</v>
      </c>
      <c r="D65" s="309">
        <f>IF(B65="","",Capacity!R58)</f>
        <v>660</v>
      </c>
      <c r="E65" s="220">
        <f ca="1">IF(B65="","",IF(COUNTBLANK(H65:BG65)=52,SUM('Capacity calculation (hide)'!H153:BG153),52-COUNTBLANK(H65:BG65)))</f>
        <v>52</v>
      </c>
      <c r="F65" s="310">
        <f ca="1">'Capacity calculation (hide)'!BI153</f>
        <v>12.692307692307692</v>
      </c>
      <c r="H65" s="362"/>
      <c r="I65" s="362"/>
      <c r="J65" s="362"/>
      <c r="K65" s="362"/>
      <c r="L65" s="362"/>
      <c r="M65" s="362"/>
      <c r="N65" s="362"/>
      <c r="O65" s="362"/>
      <c r="P65" s="362"/>
      <c r="Q65" s="362"/>
      <c r="R65" s="362"/>
      <c r="S65" s="362"/>
      <c r="T65" s="362"/>
      <c r="U65" s="362"/>
      <c r="V65" s="362"/>
      <c r="W65" s="362"/>
      <c r="X65" s="362"/>
      <c r="Y65" s="362"/>
      <c r="Z65" s="362"/>
      <c r="AA65" s="362"/>
      <c r="AB65" s="362"/>
      <c r="AC65" s="362"/>
      <c r="AD65" s="362"/>
      <c r="AE65" s="362"/>
      <c r="AF65" s="362"/>
      <c r="AG65" s="362"/>
      <c r="AH65" s="362"/>
      <c r="AI65" s="362"/>
      <c r="AJ65" s="362"/>
      <c r="AK65" s="362"/>
      <c r="AL65" s="362"/>
      <c r="AM65" s="362"/>
      <c r="AN65" s="362"/>
      <c r="AO65" s="362"/>
      <c r="AP65" s="362"/>
      <c r="AQ65" s="362"/>
      <c r="AR65" s="362"/>
      <c r="AS65" s="362"/>
      <c r="AT65" s="362"/>
      <c r="AU65" s="362"/>
      <c r="AV65" s="362"/>
      <c r="AW65" s="362"/>
      <c r="AX65" s="362"/>
      <c r="AY65" s="362"/>
      <c r="AZ65" s="362"/>
      <c r="BA65" s="362"/>
      <c r="BB65" s="362"/>
      <c r="BC65" s="362"/>
      <c r="BD65" s="362"/>
      <c r="BE65" s="362"/>
      <c r="BF65" s="362"/>
      <c r="BG65" s="362"/>
      <c r="BI65" s="341" t="s">
        <v>1235</v>
      </c>
    </row>
    <row r="66" spans="2:61" hidden="1" x14ac:dyDescent="0.2">
      <c r="B66" s="219">
        <f>IF(Capacity!N59="","",Capacity!N59)</f>
        <v>44417</v>
      </c>
      <c r="C66" s="220">
        <f>IF(B66="","",Capacity!Q59)</f>
        <v>1</v>
      </c>
      <c r="D66" s="309">
        <f>IF(B66="","",Capacity!R59)</f>
        <v>210</v>
      </c>
      <c r="E66" s="220">
        <f ca="1">IF(B66="","",IF(COUNTBLANK(H66:BG66)=52,SUM('Capacity calculation (hide)'!H154:BG154),52-COUNTBLANK(H66:BG66)))</f>
        <v>52</v>
      </c>
      <c r="F66" s="310">
        <f ca="1">'Capacity calculation (hide)'!BI154</f>
        <v>4.0384615384615383</v>
      </c>
      <c r="H66" s="362"/>
      <c r="I66" s="362"/>
      <c r="J66" s="362"/>
      <c r="K66" s="362"/>
      <c r="L66" s="362"/>
      <c r="M66" s="362"/>
      <c r="N66" s="362"/>
      <c r="O66" s="362"/>
      <c r="P66" s="362"/>
      <c r="Q66" s="362"/>
      <c r="R66" s="362"/>
      <c r="S66" s="362"/>
      <c r="T66" s="362"/>
      <c r="U66" s="362"/>
      <c r="V66" s="362"/>
      <c r="W66" s="362"/>
      <c r="X66" s="362"/>
      <c r="Y66" s="362"/>
      <c r="Z66" s="362"/>
      <c r="AA66" s="362"/>
      <c r="AB66" s="362"/>
      <c r="AC66" s="362"/>
      <c r="AD66" s="362"/>
      <c r="AE66" s="362"/>
      <c r="AF66" s="362"/>
      <c r="AG66" s="362"/>
      <c r="AH66" s="362"/>
      <c r="AI66" s="362"/>
      <c r="AJ66" s="362"/>
      <c r="AK66" s="362"/>
      <c r="AL66" s="362"/>
      <c r="AM66" s="362"/>
      <c r="AN66" s="362"/>
      <c r="AO66" s="362"/>
      <c r="AP66" s="362"/>
      <c r="AQ66" s="362"/>
      <c r="AR66" s="362"/>
      <c r="AS66" s="362"/>
      <c r="AT66" s="362"/>
      <c r="AU66" s="362"/>
      <c r="AV66" s="362"/>
      <c r="AW66" s="362"/>
      <c r="AX66" s="362"/>
      <c r="AY66" s="362"/>
      <c r="AZ66" s="362"/>
      <c r="BA66" s="362"/>
      <c r="BB66" s="362"/>
      <c r="BC66" s="362"/>
      <c r="BD66" s="362"/>
      <c r="BE66" s="362"/>
      <c r="BF66" s="362"/>
      <c r="BG66" s="362"/>
      <c r="BI66" s="341" t="s">
        <v>1235</v>
      </c>
    </row>
    <row r="67" spans="2:61" hidden="1" x14ac:dyDescent="0.2">
      <c r="B67" s="219">
        <f>IF(Capacity!N60="","",Capacity!N60)</f>
        <v>44418</v>
      </c>
      <c r="C67" s="220">
        <f>IF(B67="","",Capacity!Q60)</f>
        <v>1</v>
      </c>
      <c r="D67" s="309">
        <f>IF(B67="","",Capacity!R60)</f>
        <v>660</v>
      </c>
      <c r="E67" s="220">
        <f ca="1">IF(B67="","",IF(COUNTBLANK(H67:BG67)=52,SUM('Capacity calculation (hide)'!H155:BG155),52-COUNTBLANK(H67:BG67)))</f>
        <v>52</v>
      </c>
      <c r="F67" s="310">
        <f ca="1">'Capacity calculation (hide)'!BI155</f>
        <v>12.692307692307692</v>
      </c>
      <c r="H67" s="362"/>
      <c r="I67" s="362"/>
      <c r="J67" s="362"/>
      <c r="K67" s="362"/>
      <c r="L67" s="362"/>
      <c r="M67" s="362"/>
      <c r="N67" s="362"/>
      <c r="O67" s="362"/>
      <c r="P67" s="362"/>
      <c r="Q67" s="362"/>
      <c r="R67" s="362"/>
      <c r="S67" s="362"/>
      <c r="T67" s="362"/>
      <c r="U67" s="362"/>
      <c r="V67" s="362"/>
      <c r="W67" s="362"/>
      <c r="X67" s="362"/>
      <c r="Y67" s="362"/>
      <c r="Z67" s="362"/>
      <c r="AA67" s="362"/>
      <c r="AB67" s="362"/>
      <c r="AC67" s="362"/>
      <c r="AD67" s="362"/>
      <c r="AE67" s="362"/>
      <c r="AF67" s="362"/>
      <c r="AG67" s="362"/>
      <c r="AH67" s="362"/>
      <c r="AI67" s="362"/>
      <c r="AJ67" s="362"/>
      <c r="AK67" s="362"/>
      <c r="AL67" s="362"/>
      <c r="AM67" s="362"/>
      <c r="AN67" s="362"/>
      <c r="AO67" s="362"/>
      <c r="AP67" s="362"/>
      <c r="AQ67" s="362"/>
      <c r="AR67" s="362"/>
      <c r="AS67" s="362"/>
      <c r="AT67" s="362"/>
      <c r="AU67" s="362"/>
      <c r="AV67" s="362"/>
      <c r="AW67" s="362"/>
      <c r="AX67" s="362"/>
      <c r="AY67" s="362"/>
      <c r="AZ67" s="362"/>
      <c r="BA67" s="362"/>
      <c r="BB67" s="362"/>
      <c r="BC67" s="362"/>
      <c r="BD67" s="362"/>
      <c r="BE67" s="362"/>
      <c r="BF67" s="362"/>
      <c r="BG67" s="362"/>
      <c r="BI67" s="341" t="s">
        <v>1235</v>
      </c>
    </row>
    <row r="68" spans="2:61" hidden="1" x14ac:dyDescent="0.2">
      <c r="B68" s="219">
        <f>IF(Capacity!N61="","",Capacity!N61)</f>
        <v>44419</v>
      </c>
      <c r="C68" s="220">
        <f>IF(B68="","",Capacity!Q61)</f>
        <v>1</v>
      </c>
      <c r="D68" s="309">
        <f>IF(B68="","",Capacity!R61)</f>
        <v>660</v>
      </c>
      <c r="E68" s="220">
        <f ca="1">IF(B68="","",IF(COUNTBLANK(H68:BG68)=52,SUM('Capacity calculation (hide)'!H156:BG156),52-COUNTBLANK(H68:BG68)))</f>
        <v>52</v>
      </c>
      <c r="F68" s="310">
        <f ca="1">'Capacity calculation (hide)'!BI156</f>
        <v>12.692307692307692</v>
      </c>
      <c r="H68" s="362"/>
      <c r="I68" s="362"/>
      <c r="J68" s="362"/>
      <c r="K68" s="362"/>
      <c r="L68" s="362"/>
      <c r="M68" s="362"/>
      <c r="N68" s="362"/>
      <c r="O68" s="362"/>
      <c r="P68" s="362"/>
      <c r="Q68" s="362"/>
      <c r="R68" s="362"/>
      <c r="S68" s="362"/>
      <c r="T68" s="362"/>
      <c r="U68" s="362"/>
      <c r="V68" s="362"/>
      <c r="W68" s="362"/>
      <c r="X68" s="362"/>
      <c r="Y68" s="362"/>
      <c r="Z68" s="362"/>
      <c r="AA68" s="362"/>
      <c r="AB68" s="362"/>
      <c r="AC68" s="362"/>
      <c r="AD68" s="362"/>
      <c r="AE68" s="362"/>
      <c r="AF68" s="362"/>
      <c r="AG68" s="362"/>
      <c r="AH68" s="362"/>
      <c r="AI68" s="362"/>
      <c r="AJ68" s="362"/>
      <c r="AK68" s="362"/>
      <c r="AL68" s="362"/>
      <c r="AM68" s="362"/>
      <c r="AN68" s="362"/>
      <c r="AO68" s="362"/>
      <c r="AP68" s="362"/>
      <c r="AQ68" s="362"/>
      <c r="AR68" s="362"/>
      <c r="AS68" s="362"/>
      <c r="AT68" s="362"/>
      <c r="AU68" s="362"/>
      <c r="AV68" s="362"/>
      <c r="AW68" s="362"/>
      <c r="AX68" s="362"/>
      <c r="AY68" s="362"/>
      <c r="AZ68" s="362"/>
      <c r="BA68" s="362"/>
      <c r="BB68" s="362"/>
      <c r="BC68" s="362"/>
      <c r="BD68" s="362"/>
      <c r="BE68" s="362"/>
      <c r="BF68" s="362"/>
      <c r="BG68" s="362"/>
      <c r="BI68" s="341" t="s">
        <v>1235</v>
      </c>
    </row>
    <row r="69" spans="2:61" hidden="1" x14ac:dyDescent="0.2">
      <c r="B69" s="219">
        <f>IF(Capacity!N62="","",Capacity!N62)</f>
        <v>44420</v>
      </c>
      <c r="C69" s="220">
        <f>IF(B69="","",Capacity!Q62)</f>
        <v>1</v>
      </c>
      <c r="D69" s="309">
        <f>IF(B69="","",Capacity!R62)</f>
        <v>210</v>
      </c>
      <c r="E69" s="220">
        <f ca="1">IF(B69="","",IF(COUNTBLANK(H69:BG69)=52,SUM('Capacity calculation (hide)'!H157:BG157),52-COUNTBLANK(H69:BG69)))</f>
        <v>52</v>
      </c>
      <c r="F69" s="310">
        <f ca="1">'Capacity calculation (hide)'!BI157</f>
        <v>4.0384615384615383</v>
      </c>
      <c r="H69" s="362"/>
      <c r="I69" s="362"/>
      <c r="J69" s="362"/>
      <c r="K69" s="362"/>
      <c r="L69" s="362"/>
      <c r="M69" s="362"/>
      <c r="N69" s="362"/>
      <c r="O69" s="362"/>
      <c r="P69" s="362"/>
      <c r="Q69" s="362"/>
      <c r="R69" s="362"/>
      <c r="S69" s="362"/>
      <c r="T69" s="362"/>
      <c r="U69" s="362"/>
      <c r="V69" s="362"/>
      <c r="W69" s="362"/>
      <c r="X69" s="362"/>
      <c r="Y69" s="362"/>
      <c r="Z69" s="362"/>
      <c r="AA69" s="362"/>
      <c r="AB69" s="362"/>
      <c r="AC69" s="362"/>
      <c r="AD69" s="362"/>
      <c r="AE69" s="362"/>
      <c r="AF69" s="362"/>
      <c r="AG69" s="362"/>
      <c r="AH69" s="362"/>
      <c r="AI69" s="362"/>
      <c r="AJ69" s="362"/>
      <c r="AK69" s="362"/>
      <c r="AL69" s="362"/>
      <c r="AM69" s="362"/>
      <c r="AN69" s="362"/>
      <c r="AO69" s="362"/>
      <c r="AP69" s="362"/>
      <c r="AQ69" s="362"/>
      <c r="AR69" s="362"/>
      <c r="AS69" s="362"/>
      <c r="AT69" s="362"/>
      <c r="AU69" s="362"/>
      <c r="AV69" s="362"/>
      <c r="AW69" s="362"/>
      <c r="AX69" s="362"/>
      <c r="AY69" s="362"/>
      <c r="AZ69" s="362"/>
      <c r="BA69" s="362"/>
      <c r="BB69" s="362"/>
      <c r="BC69" s="362"/>
      <c r="BD69" s="362"/>
      <c r="BE69" s="362"/>
      <c r="BF69" s="362"/>
      <c r="BG69" s="362"/>
      <c r="BI69" s="341" t="s">
        <v>1235</v>
      </c>
    </row>
    <row r="70" spans="2:61" hidden="1" x14ac:dyDescent="0.2">
      <c r="B70" s="219">
        <f>IF(Capacity!N63="","",Capacity!N63)</f>
        <v>44423</v>
      </c>
      <c r="C70" s="220">
        <f>IF(B70="","",Capacity!Q63)</f>
        <v>1</v>
      </c>
      <c r="D70" s="309">
        <f>IF(B70="","",Capacity!R63)</f>
        <v>240</v>
      </c>
      <c r="E70" s="220">
        <f ca="1">IF(B70="","",IF(COUNTBLANK(H70:BG70)=52,SUM('Capacity calculation (hide)'!H158:BG158),52-COUNTBLANK(H70:BG70)))</f>
        <v>52</v>
      </c>
      <c r="F70" s="310">
        <f ca="1">'Capacity calculation (hide)'!BI158</f>
        <v>4.615384615384615</v>
      </c>
      <c r="H70" s="362"/>
      <c r="I70" s="362"/>
      <c r="J70" s="362"/>
      <c r="K70" s="362"/>
      <c r="L70" s="362"/>
      <c r="M70" s="362"/>
      <c r="N70" s="362"/>
      <c r="O70" s="362"/>
      <c r="P70" s="362"/>
      <c r="Q70" s="362"/>
      <c r="R70" s="362"/>
      <c r="S70" s="362"/>
      <c r="T70" s="362"/>
      <c r="U70" s="362"/>
      <c r="V70" s="362"/>
      <c r="W70" s="362"/>
      <c r="X70" s="362"/>
      <c r="Y70" s="362"/>
      <c r="Z70" s="362"/>
      <c r="AA70" s="362"/>
      <c r="AB70" s="362"/>
      <c r="AC70" s="362"/>
      <c r="AD70" s="362"/>
      <c r="AE70" s="362"/>
      <c r="AF70" s="362"/>
      <c r="AG70" s="362"/>
      <c r="AH70" s="362"/>
      <c r="AI70" s="362"/>
      <c r="AJ70" s="362"/>
      <c r="AK70" s="362"/>
      <c r="AL70" s="362"/>
      <c r="AM70" s="362"/>
      <c r="AN70" s="362"/>
      <c r="AO70" s="362"/>
      <c r="AP70" s="362"/>
      <c r="AQ70" s="362"/>
      <c r="AR70" s="362"/>
      <c r="AS70" s="362"/>
      <c r="AT70" s="362"/>
      <c r="AU70" s="362"/>
      <c r="AV70" s="362"/>
      <c r="AW70" s="362"/>
      <c r="AX70" s="362"/>
      <c r="AY70" s="362"/>
      <c r="AZ70" s="362"/>
      <c r="BA70" s="362"/>
      <c r="BB70" s="362"/>
      <c r="BC70" s="362"/>
      <c r="BD70" s="362"/>
      <c r="BE70" s="362"/>
      <c r="BF70" s="362"/>
      <c r="BG70" s="362"/>
      <c r="BI70" s="341" t="s">
        <v>1235</v>
      </c>
    </row>
    <row r="71" spans="2:61" hidden="1" x14ac:dyDescent="0.2">
      <c r="B71" s="219">
        <f>IF(Capacity!N64="","",Capacity!N64)</f>
        <v>44423</v>
      </c>
      <c r="C71" s="220">
        <f>IF(B71="","",Capacity!Q64)</f>
        <v>1</v>
      </c>
      <c r="D71" s="309">
        <f>IF(B71="","",Capacity!R64)</f>
        <v>720</v>
      </c>
      <c r="E71" s="220">
        <f ca="1">IF(B71="","",IF(COUNTBLANK(H71:BG71)=52,SUM('Capacity calculation (hide)'!H159:BG159),52-COUNTBLANK(H71:BG71)))</f>
        <v>52</v>
      </c>
      <c r="F71" s="310">
        <f ca="1">'Capacity calculation (hide)'!BI159</f>
        <v>13.846153846153847</v>
      </c>
      <c r="H71" s="362"/>
      <c r="I71" s="362"/>
      <c r="J71" s="362"/>
      <c r="K71" s="362"/>
      <c r="L71" s="362"/>
      <c r="M71" s="362"/>
      <c r="N71" s="362"/>
      <c r="O71" s="362"/>
      <c r="P71" s="362"/>
      <c r="Q71" s="362"/>
      <c r="R71" s="362"/>
      <c r="S71" s="362"/>
      <c r="T71" s="362"/>
      <c r="U71" s="362"/>
      <c r="V71" s="362"/>
      <c r="W71" s="362"/>
      <c r="X71" s="362"/>
      <c r="Y71" s="362"/>
      <c r="Z71" s="362"/>
      <c r="AA71" s="362"/>
      <c r="AB71" s="362"/>
      <c r="AC71" s="362"/>
      <c r="AD71" s="362"/>
      <c r="AE71" s="362"/>
      <c r="AF71" s="362"/>
      <c r="AG71" s="362"/>
      <c r="AH71" s="362"/>
      <c r="AI71" s="362"/>
      <c r="AJ71" s="362"/>
      <c r="AK71" s="362"/>
      <c r="AL71" s="362"/>
      <c r="AM71" s="362"/>
      <c r="AN71" s="362"/>
      <c r="AO71" s="362"/>
      <c r="AP71" s="362"/>
      <c r="AQ71" s="362"/>
      <c r="AR71" s="362"/>
      <c r="AS71" s="362"/>
      <c r="AT71" s="362"/>
      <c r="AU71" s="362"/>
      <c r="AV71" s="362"/>
      <c r="AW71" s="362"/>
      <c r="AX71" s="362"/>
      <c r="AY71" s="362"/>
      <c r="AZ71" s="362"/>
      <c r="BA71" s="362"/>
      <c r="BB71" s="362"/>
      <c r="BC71" s="362"/>
      <c r="BD71" s="362"/>
      <c r="BE71" s="362"/>
      <c r="BF71" s="362"/>
      <c r="BG71" s="362"/>
      <c r="BI71" s="341" t="s">
        <v>1235</v>
      </c>
    </row>
    <row r="72" spans="2:61" hidden="1" x14ac:dyDescent="0.2">
      <c r="B72" s="219">
        <f>IF(Capacity!N65="","",Capacity!N65)</f>
        <v>44425</v>
      </c>
      <c r="C72" s="220">
        <f>IF(B72="","",Capacity!Q65)</f>
        <v>1</v>
      </c>
      <c r="D72" s="309">
        <f>IF(B72="","",Capacity!R65)</f>
        <v>210</v>
      </c>
      <c r="E72" s="220">
        <f ca="1">IF(B72="","",IF(COUNTBLANK(H72:BG72)=52,SUM('Capacity calculation (hide)'!H160:BG160),52-COUNTBLANK(H72:BG72)))</f>
        <v>52</v>
      </c>
      <c r="F72" s="310">
        <f ca="1">'Capacity calculation (hide)'!BI160</f>
        <v>4.0384615384615383</v>
      </c>
      <c r="H72" s="362"/>
      <c r="I72" s="362"/>
      <c r="J72" s="362"/>
      <c r="K72" s="362"/>
      <c r="L72" s="362"/>
      <c r="M72" s="362"/>
      <c r="N72" s="362"/>
      <c r="O72" s="362"/>
      <c r="P72" s="362"/>
      <c r="Q72" s="362"/>
      <c r="R72" s="362"/>
      <c r="S72" s="362"/>
      <c r="T72" s="362"/>
      <c r="U72" s="362"/>
      <c r="V72" s="362"/>
      <c r="W72" s="362"/>
      <c r="X72" s="362"/>
      <c r="Y72" s="362"/>
      <c r="Z72" s="362"/>
      <c r="AA72" s="362"/>
      <c r="AB72" s="362"/>
      <c r="AC72" s="362"/>
      <c r="AD72" s="362"/>
      <c r="AE72" s="362"/>
      <c r="AF72" s="362"/>
      <c r="AG72" s="362"/>
      <c r="AH72" s="362"/>
      <c r="AI72" s="362"/>
      <c r="AJ72" s="362"/>
      <c r="AK72" s="362"/>
      <c r="AL72" s="362"/>
      <c r="AM72" s="362"/>
      <c r="AN72" s="362"/>
      <c r="AO72" s="362"/>
      <c r="AP72" s="362"/>
      <c r="AQ72" s="362"/>
      <c r="AR72" s="362"/>
      <c r="AS72" s="362"/>
      <c r="AT72" s="362"/>
      <c r="AU72" s="362"/>
      <c r="AV72" s="362"/>
      <c r="AW72" s="362"/>
      <c r="AX72" s="362"/>
      <c r="AY72" s="362"/>
      <c r="AZ72" s="362"/>
      <c r="BA72" s="362"/>
      <c r="BB72" s="362"/>
      <c r="BC72" s="362"/>
      <c r="BD72" s="362"/>
      <c r="BE72" s="362"/>
      <c r="BF72" s="362"/>
      <c r="BG72" s="362"/>
      <c r="BI72" s="341" t="s">
        <v>1235</v>
      </c>
    </row>
    <row r="73" spans="2:61" hidden="1" x14ac:dyDescent="0.2">
      <c r="B73" s="219">
        <f>IF(Capacity!N66="","",Capacity!N66)</f>
        <v>44425</v>
      </c>
      <c r="C73" s="220">
        <f>IF(B73="","",Capacity!Q66)</f>
        <v>1</v>
      </c>
      <c r="D73" s="309">
        <f>IF(B73="","",Capacity!R66)</f>
        <v>660</v>
      </c>
      <c r="E73" s="220">
        <f ca="1">IF(B73="","",IF(COUNTBLANK(H73:BG73)=52,SUM('Capacity calculation (hide)'!H161:BG161),52-COUNTBLANK(H73:BG73)))</f>
        <v>52</v>
      </c>
      <c r="F73" s="310">
        <f ca="1">'Capacity calculation (hide)'!BI161</f>
        <v>12.692307692307692</v>
      </c>
      <c r="H73" s="362"/>
      <c r="I73" s="362"/>
      <c r="J73" s="362"/>
      <c r="K73" s="362"/>
      <c r="L73" s="362"/>
      <c r="M73" s="362"/>
      <c r="N73" s="362"/>
      <c r="O73" s="362"/>
      <c r="P73" s="362"/>
      <c r="Q73" s="362"/>
      <c r="R73" s="362"/>
      <c r="S73" s="362"/>
      <c r="T73" s="362"/>
      <c r="U73" s="362"/>
      <c r="V73" s="362"/>
      <c r="W73" s="362"/>
      <c r="X73" s="362"/>
      <c r="Y73" s="362"/>
      <c r="Z73" s="362"/>
      <c r="AA73" s="362"/>
      <c r="AB73" s="362"/>
      <c r="AC73" s="362"/>
      <c r="AD73" s="362"/>
      <c r="AE73" s="362"/>
      <c r="AF73" s="362"/>
      <c r="AG73" s="362"/>
      <c r="AH73" s="362"/>
      <c r="AI73" s="362"/>
      <c r="AJ73" s="362"/>
      <c r="AK73" s="362"/>
      <c r="AL73" s="362"/>
      <c r="AM73" s="362"/>
      <c r="AN73" s="362"/>
      <c r="AO73" s="362"/>
      <c r="AP73" s="362"/>
      <c r="AQ73" s="362"/>
      <c r="AR73" s="362"/>
      <c r="AS73" s="362"/>
      <c r="AT73" s="362"/>
      <c r="AU73" s="362"/>
      <c r="AV73" s="362"/>
      <c r="AW73" s="362"/>
      <c r="AX73" s="362"/>
      <c r="AY73" s="362"/>
      <c r="AZ73" s="362"/>
      <c r="BA73" s="362"/>
      <c r="BB73" s="362"/>
      <c r="BC73" s="362"/>
      <c r="BD73" s="362"/>
      <c r="BE73" s="362"/>
      <c r="BF73" s="362"/>
      <c r="BG73" s="362"/>
      <c r="BI73" s="341" t="s">
        <v>1235</v>
      </c>
    </row>
    <row r="74" spans="2:61" hidden="1" x14ac:dyDescent="0.2">
      <c r="B74" s="219">
        <f>IF(Capacity!N67="","",Capacity!N67)</f>
        <v>44426</v>
      </c>
      <c r="C74" s="220">
        <f>IF(B74="","",Capacity!Q67)</f>
        <v>1</v>
      </c>
      <c r="D74" s="309">
        <f>IF(B74="","",Capacity!R67)</f>
        <v>210</v>
      </c>
      <c r="E74" s="220">
        <f ca="1">IF(B74="","",IF(COUNTBLANK(H74:BG74)=52,SUM('Capacity calculation (hide)'!H162:BG162),52-COUNTBLANK(H74:BG74)))</f>
        <v>52</v>
      </c>
      <c r="F74" s="310">
        <f ca="1">'Capacity calculation (hide)'!BI162</f>
        <v>4.0384615384615383</v>
      </c>
      <c r="H74" s="362"/>
      <c r="I74" s="362"/>
      <c r="J74" s="362"/>
      <c r="K74" s="362"/>
      <c r="L74" s="362"/>
      <c r="M74" s="362"/>
      <c r="N74" s="362"/>
      <c r="O74" s="362"/>
      <c r="P74" s="362"/>
      <c r="Q74" s="362"/>
      <c r="R74" s="362"/>
      <c r="S74" s="362"/>
      <c r="T74" s="362"/>
      <c r="U74" s="362"/>
      <c r="V74" s="362"/>
      <c r="W74" s="362"/>
      <c r="X74" s="362"/>
      <c r="Y74" s="362"/>
      <c r="Z74" s="362"/>
      <c r="AA74" s="362"/>
      <c r="AB74" s="362"/>
      <c r="AC74" s="362"/>
      <c r="AD74" s="362"/>
      <c r="AE74" s="362"/>
      <c r="AF74" s="362"/>
      <c r="AG74" s="362"/>
      <c r="AH74" s="362"/>
      <c r="AI74" s="362"/>
      <c r="AJ74" s="362"/>
      <c r="AK74" s="362"/>
      <c r="AL74" s="362"/>
      <c r="AM74" s="362"/>
      <c r="AN74" s="362"/>
      <c r="AO74" s="362"/>
      <c r="AP74" s="362"/>
      <c r="AQ74" s="362"/>
      <c r="AR74" s="362"/>
      <c r="AS74" s="362"/>
      <c r="AT74" s="362"/>
      <c r="AU74" s="362"/>
      <c r="AV74" s="362"/>
      <c r="AW74" s="362"/>
      <c r="AX74" s="362"/>
      <c r="AY74" s="362"/>
      <c r="AZ74" s="362"/>
      <c r="BA74" s="362"/>
      <c r="BB74" s="362"/>
      <c r="BC74" s="362"/>
      <c r="BD74" s="362"/>
      <c r="BE74" s="362"/>
      <c r="BF74" s="362"/>
      <c r="BG74" s="362"/>
      <c r="BI74" s="341" t="s">
        <v>1235</v>
      </c>
    </row>
    <row r="75" spans="2:61" hidden="1" x14ac:dyDescent="0.2">
      <c r="B75" s="219">
        <f>IF(Capacity!N68="","",Capacity!N68)</f>
        <v>44427</v>
      </c>
      <c r="C75" s="220">
        <f>IF(B75="","",Capacity!Q68)</f>
        <v>1</v>
      </c>
      <c r="D75" s="309">
        <f>IF(B75="","",Capacity!R68)</f>
        <v>210</v>
      </c>
      <c r="E75" s="220">
        <f ca="1">IF(B75="","",IF(COUNTBLANK(H75:BG75)=52,SUM('Capacity calculation (hide)'!H163:BG163),52-COUNTBLANK(H75:BG75)))</f>
        <v>52</v>
      </c>
      <c r="F75" s="310">
        <f ca="1">'Capacity calculation (hide)'!BI163</f>
        <v>4.0384615384615383</v>
      </c>
      <c r="H75" s="362"/>
      <c r="I75" s="362"/>
      <c r="J75" s="362"/>
      <c r="K75" s="362"/>
      <c r="L75" s="362"/>
      <c r="M75" s="362"/>
      <c r="N75" s="362"/>
      <c r="O75" s="362"/>
      <c r="P75" s="362"/>
      <c r="Q75" s="362"/>
      <c r="R75" s="362"/>
      <c r="S75" s="362"/>
      <c r="T75" s="362"/>
      <c r="U75" s="362"/>
      <c r="V75" s="362"/>
      <c r="W75" s="362"/>
      <c r="X75" s="362"/>
      <c r="Y75" s="362"/>
      <c r="Z75" s="362"/>
      <c r="AA75" s="362"/>
      <c r="AB75" s="362"/>
      <c r="AC75" s="362"/>
      <c r="AD75" s="362"/>
      <c r="AE75" s="362"/>
      <c r="AF75" s="362"/>
      <c r="AG75" s="362"/>
      <c r="AH75" s="362"/>
      <c r="AI75" s="362"/>
      <c r="AJ75" s="362"/>
      <c r="AK75" s="362"/>
      <c r="AL75" s="362"/>
      <c r="AM75" s="362"/>
      <c r="AN75" s="362"/>
      <c r="AO75" s="362"/>
      <c r="AP75" s="362"/>
      <c r="AQ75" s="362"/>
      <c r="AR75" s="362"/>
      <c r="AS75" s="362"/>
      <c r="AT75" s="362"/>
      <c r="AU75" s="362"/>
      <c r="AV75" s="362"/>
      <c r="AW75" s="362"/>
      <c r="AX75" s="362"/>
      <c r="AY75" s="362"/>
      <c r="AZ75" s="362"/>
      <c r="BA75" s="362"/>
      <c r="BB75" s="362"/>
      <c r="BC75" s="362"/>
      <c r="BD75" s="362"/>
      <c r="BE75" s="362"/>
      <c r="BF75" s="362"/>
      <c r="BG75" s="362"/>
      <c r="BI75" s="341" t="s">
        <v>1235</v>
      </c>
    </row>
    <row r="76" spans="2:61" hidden="1" x14ac:dyDescent="0.2">
      <c r="B76" s="219">
        <f>IF(Capacity!N69="","",Capacity!N69)</f>
        <v>44430</v>
      </c>
      <c r="C76" s="220">
        <f>IF(B76="","",Capacity!Q69)</f>
        <v>1</v>
      </c>
      <c r="D76" s="309">
        <f>IF(B76="","",Capacity!R69)</f>
        <v>720</v>
      </c>
      <c r="E76" s="220">
        <f ca="1">IF(B76="","",IF(COUNTBLANK(H76:BG76)=52,SUM('Capacity calculation (hide)'!H164:BG164),52-COUNTBLANK(H76:BG76)))</f>
        <v>52</v>
      </c>
      <c r="F76" s="310">
        <f ca="1">'Capacity calculation (hide)'!BI164</f>
        <v>13.846153846153847</v>
      </c>
      <c r="H76" s="362"/>
      <c r="I76" s="362"/>
      <c r="J76" s="362"/>
      <c r="K76" s="362"/>
      <c r="L76" s="362"/>
      <c r="M76" s="362"/>
      <c r="N76" s="362"/>
      <c r="O76" s="362"/>
      <c r="P76" s="362"/>
      <c r="Q76" s="362"/>
      <c r="R76" s="362"/>
      <c r="S76" s="362"/>
      <c r="T76" s="362"/>
      <c r="U76" s="362"/>
      <c r="V76" s="362"/>
      <c r="W76" s="362"/>
      <c r="X76" s="362"/>
      <c r="Y76" s="362"/>
      <c r="Z76" s="362"/>
      <c r="AA76" s="362"/>
      <c r="AB76" s="362"/>
      <c r="AC76" s="362"/>
      <c r="AD76" s="362"/>
      <c r="AE76" s="362"/>
      <c r="AF76" s="362"/>
      <c r="AG76" s="362"/>
      <c r="AH76" s="362"/>
      <c r="AI76" s="362"/>
      <c r="AJ76" s="362"/>
      <c r="AK76" s="362"/>
      <c r="AL76" s="362"/>
      <c r="AM76" s="362"/>
      <c r="AN76" s="362"/>
      <c r="AO76" s="362"/>
      <c r="AP76" s="362"/>
      <c r="AQ76" s="362"/>
      <c r="AR76" s="362"/>
      <c r="AS76" s="362"/>
      <c r="AT76" s="362"/>
      <c r="AU76" s="362"/>
      <c r="AV76" s="362"/>
      <c r="AW76" s="362"/>
      <c r="AX76" s="362"/>
      <c r="AY76" s="362"/>
      <c r="AZ76" s="362"/>
      <c r="BA76" s="362"/>
      <c r="BB76" s="362"/>
      <c r="BC76" s="362"/>
      <c r="BD76" s="362"/>
      <c r="BE76" s="362"/>
      <c r="BF76" s="362"/>
      <c r="BG76" s="362"/>
      <c r="BI76" s="341" t="s">
        <v>1235</v>
      </c>
    </row>
    <row r="77" spans="2:61" hidden="1" x14ac:dyDescent="0.2">
      <c r="B77" s="219">
        <f>IF(Capacity!N70="","",Capacity!N70)</f>
        <v>44431</v>
      </c>
      <c r="C77" s="220">
        <f>IF(B77="","",Capacity!Q70)</f>
        <v>1</v>
      </c>
      <c r="D77" s="309">
        <f>IF(B77="","",Capacity!R70)</f>
        <v>210</v>
      </c>
      <c r="E77" s="220">
        <f ca="1">IF(B77="","",IF(COUNTBLANK(H77:BG77)=52,SUM('Capacity calculation (hide)'!H165:BG165),52-COUNTBLANK(H77:BG77)))</f>
        <v>52</v>
      </c>
      <c r="F77" s="310">
        <f ca="1">'Capacity calculation (hide)'!BI165</f>
        <v>4.0384615384615383</v>
      </c>
      <c r="H77" s="362"/>
      <c r="I77" s="362"/>
      <c r="J77" s="362"/>
      <c r="K77" s="362"/>
      <c r="L77" s="362"/>
      <c r="M77" s="362"/>
      <c r="N77" s="362"/>
      <c r="O77" s="362"/>
      <c r="P77" s="362"/>
      <c r="Q77" s="362"/>
      <c r="R77" s="362"/>
      <c r="S77" s="362"/>
      <c r="T77" s="362"/>
      <c r="U77" s="362"/>
      <c r="V77" s="362"/>
      <c r="W77" s="362"/>
      <c r="X77" s="362"/>
      <c r="Y77" s="362"/>
      <c r="Z77" s="362"/>
      <c r="AA77" s="362"/>
      <c r="AB77" s="362"/>
      <c r="AC77" s="362"/>
      <c r="AD77" s="362"/>
      <c r="AE77" s="362"/>
      <c r="AF77" s="362"/>
      <c r="AG77" s="362"/>
      <c r="AH77" s="362"/>
      <c r="AI77" s="362"/>
      <c r="AJ77" s="362"/>
      <c r="AK77" s="362"/>
      <c r="AL77" s="362"/>
      <c r="AM77" s="362"/>
      <c r="AN77" s="362"/>
      <c r="AO77" s="362"/>
      <c r="AP77" s="362"/>
      <c r="AQ77" s="362"/>
      <c r="AR77" s="362"/>
      <c r="AS77" s="362"/>
      <c r="AT77" s="362"/>
      <c r="AU77" s="362"/>
      <c r="AV77" s="362"/>
      <c r="AW77" s="362"/>
      <c r="AX77" s="362"/>
      <c r="AY77" s="362"/>
      <c r="AZ77" s="362"/>
      <c r="BA77" s="362"/>
      <c r="BB77" s="362"/>
      <c r="BC77" s="362"/>
      <c r="BD77" s="362"/>
      <c r="BE77" s="362"/>
      <c r="BF77" s="362"/>
      <c r="BG77" s="362"/>
      <c r="BI77" s="341" t="s">
        <v>1235</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2"/>
      <c r="I78" s="362"/>
      <c r="J78" s="362"/>
      <c r="K78" s="362"/>
      <c r="L78" s="362"/>
      <c r="M78" s="362"/>
      <c r="N78" s="362"/>
      <c r="O78" s="362"/>
      <c r="P78" s="362"/>
      <c r="Q78" s="362"/>
      <c r="R78" s="362"/>
      <c r="S78" s="362"/>
      <c r="T78" s="362"/>
      <c r="U78" s="362"/>
      <c r="V78" s="362"/>
      <c r="W78" s="362"/>
      <c r="X78" s="362"/>
      <c r="Y78" s="362"/>
      <c r="Z78" s="362"/>
      <c r="AA78" s="362"/>
      <c r="AB78" s="362"/>
      <c r="AC78" s="362"/>
      <c r="AD78" s="362"/>
      <c r="AE78" s="362"/>
      <c r="AF78" s="362"/>
      <c r="AG78" s="362"/>
      <c r="AH78" s="362"/>
      <c r="AI78" s="362"/>
      <c r="AJ78" s="362"/>
      <c r="AK78" s="362"/>
      <c r="AL78" s="362"/>
      <c r="AM78" s="362"/>
      <c r="AN78" s="362"/>
      <c r="AO78" s="362"/>
      <c r="AP78" s="362"/>
      <c r="AQ78" s="362"/>
      <c r="AR78" s="362"/>
      <c r="AS78" s="362"/>
      <c r="AT78" s="362"/>
      <c r="AU78" s="362"/>
      <c r="AV78" s="362"/>
      <c r="AW78" s="362"/>
      <c r="AX78" s="362"/>
      <c r="AY78" s="362"/>
      <c r="AZ78" s="362"/>
      <c r="BA78" s="362"/>
      <c r="BB78" s="362"/>
      <c r="BC78" s="362"/>
      <c r="BD78" s="362"/>
      <c r="BE78" s="362"/>
      <c r="BF78" s="362"/>
      <c r="BG78" s="362"/>
      <c r="BI78" s="341" t="s">
        <v>1235</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2"/>
      <c r="I79" s="362"/>
      <c r="J79" s="362"/>
      <c r="K79" s="362"/>
      <c r="L79" s="362"/>
      <c r="M79" s="362"/>
      <c r="N79" s="362"/>
      <c r="O79" s="362"/>
      <c r="P79" s="362"/>
      <c r="Q79" s="362"/>
      <c r="R79" s="362"/>
      <c r="S79" s="362"/>
      <c r="T79" s="362"/>
      <c r="U79" s="362"/>
      <c r="V79" s="362"/>
      <c r="W79" s="362"/>
      <c r="X79" s="362"/>
      <c r="Y79" s="362"/>
      <c r="Z79" s="362"/>
      <c r="AA79" s="362"/>
      <c r="AB79" s="362"/>
      <c r="AC79" s="362"/>
      <c r="AD79" s="362"/>
      <c r="AE79" s="362"/>
      <c r="AF79" s="362"/>
      <c r="AG79" s="362"/>
      <c r="AH79" s="362"/>
      <c r="AI79" s="362"/>
      <c r="AJ79" s="362"/>
      <c r="AK79" s="362"/>
      <c r="AL79" s="362"/>
      <c r="AM79" s="362"/>
      <c r="AN79" s="362"/>
      <c r="AO79" s="362"/>
      <c r="AP79" s="362"/>
      <c r="AQ79" s="362"/>
      <c r="AR79" s="362"/>
      <c r="AS79" s="362"/>
      <c r="AT79" s="362"/>
      <c r="AU79" s="362"/>
      <c r="AV79" s="362"/>
      <c r="AW79" s="362"/>
      <c r="AX79" s="362"/>
      <c r="AY79" s="362"/>
      <c r="AZ79" s="362"/>
      <c r="BA79" s="362"/>
      <c r="BB79" s="362"/>
      <c r="BC79" s="362"/>
      <c r="BD79" s="362"/>
      <c r="BE79" s="362"/>
      <c r="BF79" s="362"/>
      <c r="BG79" s="362"/>
      <c r="BI79" s="341" t="s">
        <v>1235</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2"/>
      <c r="I80" s="362"/>
      <c r="J80" s="362"/>
      <c r="K80" s="362"/>
      <c r="L80" s="362"/>
      <c r="M80" s="362"/>
      <c r="N80" s="362"/>
      <c r="O80" s="362"/>
      <c r="P80" s="362"/>
      <c r="Q80" s="362"/>
      <c r="R80" s="362"/>
      <c r="S80" s="362"/>
      <c r="T80" s="362"/>
      <c r="U80" s="362"/>
      <c r="V80" s="362"/>
      <c r="W80" s="362"/>
      <c r="X80" s="362"/>
      <c r="Y80" s="362"/>
      <c r="Z80" s="362"/>
      <c r="AA80" s="362"/>
      <c r="AB80" s="362"/>
      <c r="AC80" s="362"/>
      <c r="AD80" s="362"/>
      <c r="AE80" s="362"/>
      <c r="AF80" s="362"/>
      <c r="AG80" s="362"/>
      <c r="AH80" s="362"/>
      <c r="AI80" s="362"/>
      <c r="AJ80" s="362"/>
      <c r="AK80" s="362"/>
      <c r="AL80" s="362"/>
      <c r="AM80" s="362"/>
      <c r="AN80" s="362"/>
      <c r="AO80" s="362"/>
      <c r="AP80" s="362"/>
      <c r="AQ80" s="362"/>
      <c r="AR80" s="362"/>
      <c r="AS80" s="362"/>
      <c r="AT80" s="362"/>
      <c r="AU80" s="362"/>
      <c r="AV80" s="362"/>
      <c r="AW80" s="362"/>
      <c r="AX80" s="362"/>
      <c r="AY80" s="362"/>
      <c r="AZ80" s="362"/>
      <c r="BA80" s="362"/>
      <c r="BB80" s="362"/>
      <c r="BC80" s="362"/>
      <c r="BD80" s="362"/>
      <c r="BE80" s="362"/>
      <c r="BF80" s="362"/>
      <c r="BG80" s="362"/>
      <c r="BI80" s="341" t="s">
        <v>1235</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2"/>
      <c r="I81" s="362"/>
      <c r="J81" s="362"/>
      <c r="K81" s="362"/>
      <c r="L81" s="362"/>
      <c r="M81" s="362"/>
      <c r="N81" s="362"/>
      <c r="O81" s="362"/>
      <c r="P81" s="362"/>
      <c r="Q81" s="362"/>
      <c r="R81" s="362"/>
      <c r="S81" s="362"/>
      <c r="T81" s="362"/>
      <c r="U81" s="362"/>
      <c r="V81" s="362"/>
      <c r="W81" s="362"/>
      <c r="X81" s="362"/>
      <c r="Y81" s="362"/>
      <c r="Z81" s="362"/>
      <c r="AA81" s="362"/>
      <c r="AB81" s="362"/>
      <c r="AC81" s="362"/>
      <c r="AD81" s="362"/>
      <c r="AE81" s="362"/>
      <c r="AF81" s="362"/>
      <c r="AG81" s="362"/>
      <c r="AH81" s="362"/>
      <c r="AI81" s="362"/>
      <c r="AJ81" s="362"/>
      <c r="AK81" s="362"/>
      <c r="AL81" s="362"/>
      <c r="AM81" s="362"/>
      <c r="AN81" s="362"/>
      <c r="AO81" s="362"/>
      <c r="AP81" s="362"/>
      <c r="AQ81" s="362"/>
      <c r="AR81" s="362"/>
      <c r="AS81" s="362"/>
      <c r="AT81" s="362"/>
      <c r="AU81" s="362"/>
      <c r="AV81" s="362"/>
      <c r="AW81" s="362"/>
      <c r="AX81" s="362"/>
      <c r="AY81" s="362"/>
      <c r="AZ81" s="362"/>
      <c r="BA81" s="362"/>
      <c r="BB81" s="362"/>
      <c r="BC81" s="362"/>
      <c r="BD81" s="362"/>
      <c r="BE81" s="362"/>
      <c r="BF81" s="362"/>
      <c r="BG81" s="362"/>
      <c r="BI81" s="341" t="s">
        <v>1235</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2"/>
      <c r="I82" s="362"/>
      <c r="J82" s="362"/>
      <c r="K82" s="362"/>
      <c r="L82" s="362"/>
      <c r="M82" s="362"/>
      <c r="N82" s="362"/>
      <c r="O82" s="362"/>
      <c r="P82" s="362"/>
      <c r="Q82" s="362"/>
      <c r="R82" s="362"/>
      <c r="S82" s="362"/>
      <c r="T82" s="362"/>
      <c r="U82" s="362"/>
      <c r="V82" s="362"/>
      <c r="W82" s="362"/>
      <c r="X82" s="362"/>
      <c r="Y82" s="362"/>
      <c r="Z82" s="362"/>
      <c r="AA82" s="362"/>
      <c r="AB82" s="362"/>
      <c r="AC82" s="362"/>
      <c r="AD82" s="362"/>
      <c r="AE82" s="362"/>
      <c r="AF82" s="362"/>
      <c r="AG82" s="362"/>
      <c r="AH82" s="362"/>
      <c r="AI82" s="362"/>
      <c r="AJ82" s="362"/>
      <c r="AK82" s="362"/>
      <c r="AL82" s="362"/>
      <c r="AM82" s="362"/>
      <c r="AN82" s="362"/>
      <c r="AO82" s="362"/>
      <c r="AP82" s="362"/>
      <c r="AQ82" s="362"/>
      <c r="AR82" s="362"/>
      <c r="AS82" s="362"/>
      <c r="AT82" s="362"/>
      <c r="AU82" s="362"/>
      <c r="AV82" s="362"/>
      <c r="AW82" s="362"/>
      <c r="AX82" s="362"/>
      <c r="AY82" s="362"/>
      <c r="AZ82" s="362"/>
      <c r="BA82" s="362"/>
      <c r="BB82" s="362"/>
      <c r="BC82" s="362"/>
      <c r="BD82" s="362"/>
      <c r="BE82" s="362"/>
      <c r="BF82" s="362"/>
      <c r="BG82" s="362"/>
      <c r="BI82" s="341" t="s">
        <v>1235</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2"/>
      <c r="I83" s="362"/>
      <c r="J83" s="362"/>
      <c r="K83" s="362"/>
      <c r="L83" s="362"/>
      <c r="M83" s="362"/>
      <c r="N83" s="362"/>
      <c r="O83" s="362"/>
      <c r="P83" s="362"/>
      <c r="Q83" s="362"/>
      <c r="R83" s="362"/>
      <c r="S83" s="362"/>
      <c r="T83" s="362"/>
      <c r="U83" s="362"/>
      <c r="V83" s="362"/>
      <c r="W83" s="362"/>
      <c r="X83" s="362"/>
      <c r="Y83" s="362"/>
      <c r="Z83" s="362"/>
      <c r="AA83" s="362"/>
      <c r="AB83" s="362"/>
      <c r="AC83" s="362"/>
      <c r="AD83" s="362"/>
      <c r="AE83" s="362"/>
      <c r="AF83" s="362"/>
      <c r="AG83" s="362"/>
      <c r="AH83" s="362"/>
      <c r="AI83" s="362"/>
      <c r="AJ83" s="362"/>
      <c r="AK83" s="362"/>
      <c r="AL83" s="362"/>
      <c r="AM83" s="362"/>
      <c r="AN83" s="362"/>
      <c r="AO83" s="362"/>
      <c r="AP83" s="362"/>
      <c r="AQ83" s="362"/>
      <c r="AR83" s="362"/>
      <c r="AS83" s="362"/>
      <c r="AT83" s="362"/>
      <c r="AU83" s="362"/>
      <c r="AV83" s="362"/>
      <c r="AW83" s="362"/>
      <c r="AX83" s="362"/>
      <c r="AY83" s="362"/>
      <c r="AZ83" s="362"/>
      <c r="BA83" s="362"/>
      <c r="BB83" s="362"/>
      <c r="BC83" s="362"/>
      <c r="BD83" s="362"/>
      <c r="BE83" s="362"/>
      <c r="BF83" s="362"/>
      <c r="BG83" s="362"/>
      <c r="BI83" s="341" t="s">
        <v>1235</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2"/>
      <c r="I84" s="362"/>
      <c r="J84" s="362"/>
      <c r="K84" s="362"/>
      <c r="L84" s="362"/>
      <c r="M84" s="362"/>
      <c r="N84" s="362"/>
      <c r="O84" s="362"/>
      <c r="P84" s="362"/>
      <c r="Q84" s="362"/>
      <c r="R84" s="362"/>
      <c r="S84" s="362"/>
      <c r="T84" s="362"/>
      <c r="U84" s="362"/>
      <c r="V84" s="362"/>
      <c r="W84" s="362"/>
      <c r="X84" s="362"/>
      <c r="Y84" s="362"/>
      <c r="Z84" s="362"/>
      <c r="AA84" s="362"/>
      <c r="AB84" s="362"/>
      <c r="AC84" s="362"/>
      <c r="AD84" s="362"/>
      <c r="AE84" s="362"/>
      <c r="AF84" s="362"/>
      <c r="AG84" s="362"/>
      <c r="AH84" s="362"/>
      <c r="AI84" s="362"/>
      <c r="AJ84" s="362"/>
      <c r="AK84" s="362"/>
      <c r="AL84" s="362"/>
      <c r="AM84" s="362"/>
      <c r="AN84" s="362"/>
      <c r="AO84" s="362"/>
      <c r="AP84" s="362"/>
      <c r="AQ84" s="362"/>
      <c r="AR84" s="362"/>
      <c r="AS84" s="362"/>
      <c r="AT84" s="362"/>
      <c r="AU84" s="362"/>
      <c r="AV84" s="362"/>
      <c r="AW84" s="362"/>
      <c r="AX84" s="362"/>
      <c r="AY84" s="362"/>
      <c r="AZ84" s="362"/>
      <c r="BA84" s="362"/>
      <c r="BB84" s="362"/>
      <c r="BC84" s="362"/>
      <c r="BD84" s="362"/>
      <c r="BE84" s="362"/>
      <c r="BF84" s="362"/>
      <c r="BG84" s="362"/>
      <c r="BI84" s="341" t="s">
        <v>1235</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2"/>
      <c r="I85" s="362"/>
      <c r="J85" s="362"/>
      <c r="K85" s="362"/>
      <c r="L85" s="362"/>
      <c r="M85" s="362"/>
      <c r="N85" s="362"/>
      <c r="O85" s="362"/>
      <c r="P85" s="362"/>
      <c r="Q85" s="362"/>
      <c r="R85" s="362"/>
      <c r="S85" s="362"/>
      <c r="T85" s="362"/>
      <c r="U85" s="362"/>
      <c r="V85" s="362"/>
      <c r="W85" s="362"/>
      <c r="X85" s="362"/>
      <c r="Y85" s="362"/>
      <c r="Z85" s="362"/>
      <c r="AA85" s="362"/>
      <c r="AB85" s="362"/>
      <c r="AC85" s="362"/>
      <c r="AD85" s="362"/>
      <c r="AE85" s="362"/>
      <c r="AF85" s="362"/>
      <c r="AG85" s="362"/>
      <c r="AH85" s="362"/>
      <c r="AI85" s="362"/>
      <c r="AJ85" s="362"/>
      <c r="AK85" s="362"/>
      <c r="AL85" s="362"/>
      <c r="AM85" s="362"/>
      <c r="AN85" s="362"/>
      <c r="AO85" s="362"/>
      <c r="AP85" s="362"/>
      <c r="AQ85" s="362"/>
      <c r="AR85" s="362"/>
      <c r="AS85" s="362"/>
      <c r="AT85" s="362"/>
      <c r="AU85" s="362"/>
      <c r="AV85" s="362"/>
      <c r="AW85" s="362"/>
      <c r="AX85" s="362"/>
      <c r="AY85" s="362"/>
      <c r="AZ85" s="362"/>
      <c r="BA85" s="362"/>
      <c r="BB85" s="362"/>
      <c r="BC85" s="362"/>
      <c r="BD85" s="362"/>
      <c r="BE85" s="362"/>
      <c r="BF85" s="362"/>
      <c r="BG85" s="362"/>
      <c r="BI85" s="341" t="s">
        <v>1235</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2"/>
      <c r="I86" s="362"/>
      <c r="J86" s="362"/>
      <c r="K86" s="362"/>
      <c r="L86" s="362"/>
      <c r="M86" s="362"/>
      <c r="N86" s="362"/>
      <c r="O86" s="362"/>
      <c r="P86" s="362"/>
      <c r="Q86" s="362"/>
      <c r="R86" s="362"/>
      <c r="S86" s="362"/>
      <c r="T86" s="362"/>
      <c r="U86" s="362"/>
      <c r="V86" s="362"/>
      <c r="W86" s="362"/>
      <c r="X86" s="362"/>
      <c r="Y86" s="362"/>
      <c r="Z86" s="362"/>
      <c r="AA86" s="362"/>
      <c r="AB86" s="362"/>
      <c r="AC86" s="362"/>
      <c r="AD86" s="362"/>
      <c r="AE86" s="362"/>
      <c r="AF86" s="362"/>
      <c r="AG86" s="362"/>
      <c r="AH86" s="362"/>
      <c r="AI86" s="362"/>
      <c r="AJ86" s="362"/>
      <c r="AK86" s="362"/>
      <c r="AL86" s="362"/>
      <c r="AM86" s="362"/>
      <c r="AN86" s="362"/>
      <c r="AO86" s="362"/>
      <c r="AP86" s="362"/>
      <c r="AQ86" s="362"/>
      <c r="AR86" s="362"/>
      <c r="AS86" s="362"/>
      <c r="AT86" s="362"/>
      <c r="AU86" s="362"/>
      <c r="AV86" s="362"/>
      <c r="AW86" s="362"/>
      <c r="AX86" s="362"/>
      <c r="AY86" s="362"/>
      <c r="AZ86" s="362"/>
      <c r="BA86" s="362"/>
      <c r="BB86" s="362"/>
      <c r="BC86" s="362"/>
      <c r="BD86" s="362"/>
      <c r="BE86" s="362"/>
      <c r="BF86" s="362"/>
      <c r="BG86" s="362"/>
      <c r="BI86" s="341" t="s">
        <v>1235</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2"/>
      <c r="I87" s="362"/>
      <c r="J87" s="362"/>
      <c r="K87" s="362"/>
      <c r="L87" s="362"/>
      <c r="M87" s="362"/>
      <c r="N87" s="362"/>
      <c r="O87" s="362"/>
      <c r="P87" s="362"/>
      <c r="Q87" s="362"/>
      <c r="R87" s="362"/>
      <c r="S87" s="362"/>
      <c r="T87" s="362"/>
      <c r="U87" s="362"/>
      <c r="V87" s="362"/>
      <c r="W87" s="362"/>
      <c r="X87" s="362"/>
      <c r="Y87" s="362"/>
      <c r="Z87" s="362"/>
      <c r="AA87" s="362"/>
      <c r="AB87" s="362"/>
      <c r="AC87" s="362"/>
      <c r="AD87" s="362"/>
      <c r="AE87" s="362"/>
      <c r="AF87" s="362"/>
      <c r="AG87" s="362"/>
      <c r="AH87" s="362"/>
      <c r="AI87" s="362"/>
      <c r="AJ87" s="362"/>
      <c r="AK87" s="362"/>
      <c r="AL87" s="362"/>
      <c r="AM87" s="362"/>
      <c r="AN87" s="362"/>
      <c r="AO87" s="362"/>
      <c r="AP87" s="362"/>
      <c r="AQ87" s="362"/>
      <c r="AR87" s="362"/>
      <c r="AS87" s="362"/>
      <c r="AT87" s="362"/>
      <c r="AU87" s="362"/>
      <c r="AV87" s="362"/>
      <c r="AW87" s="362"/>
      <c r="AX87" s="362"/>
      <c r="AY87" s="362"/>
      <c r="AZ87" s="362"/>
      <c r="BA87" s="362"/>
      <c r="BB87" s="362"/>
      <c r="BC87" s="362"/>
      <c r="BD87" s="362"/>
      <c r="BE87" s="362"/>
      <c r="BF87" s="362"/>
      <c r="BG87" s="362"/>
      <c r="BI87" s="341" t="s">
        <v>1235</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2"/>
      <c r="I88" s="362"/>
      <c r="J88" s="362"/>
      <c r="K88" s="362"/>
      <c r="L88" s="362"/>
      <c r="M88" s="362"/>
      <c r="N88" s="362"/>
      <c r="O88" s="362"/>
      <c r="P88" s="362"/>
      <c r="Q88" s="362"/>
      <c r="R88" s="362"/>
      <c r="S88" s="362"/>
      <c r="T88" s="362"/>
      <c r="U88" s="362"/>
      <c r="V88" s="362"/>
      <c r="W88" s="362"/>
      <c r="X88" s="362"/>
      <c r="Y88" s="362"/>
      <c r="Z88" s="362"/>
      <c r="AA88" s="362"/>
      <c r="AB88" s="362"/>
      <c r="AC88" s="362"/>
      <c r="AD88" s="362"/>
      <c r="AE88" s="362"/>
      <c r="AF88" s="362"/>
      <c r="AG88" s="362"/>
      <c r="AH88" s="362"/>
      <c r="AI88" s="362"/>
      <c r="AJ88" s="362"/>
      <c r="AK88" s="362"/>
      <c r="AL88" s="362"/>
      <c r="AM88" s="362"/>
      <c r="AN88" s="362"/>
      <c r="AO88" s="362"/>
      <c r="AP88" s="362"/>
      <c r="AQ88" s="362"/>
      <c r="AR88" s="362"/>
      <c r="AS88" s="362"/>
      <c r="AT88" s="362"/>
      <c r="AU88" s="362"/>
      <c r="AV88" s="362"/>
      <c r="AW88" s="362"/>
      <c r="AX88" s="362"/>
      <c r="AY88" s="362"/>
      <c r="AZ88" s="362"/>
      <c r="BA88" s="362"/>
      <c r="BB88" s="362"/>
      <c r="BC88" s="362"/>
      <c r="BD88" s="362"/>
      <c r="BE88" s="362"/>
      <c r="BF88" s="362"/>
      <c r="BG88" s="362"/>
      <c r="BI88" s="341" t="s">
        <v>1235</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2"/>
      <c r="I89" s="362"/>
      <c r="J89" s="362"/>
      <c r="K89" s="362"/>
      <c r="L89" s="362"/>
      <c r="M89" s="362"/>
      <c r="N89" s="362"/>
      <c r="O89" s="362"/>
      <c r="P89" s="362"/>
      <c r="Q89" s="362"/>
      <c r="R89" s="362"/>
      <c r="S89" s="362"/>
      <c r="T89" s="362"/>
      <c r="U89" s="362"/>
      <c r="V89" s="362"/>
      <c r="W89" s="362"/>
      <c r="X89" s="362"/>
      <c r="Y89" s="362"/>
      <c r="Z89" s="362"/>
      <c r="AA89" s="362"/>
      <c r="AB89" s="362"/>
      <c r="AC89" s="362"/>
      <c r="AD89" s="362"/>
      <c r="AE89" s="362"/>
      <c r="AF89" s="362"/>
      <c r="AG89" s="362"/>
      <c r="AH89" s="362"/>
      <c r="AI89" s="362"/>
      <c r="AJ89" s="362"/>
      <c r="AK89" s="362"/>
      <c r="AL89" s="362"/>
      <c r="AM89" s="362"/>
      <c r="AN89" s="362"/>
      <c r="AO89" s="362"/>
      <c r="AP89" s="362"/>
      <c r="AQ89" s="362"/>
      <c r="AR89" s="362"/>
      <c r="AS89" s="362"/>
      <c r="AT89" s="362"/>
      <c r="AU89" s="362"/>
      <c r="AV89" s="362"/>
      <c r="AW89" s="362"/>
      <c r="AX89" s="362"/>
      <c r="AY89" s="362"/>
      <c r="AZ89" s="362"/>
      <c r="BA89" s="362"/>
      <c r="BB89" s="362"/>
      <c r="BC89" s="362"/>
      <c r="BD89" s="362"/>
      <c r="BE89" s="362"/>
      <c r="BF89" s="362"/>
      <c r="BG89" s="362"/>
      <c r="BI89" s="341" t="s">
        <v>1235</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2"/>
      <c r="I90" s="362"/>
      <c r="J90" s="362"/>
      <c r="K90" s="362"/>
      <c r="L90" s="362"/>
      <c r="M90" s="362"/>
      <c r="N90" s="362"/>
      <c r="O90" s="362"/>
      <c r="P90" s="362"/>
      <c r="Q90" s="362"/>
      <c r="R90" s="362"/>
      <c r="S90" s="362"/>
      <c r="T90" s="362"/>
      <c r="U90" s="362"/>
      <c r="V90" s="362"/>
      <c r="W90" s="362"/>
      <c r="X90" s="362"/>
      <c r="Y90" s="362"/>
      <c r="Z90" s="362"/>
      <c r="AA90" s="362"/>
      <c r="AB90" s="362"/>
      <c r="AC90" s="362"/>
      <c r="AD90" s="362"/>
      <c r="AE90" s="362"/>
      <c r="AF90" s="362"/>
      <c r="AG90" s="362"/>
      <c r="AH90" s="362"/>
      <c r="AI90" s="362"/>
      <c r="AJ90" s="362"/>
      <c r="AK90" s="362"/>
      <c r="AL90" s="362"/>
      <c r="AM90" s="362"/>
      <c r="AN90" s="362"/>
      <c r="AO90" s="362"/>
      <c r="AP90" s="362"/>
      <c r="AQ90" s="362"/>
      <c r="AR90" s="362"/>
      <c r="AS90" s="362"/>
      <c r="AT90" s="362"/>
      <c r="AU90" s="362"/>
      <c r="AV90" s="362"/>
      <c r="AW90" s="362"/>
      <c r="AX90" s="362"/>
      <c r="AY90" s="362"/>
      <c r="AZ90" s="362"/>
      <c r="BA90" s="362"/>
      <c r="BB90" s="362"/>
      <c r="BC90" s="362"/>
      <c r="BD90" s="362"/>
      <c r="BE90" s="362"/>
      <c r="BF90" s="362"/>
      <c r="BG90" s="362"/>
      <c r="BI90" s="341" t="s">
        <v>1235</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2"/>
      <c r="I91" s="362"/>
      <c r="J91" s="362"/>
      <c r="K91" s="362"/>
      <c r="L91" s="362"/>
      <c r="M91" s="362"/>
      <c r="N91" s="362"/>
      <c r="O91" s="362"/>
      <c r="P91" s="362"/>
      <c r="Q91" s="362"/>
      <c r="R91" s="362"/>
      <c r="S91" s="362"/>
      <c r="T91" s="362"/>
      <c r="U91" s="362"/>
      <c r="V91" s="362"/>
      <c r="W91" s="362"/>
      <c r="X91" s="362"/>
      <c r="Y91" s="362"/>
      <c r="Z91" s="362"/>
      <c r="AA91" s="362"/>
      <c r="AB91" s="362"/>
      <c r="AC91" s="362"/>
      <c r="AD91" s="362"/>
      <c r="AE91" s="362"/>
      <c r="AF91" s="362"/>
      <c r="AG91" s="362"/>
      <c r="AH91" s="362"/>
      <c r="AI91" s="362"/>
      <c r="AJ91" s="362"/>
      <c r="AK91" s="362"/>
      <c r="AL91" s="362"/>
      <c r="AM91" s="362"/>
      <c r="AN91" s="362"/>
      <c r="AO91" s="362"/>
      <c r="AP91" s="362"/>
      <c r="AQ91" s="362"/>
      <c r="AR91" s="362"/>
      <c r="AS91" s="362"/>
      <c r="AT91" s="362"/>
      <c r="AU91" s="362"/>
      <c r="AV91" s="362"/>
      <c r="AW91" s="362"/>
      <c r="AX91" s="362"/>
      <c r="AY91" s="362"/>
      <c r="AZ91" s="362"/>
      <c r="BA91" s="362"/>
      <c r="BB91" s="362"/>
      <c r="BC91" s="362"/>
      <c r="BD91" s="362"/>
      <c r="BE91" s="362"/>
      <c r="BF91" s="362"/>
      <c r="BG91" s="362"/>
      <c r="BI91" s="341" t="s">
        <v>1235</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2"/>
      <c r="I92" s="362"/>
      <c r="J92" s="362"/>
      <c r="K92" s="362"/>
      <c r="L92" s="362"/>
      <c r="M92" s="362"/>
      <c r="N92" s="362"/>
      <c r="O92" s="362"/>
      <c r="P92" s="362"/>
      <c r="Q92" s="362"/>
      <c r="R92" s="362"/>
      <c r="S92" s="362"/>
      <c r="T92" s="362"/>
      <c r="U92" s="362"/>
      <c r="V92" s="362"/>
      <c r="W92" s="362"/>
      <c r="X92" s="362"/>
      <c r="Y92" s="362"/>
      <c r="Z92" s="362"/>
      <c r="AA92" s="362"/>
      <c r="AB92" s="362"/>
      <c r="AC92" s="362"/>
      <c r="AD92" s="362"/>
      <c r="AE92" s="362"/>
      <c r="AF92" s="362"/>
      <c r="AG92" s="362"/>
      <c r="AH92" s="362"/>
      <c r="AI92" s="362"/>
      <c r="AJ92" s="362"/>
      <c r="AK92" s="362"/>
      <c r="AL92" s="362"/>
      <c r="AM92" s="362"/>
      <c r="AN92" s="362"/>
      <c r="AO92" s="362"/>
      <c r="AP92" s="362"/>
      <c r="AQ92" s="362"/>
      <c r="AR92" s="362"/>
      <c r="AS92" s="362"/>
      <c r="AT92" s="362"/>
      <c r="AU92" s="362"/>
      <c r="AV92" s="362"/>
      <c r="AW92" s="362"/>
      <c r="AX92" s="362"/>
      <c r="AY92" s="362"/>
      <c r="AZ92" s="362"/>
      <c r="BA92" s="362"/>
      <c r="BB92" s="362"/>
      <c r="BC92" s="362"/>
      <c r="BD92" s="362"/>
      <c r="BE92" s="362"/>
      <c r="BF92" s="362"/>
      <c r="BG92" s="362"/>
      <c r="BI92" s="341" t="s">
        <v>1235</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2"/>
      <c r="I93" s="362"/>
      <c r="J93" s="362"/>
      <c r="K93" s="362"/>
      <c r="L93" s="362"/>
      <c r="M93" s="362"/>
      <c r="N93" s="362"/>
      <c r="O93" s="362"/>
      <c r="P93" s="362"/>
      <c r="Q93" s="362"/>
      <c r="R93" s="362"/>
      <c r="S93" s="362"/>
      <c r="T93" s="362"/>
      <c r="U93" s="362"/>
      <c r="V93" s="362"/>
      <c r="W93" s="362"/>
      <c r="X93" s="362"/>
      <c r="Y93" s="362"/>
      <c r="Z93" s="362"/>
      <c r="AA93" s="362"/>
      <c r="AB93" s="362"/>
      <c r="AC93" s="362"/>
      <c r="AD93" s="362"/>
      <c r="AE93" s="362"/>
      <c r="AF93" s="362"/>
      <c r="AG93" s="362"/>
      <c r="AH93" s="362"/>
      <c r="AI93" s="362"/>
      <c r="AJ93" s="362"/>
      <c r="AK93" s="362"/>
      <c r="AL93" s="362"/>
      <c r="AM93" s="362"/>
      <c r="AN93" s="362"/>
      <c r="AO93" s="362"/>
      <c r="AP93" s="362"/>
      <c r="AQ93" s="362"/>
      <c r="AR93" s="362"/>
      <c r="AS93" s="362"/>
      <c r="AT93" s="362"/>
      <c r="AU93" s="362"/>
      <c r="AV93" s="362"/>
      <c r="AW93" s="362"/>
      <c r="AX93" s="362"/>
      <c r="AY93" s="362"/>
      <c r="AZ93" s="362"/>
      <c r="BA93" s="362"/>
      <c r="BB93" s="362"/>
      <c r="BC93" s="362"/>
      <c r="BD93" s="362"/>
      <c r="BE93" s="362"/>
      <c r="BF93" s="362"/>
      <c r="BG93" s="362"/>
      <c r="BI93" s="341" t="s">
        <v>1235</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2"/>
      <c r="I94" s="362"/>
      <c r="J94" s="362"/>
      <c r="K94" s="362"/>
      <c r="L94" s="362"/>
      <c r="M94" s="362"/>
      <c r="N94" s="362"/>
      <c r="O94" s="362"/>
      <c r="P94" s="362"/>
      <c r="Q94" s="362"/>
      <c r="R94" s="362"/>
      <c r="S94" s="362"/>
      <c r="T94" s="362"/>
      <c r="U94" s="362"/>
      <c r="V94" s="362"/>
      <c r="W94" s="362"/>
      <c r="X94" s="362"/>
      <c r="Y94" s="362"/>
      <c r="Z94" s="362"/>
      <c r="AA94" s="362"/>
      <c r="AB94" s="362"/>
      <c r="AC94" s="362"/>
      <c r="AD94" s="362"/>
      <c r="AE94" s="362"/>
      <c r="AF94" s="362"/>
      <c r="AG94" s="362"/>
      <c r="AH94" s="362"/>
      <c r="AI94" s="362"/>
      <c r="AJ94" s="362"/>
      <c r="AK94" s="362"/>
      <c r="AL94" s="362"/>
      <c r="AM94" s="362"/>
      <c r="AN94" s="362"/>
      <c r="AO94" s="362"/>
      <c r="AP94" s="362"/>
      <c r="AQ94" s="362"/>
      <c r="AR94" s="362"/>
      <c r="AS94" s="362"/>
      <c r="AT94" s="362"/>
      <c r="AU94" s="362"/>
      <c r="AV94" s="362"/>
      <c r="AW94" s="362"/>
      <c r="AX94" s="362"/>
      <c r="AY94" s="362"/>
      <c r="AZ94" s="362"/>
      <c r="BA94" s="362"/>
      <c r="BB94" s="362"/>
      <c r="BC94" s="362"/>
      <c r="BD94" s="362"/>
      <c r="BE94" s="362"/>
      <c r="BF94" s="362"/>
      <c r="BG94" s="362"/>
      <c r="BI94" s="341" t="s">
        <v>1235</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2"/>
      <c r="I95" s="362"/>
      <c r="J95" s="362"/>
      <c r="K95" s="362"/>
      <c r="L95" s="362"/>
      <c r="M95" s="362"/>
      <c r="N95" s="362"/>
      <c r="O95" s="362"/>
      <c r="P95" s="362"/>
      <c r="Q95" s="362"/>
      <c r="R95" s="362"/>
      <c r="S95" s="362"/>
      <c r="T95" s="362"/>
      <c r="U95" s="362"/>
      <c r="V95" s="362"/>
      <c r="W95" s="362"/>
      <c r="X95" s="362"/>
      <c r="Y95" s="362"/>
      <c r="Z95" s="362"/>
      <c r="AA95" s="362"/>
      <c r="AB95" s="362"/>
      <c r="AC95" s="362"/>
      <c r="AD95" s="362"/>
      <c r="AE95" s="362"/>
      <c r="AF95" s="362"/>
      <c r="AG95" s="362"/>
      <c r="AH95" s="362"/>
      <c r="AI95" s="362"/>
      <c r="AJ95" s="362"/>
      <c r="AK95" s="362"/>
      <c r="AL95" s="362"/>
      <c r="AM95" s="362"/>
      <c r="AN95" s="362"/>
      <c r="AO95" s="362"/>
      <c r="AP95" s="362"/>
      <c r="AQ95" s="362"/>
      <c r="AR95" s="362"/>
      <c r="AS95" s="362"/>
      <c r="AT95" s="362"/>
      <c r="AU95" s="362"/>
      <c r="AV95" s="362"/>
      <c r="AW95" s="362"/>
      <c r="AX95" s="362"/>
      <c r="AY95" s="362"/>
      <c r="AZ95" s="362"/>
      <c r="BA95" s="362"/>
      <c r="BB95" s="362"/>
      <c r="BC95" s="362"/>
      <c r="BD95" s="362"/>
      <c r="BE95" s="362"/>
      <c r="BF95" s="362"/>
      <c r="BG95" s="362"/>
      <c r="BI95" s="341" t="s">
        <v>1235</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2"/>
      <c r="I96" s="362"/>
      <c r="J96" s="362"/>
      <c r="K96" s="362"/>
      <c r="L96" s="362"/>
      <c r="M96" s="362"/>
      <c r="N96" s="362"/>
      <c r="O96" s="362"/>
      <c r="P96" s="362"/>
      <c r="Q96" s="362"/>
      <c r="R96" s="362"/>
      <c r="S96" s="362"/>
      <c r="T96" s="362"/>
      <c r="U96" s="362"/>
      <c r="V96" s="362"/>
      <c r="W96" s="362"/>
      <c r="X96" s="362"/>
      <c r="Y96" s="362"/>
      <c r="Z96" s="362"/>
      <c r="AA96" s="362"/>
      <c r="AB96" s="362"/>
      <c r="AC96" s="362"/>
      <c r="AD96" s="362"/>
      <c r="AE96" s="362"/>
      <c r="AF96" s="362"/>
      <c r="AG96" s="362"/>
      <c r="AH96" s="362"/>
      <c r="AI96" s="362"/>
      <c r="AJ96" s="362"/>
      <c r="AK96" s="362"/>
      <c r="AL96" s="362"/>
      <c r="AM96" s="362"/>
      <c r="AN96" s="362"/>
      <c r="AO96" s="362"/>
      <c r="AP96" s="362"/>
      <c r="AQ96" s="362"/>
      <c r="AR96" s="362"/>
      <c r="AS96" s="362"/>
      <c r="AT96" s="362"/>
      <c r="AU96" s="362"/>
      <c r="AV96" s="362"/>
      <c r="AW96" s="362"/>
      <c r="AX96" s="362"/>
      <c r="AY96" s="362"/>
      <c r="AZ96" s="362"/>
      <c r="BA96" s="362"/>
      <c r="BB96" s="362"/>
      <c r="BC96" s="362"/>
      <c r="BD96" s="362"/>
      <c r="BE96" s="362"/>
      <c r="BF96" s="362"/>
      <c r="BG96" s="362"/>
      <c r="BI96" s="341" t="s">
        <v>1235</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2"/>
      <c r="I97" s="362"/>
      <c r="J97" s="362"/>
      <c r="K97" s="362"/>
      <c r="L97" s="362"/>
      <c r="M97" s="362"/>
      <c r="N97" s="362"/>
      <c r="O97" s="362"/>
      <c r="P97" s="362"/>
      <c r="Q97" s="362"/>
      <c r="R97" s="362"/>
      <c r="S97" s="362"/>
      <c r="T97" s="362"/>
      <c r="U97" s="362"/>
      <c r="V97" s="362"/>
      <c r="W97" s="362"/>
      <c r="X97" s="362"/>
      <c r="Y97" s="362"/>
      <c r="Z97" s="362"/>
      <c r="AA97" s="362"/>
      <c r="AB97" s="362"/>
      <c r="AC97" s="362"/>
      <c r="AD97" s="362"/>
      <c r="AE97" s="362"/>
      <c r="AF97" s="362"/>
      <c r="AG97" s="362"/>
      <c r="AH97" s="362"/>
      <c r="AI97" s="362"/>
      <c r="AJ97" s="362"/>
      <c r="AK97" s="362"/>
      <c r="AL97" s="362"/>
      <c r="AM97" s="362"/>
      <c r="AN97" s="362"/>
      <c r="AO97" s="362"/>
      <c r="AP97" s="362"/>
      <c r="AQ97" s="362"/>
      <c r="AR97" s="362"/>
      <c r="AS97" s="362"/>
      <c r="AT97" s="362"/>
      <c r="AU97" s="362"/>
      <c r="AV97" s="362"/>
      <c r="AW97" s="362"/>
      <c r="AX97" s="362"/>
      <c r="AY97" s="362"/>
      <c r="AZ97" s="362"/>
      <c r="BA97" s="362"/>
      <c r="BB97" s="362"/>
      <c r="BC97" s="362"/>
      <c r="BD97" s="362"/>
      <c r="BE97" s="362"/>
      <c r="BF97" s="362"/>
      <c r="BG97" s="362"/>
      <c r="BI97" s="341" t="s">
        <v>1235</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2"/>
      <c r="I98" s="362"/>
      <c r="J98" s="362"/>
      <c r="K98" s="362"/>
      <c r="L98" s="362"/>
      <c r="M98" s="362"/>
      <c r="N98" s="362"/>
      <c r="O98" s="362"/>
      <c r="P98" s="362"/>
      <c r="Q98" s="362"/>
      <c r="R98" s="362"/>
      <c r="S98" s="362"/>
      <c r="T98" s="362"/>
      <c r="U98" s="362"/>
      <c r="V98" s="362"/>
      <c r="W98" s="362"/>
      <c r="X98" s="362"/>
      <c r="Y98" s="362"/>
      <c r="Z98" s="362"/>
      <c r="AA98" s="362"/>
      <c r="AB98" s="362"/>
      <c r="AC98" s="362"/>
      <c r="AD98" s="362"/>
      <c r="AE98" s="362"/>
      <c r="AF98" s="362"/>
      <c r="AG98" s="362"/>
      <c r="AH98" s="362"/>
      <c r="AI98" s="362"/>
      <c r="AJ98" s="362"/>
      <c r="AK98" s="362"/>
      <c r="AL98" s="362"/>
      <c r="AM98" s="362"/>
      <c r="AN98" s="362"/>
      <c r="AO98" s="362"/>
      <c r="AP98" s="362"/>
      <c r="AQ98" s="362"/>
      <c r="AR98" s="362"/>
      <c r="AS98" s="362"/>
      <c r="AT98" s="362"/>
      <c r="AU98" s="362"/>
      <c r="AV98" s="362"/>
      <c r="AW98" s="362"/>
      <c r="AX98" s="362"/>
      <c r="AY98" s="362"/>
      <c r="AZ98" s="362"/>
      <c r="BA98" s="362"/>
      <c r="BB98" s="362"/>
      <c r="BC98" s="362"/>
      <c r="BD98" s="362"/>
      <c r="BE98" s="362"/>
      <c r="BF98" s="362"/>
      <c r="BG98" s="362"/>
      <c r="BI98" s="341" t="s">
        <v>1235</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2"/>
      <c r="I99" s="362"/>
      <c r="J99" s="362"/>
      <c r="K99" s="362"/>
      <c r="L99" s="362"/>
      <c r="M99" s="362"/>
      <c r="N99" s="362"/>
      <c r="O99" s="362"/>
      <c r="P99" s="362"/>
      <c r="Q99" s="362"/>
      <c r="R99" s="362"/>
      <c r="S99" s="362"/>
      <c r="T99" s="362"/>
      <c r="U99" s="362"/>
      <c r="V99" s="362"/>
      <c r="W99" s="362"/>
      <c r="X99" s="362"/>
      <c r="Y99" s="362"/>
      <c r="Z99" s="362"/>
      <c r="AA99" s="362"/>
      <c r="AB99" s="362"/>
      <c r="AC99" s="362"/>
      <c r="AD99" s="362"/>
      <c r="AE99" s="362"/>
      <c r="AF99" s="362"/>
      <c r="AG99" s="362"/>
      <c r="AH99" s="362"/>
      <c r="AI99" s="362"/>
      <c r="AJ99" s="362"/>
      <c r="AK99" s="362"/>
      <c r="AL99" s="362"/>
      <c r="AM99" s="362"/>
      <c r="AN99" s="362"/>
      <c r="AO99" s="362"/>
      <c r="AP99" s="362"/>
      <c r="AQ99" s="362"/>
      <c r="AR99" s="362"/>
      <c r="AS99" s="362"/>
      <c r="AT99" s="362"/>
      <c r="AU99" s="362"/>
      <c r="AV99" s="362"/>
      <c r="AW99" s="362"/>
      <c r="AX99" s="362"/>
      <c r="AY99" s="362"/>
      <c r="AZ99" s="362"/>
      <c r="BA99" s="362"/>
      <c r="BB99" s="362"/>
      <c r="BC99" s="362"/>
      <c r="BD99" s="362"/>
      <c r="BE99" s="362"/>
      <c r="BF99" s="362"/>
      <c r="BG99" s="362"/>
      <c r="BI99" s="341" t="s">
        <v>1235</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2"/>
      <c r="I100" s="362"/>
      <c r="J100" s="362"/>
      <c r="K100" s="362"/>
      <c r="L100" s="362"/>
      <c r="M100" s="362"/>
      <c r="N100" s="362"/>
      <c r="O100" s="362"/>
      <c r="P100" s="362"/>
      <c r="Q100" s="362"/>
      <c r="R100" s="362"/>
      <c r="S100" s="362"/>
      <c r="T100" s="362"/>
      <c r="U100" s="362"/>
      <c r="V100" s="362"/>
      <c r="W100" s="362"/>
      <c r="X100" s="362"/>
      <c r="Y100" s="362"/>
      <c r="Z100" s="362"/>
      <c r="AA100" s="362"/>
      <c r="AB100" s="362"/>
      <c r="AC100" s="362"/>
      <c r="AD100" s="362"/>
      <c r="AE100" s="362"/>
      <c r="AF100" s="362"/>
      <c r="AG100" s="362"/>
      <c r="AH100" s="362"/>
      <c r="AI100" s="362"/>
      <c r="AJ100" s="362"/>
      <c r="AK100" s="362"/>
      <c r="AL100" s="362"/>
      <c r="AM100" s="362"/>
      <c r="AN100" s="362"/>
      <c r="AO100" s="362"/>
      <c r="AP100" s="362"/>
      <c r="AQ100" s="362"/>
      <c r="AR100" s="362"/>
      <c r="AS100" s="362"/>
      <c r="AT100" s="362"/>
      <c r="AU100" s="362"/>
      <c r="AV100" s="362"/>
      <c r="AW100" s="362"/>
      <c r="AX100" s="362"/>
      <c r="AY100" s="362"/>
      <c r="AZ100" s="362"/>
      <c r="BA100" s="362"/>
      <c r="BB100" s="362"/>
      <c r="BC100" s="362"/>
      <c r="BD100" s="362"/>
      <c r="BE100" s="362"/>
      <c r="BF100" s="362"/>
      <c r="BG100" s="362"/>
      <c r="BI100" s="341" t="s">
        <v>1235</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2"/>
      <c r="I101" s="362"/>
      <c r="J101" s="362"/>
      <c r="K101" s="362"/>
      <c r="L101" s="362"/>
      <c r="M101" s="362"/>
      <c r="N101" s="362"/>
      <c r="O101" s="362"/>
      <c r="P101" s="362"/>
      <c r="Q101" s="362"/>
      <c r="R101" s="362"/>
      <c r="S101" s="362"/>
      <c r="T101" s="362"/>
      <c r="U101" s="362"/>
      <c r="V101" s="362"/>
      <c r="W101" s="362"/>
      <c r="X101" s="362"/>
      <c r="Y101" s="362"/>
      <c r="Z101" s="362"/>
      <c r="AA101" s="362"/>
      <c r="AB101" s="362"/>
      <c r="AC101" s="362"/>
      <c r="AD101" s="362"/>
      <c r="AE101" s="362"/>
      <c r="AF101" s="362"/>
      <c r="AG101" s="362"/>
      <c r="AH101" s="362"/>
      <c r="AI101" s="362"/>
      <c r="AJ101" s="362"/>
      <c r="AK101" s="362"/>
      <c r="AL101" s="362"/>
      <c r="AM101" s="362"/>
      <c r="AN101" s="362"/>
      <c r="AO101" s="362"/>
      <c r="AP101" s="362"/>
      <c r="AQ101" s="362"/>
      <c r="AR101" s="362"/>
      <c r="AS101" s="362"/>
      <c r="AT101" s="362"/>
      <c r="AU101" s="362"/>
      <c r="AV101" s="362"/>
      <c r="AW101" s="362"/>
      <c r="AX101" s="362"/>
      <c r="AY101" s="362"/>
      <c r="AZ101" s="362"/>
      <c r="BA101" s="362"/>
      <c r="BB101" s="362"/>
      <c r="BC101" s="362"/>
      <c r="BD101" s="362"/>
      <c r="BE101" s="362"/>
      <c r="BF101" s="362"/>
      <c r="BG101" s="362"/>
      <c r="BI101" s="341" t="s">
        <v>1235</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2"/>
      <c r="I102" s="362"/>
      <c r="J102" s="362"/>
      <c r="K102" s="362"/>
      <c r="L102" s="362"/>
      <c r="M102" s="362"/>
      <c r="N102" s="362"/>
      <c r="O102" s="362"/>
      <c r="P102" s="362"/>
      <c r="Q102" s="362"/>
      <c r="R102" s="362"/>
      <c r="S102" s="362"/>
      <c r="T102" s="362"/>
      <c r="U102" s="362"/>
      <c r="V102" s="362"/>
      <c r="W102" s="362"/>
      <c r="X102" s="362"/>
      <c r="Y102" s="362"/>
      <c r="Z102" s="362"/>
      <c r="AA102" s="362"/>
      <c r="AB102" s="362"/>
      <c r="AC102" s="362"/>
      <c r="AD102" s="362"/>
      <c r="AE102" s="362"/>
      <c r="AF102" s="362"/>
      <c r="AG102" s="362"/>
      <c r="AH102" s="362"/>
      <c r="AI102" s="362"/>
      <c r="AJ102" s="362"/>
      <c r="AK102" s="362"/>
      <c r="AL102" s="362"/>
      <c r="AM102" s="362"/>
      <c r="AN102" s="362"/>
      <c r="AO102" s="362"/>
      <c r="AP102" s="362"/>
      <c r="AQ102" s="362"/>
      <c r="AR102" s="362"/>
      <c r="AS102" s="362"/>
      <c r="AT102" s="362"/>
      <c r="AU102" s="362"/>
      <c r="AV102" s="362"/>
      <c r="AW102" s="362"/>
      <c r="AX102" s="362"/>
      <c r="AY102" s="362"/>
      <c r="AZ102" s="362"/>
      <c r="BA102" s="362"/>
      <c r="BB102" s="362"/>
      <c r="BC102" s="362"/>
      <c r="BD102" s="362"/>
      <c r="BE102" s="362"/>
      <c r="BF102" s="362"/>
      <c r="BG102" s="362"/>
      <c r="BI102" s="341" t="s">
        <v>1235</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2"/>
      <c r="I103" s="362"/>
      <c r="J103" s="362"/>
      <c r="K103" s="362"/>
      <c r="L103" s="362"/>
      <c r="M103" s="362"/>
      <c r="N103" s="362"/>
      <c r="O103" s="362"/>
      <c r="P103" s="362"/>
      <c r="Q103" s="362"/>
      <c r="R103" s="362"/>
      <c r="S103" s="362"/>
      <c r="T103" s="362"/>
      <c r="U103" s="362"/>
      <c r="V103" s="362"/>
      <c r="W103" s="362"/>
      <c r="X103" s="362"/>
      <c r="Y103" s="362"/>
      <c r="Z103" s="362"/>
      <c r="AA103" s="362"/>
      <c r="AB103" s="362"/>
      <c r="AC103" s="362"/>
      <c r="AD103" s="362"/>
      <c r="AE103" s="362"/>
      <c r="AF103" s="362"/>
      <c r="AG103" s="362"/>
      <c r="AH103" s="362"/>
      <c r="AI103" s="362"/>
      <c r="AJ103" s="362"/>
      <c r="AK103" s="362"/>
      <c r="AL103" s="362"/>
      <c r="AM103" s="362"/>
      <c r="AN103" s="362"/>
      <c r="AO103" s="362"/>
      <c r="AP103" s="362"/>
      <c r="AQ103" s="362"/>
      <c r="AR103" s="362"/>
      <c r="AS103" s="362"/>
      <c r="AT103" s="362"/>
      <c r="AU103" s="362"/>
      <c r="AV103" s="362"/>
      <c r="AW103" s="362"/>
      <c r="AX103" s="362"/>
      <c r="AY103" s="362"/>
      <c r="AZ103" s="362"/>
      <c r="BA103" s="362"/>
      <c r="BB103" s="362"/>
      <c r="BC103" s="362"/>
      <c r="BD103" s="362"/>
      <c r="BE103" s="362"/>
      <c r="BF103" s="362"/>
      <c r="BG103" s="362"/>
      <c r="BI103" s="341" t="s">
        <v>1235</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2"/>
      <c r="I104" s="362"/>
      <c r="J104" s="362"/>
      <c r="K104" s="362"/>
      <c r="L104" s="362"/>
      <c r="M104" s="362"/>
      <c r="N104" s="362"/>
      <c r="O104" s="362"/>
      <c r="P104" s="362"/>
      <c r="Q104" s="362"/>
      <c r="R104" s="362"/>
      <c r="S104" s="362"/>
      <c r="T104" s="362"/>
      <c r="U104" s="362"/>
      <c r="V104" s="362"/>
      <c r="W104" s="362"/>
      <c r="X104" s="362"/>
      <c r="Y104" s="362"/>
      <c r="Z104" s="362"/>
      <c r="AA104" s="362"/>
      <c r="AB104" s="362"/>
      <c r="AC104" s="362"/>
      <c r="AD104" s="362"/>
      <c r="AE104" s="362"/>
      <c r="AF104" s="362"/>
      <c r="AG104" s="362"/>
      <c r="AH104" s="362"/>
      <c r="AI104" s="362"/>
      <c r="AJ104" s="362"/>
      <c r="AK104" s="362"/>
      <c r="AL104" s="362"/>
      <c r="AM104" s="362"/>
      <c r="AN104" s="362"/>
      <c r="AO104" s="362"/>
      <c r="AP104" s="362"/>
      <c r="AQ104" s="362"/>
      <c r="AR104" s="362"/>
      <c r="AS104" s="362"/>
      <c r="AT104" s="362"/>
      <c r="AU104" s="362"/>
      <c r="AV104" s="362"/>
      <c r="AW104" s="362"/>
      <c r="AX104" s="362"/>
      <c r="AY104" s="362"/>
      <c r="AZ104" s="362"/>
      <c r="BA104" s="362"/>
      <c r="BB104" s="362"/>
      <c r="BC104" s="362"/>
      <c r="BD104" s="362"/>
      <c r="BE104" s="362"/>
      <c r="BF104" s="362"/>
      <c r="BG104" s="362"/>
      <c r="BI104" s="341" t="s">
        <v>1235</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2"/>
      <c r="I105" s="362"/>
      <c r="J105" s="362"/>
      <c r="K105" s="362"/>
      <c r="L105" s="362"/>
      <c r="M105" s="362"/>
      <c r="N105" s="362"/>
      <c r="O105" s="362"/>
      <c r="P105" s="362"/>
      <c r="Q105" s="362"/>
      <c r="R105" s="362"/>
      <c r="S105" s="362"/>
      <c r="T105" s="362"/>
      <c r="U105" s="362"/>
      <c r="V105" s="362"/>
      <c r="W105" s="362"/>
      <c r="X105" s="362"/>
      <c r="Y105" s="362"/>
      <c r="Z105" s="362"/>
      <c r="AA105" s="362"/>
      <c r="AB105" s="362"/>
      <c r="AC105" s="362"/>
      <c r="AD105" s="362"/>
      <c r="AE105" s="362"/>
      <c r="AF105" s="362"/>
      <c r="AG105" s="362"/>
      <c r="AH105" s="362"/>
      <c r="AI105" s="362"/>
      <c r="AJ105" s="362"/>
      <c r="AK105" s="362"/>
      <c r="AL105" s="362"/>
      <c r="AM105" s="362"/>
      <c r="AN105" s="362"/>
      <c r="AO105" s="362"/>
      <c r="AP105" s="362"/>
      <c r="AQ105" s="362"/>
      <c r="AR105" s="362"/>
      <c r="AS105" s="362"/>
      <c r="AT105" s="362"/>
      <c r="AU105" s="362"/>
      <c r="AV105" s="362"/>
      <c r="AW105" s="362"/>
      <c r="AX105" s="362"/>
      <c r="AY105" s="362"/>
      <c r="AZ105" s="362"/>
      <c r="BA105" s="362"/>
      <c r="BB105" s="362"/>
      <c r="BC105" s="362"/>
      <c r="BD105" s="362"/>
      <c r="BE105" s="362"/>
      <c r="BF105" s="362"/>
      <c r="BG105" s="362"/>
      <c r="BI105" s="341" t="s">
        <v>1235</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2"/>
      <c r="I106" s="362"/>
      <c r="J106" s="362"/>
      <c r="K106" s="362"/>
      <c r="L106" s="362"/>
      <c r="M106" s="362"/>
      <c r="N106" s="362"/>
      <c r="O106" s="362"/>
      <c r="P106" s="362"/>
      <c r="Q106" s="362"/>
      <c r="R106" s="362"/>
      <c r="S106" s="362"/>
      <c r="T106" s="362"/>
      <c r="U106" s="362"/>
      <c r="V106" s="362"/>
      <c r="W106" s="362"/>
      <c r="X106" s="362"/>
      <c r="Y106" s="362"/>
      <c r="Z106" s="362"/>
      <c r="AA106" s="362"/>
      <c r="AB106" s="362"/>
      <c r="AC106" s="362"/>
      <c r="AD106" s="362"/>
      <c r="AE106" s="362"/>
      <c r="AF106" s="362"/>
      <c r="AG106" s="362"/>
      <c r="AH106" s="362"/>
      <c r="AI106" s="362"/>
      <c r="AJ106" s="362"/>
      <c r="AK106" s="362"/>
      <c r="AL106" s="362"/>
      <c r="AM106" s="362"/>
      <c r="AN106" s="362"/>
      <c r="AO106" s="362"/>
      <c r="AP106" s="362"/>
      <c r="AQ106" s="362"/>
      <c r="AR106" s="362"/>
      <c r="AS106" s="362"/>
      <c r="AT106" s="362"/>
      <c r="AU106" s="362"/>
      <c r="AV106" s="362"/>
      <c r="AW106" s="362"/>
      <c r="AX106" s="362"/>
      <c r="AY106" s="362"/>
      <c r="AZ106" s="362"/>
      <c r="BA106" s="362"/>
      <c r="BB106" s="362"/>
      <c r="BC106" s="362"/>
      <c r="BD106" s="362"/>
      <c r="BE106" s="362"/>
      <c r="BF106" s="362"/>
      <c r="BG106" s="362"/>
      <c r="BI106" s="341" t="s">
        <v>1235</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2"/>
      <c r="I107" s="362"/>
      <c r="J107" s="362"/>
      <c r="K107" s="362"/>
      <c r="L107" s="362"/>
      <c r="M107" s="362"/>
      <c r="N107" s="362"/>
      <c r="O107" s="362"/>
      <c r="P107" s="362"/>
      <c r="Q107" s="362"/>
      <c r="R107" s="362"/>
      <c r="S107" s="362"/>
      <c r="T107" s="362"/>
      <c r="U107" s="362"/>
      <c r="V107" s="362"/>
      <c r="W107" s="362"/>
      <c r="X107" s="362"/>
      <c r="Y107" s="362"/>
      <c r="Z107" s="362"/>
      <c r="AA107" s="362"/>
      <c r="AB107" s="362"/>
      <c r="AC107" s="362"/>
      <c r="AD107" s="362"/>
      <c r="AE107" s="362"/>
      <c r="AF107" s="362"/>
      <c r="AG107" s="362"/>
      <c r="AH107" s="362"/>
      <c r="AI107" s="362"/>
      <c r="AJ107" s="362"/>
      <c r="AK107" s="362"/>
      <c r="AL107" s="362"/>
      <c r="AM107" s="362"/>
      <c r="AN107" s="362"/>
      <c r="AO107" s="362"/>
      <c r="AP107" s="362"/>
      <c r="AQ107" s="362"/>
      <c r="AR107" s="362"/>
      <c r="AS107" s="362"/>
      <c r="AT107" s="362"/>
      <c r="AU107" s="362"/>
      <c r="AV107" s="362"/>
      <c r="AW107" s="362"/>
      <c r="AX107" s="362"/>
      <c r="AY107" s="362"/>
      <c r="AZ107" s="362"/>
      <c r="BA107" s="362"/>
      <c r="BB107" s="362"/>
      <c r="BC107" s="362"/>
      <c r="BD107" s="362"/>
      <c r="BE107" s="362"/>
      <c r="BF107" s="362"/>
      <c r="BG107" s="362"/>
      <c r="BI107" s="341" t="s">
        <v>1235</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2"/>
      <c r="I108" s="362"/>
      <c r="J108" s="362"/>
      <c r="K108" s="362"/>
      <c r="L108" s="362"/>
      <c r="M108" s="362"/>
      <c r="N108" s="362"/>
      <c r="O108" s="362"/>
      <c r="P108" s="362"/>
      <c r="Q108" s="362"/>
      <c r="R108" s="362"/>
      <c r="S108" s="362"/>
      <c r="T108" s="362"/>
      <c r="U108" s="362"/>
      <c r="V108" s="362"/>
      <c r="W108" s="362"/>
      <c r="X108" s="362"/>
      <c r="Y108" s="362"/>
      <c r="Z108" s="362"/>
      <c r="AA108" s="362"/>
      <c r="AB108" s="362"/>
      <c r="AC108" s="362"/>
      <c r="AD108" s="362"/>
      <c r="AE108" s="362"/>
      <c r="AF108" s="362"/>
      <c r="AG108" s="362"/>
      <c r="AH108" s="362"/>
      <c r="AI108" s="362"/>
      <c r="AJ108" s="362"/>
      <c r="AK108" s="362"/>
      <c r="AL108" s="362"/>
      <c r="AM108" s="362"/>
      <c r="AN108" s="362"/>
      <c r="AO108" s="362"/>
      <c r="AP108" s="362"/>
      <c r="AQ108" s="362"/>
      <c r="AR108" s="362"/>
      <c r="AS108" s="362"/>
      <c r="AT108" s="362"/>
      <c r="AU108" s="362"/>
      <c r="AV108" s="362"/>
      <c r="AW108" s="362"/>
      <c r="AX108" s="362"/>
      <c r="AY108" s="362"/>
      <c r="AZ108" s="362"/>
      <c r="BA108" s="362"/>
      <c r="BB108" s="362"/>
      <c r="BC108" s="362"/>
      <c r="BD108" s="362"/>
      <c r="BE108" s="362"/>
      <c r="BF108" s="362"/>
      <c r="BG108" s="362"/>
      <c r="BI108" s="341" t="s">
        <v>1235</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2"/>
      <c r="I109" s="362"/>
      <c r="J109" s="362"/>
      <c r="K109" s="362"/>
      <c r="L109" s="362"/>
      <c r="M109" s="362"/>
      <c r="N109" s="362"/>
      <c r="O109" s="362"/>
      <c r="P109" s="362"/>
      <c r="Q109" s="362"/>
      <c r="R109" s="362"/>
      <c r="S109" s="362"/>
      <c r="T109" s="362"/>
      <c r="U109" s="362"/>
      <c r="V109" s="362"/>
      <c r="W109" s="362"/>
      <c r="X109" s="362"/>
      <c r="Y109" s="362"/>
      <c r="Z109" s="362"/>
      <c r="AA109" s="362"/>
      <c r="AB109" s="362"/>
      <c r="AC109" s="362"/>
      <c r="AD109" s="362"/>
      <c r="AE109" s="362"/>
      <c r="AF109" s="362"/>
      <c r="AG109" s="362"/>
      <c r="AH109" s="362"/>
      <c r="AI109" s="362"/>
      <c r="AJ109" s="362"/>
      <c r="AK109" s="362"/>
      <c r="AL109" s="362"/>
      <c r="AM109" s="362"/>
      <c r="AN109" s="362"/>
      <c r="AO109" s="362"/>
      <c r="AP109" s="362"/>
      <c r="AQ109" s="362"/>
      <c r="AR109" s="362"/>
      <c r="AS109" s="362"/>
      <c r="AT109" s="362"/>
      <c r="AU109" s="362"/>
      <c r="AV109" s="362"/>
      <c r="AW109" s="362"/>
      <c r="AX109" s="362"/>
      <c r="AY109" s="362"/>
      <c r="AZ109" s="362"/>
      <c r="BA109" s="362"/>
      <c r="BB109" s="362"/>
      <c r="BC109" s="362"/>
      <c r="BD109" s="362"/>
      <c r="BE109" s="362"/>
      <c r="BF109" s="362"/>
      <c r="BG109" s="362"/>
      <c r="BI109" s="341" t="s">
        <v>1235</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2"/>
      <c r="I110" s="362"/>
      <c r="J110" s="362"/>
      <c r="K110" s="362"/>
      <c r="L110" s="362"/>
      <c r="M110" s="362"/>
      <c r="N110" s="362"/>
      <c r="O110" s="362"/>
      <c r="P110" s="362"/>
      <c r="Q110" s="362"/>
      <c r="R110" s="362"/>
      <c r="S110" s="362"/>
      <c r="T110" s="362"/>
      <c r="U110" s="362"/>
      <c r="V110" s="362"/>
      <c r="W110" s="362"/>
      <c r="X110" s="362"/>
      <c r="Y110" s="362"/>
      <c r="Z110" s="362"/>
      <c r="AA110" s="362"/>
      <c r="AB110" s="362"/>
      <c r="AC110" s="362"/>
      <c r="AD110" s="362"/>
      <c r="AE110" s="362"/>
      <c r="AF110" s="362"/>
      <c r="AG110" s="362"/>
      <c r="AH110" s="362"/>
      <c r="AI110" s="362"/>
      <c r="AJ110" s="362"/>
      <c r="AK110" s="362"/>
      <c r="AL110" s="362"/>
      <c r="AM110" s="362"/>
      <c r="AN110" s="362"/>
      <c r="AO110" s="362"/>
      <c r="AP110" s="362"/>
      <c r="AQ110" s="362"/>
      <c r="AR110" s="362"/>
      <c r="AS110" s="362"/>
      <c r="AT110" s="362"/>
      <c r="AU110" s="362"/>
      <c r="AV110" s="362"/>
      <c r="AW110" s="362"/>
      <c r="AX110" s="362"/>
      <c r="AY110" s="362"/>
      <c r="AZ110" s="362"/>
      <c r="BA110" s="362"/>
      <c r="BB110" s="362"/>
      <c r="BC110" s="362"/>
      <c r="BD110" s="362"/>
      <c r="BE110" s="362"/>
      <c r="BF110" s="362"/>
      <c r="BG110" s="362"/>
      <c r="BI110" s="341" t="s">
        <v>1235</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2"/>
      <c r="I111" s="362"/>
      <c r="J111" s="362"/>
      <c r="K111" s="362"/>
      <c r="L111" s="362"/>
      <c r="M111" s="362"/>
      <c r="N111" s="362"/>
      <c r="O111" s="362"/>
      <c r="P111" s="362"/>
      <c r="Q111" s="362"/>
      <c r="R111" s="362"/>
      <c r="S111" s="362"/>
      <c r="T111" s="362"/>
      <c r="U111" s="362"/>
      <c r="V111" s="362"/>
      <c r="W111" s="362"/>
      <c r="X111" s="362"/>
      <c r="Y111" s="362"/>
      <c r="Z111" s="362"/>
      <c r="AA111" s="362"/>
      <c r="AB111" s="362"/>
      <c r="AC111" s="362"/>
      <c r="AD111" s="362"/>
      <c r="AE111" s="362"/>
      <c r="AF111" s="362"/>
      <c r="AG111" s="362"/>
      <c r="AH111" s="362"/>
      <c r="AI111" s="362"/>
      <c r="AJ111" s="362"/>
      <c r="AK111" s="362"/>
      <c r="AL111" s="362"/>
      <c r="AM111" s="362"/>
      <c r="AN111" s="362"/>
      <c r="AO111" s="362"/>
      <c r="AP111" s="362"/>
      <c r="AQ111" s="362"/>
      <c r="AR111" s="362"/>
      <c r="AS111" s="362"/>
      <c r="AT111" s="362"/>
      <c r="AU111" s="362"/>
      <c r="AV111" s="362"/>
      <c r="AW111" s="362"/>
      <c r="AX111" s="362"/>
      <c r="AY111" s="362"/>
      <c r="AZ111" s="362"/>
      <c r="BA111" s="362"/>
      <c r="BB111" s="362"/>
      <c r="BC111" s="362"/>
      <c r="BD111" s="362"/>
      <c r="BE111" s="362"/>
      <c r="BF111" s="362"/>
      <c r="BG111" s="362"/>
      <c r="BI111" s="341" t="s">
        <v>1235</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2"/>
      <c r="I112" s="362"/>
      <c r="J112" s="362"/>
      <c r="K112" s="362"/>
      <c r="L112" s="362"/>
      <c r="M112" s="362"/>
      <c r="N112" s="362"/>
      <c r="O112" s="362"/>
      <c r="P112" s="362"/>
      <c r="Q112" s="362"/>
      <c r="R112" s="362"/>
      <c r="S112" s="362"/>
      <c r="T112" s="362"/>
      <c r="U112" s="362"/>
      <c r="V112" s="362"/>
      <c r="W112" s="362"/>
      <c r="X112" s="362"/>
      <c r="Y112" s="362"/>
      <c r="Z112" s="362"/>
      <c r="AA112" s="362"/>
      <c r="AB112" s="362"/>
      <c r="AC112" s="362"/>
      <c r="AD112" s="362"/>
      <c r="AE112" s="362"/>
      <c r="AF112" s="362"/>
      <c r="AG112" s="362"/>
      <c r="AH112" s="362"/>
      <c r="AI112" s="362"/>
      <c r="AJ112" s="362"/>
      <c r="AK112" s="362"/>
      <c r="AL112" s="362"/>
      <c r="AM112" s="362"/>
      <c r="AN112" s="362"/>
      <c r="AO112" s="362"/>
      <c r="AP112" s="362"/>
      <c r="AQ112" s="362"/>
      <c r="AR112" s="362"/>
      <c r="AS112" s="362"/>
      <c r="AT112" s="362"/>
      <c r="AU112" s="362"/>
      <c r="AV112" s="362"/>
      <c r="AW112" s="362"/>
      <c r="AX112" s="362"/>
      <c r="AY112" s="362"/>
      <c r="AZ112" s="362"/>
      <c r="BA112" s="362"/>
      <c r="BB112" s="362"/>
      <c r="BC112" s="362"/>
      <c r="BD112" s="362"/>
      <c r="BE112" s="362"/>
      <c r="BF112" s="362"/>
      <c r="BG112" s="362"/>
      <c r="BI112" s="341" t="s">
        <v>1235</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2"/>
      <c r="I113" s="362"/>
      <c r="J113" s="362"/>
      <c r="K113" s="362"/>
      <c r="L113" s="362"/>
      <c r="M113" s="362"/>
      <c r="N113" s="362"/>
      <c r="O113" s="362"/>
      <c r="P113" s="362"/>
      <c r="Q113" s="362"/>
      <c r="R113" s="362"/>
      <c r="S113" s="362"/>
      <c r="T113" s="362"/>
      <c r="U113" s="362"/>
      <c r="V113" s="362"/>
      <c r="W113" s="362"/>
      <c r="X113" s="362"/>
      <c r="Y113" s="362"/>
      <c r="Z113" s="362"/>
      <c r="AA113" s="362"/>
      <c r="AB113" s="362"/>
      <c r="AC113" s="362"/>
      <c r="AD113" s="362"/>
      <c r="AE113" s="362"/>
      <c r="AF113" s="362"/>
      <c r="AG113" s="362"/>
      <c r="AH113" s="362"/>
      <c r="AI113" s="362"/>
      <c r="AJ113" s="362"/>
      <c r="AK113" s="362"/>
      <c r="AL113" s="362"/>
      <c r="AM113" s="362"/>
      <c r="AN113" s="362"/>
      <c r="AO113" s="362"/>
      <c r="AP113" s="362"/>
      <c r="AQ113" s="362"/>
      <c r="AR113" s="362"/>
      <c r="AS113" s="362"/>
      <c r="AT113" s="362"/>
      <c r="AU113" s="362"/>
      <c r="AV113" s="362"/>
      <c r="AW113" s="362"/>
      <c r="AX113" s="362"/>
      <c r="AY113" s="362"/>
      <c r="AZ113" s="362"/>
      <c r="BA113" s="362"/>
      <c r="BB113" s="362"/>
      <c r="BC113" s="362"/>
      <c r="BD113" s="362"/>
      <c r="BE113" s="362"/>
      <c r="BF113" s="362"/>
      <c r="BG113" s="362"/>
      <c r="BI113" s="341" t="s">
        <v>1235</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2"/>
      <c r="I114" s="362"/>
      <c r="J114" s="362"/>
      <c r="K114" s="362"/>
      <c r="L114" s="362"/>
      <c r="M114" s="362"/>
      <c r="N114" s="362"/>
      <c r="O114" s="362"/>
      <c r="P114" s="362"/>
      <c r="Q114" s="362"/>
      <c r="R114" s="362"/>
      <c r="S114" s="362"/>
      <c r="T114" s="362"/>
      <c r="U114" s="362"/>
      <c r="V114" s="362"/>
      <c r="W114" s="362"/>
      <c r="X114" s="362"/>
      <c r="Y114" s="362"/>
      <c r="Z114" s="362"/>
      <c r="AA114" s="362"/>
      <c r="AB114" s="362"/>
      <c r="AC114" s="362"/>
      <c r="AD114" s="362"/>
      <c r="AE114" s="362"/>
      <c r="AF114" s="362"/>
      <c r="AG114" s="362"/>
      <c r="AH114" s="362"/>
      <c r="AI114" s="362"/>
      <c r="AJ114" s="362"/>
      <c r="AK114" s="362"/>
      <c r="AL114" s="362"/>
      <c r="AM114" s="362"/>
      <c r="AN114" s="362"/>
      <c r="AO114" s="362"/>
      <c r="AP114" s="362"/>
      <c r="AQ114" s="362"/>
      <c r="AR114" s="362"/>
      <c r="AS114" s="362"/>
      <c r="AT114" s="362"/>
      <c r="AU114" s="362"/>
      <c r="AV114" s="362"/>
      <c r="AW114" s="362"/>
      <c r="AX114" s="362"/>
      <c r="AY114" s="362"/>
      <c r="AZ114" s="362"/>
      <c r="BA114" s="362"/>
      <c r="BB114" s="362"/>
      <c r="BC114" s="362"/>
      <c r="BD114" s="362"/>
      <c r="BE114" s="362"/>
      <c r="BF114" s="362"/>
      <c r="BG114" s="362"/>
      <c r="BI114" s="341" t="s">
        <v>1235</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2"/>
      <c r="I115" s="362"/>
      <c r="J115" s="362"/>
      <c r="K115" s="362"/>
      <c r="L115" s="362"/>
      <c r="M115" s="362"/>
      <c r="N115" s="362"/>
      <c r="O115" s="362"/>
      <c r="P115" s="362"/>
      <c r="Q115" s="362"/>
      <c r="R115" s="362"/>
      <c r="S115" s="362"/>
      <c r="T115" s="362"/>
      <c r="U115" s="362"/>
      <c r="V115" s="362"/>
      <c r="W115" s="362"/>
      <c r="X115" s="362"/>
      <c r="Y115" s="362"/>
      <c r="Z115" s="362"/>
      <c r="AA115" s="362"/>
      <c r="AB115" s="362"/>
      <c r="AC115" s="362"/>
      <c r="AD115" s="362"/>
      <c r="AE115" s="362"/>
      <c r="AF115" s="362"/>
      <c r="AG115" s="362"/>
      <c r="AH115" s="362"/>
      <c r="AI115" s="362"/>
      <c r="AJ115" s="362"/>
      <c r="AK115" s="362"/>
      <c r="AL115" s="362"/>
      <c r="AM115" s="362"/>
      <c r="AN115" s="362"/>
      <c r="AO115" s="362"/>
      <c r="AP115" s="362"/>
      <c r="AQ115" s="362"/>
      <c r="AR115" s="362"/>
      <c r="AS115" s="362"/>
      <c r="AT115" s="362"/>
      <c r="AU115" s="362"/>
      <c r="AV115" s="362"/>
      <c r="AW115" s="362"/>
      <c r="AX115" s="362"/>
      <c r="AY115" s="362"/>
      <c r="AZ115" s="362"/>
      <c r="BA115" s="362"/>
      <c r="BB115" s="362"/>
      <c r="BC115" s="362"/>
      <c r="BD115" s="362"/>
      <c r="BE115" s="362"/>
      <c r="BF115" s="362"/>
      <c r="BG115" s="362"/>
      <c r="BI115" s="341" t="s">
        <v>1235</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2"/>
      <c r="I116" s="362"/>
      <c r="J116" s="362"/>
      <c r="K116" s="362"/>
      <c r="L116" s="362"/>
      <c r="M116" s="362"/>
      <c r="N116" s="362"/>
      <c r="O116" s="362"/>
      <c r="P116" s="362"/>
      <c r="Q116" s="362"/>
      <c r="R116" s="362"/>
      <c r="S116" s="362"/>
      <c r="T116" s="362"/>
      <c r="U116" s="362"/>
      <c r="V116" s="362"/>
      <c r="W116" s="362"/>
      <c r="X116" s="362"/>
      <c r="Y116" s="362"/>
      <c r="Z116" s="362"/>
      <c r="AA116" s="362"/>
      <c r="AB116" s="362"/>
      <c r="AC116" s="362"/>
      <c r="AD116" s="362"/>
      <c r="AE116" s="362"/>
      <c r="AF116" s="362"/>
      <c r="AG116" s="362"/>
      <c r="AH116" s="362"/>
      <c r="AI116" s="362"/>
      <c r="AJ116" s="362"/>
      <c r="AK116" s="362"/>
      <c r="AL116" s="362"/>
      <c r="AM116" s="362"/>
      <c r="AN116" s="362"/>
      <c r="AO116" s="362"/>
      <c r="AP116" s="362"/>
      <c r="AQ116" s="362"/>
      <c r="AR116" s="362"/>
      <c r="AS116" s="362"/>
      <c r="AT116" s="362"/>
      <c r="AU116" s="362"/>
      <c r="AV116" s="362"/>
      <c r="AW116" s="362"/>
      <c r="AX116" s="362"/>
      <c r="AY116" s="362"/>
      <c r="AZ116" s="362"/>
      <c r="BA116" s="362"/>
      <c r="BB116" s="362"/>
      <c r="BC116" s="362"/>
      <c r="BD116" s="362"/>
      <c r="BE116" s="362"/>
      <c r="BF116" s="362"/>
      <c r="BG116" s="362"/>
      <c r="BI116" s="341" t="s">
        <v>1235</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2"/>
      <c r="I117" s="362"/>
      <c r="J117" s="362"/>
      <c r="K117" s="362"/>
      <c r="L117" s="362"/>
      <c r="M117" s="362"/>
      <c r="N117" s="362"/>
      <c r="O117" s="362"/>
      <c r="P117" s="362"/>
      <c r="Q117" s="362"/>
      <c r="R117" s="362"/>
      <c r="S117" s="362"/>
      <c r="T117" s="362"/>
      <c r="U117" s="362"/>
      <c r="V117" s="362"/>
      <c r="W117" s="362"/>
      <c r="X117" s="362"/>
      <c r="Y117" s="362"/>
      <c r="Z117" s="362"/>
      <c r="AA117" s="362"/>
      <c r="AB117" s="362"/>
      <c r="AC117" s="362"/>
      <c r="AD117" s="362"/>
      <c r="AE117" s="362"/>
      <c r="AF117" s="362"/>
      <c r="AG117" s="362"/>
      <c r="AH117" s="362"/>
      <c r="AI117" s="362"/>
      <c r="AJ117" s="362"/>
      <c r="AK117" s="362"/>
      <c r="AL117" s="362"/>
      <c r="AM117" s="362"/>
      <c r="AN117" s="362"/>
      <c r="AO117" s="362"/>
      <c r="AP117" s="362"/>
      <c r="AQ117" s="362"/>
      <c r="AR117" s="362"/>
      <c r="AS117" s="362"/>
      <c r="AT117" s="362"/>
      <c r="AU117" s="362"/>
      <c r="AV117" s="362"/>
      <c r="AW117" s="362"/>
      <c r="AX117" s="362"/>
      <c r="AY117" s="362"/>
      <c r="AZ117" s="362"/>
      <c r="BA117" s="362"/>
      <c r="BB117" s="362"/>
      <c r="BC117" s="362"/>
      <c r="BD117" s="362"/>
      <c r="BE117" s="362"/>
      <c r="BF117" s="362"/>
      <c r="BG117" s="362"/>
      <c r="BI117" s="341" t="s">
        <v>1235</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2"/>
      <c r="I118" s="362"/>
      <c r="J118" s="362"/>
      <c r="K118" s="362"/>
      <c r="L118" s="362"/>
      <c r="M118" s="362"/>
      <c r="N118" s="362"/>
      <c r="O118" s="362"/>
      <c r="P118" s="362"/>
      <c r="Q118" s="362"/>
      <c r="R118" s="362"/>
      <c r="S118" s="362"/>
      <c r="T118" s="362"/>
      <c r="U118" s="362"/>
      <c r="V118" s="362"/>
      <c r="W118" s="362"/>
      <c r="X118" s="362"/>
      <c r="Y118" s="362"/>
      <c r="Z118" s="362"/>
      <c r="AA118" s="362"/>
      <c r="AB118" s="362"/>
      <c r="AC118" s="362"/>
      <c r="AD118" s="362"/>
      <c r="AE118" s="362"/>
      <c r="AF118" s="362"/>
      <c r="AG118" s="362"/>
      <c r="AH118" s="362"/>
      <c r="AI118" s="362"/>
      <c r="AJ118" s="362"/>
      <c r="AK118" s="362"/>
      <c r="AL118" s="362"/>
      <c r="AM118" s="362"/>
      <c r="AN118" s="362"/>
      <c r="AO118" s="362"/>
      <c r="AP118" s="362"/>
      <c r="AQ118" s="362"/>
      <c r="AR118" s="362"/>
      <c r="AS118" s="362"/>
      <c r="AT118" s="362"/>
      <c r="AU118" s="362"/>
      <c r="AV118" s="362"/>
      <c r="AW118" s="362"/>
      <c r="AX118" s="362"/>
      <c r="AY118" s="362"/>
      <c r="AZ118" s="362"/>
      <c r="BA118" s="362"/>
      <c r="BB118" s="362"/>
      <c r="BC118" s="362"/>
      <c r="BD118" s="362"/>
      <c r="BE118" s="362"/>
      <c r="BF118" s="362"/>
      <c r="BG118" s="362"/>
      <c r="BI118" s="341" t="s">
        <v>1235</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2"/>
      <c r="I119" s="362"/>
      <c r="J119" s="362"/>
      <c r="K119" s="362"/>
      <c r="L119" s="362"/>
      <c r="M119" s="362"/>
      <c r="N119" s="362"/>
      <c r="O119" s="362"/>
      <c r="P119" s="362"/>
      <c r="Q119" s="362"/>
      <c r="R119" s="362"/>
      <c r="S119" s="362"/>
      <c r="T119" s="362"/>
      <c r="U119" s="362"/>
      <c r="V119" s="362"/>
      <c r="W119" s="362"/>
      <c r="X119" s="362"/>
      <c r="Y119" s="362"/>
      <c r="Z119" s="362"/>
      <c r="AA119" s="362"/>
      <c r="AB119" s="362"/>
      <c r="AC119" s="362"/>
      <c r="AD119" s="362"/>
      <c r="AE119" s="362"/>
      <c r="AF119" s="362"/>
      <c r="AG119" s="362"/>
      <c r="AH119" s="362"/>
      <c r="AI119" s="362"/>
      <c r="AJ119" s="362"/>
      <c r="AK119" s="362"/>
      <c r="AL119" s="362"/>
      <c r="AM119" s="362"/>
      <c r="AN119" s="362"/>
      <c r="AO119" s="362"/>
      <c r="AP119" s="362"/>
      <c r="AQ119" s="362"/>
      <c r="AR119" s="362"/>
      <c r="AS119" s="362"/>
      <c r="AT119" s="362"/>
      <c r="AU119" s="362"/>
      <c r="AV119" s="362"/>
      <c r="AW119" s="362"/>
      <c r="AX119" s="362"/>
      <c r="AY119" s="362"/>
      <c r="AZ119" s="362"/>
      <c r="BA119" s="362"/>
      <c r="BB119" s="362"/>
      <c r="BC119" s="362"/>
      <c r="BD119" s="362"/>
      <c r="BE119" s="362"/>
      <c r="BF119" s="362"/>
      <c r="BG119" s="362"/>
      <c r="BI119" s="341" t="s">
        <v>1235</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2"/>
      <c r="I120" s="362"/>
      <c r="J120" s="362"/>
      <c r="K120" s="362"/>
      <c r="L120" s="362"/>
      <c r="M120" s="362"/>
      <c r="N120" s="362"/>
      <c r="O120" s="362"/>
      <c r="P120" s="362"/>
      <c r="Q120" s="362"/>
      <c r="R120" s="362"/>
      <c r="S120" s="362"/>
      <c r="T120" s="362"/>
      <c r="U120" s="362"/>
      <c r="V120" s="362"/>
      <c r="W120" s="362"/>
      <c r="X120" s="362"/>
      <c r="Y120" s="362"/>
      <c r="Z120" s="362"/>
      <c r="AA120" s="362"/>
      <c r="AB120" s="362"/>
      <c r="AC120" s="362"/>
      <c r="AD120" s="362"/>
      <c r="AE120" s="362"/>
      <c r="AF120" s="362"/>
      <c r="AG120" s="362"/>
      <c r="AH120" s="362"/>
      <c r="AI120" s="362"/>
      <c r="AJ120" s="362"/>
      <c r="AK120" s="362"/>
      <c r="AL120" s="362"/>
      <c r="AM120" s="362"/>
      <c r="AN120" s="362"/>
      <c r="AO120" s="362"/>
      <c r="AP120" s="362"/>
      <c r="AQ120" s="362"/>
      <c r="AR120" s="362"/>
      <c r="AS120" s="362"/>
      <c r="AT120" s="362"/>
      <c r="AU120" s="362"/>
      <c r="AV120" s="362"/>
      <c r="AW120" s="362"/>
      <c r="AX120" s="362"/>
      <c r="AY120" s="362"/>
      <c r="AZ120" s="362"/>
      <c r="BA120" s="362"/>
      <c r="BB120" s="362"/>
      <c r="BC120" s="362"/>
      <c r="BD120" s="362"/>
      <c r="BE120" s="362"/>
      <c r="BF120" s="362"/>
      <c r="BG120" s="362"/>
      <c r="BI120" s="341" t="s">
        <v>1235</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2"/>
      <c r="I121" s="362"/>
      <c r="J121" s="362"/>
      <c r="K121" s="362"/>
      <c r="L121" s="362"/>
      <c r="M121" s="362"/>
      <c r="N121" s="362"/>
      <c r="O121" s="362"/>
      <c r="P121" s="362"/>
      <c r="Q121" s="362"/>
      <c r="R121" s="362"/>
      <c r="S121" s="362"/>
      <c r="T121" s="362"/>
      <c r="U121" s="362"/>
      <c r="V121" s="362"/>
      <c r="W121" s="362"/>
      <c r="X121" s="362"/>
      <c r="Y121" s="362"/>
      <c r="Z121" s="362"/>
      <c r="AA121" s="362"/>
      <c r="AB121" s="362"/>
      <c r="AC121" s="362"/>
      <c r="AD121" s="362"/>
      <c r="AE121" s="362"/>
      <c r="AF121" s="362"/>
      <c r="AG121" s="362"/>
      <c r="AH121" s="362"/>
      <c r="AI121" s="362"/>
      <c r="AJ121" s="362"/>
      <c r="AK121" s="362"/>
      <c r="AL121" s="362"/>
      <c r="AM121" s="362"/>
      <c r="AN121" s="362"/>
      <c r="AO121" s="362"/>
      <c r="AP121" s="362"/>
      <c r="AQ121" s="362"/>
      <c r="AR121" s="362"/>
      <c r="AS121" s="362"/>
      <c r="AT121" s="362"/>
      <c r="AU121" s="362"/>
      <c r="AV121" s="362"/>
      <c r="AW121" s="362"/>
      <c r="AX121" s="362"/>
      <c r="AY121" s="362"/>
      <c r="AZ121" s="362"/>
      <c r="BA121" s="362"/>
      <c r="BB121" s="362"/>
      <c r="BC121" s="362"/>
      <c r="BD121" s="362"/>
      <c r="BE121" s="362"/>
      <c r="BF121" s="362"/>
      <c r="BG121" s="362"/>
      <c r="BI121" s="341" t="s">
        <v>1235</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2"/>
      <c r="I122" s="362"/>
      <c r="J122" s="362"/>
      <c r="K122" s="362"/>
      <c r="L122" s="362"/>
      <c r="M122" s="362"/>
      <c r="N122" s="362"/>
      <c r="O122" s="362"/>
      <c r="P122" s="362"/>
      <c r="Q122" s="362"/>
      <c r="R122" s="362"/>
      <c r="S122" s="362"/>
      <c r="T122" s="362"/>
      <c r="U122" s="362"/>
      <c r="V122" s="362"/>
      <c r="W122" s="362"/>
      <c r="X122" s="362"/>
      <c r="Y122" s="362"/>
      <c r="Z122" s="362"/>
      <c r="AA122" s="362"/>
      <c r="AB122" s="362"/>
      <c r="AC122" s="362"/>
      <c r="AD122" s="362"/>
      <c r="AE122" s="362"/>
      <c r="AF122" s="362"/>
      <c r="AG122" s="362"/>
      <c r="AH122" s="362"/>
      <c r="AI122" s="362"/>
      <c r="AJ122" s="362"/>
      <c r="AK122" s="362"/>
      <c r="AL122" s="362"/>
      <c r="AM122" s="362"/>
      <c r="AN122" s="362"/>
      <c r="AO122" s="362"/>
      <c r="AP122" s="362"/>
      <c r="AQ122" s="362"/>
      <c r="AR122" s="362"/>
      <c r="AS122" s="362"/>
      <c r="AT122" s="362"/>
      <c r="AU122" s="362"/>
      <c r="AV122" s="362"/>
      <c r="AW122" s="362"/>
      <c r="AX122" s="362"/>
      <c r="AY122" s="362"/>
      <c r="AZ122" s="362"/>
      <c r="BA122" s="362"/>
      <c r="BB122" s="362"/>
      <c r="BC122" s="362"/>
      <c r="BD122" s="362"/>
      <c r="BE122" s="362"/>
      <c r="BF122" s="362"/>
      <c r="BG122" s="362"/>
      <c r="BI122" s="341" t="s">
        <v>1235</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2"/>
      <c r="I123" s="362"/>
      <c r="J123" s="362"/>
      <c r="K123" s="362"/>
      <c r="L123" s="362"/>
      <c r="M123" s="362"/>
      <c r="N123" s="362"/>
      <c r="O123" s="362"/>
      <c r="P123" s="362"/>
      <c r="Q123" s="362"/>
      <c r="R123" s="362"/>
      <c r="S123" s="362"/>
      <c r="T123" s="362"/>
      <c r="U123" s="362"/>
      <c r="V123" s="362"/>
      <c r="W123" s="362"/>
      <c r="X123" s="362"/>
      <c r="Y123" s="362"/>
      <c r="Z123" s="362"/>
      <c r="AA123" s="362"/>
      <c r="AB123" s="362"/>
      <c r="AC123" s="362"/>
      <c r="AD123" s="362"/>
      <c r="AE123" s="362"/>
      <c r="AF123" s="362"/>
      <c r="AG123" s="362"/>
      <c r="AH123" s="362"/>
      <c r="AI123" s="362"/>
      <c r="AJ123" s="362"/>
      <c r="AK123" s="362"/>
      <c r="AL123" s="362"/>
      <c r="AM123" s="362"/>
      <c r="AN123" s="362"/>
      <c r="AO123" s="362"/>
      <c r="AP123" s="362"/>
      <c r="AQ123" s="362"/>
      <c r="AR123" s="362"/>
      <c r="AS123" s="362"/>
      <c r="AT123" s="362"/>
      <c r="AU123" s="362"/>
      <c r="AV123" s="362"/>
      <c r="AW123" s="362"/>
      <c r="AX123" s="362"/>
      <c r="AY123" s="362"/>
      <c r="AZ123" s="362"/>
      <c r="BA123" s="362"/>
      <c r="BB123" s="362"/>
      <c r="BC123" s="362"/>
      <c r="BD123" s="362"/>
      <c r="BE123" s="362"/>
      <c r="BF123" s="362"/>
      <c r="BG123" s="362"/>
      <c r="BI123" s="341" t="s">
        <v>1235</v>
      </c>
    </row>
    <row r="124" spans="2:61" x14ac:dyDescent="0.2">
      <c r="B124" s="67" t="str">
        <f>IF(Capacity!B17="","",Capacity!B17)</f>
        <v>Slot A</v>
      </c>
      <c r="C124" s="220">
        <f>IF(B124="","",Capacity!E17)</f>
        <v>45</v>
      </c>
      <c r="D124" s="309">
        <f>IF(B124="","",Capacity!F17)</f>
        <v>40</v>
      </c>
      <c r="E124" s="220">
        <f ca="1">IF(B124="","",IF(COUNTBLANK(H124:BG124)=52,SUM('Capacity calculation (hide)'!H5:BG5),52-COUNTBLANK(H124:BG124)))</f>
        <v>52</v>
      </c>
      <c r="F124" s="310">
        <f ca="1">'Capacity calculation (hide)'!BI5</f>
        <v>34.615384615384613</v>
      </c>
      <c r="H124" s="362"/>
      <c r="I124" s="362"/>
      <c r="J124" s="362"/>
      <c r="K124" s="362"/>
      <c r="L124" s="362"/>
      <c r="M124" s="362"/>
      <c r="N124" s="362"/>
      <c r="O124" s="362"/>
      <c r="P124" s="362"/>
      <c r="Q124" s="362"/>
      <c r="R124" s="362"/>
      <c r="S124" s="362"/>
      <c r="T124" s="362"/>
      <c r="U124" s="362"/>
      <c r="V124" s="362"/>
      <c r="W124" s="362"/>
      <c r="X124" s="362"/>
      <c r="Y124" s="362"/>
      <c r="Z124" s="362"/>
      <c r="AA124" s="362"/>
      <c r="AB124" s="362"/>
      <c r="AC124" s="362"/>
      <c r="AD124" s="362"/>
      <c r="AE124" s="362"/>
      <c r="AF124" s="362"/>
      <c r="AG124" s="362"/>
      <c r="AH124" s="362"/>
      <c r="AI124" s="362"/>
      <c r="AJ124" s="362"/>
      <c r="AK124" s="362"/>
      <c r="AL124" s="362"/>
      <c r="AM124" s="362"/>
      <c r="AN124" s="362"/>
      <c r="AO124" s="362"/>
      <c r="AP124" s="362"/>
      <c r="AQ124" s="362"/>
      <c r="AR124" s="362"/>
      <c r="AS124" s="362"/>
      <c r="AT124" s="362"/>
      <c r="AU124" s="362"/>
      <c r="AV124" s="362"/>
      <c r="AW124" s="362"/>
      <c r="AX124" s="362"/>
      <c r="AY124" s="362"/>
      <c r="AZ124" s="362"/>
      <c r="BA124" s="362"/>
      <c r="BB124" s="362"/>
      <c r="BC124" s="362"/>
      <c r="BD124" s="362"/>
      <c r="BE124" s="362"/>
      <c r="BF124" s="362"/>
      <c r="BG124" s="362"/>
      <c r="BI124" s="342" t="s">
        <v>1235</v>
      </c>
    </row>
    <row r="125" spans="2:61" x14ac:dyDescent="0.2">
      <c r="B125" s="67" t="str">
        <f>IF(Capacity!B18="","",Capacity!B18)</f>
        <v>Slot B</v>
      </c>
      <c r="C125" s="220">
        <f>IF(B125="","",Capacity!E18)</f>
        <v>45</v>
      </c>
      <c r="D125" s="309">
        <f>IF(B125="","",Capacity!F18)</f>
        <v>60</v>
      </c>
      <c r="E125" s="220">
        <f ca="1">IF(B125="","",IF(COUNTBLANK(H125:BG125)=52,SUM('Capacity calculation (hide)'!H6:BG6),52-COUNTBLANK(H125:BG125)))</f>
        <v>52</v>
      </c>
      <c r="F125" s="310">
        <f ca="1">'Capacity calculation (hide)'!BI6</f>
        <v>51.92307692307692</v>
      </c>
      <c r="H125" s="362"/>
      <c r="I125" s="362"/>
      <c r="J125" s="362"/>
      <c r="K125" s="362"/>
      <c r="L125" s="362"/>
      <c r="M125" s="362"/>
      <c r="N125" s="362"/>
      <c r="O125" s="362"/>
      <c r="P125" s="362"/>
      <c r="Q125" s="362"/>
      <c r="R125" s="362"/>
      <c r="S125" s="362"/>
      <c r="T125" s="362"/>
      <c r="U125" s="362"/>
      <c r="V125" s="362"/>
      <c r="W125" s="362"/>
      <c r="X125" s="362"/>
      <c r="Y125" s="362"/>
      <c r="Z125" s="362"/>
      <c r="AA125" s="362"/>
      <c r="AB125" s="362"/>
      <c r="AC125" s="362"/>
      <c r="AD125" s="362"/>
      <c r="AE125" s="362"/>
      <c r="AF125" s="362"/>
      <c r="AG125" s="362"/>
      <c r="AH125" s="362"/>
      <c r="AI125" s="362"/>
      <c r="AJ125" s="362"/>
      <c r="AK125" s="362"/>
      <c r="AL125" s="362"/>
      <c r="AM125" s="362"/>
      <c r="AN125" s="362"/>
      <c r="AO125" s="362"/>
      <c r="AP125" s="362"/>
      <c r="AQ125" s="362"/>
      <c r="AR125" s="362"/>
      <c r="AS125" s="362"/>
      <c r="AT125" s="362"/>
      <c r="AU125" s="362"/>
      <c r="AV125" s="362"/>
      <c r="AW125" s="362"/>
      <c r="AX125" s="362"/>
      <c r="AY125" s="362"/>
      <c r="AZ125" s="362"/>
      <c r="BA125" s="362"/>
      <c r="BB125" s="362"/>
      <c r="BC125" s="362"/>
      <c r="BD125" s="362"/>
      <c r="BE125" s="362"/>
      <c r="BF125" s="362"/>
      <c r="BG125" s="362"/>
      <c r="BI125" s="342" t="s">
        <v>1235</v>
      </c>
    </row>
    <row r="126" spans="2:61" x14ac:dyDescent="0.2">
      <c r="B126" s="67" t="str">
        <f>IF(Capacity!B19="","",Capacity!B19)</f>
        <v>2 ww</v>
      </c>
      <c r="C126" s="220">
        <f>IF(B126="","",Capacity!E19)</f>
        <v>45</v>
      </c>
      <c r="D126" s="309">
        <f>IF(B126="","",Capacity!F19)</f>
        <v>220</v>
      </c>
      <c r="E126" s="220">
        <f ca="1">IF(B126="","",IF(COUNTBLANK(H126:BG126)=52,SUM('Capacity calculation (hide)'!H7:BG7),52-COUNTBLANK(H126:BG126)))</f>
        <v>52</v>
      </c>
      <c r="F126" s="310">
        <f ca="1">'Capacity calculation (hide)'!BI7</f>
        <v>190.38461538461539</v>
      </c>
      <c r="H126" s="362"/>
      <c r="I126" s="362"/>
      <c r="J126" s="362"/>
      <c r="K126" s="362"/>
      <c r="L126" s="362"/>
      <c r="M126" s="362"/>
      <c r="N126" s="362"/>
      <c r="O126" s="362"/>
      <c r="P126" s="362"/>
      <c r="Q126" s="362"/>
      <c r="R126" s="362"/>
      <c r="S126" s="362"/>
      <c r="T126" s="362"/>
      <c r="U126" s="362"/>
      <c r="V126" s="362"/>
      <c r="W126" s="362"/>
      <c r="X126" s="362"/>
      <c r="Y126" s="362"/>
      <c r="Z126" s="362"/>
      <c r="AA126" s="362"/>
      <c r="AB126" s="362"/>
      <c r="AC126" s="362"/>
      <c r="AD126" s="362"/>
      <c r="AE126" s="362"/>
      <c r="AF126" s="362"/>
      <c r="AG126" s="362"/>
      <c r="AH126" s="362"/>
      <c r="AI126" s="362"/>
      <c r="AJ126" s="362"/>
      <c r="AK126" s="362"/>
      <c r="AL126" s="362"/>
      <c r="AM126" s="362"/>
      <c r="AN126" s="362"/>
      <c r="AO126" s="362"/>
      <c r="AP126" s="362"/>
      <c r="AQ126" s="362"/>
      <c r="AR126" s="362"/>
      <c r="AS126" s="362"/>
      <c r="AT126" s="362"/>
      <c r="AU126" s="362"/>
      <c r="AV126" s="362"/>
      <c r="AW126" s="362"/>
      <c r="AX126" s="362"/>
      <c r="AY126" s="362"/>
      <c r="AZ126" s="362"/>
      <c r="BA126" s="362"/>
      <c r="BB126" s="362"/>
      <c r="BC126" s="362"/>
      <c r="BD126" s="362"/>
      <c r="BE126" s="362"/>
      <c r="BF126" s="362"/>
      <c r="BG126" s="362"/>
      <c r="BI126" s="342" t="s">
        <v>1235</v>
      </c>
    </row>
    <row r="127" spans="2:61" x14ac:dyDescent="0.2">
      <c r="B127" s="67" t="str">
        <f>IF(Capacity!B20="","",Capacity!B20)</f>
        <v>Biopsy</v>
      </c>
      <c r="C127" s="220">
        <f>IF(B127="","",Capacity!E20)</f>
        <v>45</v>
      </c>
      <c r="D127" s="309">
        <f>IF(B127="","",Capacity!F20)</f>
        <v>180</v>
      </c>
      <c r="E127" s="220">
        <f ca="1">IF(B127="","",IF(COUNTBLANK(H127:BG127)=52,SUM('Capacity calculation (hide)'!H8:BG8),52-COUNTBLANK(H127:BG127)))</f>
        <v>52</v>
      </c>
      <c r="F127" s="310">
        <f ca="1">'Capacity calculation (hide)'!BI8</f>
        <v>155.76923076923077</v>
      </c>
      <c r="H127" s="362"/>
      <c r="I127" s="362"/>
      <c r="J127" s="362"/>
      <c r="K127" s="362"/>
      <c r="L127" s="362"/>
      <c r="M127" s="362"/>
      <c r="N127" s="362"/>
      <c r="O127" s="362"/>
      <c r="P127" s="362"/>
      <c r="Q127" s="362"/>
      <c r="R127" s="362"/>
      <c r="S127" s="362"/>
      <c r="T127" s="362"/>
      <c r="U127" s="362"/>
      <c r="V127" s="362"/>
      <c r="W127" s="362"/>
      <c r="X127" s="362"/>
      <c r="Y127" s="362"/>
      <c r="Z127" s="362"/>
      <c r="AA127" s="362"/>
      <c r="AB127" s="362"/>
      <c r="AC127" s="362"/>
      <c r="AD127" s="362"/>
      <c r="AE127" s="362"/>
      <c r="AF127" s="362"/>
      <c r="AG127" s="362"/>
      <c r="AH127" s="362"/>
      <c r="AI127" s="362"/>
      <c r="AJ127" s="362"/>
      <c r="AK127" s="362"/>
      <c r="AL127" s="362"/>
      <c r="AM127" s="362"/>
      <c r="AN127" s="362"/>
      <c r="AO127" s="362"/>
      <c r="AP127" s="362"/>
      <c r="AQ127" s="362"/>
      <c r="AR127" s="362"/>
      <c r="AS127" s="362"/>
      <c r="AT127" s="362"/>
      <c r="AU127" s="362"/>
      <c r="AV127" s="362"/>
      <c r="AW127" s="362"/>
      <c r="AX127" s="362"/>
      <c r="AY127" s="362"/>
      <c r="AZ127" s="362"/>
      <c r="BA127" s="362"/>
      <c r="BB127" s="362"/>
      <c r="BC127" s="362"/>
      <c r="BD127" s="362"/>
      <c r="BE127" s="362"/>
      <c r="BF127" s="362"/>
      <c r="BG127" s="362"/>
      <c r="BI127" s="342" t="s">
        <v>1235</v>
      </c>
    </row>
    <row r="128" spans="2:61" x14ac:dyDescent="0.2">
      <c r="B128" s="67" t="str">
        <f>IF(Capacity!B21="","",Capacity!B21)</f>
        <v>Slot A</v>
      </c>
      <c r="C128" s="220">
        <f>IF(B128="","",Capacity!E21)</f>
        <v>50</v>
      </c>
      <c r="D128" s="309">
        <f>IF(B128="","",Capacity!F21)</f>
        <v>10</v>
      </c>
      <c r="E128" s="220">
        <f ca="1">IF(B128="","",IF(COUNTBLANK(H128:BG128)=52,SUM('Capacity calculation (hide)'!H9:BG9),52-COUNTBLANK(H128:BG128)))</f>
        <v>52</v>
      </c>
      <c r="F128" s="310">
        <f ca="1">'Capacity calculation (hide)'!BI9</f>
        <v>9.615384615384615</v>
      </c>
      <c r="H128" s="362"/>
      <c r="I128" s="362"/>
      <c r="J128" s="362"/>
      <c r="K128" s="362"/>
      <c r="L128" s="362"/>
      <c r="M128" s="362"/>
      <c r="N128" s="362"/>
      <c r="O128" s="362"/>
      <c r="P128" s="362"/>
      <c r="Q128" s="362"/>
      <c r="R128" s="362"/>
      <c r="S128" s="362"/>
      <c r="T128" s="362"/>
      <c r="U128" s="362"/>
      <c r="V128" s="362"/>
      <c r="W128" s="362"/>
      <c r="X128" s="362"/>
      <c r="Y128" s="362"/>
      <c r="Z128" s="362"/>
      <c r="AA128" s="362"/>
      <c r="AB128" s="362"/>
      <c r="AC128" s="362"/>
      <c r="AD128" s="362"/>
      <c r="AE128" s="362"/>
      <c r="AF128" s="362"/>
      <c r="AG128" s="362"/>
      <c r="AH128" s="362"/>
      <c r="AI128" s="362"/>
      <c r="AJ128" s="362"/>
      <c r="AK128" s="362"/>
      <c r="AL128" s="362"/>
      <c r="AM128" s="362"/>
      <c r="AN128" s="362"/>
      <c r="AO128" s="362"/>
      <c r="AP128" s="362"/>
      <c r="AQ128" s="362"/>
      <c r="AR128" s="362"/>
      <c r="AS128" s="362"/>
      <c r="AT128" s="362"/>
      <c r="AU128" s="362"/>
      <c r="AV128" s="362"/>
      <c r="AW128" s="362"/>
      <c r="AX128" s="362"/>
      <c r="AY128" s="362"/>
      <c r="AZ128" s="362"/>
      <c r="BA128" s="362"/>
      <c r="BB128" s="362"/>
      <c r="BC128" s="362"/>
      <c r="BD128" s="362"/>
      <c r="BE128" s="362"/>
      <c r="BF128" s="362"/>
      <c r="BG128" s="362"/>
      <c r="BI128" s="342" t="s">
        <v>1235</v>
      </c>
    </row>
    <row r="129" spans="2:61" x14ac:dyDescent="0.2">
      <c r="B129" s="67" t="str">
        <f>IF(Capacity!B22="","",Capacity!B22)</f>
        <v>2 ww</v>
      </c>
      <c r="C129" s="220">
        <f>IF(B129="","",Capacity!E22)</f>
        <v>50</v>
      </c>
      <c r="D129" s="309">
        <f>IF(B129="","",Capacity!F22)</f>
        <v>60</v>
      </c>
      <c r="E129" s="220">
        <f ca="1">IF(B129="","",IF(COUNTBLANK(H129:BG129)=52,SUM('Capacity calculation (hide)'!H10:BG10),52-COUNTBLANK(H129:BG129)))</f>
        <v>52</v>
      </c>
      <c r="F129" s="310">
        <f ca="1">'Capacity calculation (hide)'!BI10</f>
        <v>57.692307692307693</v>
      </c>
      <c r="H129" s="362"/>
      <c r="I129" s="362"/>
      <c r="J129" s="362"/>
      <c r="K129" s="362"/>
      <c r="L129" s="362"/>
      <c r="M129" s="362"/>
      <c r="N129" s="362"/>
      <c r="O129" s="362"/>
      <c r="P129" s="362"/>
      <c r="Q129" s="362"/>
      <c r="R129" s="362"/>
      <c r="S129" s="362"/>
      <c r="T129" s="362"/>
      <c r="U129" s="362"/>
      <c r="V129" s="362"/>
      <c r="W129" s="362"/>
      <c r="X129" s="362"/>
      <c r="Y129" s="362"/>
      <c r="Z129" s="362"/>
      <c r="AA129" s="362"/>
      <c r="AB129" s="362"/>
      <c r="AC129" s="362"/>
      <c r="AD129" s="362"/>
      <c r="AE129" s="362"/>
      <c r="AF129" s="362"/>
      <c r="AG129" s="362"/>
      <c r="AH129" s="362"/>
      <c r="AI129" s="362"/>
      <c r="AJ129" s="362"/>
      <c r="AK129" s="362"/>
      <c r="AL129" s="362"/>
      <c r="AM129" s="362"/>
      <c r="AN129" s="362"/>
      <c r="AO129" s="362"/>
      <c r="AP129" s="362"/>
      <c r="AQ129" s="362"/>
      <c r="AR129" s="362"/>
      <c r="AS129" s="362"/>
      <c r="AT129" s="362"/>
      <c r="AU129" s="362"/>
      <c r="AV129" s="362"/>
      <c r="AW129" s="362"/>
      <c r="AX129" s="362"/>
      <c r="AY129" s="362"/>
      <c r="AZ129" s="362"/>
      <c r="BA129" s="362"/>
      <c r="BB129" s="362"/>
      <c r="BC129" s="362"/>
      <c r="BD129" s="362"/>
      <c r="BE129" s="362"/>
      <c r="BF129" s="362"/>
      <c r="BG129" s="362"/>
      <c r="BI129" s="342" t="s">
        <v>1235</v>
      </c>
    </row>
    <row r="130" spans="2:61" x14ac:dyDescent="0.2">
      <c r="B130" s="67" t="str">
        <f>IF(Capacity!B23="","",Capacity!B23)</f>
        <v>CT Colon</v>
      </c>
      <c r="C130" s="220">
        <f>IF(B130="","",Capacity!E23)</f>
        <v>50</v>
      </c>
      <c r="D130" s="309">
        <f>IF(B130="","",Capacity!F23)</f>
        <v>350</v>
      </c>
      <c r="E130" s="220">
        <f ca="1">IF(B130="","",IF(COUNTBLANK(H130:BG130)=52,SUM('Capacity calculation (hide)'!H11:BG11),52-COUNTBLANK(H130:BG130)))</f>
        <v>52</v>
      </c>
      <c r="F130" s="310">
        <f ca="1">'Capacity calculation (hide)'!BI11</f>
        <v>336.53846153846155</v>
      </c>
      <c r="H130" s="362"/>
      <c r="I130" s="362"/>
      <c r="J130" s="362"/>
      <c r="K130" s="362"/>
      <c r="L130" s="362"/>
      <c r="M130" s="362"/>
      <c r="N130" s="362"/>
      <c r="O130" s="362"/>
      <c r="P130" s="362"/>
      <c r="Q130" s="362"/>
      <c r="R130" s="362"/>
      <c r="S130" s="362"/>
      <c r="T130" s="362"/>
      <c r="U130" s="362"/>
      <c r="V130" s="362"/>
      <c r="W130" s="362"/>
      <c r="X130" s="362"/>
      <c r="Y130" s="362"/>
      <c r="Z130" s="362"/>
      <c r="AA130" s="362"/>
      <c r="AB130" s="362"/>
      <c r="AC130" s="362"/>
      <c r="AD130" s="362"/>
      <c r="AE130" s="362"/>
      <c r="AF130" s="362"/>
      <c r="AG130" s="362"/>
      <c r="AH130" s="362"/>
      <c r="AI130" s="362"/>
      <c r="AJ130" s="362"/>
      <c r="AK130" s="362"/>
      <c r="AL130" s="362"/>
      <c r="AM130" s="362"/>
      <c r="AN130" s="362"/>
      <c r="AO130" s="362"/>
      <c r="AP130" s="362"/>
      <c r="AQ130" s="362"/>
      <c r="AR130" s="362"/>
      <c r="AS130" s="362"/>
      <c r="AT130" s="362"/>
      <c r="AU130" s="362"/>
      <c r="AV130" s="362"/>
      <c r="AW130" s="362"/>
      <c r="AX130" s="362"/>
      <c r="AY130" s="362"/>
      <c r="AZ130" s="362"/>
      <c r="BA130" s="362"/>
      <c r="BB130" s="362"/>
      <c r="BC130" s="362"/>
      <c r="BD130" s="362"/>
      <c r="BE130" s="362"/>
      <c r="BF130" s="362"/>
      <c r="BG130" s="362"/>
      <c r="BI130" s="342" t="s">
        <v>1235</v>
      </c>
    </row>
    <row r="131" spans="2:61" x14ac:dyDescent="0.2">
      <c r="B131" s="67" t="str">
        <f>IF(Capacity!B24="","",Capacity!B24)</f>
        <v>Slot A</v>
      </c>
      <c r="C131" s="220">
        <f>IF(B131="","",Capacity!E24)</f>
        <v>50</v>
      </c>
      <c r="D131" s="309">
        <f>IF(B131="","",Capacity!F24)</f>
        <v>10</v>
      </c>
      <c r="E131" s="220">
        <f ca="1">IF(B131="","",IF(COUNTBLANK(H131:BG131)=52,SUM('Capacity calculation (hide)'!H12:BG12),52-COUNTBLANK(H131:BG131)))</f>
        <v>52</v>
      </c>
      <c r="F131" s="310">
        <f ca="1">'Capacity calculation (hide)'!BI12</f>
        <v>9.615384615384615</v>
      </c>
      <c r="H131" s="362"/>
      <c r="I131" s="362"/>
      <c r="J131" s="362"/>
      <c r="K131" s="362"/>
      <c r="L131" s="362"/>
      <c r="M131" s="362"/>
      <c r="N131" s="362"/>
      <c r="O131" s="362"/>
      <c r="P131" s="362"/>
      <c r="Q131" s="362"/>
      <c r="R131" s="362"/>
      <c r="S131" s="362"/>
      <c r="T131" s="362"/>
      <c r="U131" s="362"/>
      <c r="V131" s="362"/>
      <c r="W131" s="362"/>
      <c r="X131" s="362"/>
      <c r="Y131" s="362"/>
      <c r="Z131" s="362"/>
      <c r="AA131" s="362"/>
      <c r="AB131" s="362"/>
      <c r="AC131" s="362"/>
      <c r="AD131" s="362"/>
      <c r="AE131" s="362"/>
      <c r="AF131" s="362"/>
      <c r="AG131" s="362"/>
      <c r="AH131" s="362"/>
      <c r="AI131" s="362"/>
      <c r="AJ131" s="362"/>
      <c r="AK131" s="362"/>
      <c r="AL131" s="362"/>
      <c r="AM131" s="362"/>
      <c r="AN131" s="362"/>
      <c r="AO131" s="362"/>
      <c r="AP131" s="362"/>
      <c r="AQ131" s="362"/>
      <c r="AR131" s="362"/>
      <c r="AS131" s="362"/>
      <c r="AT131" s="362"/>
      <c r="AU131" s="362"/>
      <c r="AV131" s="362"/>
      <c r="AW131" s="362"/>
      <c r="AX131" s="362"/>
      <c r="AY131" s="362"/>
      <c r="AZ131" s="362"/>
      <c r="BA131" s="362"/>
      <c r="BB131" s="362"/>
      <c r="BC131" s="362"/>
      <c r="BD131" s="362"/>
      <c r="BE131" s="362"/>
      <c r="BF131" s="362"/>
      <c r="BG131" s="362"/>
      <c r="BI131" s="342" t="s">
        <v>1235</v>
      </c>
    </row>
    <row r="132" spans="2:61" x14ac:dyDescent="0.2">
      <c r="B132" s="67" t="str">
        <f>IF(Capacity!B25="","",Capacity!B25)</f>
        <v>2 ww</v>
      </c>
      <c r="C132" s="220">
        <f>IF(B132="","",Capacity!E25)</f>
        <v>50</v>
      </c>
      <c r="D132" s="309">
        <f>IF(B132="","",Capacity!F25)</f>
        <v>60</v>
      </c>
      <c r="E132" s="220">
        <f ca="1">IF(B132="","",IF(COUNTBLANK(H132:BG132)=52,SUM('Capacity calculation (hide)'!H13:BG13),52-COUNTBLANK(H132:BG132)))</f>
        <v>52</v>
      </c>
      <c r="F132" s="310">
        <f ca="1">'Capacity calculation (hide)'!BI13</f>
        <v>57.692307692307693</v>
      </c>
      <c r="H132" s="362"/>
      <c r="I132" s="362"/>
      <c r="J132" s="362"/>
      <c r="K132" s="362"/>
      <c r="L132" s="362"/>
      <c r="M132" s="362"/>
      <c r="N132" s="362"/>
      <c r="O132" s="362"/>
      <c r="P132" s="362"/>
      <c r="Q132" s="362"/>
      <c r="R132" s="362"/>
      <c r="S132" s="362"/>
      <c r="T132" s="362"/>
      <c r="U132" s="362"/>
      <c r="V132" s="362"/>
      <c r="W132" s="362"/>
      <c r="X132" s="362"/>
      <c r="Y132" s="362"/>
      <c r="Z132" s="362"/>
      <c r="AA132" s="362"/>
      <c r="AB132" s="362"/>
      <c r="AC132" s="362"/>
      <c r="AD132" s="362"/>
      <c r="AE132" s="362"/>
      <c r="AF132" s="362"/>
      <c r="AG132" s="362"/>
      <c r="AH132" s="362"/>
      <c r="AI132" s="362"/>
      <c r="AJ132" s="362"/>
      <c r="AK132" s="362"/>
      <c r="AL132" s="362"/>
      <c r="AM132" s="362"/>
      <c r="AN132" s="362"/>
      <c r="AO132" s="362"/>
      <c r="AP132" s="362"/>
      <c r="AQ132" s="362"/>
      <c r="AR132" s="362"/>
      <c r="AS132" s="362"/>
      <c r="AT132" s="362"/>
      <c r="AU132" s="362"/>
      <c r="AV132" s="362"/>
      <c r="AW132" s="362"/>
      <c r="AX132" s="362"/>
      <c r="AY132" s="362"/>
      <c r="AZ132" s="362"/>
      <c r="BA132" s="362"/>
      <c r="BB132" s="362"/>
      <c r="BC132" s="362"/>
      <c r="BD132" s="362"/>
      <c r="BE132" s="362"/>
      <c r="BF132" s="362"/>
      <c r="BG132" s="362"/>
      <c r="BI132" s="342" t="s">
        <v>1235</v>
      </c>
    </row>
    <row r="133" spans="2:61" x14ac:dyDescent="0.2">
      <c r="B133" s="67" t="str">
        <f>IF(Capacity!B26="","",Capacity!B26)</f>
        <v>CT Colon</v>
      </c>
      <c r="C133" s="220">
        <f>IF(B133="","",Capacity!E26)</f>
        <v>50</v>
      </c>
      <c r="D133" s="309">
        <f>IF(B133="","",Capacity!F26)</f>
        <v>350</v>
      </c>
      <c r="E133" s="220">
        <f ca="1">IF(B133="","",IF(COUNTBLANK(H133:BG133)=52,SUM('Capacity calculation (hide)'!H14:BG14),52-COUNTBLANK(H133:BG133)))</f>
        <v>52</v>
      </c>
      <c r="F133" s="310">
        <f ca="1">'Capacity calculation (hide)'!BI14</f>
        <v>336.53846153846155</v>
      </c>
      <c r="H133" s="362"/>
      <c r="I133" s="362"/>
      <c r="J133" s="362"/>
      <c r="K133" s="362"/>
      <c r="L133" s="362"/>
      <c r="M133" s="362"/>
      <c r="N133" s="362"/>
      <c r="O133" s="362"/>
      <c r="P133" s="362"/>
      <c r="Q133" s="362"/>
      <c r="R133" s="362"/>
      <c r="S133" s="362"/>
      <c r="T133" s="362"/>
      <c r="U133" s="362"/>
      <c r="V133" s="362"/>
      <c r="W133" s="362"/>
      <c r="X133" s="362"/>
      <c r="Y133" s="362"/>
      <c r="Z133" s="362"/>
      <c r="AA133" s="362"/>
      <c r="AB133" s="362"/>
      <c r="AC133" s="362"/>
      <c r="AD133" s="362"/>
      <c r="AE133" s="362"/>
      <c r="AF133" s="362"/>
      <c r="AG133" s="362"/>
      <c r="AH133" s="362"/>
      <c r="AI133" s="362"/>
      <c r="AJ133" s="362"/>
      <c r="AK133" s="362"/>
      <c r="AL133" s="362"/>
      <c r="AM133" s="362"/>
      <c r="AN133" s="362"/>
      <c r="AO133" s="362"/>
      <c r="AP133" s="362"/>
      <c r="AQ133" s="362"/>
      <c r="AR133" s="362"/>
      <c r="AS133" s="362"/>
      <c r="AT133" s="362"/>
      <c r="AU133" s="362"/>
      <c r="AV133" s="362"/>
      <c r="AW133" s="362"/>
      <c r="AX133" s="362"/>
      <c r="AY133" s="362"/>
      <c r="AZ133" s="362"/>
      <c r="BA133" s="362"/>
      <c r="BB133" s="362"/>
      <c r="BC133" s="362"/>
      <c r="BD133" s="362"/>
      <c r="BE133" s="362"/>
      <c r="BF133" s="362"/>
      <c r="BG133" s="362"/>
      <c r="BI133" s="342" t="s">
        <v>1235</v>
      </c>
    </row>
    <row r="134" spans="2:61" x14ac:dyDescent="0.2">
      <c r="B134" s="67" t="str">
        <f>IF(Capacity!B27="","",Capacity!B27)</f>
        <v>Slot A</v>
      </c>
      <c r="C134" s="220">
        <f>IF(B134="","",Capacity!E27)</f>
        <v>50</v>
      </c>
      <c r="D134" s="309">
        <f>IF(B134="","",Capacity!F27)</f>
        <v>30</v>
      </c>
      <c r="E134" s="220">
        <f ca="1">IF(B134="","",IF(COUNTBLANK(H134:BG134)=52,SUM('Capacity calculation (hide)'!H15:BG15),52-COUNTBLANK(H134:BG134)))</f>
        <v>52</v>
      </c>
      <c r="F134" s="310">
        <f ca="1">'Capacity calculation (hide)'!BI15</f>
        <v>28.846153846153847</v>
      </c>
      <c r="H134" s="362"/>
      <c r="I134" s="362"/>
      <c r="J134" s="362"/>
      <c r="K134" s="362"/>
      <c r="L134" s="362"/>
      <c r="M134" s="362"/>
      <c r="N134" s="362"/>
      <c r="O134" s="362"/>
      <c r="P134" s="362"/>
      <c r="Q134" s="362"/>
      <c r="R134" s="362"/>
      <c r="S134" s="362"/>
      <c r="T134" s="362"/>
      <c r="U134" s="362"/>
      <c r="V134" s="362"/>
      <c r="W134" s="362"/>
      <c r="X134" s="362"/>
      <c r="Y134" s="362"/>
      <c r="Z134" s="362"/>
      <c r="AA134" s="362"/>
      <c r="AB134" s="362"/>
      <c r="AC134" s="362"/>
      <c r="AD134" s="362"/>
      <c r="AE134" s="362"/>
      <c r="AF134" s="362"/>
      <c r="AG134" s="362"/>
      <c r="AH134" s="362"/>
      <c r="AI134" s="362"/>
      <c r="AJ134" s="362"/>
      <c r="AK134" s="362"/>
      <c r="AL134" s="362"/>
      <c r="AM134" s="362"/>
      <c r="AN134" s="362"/>
      <c r="AO134" s="362"/>
      <c r="AP134" s="362"/>
      <c r="AQ134" s="362"/>
      <c r="AR134" s="362"/>
      <c r="AS134" s="362"/>
      <c r="AT134" s="362"/>
      <c r="AU134" s="362"/>
      <c r="AV134" s="362"/>
      <c r="AW134" s="362"/>
      <c r="AX134" s="362"/>
      <c r="AY134" s="362"/>
      <c r="AZ134" s="362"/>
      <c r="BA134" s="362"/>
      <c r="BB134" s="362"/>
      <c r="BC134" s="362"/>
      <c r="BD134" s="362"/>
      <c r="BE134" s="362"/>
      <c r="BF134" s="362"/>
      <c r="BG134" s="362"/>
      <c r="BI134" s="342" t="s">
        <v>1235</v>
      </c>
    </row>
    <row r="135" spans="2:61" x14ac:dyDescent="0.2">
      <c r="B135" s="67" t="str">
        <f>IF(Capacity!B28="","",Capacity!B28)</f>
        <v>2 ww</v>
      </c>
      <c r="C135" s="220">
        <f>IF(B135="","",Capacity!E28)</f>
        <v>50</v>
      </c>
      <c r="D135" s="309">
        <f>IF(B135="","",Capacity!F28)</f>
        <v>90</v>
      </c>
      <c r="E135" s="220">
        <f ca="1">IF(B135="","",IF(COUNTBLANK(H135:BG135)=52,SUM('Capacity calculation (hide)'!H16:BG16),52-COUNTBLANK(H135:BG135)))</f>
        <v>52</v>
      </c>
      <c r="F135" s="310">
        <f ca="1">'Capacity calculation (hide)'!BI16</f>
        <v>86.538461538461533</v>
      </c>
      <c r="H135" s="362"/>
      <c r="I135" s="362"/>
      <c r="J135" s="362"/>
      <c r="K135" s="362"/>
      <c r="L135" s="362"/>
      <c r="M135" s="362"/>
      <c r="N135" s="362"/>
      <c r="O135" s="362"/>
      <c r="P135" s="362"/>
      <c r="Q135" s="362"/>
      <c r="R135" s="362"/>
      <c r="S135" s="362"/>
      <c r="T135" s="362"/>
      <c r="U135" s="362"/>
      <c r="V135" s="362"/>
      <c r="W135" s="362"/>
      <c r="X135" s="362"/>
      <c r="Y135" s="362"/>
      <c r="Z135" s="362"/>
      <c r="AA135" s="362"/>
      <c r="AB135" s="362"/>
      <c r="AC135" s="362"/>
      <c r="AD135" s="362"/>
      <c r="AE135" s="362"/>
      <c r="AF135" s="362"/>
      <c r="AG135" s="362"/>
      <c r="AH135" s="362"/>
      <c r="AI135" s="362"/>
      <c r="AJ135" s="362"/>
      <c r="AK135" s="362"/>
      <c r="AL135" s="362"/>
      <c r="AM135" s="362"/>
      <c r="AN135" s="362"/>
      <c r="AO135" s="362"/>
      <c r="AP135" s="362"/>
      <c r="AQ135" s="362"/>
      <c r="AR135" s="362"/>
      <c r="AS135" s="362"/>
      <c r="AT135" s="362"/>
      <c r="AU135" s="362"/>
      <c r="AV135" s="362"/>
      <c r="AW135" s="362"/>
      <c r="AX135" s="362"/>
      <c r="AY135" s="362"/>
      <c r="AZ135" s="362"/>
      <c r="BA135" s="362"/>
      <c r="BB135" s="362"/>
      <c r="BC135" s="362"/>
      <c r="BD135" s="362"/>
      <c r="BE135" s="362"/>
      <c r="BF135" s="362"/>
      <c r="BG135" s="362"/>
      <c r="BI135" s="342" t="s">
        <v>1235</v>
      </c>
    </row>
    <row r="136" spans="2:61" x14ac:dyDescent="0.2">
      <c r="B136" s="67" t="str">
        <f>IF(Capacity!B29="","",Capacity!B29)</f>
        <v>Cardiac</v>
      </c>
      <c r="C136" s="220">
        <f>IF(B136="","",Capacity!E29)</f>
        <v>50</v>
      </c>
      <c r="D136" s="309">
        <f>IF(B136="","",Capacity!F29)</f>
        <v>210</v>
      </c>
      <c r="E136" s="220">
        <f ca="1">IF(B136="","",IF(COUNTBLANK(H136:BG136)=52,SUM('Capacity calculation (hide)'!H17:BG17),52-COUNTBLANK(H136:BG136)))</f>
        <v>52</v>
      </c>
      <c r="F136" s="310">
        <f ca="1">'Capacity calculation (hide)'!BI17</f>
        <v>201.92307692307693</v>
      </c>
      <c r="H136" s="362"/>
      <c r="I136" s="362"/>
      <c r="J136" s="362"/>
      <c r="K136" s="362"/>
      <c r="L136" s="362"/>
      <c r="M136" s="362"/>
      <c r="N136" s="362"/>
      <c r="O136" s="362"/>
      <c r="P136" s="362"/>
      <c r="Q136" s="362"/>
      <c r="R136" s="362"/>
      <c r="S136" s="362"/>
      <c r="T136" s="362"/>
      <c r="U136" s="362"/>
      <c r="V136" s="362"/>
      <c r="W136" s="362"/>
      <c r="X136" s="362"/>
      <c r="Y136" s="362"/>
      <c r="Z136" s="362"/>
      <c r="AA136" s="362"/>
      <c r="AB136" s="362"/>
      <c r="AC136" s="362"/>
      <c r="AD136" s="362"/>
      <c r="AE136" s="362"/>
      <c r="AF136" s="362"/>
      <c r="AG136" s="362"/>
      <c r="AH136" s="362"/>
      <c r="AI136" s="362"/>
      <c r="AJ136" s="362"/>
      <c r="AK136" s="362"/>
      <c r="AL136" s="362"/>
      <c r="AM136" s="362"/>
      <c r="AN136" s="362"/>
      <c r="AO136" s="362"/>
      <c r="AP136" s="362"/>
      <c r="AQ136" s="362"/>
      <c r="AR136" s="362"/>
      <c r="AS136" s="362"/>
      <c r="AT136" s="362"/>
      <c r="AU136" s="362"/>
      <c r="AV136" s="362"/>
      <c r="AW136" s="362"/>
      <c r="AX136" s="362"/>
      <c r="AY136" s="362"/>
      <c r="AZ136" s="362"/>
      <c r="BA136" s="362"/>
      <c r="BB136" s="362"/>
      <c r="BC136" s="362"/>
      <c r="BD136" s="362"/>
      <c r="BE136" s="362"/>
      <c r="BF136" s="362"/>
      <c r="BG136" s="362"/>
      <c r="BI136" s="342" t="s">
        <v>1235</v>
      </c>
    </row>
    <row r="137" spans="2:61" x14ac:dyDescent="0.2">
      <c r="B137" s="67" t="str">
        <f>IF(Capacity!B30="","",Capacity!B30)</f>
        <v>Slot B</v>
      </c>
      <c r="C137" s="220">
        <f>IF(B137="","",Capacity!E30)</f>
        <v>50</v>
      </c>
      <c r="D137" s="309">
        <f>IF(B137="","",Capacity!F30)</f>
        <v>60</v>
      </c>
      <c r="E137" s="220">
        <f ca="1">IF(B137="","",IF(COUNTBLANK(H137:BG137)=52,SUM('Capacity calculation (hide)'!H18:BG18),52-COUNTBLANK(H137:BG137)))</f>
        <v>52</v>
      </c>
      <c r="F137" s="310">
        <f ca="1">'Capacity calculation (hide)'!BI18</f>
        <v>57.692307692307693</v>
      </c>
      <c r="H137" s="362"/>
      <c r="I137" s="362"/>
      <c r="J137" s="362"/>
      <c r="K137" s="362"/>
      <c r="L137" s="362"/>
      <c r="M137" s="362"/>
      <c r="N137" s="362"/>
      <c r="O137" s="362"/>
      <c r="P137" s="362"/>
      <c r="Q137" s="362"/>
      <c r="R137" s="362"/>
      <c r="S137" s="362"/>
      <c r="T137" s="362"/>
      <c r="U137" s="362"/>
      <c r="V137" s="362"/>
      <c r="W137" s="362"/>
      <c r="X137" s="362"/>
      <c r="Y137" s="362"/>
      <c r="Z137" s="362"/>
      <c r="AA137" s="362"/>
      <c r="AB137" s="362"/>
      <c r="AC137" s="362"/>
      <c r="AD137" s="362"/>
      <c r="AE137" s="362"/>
      <c r="AF137" s="362"/>
      <c r="AG137" s="362"/>
      <c r="AH137" s="362"/>
      <c r="AI137" s="362"/>
      <c r="AJ137" s="362"/>
      <c r="AK137" s="362"/>
      <c r="AL137" s="362"/>
      <c r="AM137" s="362"/>
      <c r="AN137" s="362"/>
      <c r="AO137" s="362"/>
      <c r="AP137" s="362"/>
      <c r="AQ137" s="362"/>
      <c r="AR137" s="362"/>
      <c r="AS137" s="362"/>
      <c r="AT137" s="362"/>
      <c r="AU137" s="362"/>
      <c r="AV137" s="362"/>
      <c r="AW137" s="362"/>
      <c r="AX137" s="362"/>
      <c r="AY137" s="362"/>
      <c r="AZ137" s="362"/>
      <c r="BA137" s="362"/>
      <c r="BB137" s="362"/>
      <c r="BC137" s="362"/>
      <c r="BD137" s="362"/>
      <c r="BE137" s="362"/>
      <c r="BF137" s="362"/>
      <c r="BG137" s="362"/>
      <c r="BI137" s="342" t="s">
        <v>1235</v>
      </c>
    </row>
    <row r="138" spans="2:61" x14ac:dyDescent="0.2">
      <c r="B138" s="67" t="str">
        <f>IF(Capacity!B31="","",Capacity!B31)</f>
        <v>PP</v>
      </c>
      <c r="C138" s="220">
        <f>IF(B138="","",Capacity!E31)</f>
        <v>50</v>
      </c>
      <c r="D138" s="309">
        <f>IF(B138="","",Capacity!F31)</f>
        <v>20</v>
      </c>
      <c r="E138" s="220">
        <f ca="1">IF(B138="","",IF(COUNTBLANK(H138:BG138)=52,SUM('Capacity calculation (hide)'!H19:BG19),52-COUNTBLANK(H138:BG138)))</f>
        <v>52</v>
      </c>
      <c r="F138" s="310">
        <f ca="1">'Capacity calculation (hide)'!BI19</f>
        <v>19.23076923076923</v>
      </c>
      <c r="H138" s="362"/>
      <c r="I138" s="362"/>
      <c r="J138" s="362"/>
      <c r="K138" s="362"/>
      <c r="L138" s="362"/>
      <c r="M138" s="362"/>
      <c r="N138" s="362"/>
      <c r="O138" s="362"/>
      <c r="P138" s="362"/>
      <c r="Q138" s="362"/>
      <c r="R138" s="362"/>
      <c r="S138" s="362"/>
      <c r="T138" s="362"/>
      <c r="U138" s="362"/>
      <c r="V138" s="362"/>
      <c r="W138" s="362"/>
      <c r="X138" s="362"/>
      <c r="Y138" s="362"/>
      <c r="Z138" s="362"/>
      <c r="AA138" s="362"/>
      <c r="AB138" s="362"/>
      <c r="AC138" s="362"/>
      <c r="AD138" s="362"/>
      <c r="AE138" s="362"/>
      <c r="AF138" s="362"/>
      <c r="AG138" s="362"/>
      <c r="AH138" s="362"/>
      <c r="AI138" s="362"/>
      <c r="AJ138" s="362"/>
      <c r="AK138" s="362"/>
      <c r="AL138" s="362"/>
      <c r="AM138" s="362"/>
      <c r="AN138" s="362"/>
      <c r="AO138" s="362"/>
      <c r="AP138" s="362"/>
      <c r="AQ138" s="362"/>
      <c r="AR138" s="362"/>
      <c r="AS138" s="362"/>
      <c r="AT138" s="362"/>
      <c r="AU138" s="362"/>
      <c r="AV138" s="362"/>
      <c r="AW138" s="362"/>
      <c r="AX138" s="362"/>
      <c r="AY138" s="362"/>
      <c r="AZ138" s="362"/>
      <c r="BA138" s="362"/>
      <c r="BB138" s="362"/>
      <c r="BC138" s="362"/>
      <c r="BD138" s="362"/>
      <c r="BE138" s="362"/>
      <c r="BF138" s="362"/>
      <c r="BG138" s="362"/>
      <c r="BI138" s="342" t="s">
        <v>1235</v>
      </c>
    </row>
    <row r="139" spans="2:61" x14ac:dyDescent="0.2">
      <c r="B139" s="67" t="str">
        <f>IF(Capacity!B32="","",Capacity!B32)</f>
        <v>Slot A</v>
      </c>
      <c r="C139" s="220">
        <f>IF(B139="","",Capacity!E32)</f>
        <v>49</v>
      </c>
      <c r="D139" s="309">
        <f>IF(B139="","",Capacity!F32)</f>
        <v>50</v>
      </c>
      <c r="E139" s="220">
        <f ca="1">IF(B139="","",IF(COUNTBLANK(H139:BG139)=52,SUM('Capacity calculation (hide)'!H20:BG20),52-COUNTBLANK(H139:BG139)))</f>
        <v>52</v>
      </c>
      <c r="F139" s="310">
        <f ca="1">'Capacity calculation (hide)'!BI20</f>
        <v>47.115384615384613</v>
      </c>
      <c r="H139" s="362"/>
      <c r="I139" s="362"/>
      <c r="J139" s="362"/>
      <c r="K139" s="362"/>
      <c r="L139" s="362"/>
      <c r="M139" s="362"/>
      <c r="N139" s="362"/>
      <c r="O139" s="362"/>
      <c r="P139" s="362"/>
      <c r="Q139" s="362"/>
      <c r="R139" s="362"/>
      <c r="S139" s="362"/>
      <c r="T139" s="362"/>
      <c r="U139" s="362"/>
      <c r="V139" s="362"/>
      <c r="W139" s="362"/>
      <c r="X139" s="362"/>
      <c r="Y139" s="362"/>
      <c r="Z139" s="362"/>
      <c r="AA139" s="362"/>
      <c r="AB139" s="362"/>
      <c r="AC139" s="362"/>
      <c r="AD139" s="362"/>
      <c r="AE139" s="362"/>
      <c r="AF139" s="362"/>
      <c r="AG139" s="362"/>
      <c r="AH139" s="362"/>
      <c r="AI139" s="362"/>
      <c r="AJ139" s="362"/>
      <c r="AK139" s="362"/>
      <c r="AL139" s="362"/>
      <c r="AM139" s="362"/>
      <c r="AN139" s="362"/>
      <c r="AO139" s="362"/>
      <c r="AP139" s="362"/>
      <c r="AQ139" s="362"/>
      <c r="AR139" s="362"/>
      <c r="AS139" s="362"/>
      <c r="AT139" s="362"/>
      <c r="AU139" s="362"/>
      <c r="AV139" s="362"/>
      <c r="AW139" s="362"/>
      <c r="AX139" s="362"/>
      <c r="AY139" s="362"/>
      <c r="AZ139" s="362"/>
      <c r="BA139" s="362"/>
      <c r="BB139" s="362"/>
      <c r="BC139" s="362"/>
      <c r="BD139" s="362"/>
      <c r="BE139" s="362"/>
      <c r="BF139" s="362"/>
      <c r="BG139" s="362"/>
      <c r="BI139" s="342" t="s">
        <v>1235</v>
      </c>
    </row>
    <row r="140" spans="2:61" x14ac:dyDescent="0.2">
      <c r="B140" s="67" t="str">
        <f>IF(Capacity!B33="","",Capacity!B33)</f>
        <v>2 ww</v>
      </c>
      <c r="C140" s="220">
        <f>IF(B140="","",Capacity!E33)</f>
        <v>49</v>
      </c>
      <c r="D140" s="309">
        <f>IF(B140="","",Capacity!F33)</f>
        <v>180</v>
      </c>
      <c r="E140" s="220">
        <f ca="1">IF(B140="","",IF(COUNTBLANK(H140:BG140)=52,SUM('Capacity calculation (hide)'!H21:BG21),52-COUNTBLANK(H140:BG140)))</f>
        <v>52</v>
      </c>
      <c r="F140" s="310">
        <f ca="1">'Capacity calculation (hide)'!BI21</f>
        <v>169.61538461538461</v>
      </c>
      <c r="H140" s="362"/>
      <c r="I140" s="362"/>
      <c r="J140" s="362"/>
      <c r="K140" s="362"/>
      <c r="L140" s="362"/>
      <c r="M140" s="362"/>
      <c r="N140" s="362"/>
      <c r="O140" s="362"/>
      <c r="P140" s="362"/>
      <c r="Q140" s="362"/>
      <c r="R140" s="362"/>
      <c r="S140" s="362"/>
      <c r="T140" s="362"/>
      <c r="U140" s="362"/>
      <c r="V140" s="362"/>
      <c r="W140" s="362"/>
      <c r="X140" s="362"/>
      <c r="Y140" s="362"/>
      <c r="Z140" s="362"/>
      <c r="AA140" s="362"/>
      <c r="AB140" s="362"/>
      <c r="AC140" s="362"/>
      <c r="AD140" s="362"/>
      <c r="AE140" s="362"/>
      <c r="AF140" s="362"/>
      <c r="AG140" s="362"/>
      <c r="AH140" s="362"/>
      <c r="AI140" s="362"/>
      <c r="AJ140" s="362"/>
      <c r="AK140" s="362"/>
      <c r="AL140" s="362"/>
      <c r="AM140" s="362"/>
      <c r="AN140" s="362"/>
      <c r="AO140" s="362"/>
      <c r="AP140" s="362"/>
      <c r="AQ140" s="362"/>
      <c r="AR140" s="362"/>
      <c r="AS140" s="362"/>
      <c r="AT140" s="362"/>
      <c r="AU140" s="362"/>
      <c r="AV140" s="362"/>
      <c r="AW140" s="362"/>
      <c r="AX140" s="362"/>
      <c r="AY140" s="362"/>
      <c r="AZ140" s="362"/>
      <c r="BA140" s="362"/>
      <c r="BB140" s="362"/>
      <c r="BC140" s="362"/>
      <c r="BD140" s="362"/>
      <c r="BE140" s="362"/>
      <c r="BF140" s="362"/>
      <c r="BG140" s="362"/>
      <c r="BI140" s="342" t="s">
        <v>1235</v>
      </c>
    </row>
    <row r="141" spans="2:61" x14ac:dyDescent="0.2">
      <c r="B141" s="67" t="str">
        <f>IF(Capacity!B34="","",Capacity!B34)</f>
        <v>Biopsy</v>
      </c>
      <c r="C141" s="220">
        <f>IF(B141="","",Capacity!E34)</f>
        <v>42</v>
      </c>
      <c r="D141" s="309">
        <f>IF(B141="","",Capacity!F34)</f>
        <v>80</v>
      </c>
      <c r="E141" s="220">
        <f ca="1">IF(B141="","",IF(COUNTBLANK(H141:BG141)=52,SUM('Capacity calculation (hide)'!H22:BG22),52-COUNTBLANK(H141:BG141)))</f>
        <v>52</v>
      </c>
      <c r="F141" s="310">
        <f ca="1">'Capacity calculation (hide)'!BI22</f>
        <v>64.615384615384613</v>
      </c>
      <c r="H141" s="362"/>
      <c r="I141" s="362"/>
      <c r="J141" s="362"/>
      <c r="K141" s="362"/>
      <c r="L141" s="362"/>
      <c r="M141" s="362"/>
      <c r="N141" s="362"/>
      <c r="O141" s="362"/>
      <c r="P141" s="362"/>
      <c r="Q141" s="362"/>
      <c r="R141" s="362"/>
      <c r="S141" s="362"/>
      <c r="T141" s="362"/>
      <c r="U141" s="362"/>
      <c r="V141" s="362"/>
      <c r="W141" s="362"/>
      <c r="X141" s="362"/>
      <c r="Y141" s="362"/>
      <c r="Z141" s="362"/>
      <c r="AA141" s="362"/>
      <c r="AB141" s="362"/>
      <c r="AC141" s="362"/>
      <c r="AD141" s="362"/>
      <c r="AE141" s="362"/>
      <c r="AF141" s="362"/>
      <c r="AG141" s="362"/>
      <c r="AH141" s="362"/>
      <c r="AI141" s="362"/>
      <c r="AJ141" s="362"/>
      <c r="AK141" s="362"/>
      <c r="AL141" s="362"/>
      <c r="AM141" s="362"/>
      <c r="AN141" s="362"/>
      <c r="AO141" s="362"/>
      <c r="AP141" s="362"/>
      <c r="AQ141" s="362"/>
      <c r="AR141" s="362"/>
      <c r="AS141" s="362"/>
      <c r="AT141" s="362"/>
      <c r="AU141" s="362"/>
      <c r="AV141" s="362"/>
      <c r="AW141" s="362"/>
      <c r="AX141" s="362"/>
      <c r="AY141" s="362"/>
      <c r="AZ141" s="362"/>
      <c r="BA141" s="362"/>
      <c r="BB141" s="362"/>
      <c r="BC141" s="362"/>
      <c r="BD141" s="362"/>
      <c r="BE141" s="362"/>
      <c r="BF141" s="362"/>
      <c r="BG141" s="362"/>
      <c r="BI141" s="342" t="s">
        <v>1235</v>
      </c>
    </row>
    <row r="142" spans="2:61" x14ac:dyDescent="0.2">
      <c r="B142" s="67" t="str">
        <f>IF(Capacity!B35="","",Capacity!B35)</f>
        <v>Slot B</v>
      </c>
      <c r="C142" s="220">
        <f>IF(B142="","",Capacity!E35)</f>
        <v>49</v>
      </c>
      <c r="D142" s="309">
        <f>IF(B142="","",Capacity!F35)</f>
        <v>140</v>
      </c>
      <c r="E142" s="220">
        <f ca="1">IF(B142="","",IF(COUNTBLANK(H142:BG142)=52,SUM('Capacity calculation (hide)'!H23:BG23),52-COUNTBLANK(H142:BG142)))</f>
        <v>52</v>
      </c>
      <c r="F142" s="310">
        <f ca="1">'Capacity calculation (hide)'!BI23</f>
        <v>131.92307692307693</v>
      </c>
      <c r="H142" s="362"/>
      <c r="I142" s="362"/>
      <c r="J142" s="362"/>
      <c r="K142" s="362"/>
      <c r="L142" s="362"/>
      <c r="M142" s="362"/>
      <c r="N142" s="362"/>
      <c r="O142" s="362"/>
      <c r="P142" s="362"/>
      <c r="Q142" s="362"/>
      <c r="R142" s="362"/>
      <c r="S142" s="362"/>
      <c r="T142" s="362"/>
      <c r="U142" s="362"/>
      <c r="V142" s="362"/>
      <c r="W142" s="362"/>
      <c r="X142" s="362"/>
      <c r="Y142" s="362"/>
      <c r="Z142" s="362"/>
      <c r="AA142" s="362"/>
      <c r="AB142" s="362"/>
      <c r="AC142" s="362"/>
      <c r="AD142" s="362"/>
      <c r="AE142" s="362"/>
      <c r="AF142" s="362"/>
      <c r="AG142" s="362"/>
      <c r="AH142" s="362"/>
      <c r="AI142" s="362"/>
      <c r="AJ142" s="362"/>
      <c r="AK142" s="362"/>
      <c r="AL142" s="362"/>
      <c r="AM142" s="362"/>
      <c r="AN142" s="362"/>
      <c r="AO142" s="362"/>
      <c r="AP142" s="362"/>
      <c r="AQ142" s="362"/>
      <c r="AR142" s="362"/>
      <c r="AS142" s="362"/>
      <c r="AT142" s="362"/>
      <c r="AU142" s="362"/>
      <c r="AV142" s="362"/>
      <c r="AW142" s="362"/>
      <c r="AX142" s="362"/>
      <c r="AY142" s="362"/>
      <c r="AZ142" s="362"/>
      <c r="BA142" s="362"/>
      <c r="BB142" s="362"/>
      <c r="BC142" s="362"/>
      <c r="BD142" s="362"/>
      <c r="BE142" s="362"/>
      <c r="BF142" s="362"/>
      <c r="BG142" s="362"/>
      <c r="BI142" s="342" t="s">
        <v>1235</v>
      </c>
    </row>
    <row r="143" spans="2:61" x14ac:dyDescent="0.2">
      <c r="B143" s="67" t="str">
        <f>IF(Capacity!B36="","",Capacity!B36)</f>
        <v>Slot A</v>
      </c>
      <c r="C143" s="220">
        <f>IF(B143="","",Capacity!E36)</f>
        <v>45</v>
      </c>
      <c r="D143" s="309">
        <f>IF(B143="","",Capacity!F36)</f>
        <v>20</v>
      </c>
      <c r="E143" s="220">
        <f ca="1">IF(B143="","",IF(COUNTBLANK(H143:BG143)=52,SUM('Capacity calculation (hide)'!H24:BG24),52-COUNTBLANK(H143:BG143)))</f>
        <v>52</v>
      </c>
      <c r="F143" s="310">
        <f ca="1">'Capacity calculation (hide)'!BI24</f>
        <v>17.307692307692307</v>
      </c>
      <c r="H143" s="362"/>
      <c r="I143" s="362"/>
      <c r="J143" s="362"/>
      <c r="K143" s="362"/>
      <c r="L143" s="362"/>
      <c r="M143" s="362"/>
      <c r="N143" s="362"/>
      <c r="O143" s="362"/>
      <c r="P143" s="362"/>
      <c r="Q143" s="362"/>
      <c r="R143" s="362"/>
      <c r="S143" s="362"/>
      <c r="T143" s="362"/>
      <c r="U143" s="362"/>
      <c r="V143" s="362"/>
      <c r="W143" s="362"/>
      <c r="X143" s="362"/>
      <c r="Y143" s="362"/>
      <c r="Z143" s="362"/>
      <c r="AA143" s="362"/>
      <c r="AB143" s="362"/>
      <c r="AC143" s="362"/>
      <c r="AD143" s="362"/>
      <c r="AE143" s="362"/>
      <c r="AF143" s="362"/>
      <c r="AG143" s="362"/>
      <c r="AH143" s="362"/>
      <c r="AI143" s="362"/>
      <c r="AJ143" s="362"/>
      <c r="AK143" s="362"/>
      <c r="AL143" s="362"/>
      <c r="AM143" s="362"/>
      <c r="AN143" s="362"/>
      <c r="AO143" s="362"/>
      <c r="AP143" s="362"/>
      <c r="AQ143" s="362"/>
      <c r="AR143" s="362"/>
      <c r="AS143" s="362"/>
      <c r="AT143" s="362"/>
      <c r="AU143" s="362"/>
      <c r="AV143" s="362"/>
      <c r="AW143" s="362"/>
      <c r="AX143" s="362"/>
      <c r="AY143" s="362"/>
      <c r="AZ143" s="362"/>
      <c r="BA143" s="362"/>
      <c r="BB143" s="362"/>
      <c r="BC143" s="362"/>
      <c r="BD143" s="362"/>
      <c r="BE143" s="362"/>
      <c r="BF143" s="362"/>
      <c r="BG143" s="362"/>
      <c r="BI143" s="342" t="s">
        <v>1235</v>
      </c>
    </row>
    <row r="144" spans="2:61" x14ac:dyDescent="0.2">
      <c r="B144" s="67" t="str">
        <f>IF(Capacity!B37="","",Capacity!B37)</f>
        <v>2 ww</v>
      </c>
      <c r="C144" s="220">
        <f>IF(B144="","",Capacity!E37)</f>
        <v>45</v>
      </c>
      <c r="D144" s="309">
        <f>IF(B144="","",Capacity!F37)</f>
        <v>40</v>
      </c>
      <c r="E144" s="220">
        <f ca="1">IF(B144="","",IF(COUNTBLANK(H144:BG144)=52,SUM('Capacity calculation (hide)'!H25:BG25),52-COUNTBLANK(H144:BG144)))</f>
        <v>52</v>
      </c>
      <c r="F144" s="310">
        <f ca="1">'Capacity calculation (hide)'!BI25</f>
        <v>34.615384615384613</v>
      </c>
      <c r="H144" s="362"/>
      <c r="I144" s="362"/>
      <c r="J144" s="362"/>
      <c r="K144" s="362"/>
      <c r="L144" s="362"/>
      <c r="M144" s="362"/>
      <c r="N144" s="362"/>
      <c r="O144" s="362"/>
      <c r="P144" s="362"/>
      <c r="Q144" s="362"/>
      <c r="R144" s="362"/>
      <c r="S144" s="362"/>
      <c r="T144" s="362"/>
      <c r="U144" s="362"/>
      <c r="V144" s="362"/>
      <c r="W144" s="362"/>
      <c r="X144" s="362"/>
      <c r="Y144" s="362"/>
      <c r="Z144" s="362"/>
      <c r="AA144" s="362"/>
      <c r="AB144" s="362"/>
      <c r="AC144" s="362"/>
      <c r="AD144" s="362"/>
      <c r="AE144" s="362"/>
      <c r="AF144" s="362"/>
      <c r="AG144" s="362"/>
      <c r="AH144" s="362"/>
      <c r="AI144" s="362"/>
      <c r="AJ144" s="362"/>
      <c r="AK144" s="362"/>
      <c r="AL144" s="362"/>
      <c r="AM144" s="362"/>
      <c r="AN144" s="362"/>
      <c r="AO144" s="362"/>
      <c r="AP144" s="362"/>
      <c r="AQ144" s="362"/>
      <c r="AR144" s="362"/>
      <c r="AS144" s="362"/>
      <c r="AT144" s="362"/>
      <c r="AU144" s="362"/>
      <c r="AV144" s="362"/>
      <c r="AW144" s="362"/>
      <c r="AX144" s="362"/>
      <c r="AY144" s="362"/>
      <c r="AZ144" s="362"/>
      <c r="BA144" s="362"/>
      <c r="BB144" s="362"/>
      <c r="BC144" s="362"/>
      <c r="BD144" s="362"/>
      <c r="BE144" s="362"/>
      <c r="BF144" s="362"/>
      <c r="BG144" s="362"/>
      <c r="BI144" s="342" t="s">
        <v>1235</v>
      </c>
    </row>
    <row r="145" spans="2:61" x14ac:dyDescent="0.2">
      <c r="B145" s="67" t="str">
        <f>IF(Capacity!B38="","",Capacity!B38)</f>
        <v>2 ww</v>
      </c>
      <c r="C145" s="220">
        <f>IF(B145="","",Capacity!E38)</f>
        <v>50</v>
      </c>
      <c r="D145" s="309">
        <f>IF(B145="","",Capacity!F38)</f>
        <v>60</v>
      </c>
      <c r="E145" s="220">
        <f ca="1">IF(B145="","",IF(COUNTBLANK(H145:BG145)=52,SUM('Capacity calculation (hide)'!H26:BG26),52-COUNTBLANK(H145:BG145)))</f>
        <v>52</v>
      </c>
      <c r="F145" s="310">
        <f ca="1">'Capacity calculation (hide)'!BI26</f>
        <v>57.692307692307693</v>
      </c>
      <c r="H145" s="362"/>
      <c r="I145" s="362"/>
      <c r="J145" s="362"/>
      <c r="K145" s="362"/>
      <c r="L145" s="362"/>
      <c r="M145" s="362"/>
      <c r="N145" s="362"/>
      <c r="O145" s="362"/>
      <c r="P145" s="362"/>
      <c r="Q145" s="362"/>
      <c r="R145" s="362"/>
      <c r="S145" s="362"/>
      <c r="T145" s="362"/>
      <c r="U145" s="362"/>
      <c r="V145" s="362"/>
      <c r="W145" s="362"/>
      <c r="X145" s="362"/>
      <c r="Y145" s="362"/>
      <c r="Z145" s="362"/>
      <c r="AA145" s="362"/>
      <c r="AB145" s="362"/>
      <c r="AC145" s="362"/>
      <c r="AD145" s="362"/>
      <c r="AE145" s="362"/>
      <c r="AF145" s="362"/>
      <c r="AG145" s="362"/>
      <c r="AH145" s="362"/>
      <c r="AI145" s="362"/>
      <c r="AJ145" s="362"/>
      <c r="AK145" s="362"/>
      <c r="AL145" s="362"/>
      <c r="AM145" s="362"/>
      <c r="AN145" s="362"/>
      <c r="AO145" s="362"/>
      <c r="AP145" s="362"/>
      <c r="AQ145" s="362"/>
      <c r="AR145" s="362"/>
      <c r="AS145" s="362"/>
      <c r="AT145" s="362"/>
      <c r="AU145" s="362"/>
      <c r="AV145" s="362"/>
      <c r="AW145" s="362"/>
      <c r="AX145" s="362"/>
      <c r="AY145" s="362"/>
      <c r="AZ145" s="362"/>
      <c r="BA145" s="362"/>
      <c r="BB145" s="362"/>
      <c r="BC145" s="362"/>
      <c r="BD145" s="362"/>
      <c r="BE145" s="362"/>
      <c r="BF145" s="362"/>
      <c r="BG145" s="362"/>
      <c r="BI145" s="342" t="s">
        <v>1235</v>
      </c>
    </row>
    <row r="146" spans="2:61" x14ac:dyDescent="0.2">
      <c r="B146" s="67" t="str">
        <f>IF(Capacity!B39="","",Capacity!B39)</f>
        <v>2 ww</v>
      </c>
      <c r="C146" s="220">
        <f>IF(B146="","",Capacity!E39)</f>
        <v>50</v>
      </c>
      <c r="D146" s="309">
        <f>IF(B146="","",Capacity!F39)</f>
        <v>60</v>
      </c>
      <c r="E146" s="220">
        <f ca="1">IF(B146="","",IF(COUNTBLANK(H146:BG146)=52,SUM('Capacity calculation (hide)'!H27:BG27),52-COUNTBLANK(H146:BG146)))</f>
        <v>52</v>
      </c>
      <c r="F146" s="310">
        <f ca="1">'Capacity calculation (hide)'!BI27</f>
        <v>57.692307692307693</v>
      </c>
      <c r="H146" s="362"/>
      <c r="I146" s="362"/>
      <c r="J146" s="362"/>
      <c r="K146" s="362"/>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I146" s="342" t="s">
        <v>1235</v>
      </c>
    </row>
    <row r="147" spans="2:61" x14ac:dyDescent="0.2">
      <c r="B147" s="67" t="str">
        <f>IF(Capacity!B40="","",Capacity!B40)</f>
        <v>Slot A</v>
      </c>
      <c r="C147" s="220">
        <f>IF(B147="","",Capacity!E40)</f>
        <v>50</v>
      </c>
      <c r="D147" s="309">
        <f>IF(B147="","",Capacity!F40)</f>
        <v>40</v>
      </c>
      <c r="E147" s="220">
        <f ca="1">IF(B147="","",IF(COUNTBLANK(H147:BG147)=52,SUM('Capacity calculation (hide)'!H28:BG28),52-COUNTBLANK(H147:BG147)))</f>
        <v>52</v>
      </c>
      <c r="F147" s="310">
        <f ca="1">'Capacity calculation (hide)'!BI28</f>
        <v>38.46153846153846</v>
      </c>
      <c r="H147" s="362"/>
      <c r="I147" s="362"/>
      <c r="J147" s="362"/>
      <c r="K147" s="362"/>
      <c r="L147" s="362"/>
      <c r="M147" s="362"/>
      <c r="N147" s="362"/>
      <c r="O147" s="362"/>
      <c r="P147" s="362"/>
      <c r="Q147" s="362"/>
      <c r="R147" s="362"/>
      <c r="S147" s="362"/>
      <c r="T147" s="362"/>
      <c r="U147" s="362"/>
      <c r="V147" s="362"/>
      <c r="W147" s="362"/>
      <c r="X147" s="362"/>
      <c r="Y147" s="362"/>
      <c r="Z147" s="362"/>
      <c r="AA147" s="362"/>
      <c r="AB147" s="362"/>
      <c r="AC147" s="362"/>
      <c r="AD147" s="362"/>
      <c r="AE147" s="362"/>
      <c r="AF147" s="362"/>
      <c r="AG147" s="362"/>
      <c r="AH147" s="362"/>
      <c r="AI147" s="362"/>
      <c r="AJ147" s="362"/>
      <c r="AK147" s="362"/>
      <c r="AL147" s="362"/>
      <c r="AM147" s="362"/>
      <c r="AN147" s="362"/>
      <c r="AO147" s="362"/>
      <c r="AP147" s="362"/>
      <c r="AQ147" s="362"/>
      <c r="AR147" s="362"/>
      <c r="AS147" s="362"/>
      <c r="AT147" s="362"/>
      <c r="AU147" s="362"/>
      <c r="AV147" s="362"/>
      <c r="AW147" s="362"/>
      <c r="AX147" s="362"/>
      <c r="AY147" s="362"/>
      <c r="AZ147" s="362"/>
      <c r="BA147" s="362"/>
      <c r="BB147" s="362"/>
      <c r="BC147" s="362"/>
      <c r="BD147" s="362"/>
      <c r="BE147" s="362"/>
      <c r="BF147" s="362"/>
      <c r="BG147" s="362"/>
      <c r="BI147" s="342" t="s">
        <v>1235</v>
      </c>
    </row>
    <row r="148" spans="2:61" x14ac:dyDescent="0.2">
      <c r="B148" s="67" t="str">
        <f>IF(Capacity!B41="","",Capacity!B41)</f>
        <v>Slot A</v>
      </c>
      <c r="C148" s="220">
        <f>IF(B148="","",Capacity!E41)</f>
        <v>49</v>
      </c>
      <c r="D148" s="309">
        <f>IF(B148="","",Capacity!F41)</f>
        <v>40</v>
      </c>
      <c r="E148" s="220">
        <f ca="1">IF(B148="","",IF(COUNTBLANK(H148:BG148)=52,SUM('Capacity calculation (hide)'!H29:BG29),52-COUNTBLANK(H148:BG148)))</f>
        <v>52</v>
      </c>
      <c r="F148" s="310">
        <f ca="1">'Capacity calculation (hide)'!BI29</f>
        <v>37.692307692307693</v>
      </c>
      <c r="H148" s="362"/>
      <c r="I148" s="362"/>
      <c r="J148" s="362"/>
      <c r="K148" s="362"/>
      <c r="L148" s="362"/>
      <c r="M148" s="362"/>
      <c r="N148" s="362"/>
      <c r="O148" s="362"/>
      <c r="P148" s="362"/>
      <c r="Q148" s="362"/>
      <c r="R148" s="362"/>
      <c r="S148" s="362"/>
      <c r="T148" s="362"/>
      <c r="U148" s="362"/>
      <c r="V148" s="362"/>
      <c r="W148" s="362"/>
      <c r="X148" s="362"/>
      <c r="Y148" s="362"/>
      <c r="Z148" s="362"/>
      <c r="AA148" s="362"/>
      <c r="AB148" s="362"/>
      <c r="AC148" s="362"/>
      <c r="AD148" s="362"/>
      <c r="AE148" s="362"/>
      <c r="AF148" s="362"/>
      <c r="AG148" s="362"/>
      <c r="AH148" s="362"/>
      <c r="AI148" s="362"/>
      <c r="AJ148" s="362"/>
      <c r="AK148" s="362"/>
      <c r="AL148" s="362"/>
      <c r="AM148" s="362"/>
      <c r="AN148" s="362"/>
      <c r="AO148" s="362"/>
      <c r="AP148" s="362"/>
      <c r="AQ148" s="362"/>
      <c r="AR148" s="362"/>
      <c r="AS148" s="362"/>
      <c r="AT148" s="362"/>
      <c r="AU148" s="362"/>
      <c r="AV148" s="362"/>
      <c r="AW148" s="362"/>
      <c r="AX148" s="362"/>
      <c r="AY148" s="362"/>
      <c r="AZ148" s="362"/>
      <c r="BA148" s="362"/>
      <c r="BB148" s="362"/>
      <c r="BC148" s="362"/>
      <c r="BD148" s="362"/>
      <c r="BE148" s="362"/>
      <c r="BF148" s="362"/>
      <c r="BG148" s="362"/>
      <c r="BI148" s="342" t="s">
        <v>1235</v>
      </c>
    </row>
    <row r="149" spans="2:61" x14ac:dyDescent="0.2">
      <c r="B149" s="67" t="str">
        <f>IF(Capacity!B42="","",Capacity!B42)</f>
        <v>PP</v>
      </c>
      <c r="C149" s="220">
        <f>IF(B149="","",Capacity!E42)</f>
        <v>50</v>
      </c>
      <c r="D149" s="309">
        <f>IF(B149="","",Capacity!F42)</f>
        <v>20</v>
      </c>
      <c r="E149" s="220">
        <f ca="1">IF(B149="","",IF(COUNTBLANK(H149:BG149)=52,SUM('Capacity calculation (hide)'!H30:BG30),52-COUNTBLANK(H149:BG149)))</f>
        <v>52</v>
      </c>
      <c r="F149" s="310">
        <f ca="1">'Capacity calculation (hide)'!BI30</f>
        <v>19.23076923076923</v>
      </c>
      <c r="H149" s="362"/>
      <c r="I149" s="362"/>
      <c r="J149" s="362"/>
      <c r="K149" s="362"/>
      <c r="L149" s="362"/>
      <c r="M149" s="362"/>
      <c r="N149" s="362"/>
      <c r="O149" s="362"/>
      <c r="P149" s="362"/>
      <c r="Q149" s="362"/>
      <c r="R149" s="362"/>
      <c r="S149" s="362"/>
      <c r="T149" s="362"/>
      <c r="U149" s="362"/>
      <c r="V149" s="362"/>
      <c r="W149" s="362"/>
      <c r="X149" s="362"/>
      <c r="Y149" s="362"/>
      <c r="Z149" s="362"/>
      <c r="AA149" s="362"/>
      <c r="AB149" s="362"/>
      <c r="AC149" s="362"/>
      <c r="AD149" s="362"/>
      <c r="AE149" s="362"/>
      <c r="AF149" s="362"/>
      <c r="AG149" s="362"/>
      <c r="AH149" s="362"/>
      <c r="AI149" s="362"/>
      <c r="AJ149" s="362"/>
      <c r="AK149" s="362"/>
      <c r="AL149" s="362"/>
      <c r="AM149" s="362"/>
      <c r="AN149" s="362"/>
      <c r="AO149" s="362"/>
      <c r="AP149" s="362"/>
      <c r="AQ149" s="362"/>
      <c r="AR149" s="362"/>
      <c r="AS149" s="362"/>
      <c r="AT149" s="362"/>
      <c r="AU149" s="362"/>
      <c r="AV149" s="362"/>
      <c r="AW149" s="362"/>
      <c r="AX149" s="362"/>
      <c r="AY149" s="362"/>
      <c r="AZ149" s="362"/>
      <c r="BA149" s="362"/>
      <c r="BB149" s="362"/>
      <c r="BC149" s="362"/>
      <c r="BD149" s="362"/>
      <c r="BE149" s="362"/>
      <c r="BF149" s="362"/>
      <c r="BG149" s="362"/>
      <c r="BI149" s="342" t="s">
        <v>1235</v>
      </c>
    </row>
    <row r="150" spans="2:61" x14ac:dyDescent="0.2">
      <c r="B150" s="67" t="str">
        <f>IF(Capacity!B43="","",Capacity!B43)</f>
        <v>Slot A</v>
      </c>
      <c r="C150" s="220">
        <f>IF(B150="","",Capacity!E43)</f>
        <v>50</v>
      </c>
      <c r="D150" s="309">
        <f>IF(B150="","",Capacity!F43)</f>
        <v>140</v>
      </c>
      <c r="E150" s="220">
        <f ca="1">IF(B150="","",IF(COUNTBLANK(H150:BG150)=52,SUM('Capacity calculation (hide)'!H31:BG31),52-COUNTBLANK(H150:BG150)))</f>
        <v>52</v>
      </c>
      <c r="F150" s="310">
        <f ca="1">'Capacity calculation (hide)'!BI31</f>
        <v>134.61538461538461</v>
      </c>
      <c r="H150" s="362"/>
      <c r="I150" s="362"/>
      <c r="J150" s="362"/>
      <c r="K150" s="362"/>
      <c r="L150" s="362"/>
      <c r="M150" s="362"/>
      <c r="N150" s="362"/>
      <c r="O150" s="362"/>
      <c r="P150" s="362"/>
      <c r="Q150" s="362"/>
      <c r="R150" s="362"/>
      <c r="S150" s="362"/>
      <c r="T150" s="362"/>
      <c r="U150" s="362"/>
      <c r="V150" s="362"/>
      <c r="W150" s="362"/>
      <c r="X150" s="362"/>
      <c r="Y150" s="362"/>
      <c r="Z150" s="362"/>
      <c r="AA150" s="362"/>
      <c r="AB150" s="362"/>
      <c r="AC150" s="362"/>
      <c r="AD150" s="362"/>
      <c r="AE150" s="362"/>
      <c r="AF150" s="362"/>
      <c r="AG150" s="362"/>
      <c r="AH150" s="362"/>
      <c r="AI150" s="362"/>
      <c r="AJ150" s="362"/>
      <c r="AK150" s="362"/>
      <c r="AL150" s="362"/>
      <c r="AM150" s="362"/>
      <c r="AN150" s="362"/>
      <c r="AO150" s="362"/>
      <c r="AP150" s="362"/>
      <c r="AQ150" s="362"/>
      <c r="AR150" s="362"/>
      <c r="AS150" s="362"/>
      <c r="AT150" s="362"/>
      <c r="AU150" s="362"/>
      <c r="AV150" s="362"/>
      <c r="AW150" s="362"/>
      <c r="AX150" s="362"/>
      <c r="AY150" s="362"/>
      <c r="AZ150" s="362"/>
      <c r="BA150" s="362"/>
      <c r="BB150" s="362"/>
      <c r="BC150" s="362"/>
      <c r="BD150" s="362"/>
      <c r="BE150" s="362"/>
      <c r="BF150" s="362"/>
      <c r="BG150" s="362"/>
      <c r="BI150" s="342" t="s">
        <v>1235</v>
      </c>
    </row>
    <row r="151" spans="2:61" x14ac:dyDescent="0.2">
      <c r="B151" s="67" t="str">
        <f>IF(Capacity!B44="","",Capacity!B44)</f>
        <v>PP</v>
      </c>
      <c r="C151" s="220">
        <f>IF(B151="","",Capacity!E44)</f>
        <v>50</v>
      </c>
      <c r="D151" s="309">
        <f>IF(B151="","",Capacity!F44)</f>
        <v>20</v>
      </c>
      <c r="E151" s="220">
        <f ca="1">IF(B151="","",IF(COUNTBLANK(H151:BG151)=52,SUM('Capacity calculation (hide)'!H32:BG32),52-COUNTBLANK(H151:BG151)))</f>
        <v>52</v>
      </c>
      <c r="F151" s="310">
        <f ca="1">'Capacity calculation (hide)'!BI32</f>
        <v>19.23076923076923</v>
      </c>
      <c r="H151" s="362"/>
      <c r="I151" s="362"/>
      <c r="J151" s="362"/>
      <c r="K151" s="362"/>
      <c r="L151" s="362"/>
      <c r="M151" s="362"/>
      <c r="N151" s="362"/>
      <c r="O151" s="362"/>
      <c r="P151" s="362"/>
      <c r="Q151" s="362"/>
      <c r="R151" s="362"/>
      <c r="S151" s="362"/>
      <c r="T151" s="362"/>
      <c r="U151" s="362"/>
      <c r="V151" s="362"/>
      <c r="W151" s="362"/>
      <c r="X151" s="362"/>
      <c r="Y151" s="362"/>
      <c r="Z151" s="362"/>
      <c r="AA151" s="362"/>
      <c r="AB151" s="362"/>
      <c r="AC151" s="362"/>
      <c r="AD151" s="362"/>
      <c r="AE151" s="362"/>
      <c r="AF151" s="362"/>
      <c r="AG151" s="362"/>
      <c r="AH151" s="362"/>
      <c r="AI151" s="362"/>
      <c r="AJ151" s="362"/>
      <c r="AK151" s="362"/>
      <c r="AL151" s="362"/>
      <c r="AM151" s="362"/>
      <c r="AN151" s="362"/>
      <c r="AO151" s="362"/>
      <c r="AP151" s="362"/>
      <c r="AQ151" s="362"/>
      <c r="AR151" s="362"/>
      <c r="AS151" s="362"/>
      <c r="AT151" s="362"/>
      <c r="AU151" s="362"/>
      <c r="AV151" s="362"/>
      <c r="AW151" s="362"/>
      <c r="AX151" s="362"/>
      <c r="AY151" s="362"/>
      <c r="AZ151" s="362"/>
      <c r="BA151" s="362"/>
      <c r="BB151" s="362"/>
      <c r="BC151" s="362"/>
      <c r="BD151" s="362"/>
      <c r="BE151" s="362"/>
      <c r="BF151" s="362"/>
      <c r="BG151" s="362"/>
      <c r="BI151" s="342" t="s">
        <v>1235</v>
      </c>
    </row>
    <row r="152" spans="2:61" x14ac:dyDescent="0.2">
      <c r="B152" s="67" t="str">
        <f>IF(Capacity!B45="","",Capacity!B45)</f>
        <v>2 ww</v>
      </c>
      <c r="C152" s="220">
        <f>IF(B152="","",Capacity!E45)</f>
        <v>50</v>
      </c>
      <c r="D152" s="309">
        <f>IF(B152="","",Capacity!F45)</f>
        <v>80</v>
      </c>
      <c r="E152" s="220">
        <f ca="1">IF(B152="","",IF(COUNTBLANK(H152:BG152)=52,SUM('Capacity calculation (hide)'!H33:BG33),52-COUNTBLANK(H152:BG152)))</f>
        <v>52</v>
      </c>
      <c r="F152" s="310">
        <f ca="1">'Capacity calculation (hide)'!BI33</f>
        <v>76.92307692307692</v>
      </c>
      <c r="H152" s="362"/>
      <c r="I152" s="362"/>
      <c r="J152" s="362"/>
      <c r="K152" s="362"/>
      <c r="L152" s="362"/>
      <c r="M152" s="362"/>
      <c r="N152" s="362"/>
      <c r="O152" s="362"/>
      <c r="P152" s="362"/>
      <c r="Q152" s="362"/>
      <c r="R152" s="362"/>
      <c r="S152" s="362"/>
      <c r="T152" s="362"/>
      <c r="U152" s="362"/>
      <c r="V152" s="362"/>
      <c r="W152" s="362"/>
      <c r="X152" s="362"/>
      <c r="Y152" s="362"/>
      <c r="Z152" s="362"/>
      <c r="AA152" s="362"/>
      <c r="AB152" s="362"/>
      <c r="AC152" s="362"/>
      <c r="AD152" s="362"/>
      <c r="AE152" s="362"/>
      <c r="AF152" s="362"/>
      <c r="AG152" s="362"/>
      <c r="AH152" s="362"/>
      <c r="AI152" s="362"/>
      <c r="AJ152" s="362"/>
      <c r="AK152" s="362"/>
      <c r="AL152" s="362"/>
      <c r="AM152" s="362"/>
      <c r="AN152" s="362"/>
      <c r="AO152" s="362"/>
      <c r="AP152" s="362"/>
      <c r="AQ152" s="362"/>
      <c r="AR152" s="362"/>
      <c r="AS152" s="362"/>
      <c r="AT152" s="362"/>
      <c r="AU152" s="362"/>
      <c r="AV152" s="362"/>
      <c r="AW152" s="362"/>
      <c r="AX152" s="362"/>
      <c r="AY152" s="362"/>
      <c r="AZ152" s="362"/>
      <c r="BA152" s="362"/>
      <c r="BB152" s="362"/>
      <c r="BC152" s="362"/>
      <c r="BD152" s="362"/>
      <c r="BE152" s="362"/>
      <c r="BF152" s="362"/>
      <c r="BG152" s="362"/>
      <c r="BI152" s="342" t="s">
        <v>1235</v>
      </c>
    </row>
    <row r="153" spans="2:61" x14ac:dyDescent="0.2">
      <c r="B153" s="67" t="str">
        <f>IF(Capacity!B46="","",Capacity!B46)</f>
        <v>Slot A</v>
      </c>
      <c r="C153" s="220">
        <f>IF(B153="","",Capacity!E46)</f>
        <v>50</v>
      </c>
      <c r="D153" s="309">
        <f>IF(B153="","",Capacity!F46)</f>
        <v>80</v>
      </c>
      <c r="E153" s="220">
        <f ca="1">IF(B153="","",IF(COUNTBLANK(H153:BG153)=52,SUM('Capacity calculation (hide)'!H34:BG34),52-COUNTBLANK(H153:BG153)))</f>
        <v>52</v>
      </c>
      <c r="F153" s="310">
        <f ca="1">'Capacity calculation (hide)'!BI34</f>
        <v>76.92307692307692</v>
      </c>
      <c r="H153" s="362"/>
      <c r="I153" s="362"/>
      <c r="J153" s="362"/>
      <c r="K153" s="362"/>
      <c r="L153" s="362"/>
      <c r="M153" s="362"/>
      <c r="N153" s="362"/>
      <c r="O153" s="362"/>
      <c r="P153" s="362"/>
      <c r="Q153" s="362"/>
      <c r="R153" s="362"/>
      <c r="S153" s="362"/>
      <c r="T153" s="362"/>
      <c r="U153" s="362"/>
      <c r="V153" s="362"/>
      <c r="W153" s="362"/>
      <c r="X153" s="362"/>
      <c r="Y153" s="362"/>
      <c r="Z153" s="362"/>
      <c r="AA153" s="362"/>
      <c r="AB153" s="362"/>
      <c r="AC153" s="362"/>
      <c r="AD153" s="362"/>
      <c r="AE153" s="362"/>
      <c r="AF153" s="362"/>
      <c r="AG153" s="362"/>
      <c r="AH153" s="362"/>
      <c r="AI153" s="362"/>
      <c r="AJ153" s="362"/>
      <c r="AK153" s="362"/>
      <c r="AL153" s="362"/>
      <c r="AM153" s="362"/>
      <c r="AN153" s="362"/>
      <c r="AO153" s="362"/>
      <c r="AP153" s="362"/>
      <c r="AQ153" s="362"/>
      <c r="AR153" s="362"/>
      <c r="AS153" s="362"/>
      <c r="AT153" s="362"/>
      <c r="AU153" s="362"/>
      <c r="AV153" s="362"/>
      <c r="AW153" s="362"/>
      <c r="AX153" s="362"/>
      <c r="AY153" s="362"/>
      <c r="AZ153" s="362"/>
      <c r="BA153" s="362"/>
      <c r="BB153" s="362"/>
      <c r="BC153" s="362"/>
      <c r="BD153" s="362"/>
      <c r="BE153" s="362"/>
      <c r="BF153" s="362"/>
      <c r="BG153" s="362"/>
      <c r="BI153" s="342" t="s">
        <v>1235</v>
      </c>
    </row>
    <row r="154" spans="2:61" x14ac:dyDescent="0.2">
      <c r="B154" s="67" t="str">
        <f>IF(Capacity!B47="","",Capacity!B47)</f>
        <v>Slot A</v>
      </c>
      <c r="C154" s="220">
        <f>IF(B154="","",Capacity!E47)</f>
        <v>45</v>
      </c>
      <c r="D154" s="309">
        <f>IF(B154="","",Capacity!F47)</f>
        <v>75</v>
      </c>
      <c r="E154" s="220">
        <f ca="1">IF(B154="","",IF(COUNTBLANK(H154:BG154)=52,SUM('Capacity calculation (hide)'!H35:BG35),52-COUNTBLANK(H154:BG154)))</f>
        <v>52</v>
      </c>
      <c r="F154" s="310">
        <f ca="1">'Capacity calculation (hide)'!BI35</f>
        <v>64.90384615384616</v>
      </c>
      <c r="H154" s="362"/>
      <c r="I154" s="362"/>
      <c r="J154" s="362"/>
      <c r="K154" s="362"/>
      <c r="L154" s="362"/>
      <c r="M154" s="362"/>
      <c r="N154" s="362"/>
      <c r="O154" s="362"/>
      <c r="P154" s="362"/>
      <c r="Q154" s="362"/>
      <c r="R154" s="362"/>
      <c r="S154" s="362"/>
      <c r="T154" s="362"/>
      <c r="U154" s="362"/>
      <c r="V154" s="362"/>
      <c r="W154" s="362"/>
      <c r="X154" s="362"/>
      <c r="Y154" s="362"/>
      <c r="Z154" s="362"/>
      <c r="AA154" s="362"/>
      <c r="AB154" s="362"/>
      <c r="AC154" s="362"/>
      <c r="AD154" s="362"/>
      <c r="AE154" s="362"/>
      <c r="AF154" s="362"/>
      <c r="AG154" s="362"/>
      <c r="AH154" s="362"/>
      <c r="AI154" s="362"/>
      <c r="AJ154" s="362"/>
      <c r="AK154" s="362"/>
      <c r="AL154" s="362"/>
      <c r="AM154" s="362"/>
      <c r="AN154" s="362"/>
      <c r="AO154" s="362"/>
      <c r="AP154" s="362"/>
      <c r="AQ154" s="362"/>
      <c r="AR154" s="362"/>
      <c r="AS154" s="362"/>
      <c r="AT154" s="362"/>
      <c r="AU154" s="362"/>
      <c r="AV154" s="362"/>
      <c r="AW154" s="362"/>
      <c r="AX154" s="362"/>
      <c r="AY154" s="362"/>
      <c r="AZ154" s="362"/>
      <c r="BA154" s="362"/>
      <c r="BB154" s="362"/>
      <c r="BC154" s="362"/>
      <c r="BD154" s="362"/>
      <c r="BE154" s="362"/>
      <c r="BF154" s="362"/>
      <c r="BG154" s="362"/>
      <c r="BI154" s="342" t="s">
        <v>1235</v>
      </c>
    </row>
    <row r="155" spans="2:61" x14ac:dyDescent="0.2">
      <c r="B155" s="67" t="str">
        <f>IF(Capacity!B48="","",Capacity!B48)</f>
        <v>CT Colon</v>
      </c>
      <c r="C155" s="220">
        <f>IF(B155="","",Capacity!E48)</f>
        <v>45</v>
      </c>
      <c r="D155" s="309">
        <f>IF(B155="","",Capacity!F48)</f>
        <v>90</v>
      </c>
      <c r="E155" s="220">
        <f ca="1">IF(B155="","",IF(COUNTBLANK(H155:BG155)=52,SUM('Capacity calculation (hide)'!H36:BG36),52-COUNTBLANK(H155:BG155)))</f>
        <v>52</v>
      </c>
      <c r="F155" s="310">
        <f ca="1">'Capacity calculation (hide)'!BI36</f>
        <v>77.884615384615387</v>
      </c>
      <c r="H155" s="362"/>
      <c r="I155" s="362"/>
      <c r="J155" s="362"/>
      <c r="K155" s="362"/>
      <c r="L155" s="362"/>
      <c r="M155" s="362"/>
      <c r="N155" s="362"/>
      <c r="O155" s="362"/>
      <c r="P155" s="362"/>
      <c r="Q155" s="362"/>
      <c r="R155" s="362"/>
      <c r="S155" s="362"/>
      <c r="T155" s="362"/>
      <c r="U155" s="362"/>
      <c r="V155" s="362"/>
      <c r="W155" s="362"/>
      <c r="X155" s="362"/>
      <c r="Y155" s="362"/>
      <c r="Z155" s="362"/>
      <c r="AA155" s="362"/>
      <c r="AB155" s="362"/>
      <c r="AC155" s="362"/>
      <c r="AD155" s="362"/>
      <c r="AE155" s="362"/>
      <c r="AF155" s="362"/>
      <c r="AG155" s="362"/>
      <c r="AH155" s="362"/>
      <c r="AI155" s="362"/>
      <c r="AJ155" s="362"/>
      <c r="AK155" s="362"/>
      <c r="AL155" s="362"/>
      <c r="AM155" s="362"/>
      <c r="AN155" s="362"/>
      <c r="AO155" s="362"/>
      <c r="AP155" s="362"/>
      <c r="AQ155" s="362"/>
      <c r="AR155" s="362"/>
      <c r="AS155" s="362"/>
      <c r="AT155" s="362"/>
      <c r="AU155" s="362"/>
      <c r="AV155" s="362"/>
      <c r="AW155" s="362"/>
      <c r="AX155" s="362"/>
      <c r="AY155" s="362"/>
      <c r="AZ155" s="362"/>
      <c r="BA155" s="362"/>
      <c r="BB155" s="362"/>
      <c r="BC155" s="362"/>
      <c r="BD155" s="362"/>
      <c r="BE155" s="362"/>
      <c r="BF155" s="362"/>
      <c r="BG155" s="362"/>
      <c r="BI155" s="342" t="s">
        <v>1235</v>
      </c>
    </row>
    <row r="156" spans="2:61" x14ac:dyDescent="0.2">
      <c r="B156" s="67" t="str">
        <f>IF(Capacity!B49="","",Capacity!B49)</f>
        <v>2 ww</v>
      </c>
      <c r="C156" s="220">
        <f>IF(B156="","",Capacity!E49)</f>
        <v>45</v>
      </c>
      <c r="D156" s="309">
        <f>IF(B156="","",Capacity!F49)</f>
        <v>120</v>
      </c>
      <c r="E156" s="220">
        <f ca="1">IF(B156="","",IF(COUNTBLANK(H156:BG156)=52,SUM('Capacity calculation (hide)'!H37:BG37),52-COUNTBLANK(H156:BG156)))</f>
        <v>52</v>
      </c>
      <c r="F156" s="310">
        <f ca="1">'Capacity calculation (hide)'!BI37</f>
        <v>103.84615384615384</v>
      </c>
      <c r="H156" s="362"/>
      <c r="I156" s="362"/>
      <c r="J156" s="362"/>
      <c r="K156" s="362"/>
      <c r="L156" s="362"/>
      <c r="M156" s="362"/>
      <c r="N156" s="362"/>
      <c r="O156" s="362"/>
      <c r="P156" s="362"/>
      <c r="Q156" s="362"/>
      <c r="R156" s="362"/>
      <c r="S156" s="362"/>
      <c r="T156" s="362"/>
      <c r="U156" s="362"/>
      <c r="V156" s="362"/>
      <c r="W156" s="362"/>
      <c r="X156" s="362"/>
      <c r="Y156" s="362"/>
      <c r="Z156" s="362"/>
      <c r="AA156" s="362"/>
      <c r="AB156" s="362"/>
      <c r="AC156" s="362"/>
      <c r="AD156" s="362"/>
      <c r="AE156" s="362"/>
      <c r="AF156" s="362"/>
      <c r="AG156" s="362"/>
      <c r="AH156" s="362"/>
      <c r="AI156" s="362"/>
      <c r="AJ156" s="362"/>
      <c r="AK156" s="362"/>
      <c r="AL156" s="362"/>
      <c r="AM156" s="362"/>
      <c r="AN156" s="362"/>
      <c r="AO156" s="362"/>
      <c r="AP156" s="362"/>
      <c r="AQ156" s="362"/>
      <c r="AR156" s="362"/>
      <c r="AS156" s="362"/>
      <c r="AT156" s="362"/>
      <c r="AU156" s="362"/>
      <c r="AV156" s="362"/>
      <c r="AW156" s="362"/>
      <c r="AX156" s="362"/>
      <c r="AY156" s="362"/>
      <c r="AZ156" s="362"/>
      <c r="BA156" s="362"/>
      <c r="BB156" s="362"/>
      <c r="BC156" s="362"/>
      <c r="BD156" s="362"/>
      <c r="BE156" s="362"/>
      <c r="BF156" s="362"/>
      <c r="BG156" s="362"/>
      <c r="BI156" s="342" t="s">
        <v>1235</v>
      </c>
    </row>
    <row r="157" spans="2:61" x14ac:dyDescent="0.2">
      <c r="B157" s="67" t="str">
        <f>IF(Capacity!B50="","",Capacity!B50)</f>
        <v>Slot A</v>
      </c>
      <c r="C157" s="220">
        <f>IF(B157="","",Capacity!E50)</f>
        <v>50</v>
      </c>
      <c r="D157" s="309">
        <f>IF(B157="","",Capacity!F50)</f>
        <v>95</v>
      </c>
      <c r="E157" s="220">
        <f ca="1">IF(B157="","",IF(COUNTBLANK(H157:BG157)=52,SUM('Capacity calculation (hide)'!H38:BG38),52-COUNTBLANK(H157:BG157)))</f>
        <v>52</v>
      </c>
      <c r="F157" s="310">
        <f ca="1">'Capacity calculation (hide)'!BI38</f>
        <v>91.34615384615384</v>
      </c>
      <c r="H157" s="362"/>
      <c r="I157" s="362"/>
      <c r="J157" s="362"/>
      <c r="K157" s="362"/>
      <c r="L157" s="362"/>
      <c r="M157" s="362"/>
      <c r="N157" s="362"/>
      <c r="O157" s="362"/>
      <c r="P157" s="362"/>
      <c r="Q157" s="362"/>
      <c r="R157" s="362"/>
      <c r="S157" s="362"/>
      <c r="T157" s="362"/>
      <c r="U157" s="362"/>
      <c r="V157" s="362"/>
      <c r="W157" s="362"/>
      <c r="X157" s="362"/>
      <c r="Y157" s="362"/>
      <c r="Z157" s="362"/>
      <c r="AA157" s="362"/>
      <c r="AB157" s="362"/>
      <c r="AC157" s="362"/>
      <c r="AD157" s="362"/>
      <c r="AE157" s="362"/>
      <c r="AF157" s="362"/>
      <c r="AG157" s="362"/>
      <c r="AH157" s="362"/>
      <c r="AI157" s="362"/>
      <c r="AJ157" s="362"/>
      <c r="AK157" s="362"/>
      <c r="AL157" s="362"/>
      <c r="AM157" s="362"/>
      <c r="AN157" s="362"/>
      <c r="AO157" s="362"/>
      <c r="AP157" s="362"/>
      <c r="AQ157" s="362"/>
      <c r="AR157" s="362"/>
      <c r="AS157" s="362"/>
      <c r="AT157" s="362"/>
      <c r="AU157" s="362"/>
      <c r="AV157" s="362"/>
      <c r="AW157" s="362"/>
      <c r="AX157" s="362"/>
      <c r="AY157" s="362"/>
      <c r="AZ157" s="362"/>
      <c r="BA157" s="362"/>
      <c r="BB157" s="362"/>
      <c r="BC157" s="362"/>
      <c r="BD157" s="362"/>
      <c r="BE157" s="362"/>
      <c r="BF157" s="362"/>
      <c r="BG157" s="362"/>
      <c r="BI157" s="342" t="s">
        <v>1235</v>
      </c>
    </row>
    <row r="158" spans="2:61" x14ac:dyDescent="0.2">
      <c r="B158" s="67" t="str">
        <f>IF(Capacity!B51="","",Capacity!B51)</f>
        <v>2 ww</v>
      </c>
      <c r="C158" s="220">
        <f>IF(B158="","",Capacity!E51)</f>
        <v>50</v>
      </c>
      <c r="D158" s="309">
        <f>IF(B158="","",Capacity!F51)</f>
        <v>180</v>
      </c>
      <c r="E158" s="220">
        <f ca="1">IF(B158="","",IF(COUNTBLANK(H158:BG158)=52,SUM('Capacity calculation (hide)'!H39:BG39),52-COUNTBLANK(H158:BG158)))</f>
        <v>52</v>
      </c>
      <c r="F158" s="310">
        <f ca="1">'Capacity calculation (hide)'!BI39</f>
        <v>173.07692307692307</v>
      </c>
      <c r="H158" s="362"/>
      <c r="I158" s="362"/>
      <c r="J158" s="362"/>
      <c r="K158" s="362"/>
      <c r="L158" s="362"/>
      <c r="M158" s="362"/>
      <c r="N158" s="362"/>
      <c r="O158" s="362"/>
      <c r="P158" s="362"/>
      <c r="Q158" s="362"/>
      <c r="R158" s="362"/>
      <c r="S158" s="362"/>
      <c r="T158" s="362"/>
      <c r="U158" s="362"/>
      <c r="V158" s="362"/>
      <c r="W158" s="362"/>
      <c r="X158" s="362"/>
      <c r="Y158" s="362"/>
      <c r="Z158" s="362"/>
      <c r="AA158" s="362"/>
      <c r="AB158" s="362"/>
      <c r="AC158" s="362"/>
      <c r="AD158" s="362"/>
      <c r="AE158" s="362"/>
      <c r="AF158" s="362"/>
      <c r="AG158" s="362"/>
      <c r="AH158" s="362"/>
      <c r="AI158" s="362"/>
      <c r="AJ158" s="362"/>
      <c r="AK158" s="362"/>
      <c r="AL158" s="362"/>
      <c r="AM158" s="362"/>
      <c r="AN158" s="362"/>
      <c r="AO158" s="362"/>
      <c r="AP158" s="362"/>
      <c r="AQ158" s="362"/>
      <c r="AR158" s="362"/>
      <c r="AS158" s="362"/>
      <c r="AT158" s="362"/>
      <c r="AU158" s="362"/>
      <c r="AV158" s="362"/>
      <c r="AW158" s="362"/>
      <c r="AX158" s="362"/>
      <c r="AY158" s="362"/>
      <c r="AZ158" s="362"/>
      <c r="BA158" s="362"/>
      <c r="BB158" s="362"/>
      <c r="BC158" s="362"/>
      <c r="BD158" s="362"/>
      <c r="BE158" s="362"/>
      <c r="BF158" s="362"/>
      <c r="BG158" s="362"/>
      <c r="BI158" s="342" t="s">
        <v>1235</v>
      </c>
    </row>
    <row r="159" spans="2:61" x14ac:dyDescent="0.2">
      <c r="B159" s="67" t="str">
        <f>IF(Capacity!B52="","",Capacity!B52)</f>
        <v>Slot B</v>
      </c>
      <c r="C159" s="220">
        <f>IF(B159="","",Capacity!E52)</f>
        <v>50</v>
      </c>
      <c r="D159" s="309">
        <f>IF(B159="","",Capacity!F52)</f>
        <v>120</v>
      </c>
      <c r="E159" s="220">
        <f ca="1">IF(B159="","",IF(COUNTBLANK(H159:BG159)=52,SUM('Capacity calculation (hide)'!H40:BG40),52-COUNTBLANK(H159:BG159)))</f>
        <v>52</v>
      </c>
      <c r="F159" s="310">
        <f ca="1">'Capacity calculation (hide)'!BI40</f>
        <v>115.38461538461539</v>
      </c>
      <c r="H159" s="362"/>
      <c r="I159" s="362"/>
      <c r="J159" s="362"/>
      <c r="K159" s="362"/>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I159" s="342" t="s">
        <v>1235</v>
      </c>
    </row>
    <row r="160" spans="2:61" x14ac:dyDescent="0.2">
      <c r="B160" s="67" t="str">
        <f>IF(Capacity!B53="","",Capacity!B53)</f>
        <v>PP</v>
      </c>
      <c r="C160" s="220">
        <f>IF(B160="","",Capacity!E53)</f>
        <v>50</v>
      </c>
      <c r="D160" s="309">
        <f>IF(B160="","",Capacity!F53)</f>
        <v>20</v>
      </c>
      <c r="E160" s="220">
        <f ca="1">IF(B160="","",IF(COUNTBLANK(H160:BG160)=52,SUM('Capacity calculation (hide)'!H41:BG41),52-COUNTBLANK(H160:BG160)))</f>
        <v>52</v>
      </c>
      <c r="F160" s="310">
        <f ca="1">'Capacity calculation (hide)'!BI41</f>
        <v>19.23076923076923</v>
      </c>
      <c r="H160" s="362"/>
      <c r="I160" s="362"/>
      <c r="J160" s="362"/>
      <c r="K160" s="362"/>
      <c r="L160" s="362"/>
      <c r="M160" s="362"/>
      <c r="N160" s="362"/>
      <c r="O160" s="362"/>
      <c r="P160" s="362"/>
      <c r="Q160" s="362"/>
      <c r="R160" s="362"/>
      <c r="S160" s="362"/>
      <c r="T160" s="362"/>
      <c r="U160" s="362"/>
      <c r="V160" s="362"/>
      <c r="W160" s="362"/>
      <c r="X160" s="362"/>
      <c r="Y160" s="362"/>
      <c r="Z160" s="362"/>
      <c r="AA160" s="362"/>
      <c r="AB160" s="362"/>
      <c r="AC160" s="362"/>
      <c r="AD160" s="362"/>
      <c r="AE160" s="362"/>
      <c r="AF160" s="362"/>
      <c r="AG160" s="362"/>
      <c r="AH160" s="362"/>
      <c r="AI160" s="362"/>
      <c r="AJ160" s="362"/>
      <c r="AK160" s="362"/>
      <c r="AL160" s="362"/>
      <c r="AM160" s="362"/>
      <c r="AN160" s="362"/>
      <c r="AO160" s="362"/>
      <c r="AP160" s="362"/>
      <c r="AQ160" s="362"/>
      <c r="AR160" s="362"/>
      <c r="AS160" s="362"/>
      <c r="AT160" s="362"/>
      <c r="AU160" s="362"/>
      <c r="AV160" s="362"/>
      <c r="AW160" s="362"/>
      <c r="AX160" s="362"/>
      <c r="AY160" s="362"/>
      <c r="AZ160" s="362"/>
      <c r="BA160" s="362"/>
      <c r="BB160" s="362"/>
      <c r="BC160" s="362"/>
      <c r="BD160" s="362"/>
      <c r="BE160" s="362"/>
      <c r="BF160" s="362"/>
      <c r="BG160" s="362"/>
      <c r="BI160" s="342" t="s">
        <v>1235</v>
      </c>
    </row>
    <row r="161" spans="2:61" x14ac:dyDescent="0.2">
      <c r="B161" s="67" t="str">
        <f>IF(Capacity!B54="","",Capacity!B54)</f>
        <v>Slot A</v>
      </c>
      <c r="C161" s="220">
        <f>IF(B161="","",Capacity!E54)</f>
        <v>50</v>
      </c>
      <c r="D161" s="309">
        <f>IF(B161="","",Capacity!F54)</f>
        <v>95</v>
      </c>
      <c r="E161" s="220">
        <f ca="1">IF(B161="","",IF(COUNTBLANK(H161:BG161)=52,SUM('Capacity calculation (hide)'!H42:BG42),52-COUNTBLANK(H161:BG161)))</f>
        <v>52</v>
      </c>
      <c r="F161" s="310">
        <f ca="1">'Capacity calculation (hide)'!BI42</f>
        <v>91.34615384615384</v>
      </c>
      <c r="H161" s="362"/>
      <c r="I161" s="362"/>
      <c r="J161" s="362"/>
      <c r="K161" s="362"/>
      <c r="L161" s="362"/>
      <c r="M161" s="362"/>
      <c r="N161" s="362"/>
      <c r="O161" s="362"/>
      <c r="P161" s="362"/>
      <c r="Q161" s="362"/>
      <c r="R161" s="362"/>
      <c r="S161" s="362"/>
      <c r="T161" s="362"/>
      <c r="U161" s="362"/>
      <c r="V161" s="362"/>
      <c r="W161" s="362"/>
      <c r="X161" s="362"/>
      <c r="Y161" s="362"/>
      <c r="Z161" s="362"/>
      <c r="AA161" s="362"/>
      <c r="AB161" s="362"/>
      <c r="AC161" s="362"/>
      <c r="AD161" s="362"/>
      <c r="AE161" s="362"/>
      <c r="AF161" s="362"/>
      <c r="AG161" s="362"/>
      <c r="AH161" s="362"/>
      <c r="AI161" s="362"/>
      <c r="AJ161" s="362"/>
      <c r="AK161" s="362"/>
      <c r="AL161" s="362"/>
      <c r="AM161" s="362"/>
      <c r="AN161" s="362"/>
      <c r="AO161" s="362"/>
      <c r="AP161" s="362"/>
      <c r="AQ161" s="362"/>
      <c r="AR161" s="362"/>
      <c r="AS161" s="362"/>
      <c r="AT161" s="362"/>
      <c r="AU161" s="362"/>
      <c r="AV161" s="362"/>
      <c r="AW161" s="362"/>
      <c r="AX161" s="362"/>
      <c r="AY161" s="362"/>
      <c r="AZ161" s="362"/>
      <c r="BA161" s="362"/>
      <c r="BB161" s="362"/>
      <c r="BC161" s="362"/>
      <c r="BD161" s="362"/>
      <c r="BE161" s="362"/>
      <c r="BF161" s="362"/>
      <c r="BG161" s="362"/>
      <c r="BI161" s="342" t="s">
        <v>1235</v>
      </c>
    </row>
    <row r="162" spans="2:61" x14ac:dyDescent="0.2">
      <c r="B162" s="67" t="str">
        <f>IF(Capacity!B55="","",Capacity!B55)</f>
        <v>2 ww</v>
      </c>
      <c r="C162" s="220">
        <f>IF(B162="","",Capacity!E55)</f>
        <v>50</v>
      </c>
      <c r="D162" s="309">
        <f>IF(B162="","",Capacity!F55)</f>
        <v>95</v>
      </c>
      <c r="E162" s="220">
        <f ca="1">IF(B162="","",IF(COUNTBLANK(H162:BG162)=52,SUM('Capacity calculation (hide)'!H43:BG43),52-COUNTBLANK(H162:BG162)))</f>
        <v>52</v>
      </c>
      <c r="F162" s="310">
        <f ca="1">'Capacity calculation (hide)'!BI43</f>
        <v>91.34615384615384</v>
      </c>
      <c r="H162" s="362"/>
      <c r="I162" s="362"/>
      <c r="J162" s="362"/>
      <c r="K162" s="362"/>
      <c r="L162" s="362"/>
      <c r="M162" s="362"/>
      <c r="N162" s="362"/>
      <c r="O162" s="362"/>
      <c r="P162" s="362"/>
      <c r="Q162" s="362"/>
      <c r="R162" s="362"/>
      <c r="S162" s="362"/>
      <c r="T162" s="362"/>
      <c r="U162" s="362"/>
      <c r="V162" s="362"/>
      <c r="W162" s="362"/>
      <c r="X162" s="362"/>
      <c r="Y162" s="362"/>
      <c r="Z162" s="362"/>
      <c r="AA162" s="362"/>
      <c r="AB162" s="362"/>
      <c r="AC162" s="362"/>
      <c r="AD162" s="362"/>
      <c r="AE162" s="362"/>
      <c r="AF162" s="362"/>
      <c r="AG162" s="362"/>
      <c r="AH162" s="362"/>
      <c r="AI162" s="362"/>
      <c r="AJ162" s="362"/>
      <c r="AK162" s="362"/>
      <c r="AL162" s="362"/>
      <c r="AM162" s="362"/>
      <c r="AN162" s="362"/>
      <c r="AO162" s="362"/>
      <c r="AP162" s="362"/>
      <c r="AQ162" s="362"/>
      <c r="AR162" s="362"/>
      <c r="AS162" s="362"/>
      <c r="AT162" s="362"/>
      <c r="AU162" s="362"/>
      <c r="AV162" s="362"/>
      <c r="AW162" s="362"/>
      <c r="AX162" s="362"/>
      <c r="AY162" s="362"/>
      <c r="AZ162" s="362"/>
      <c r="BA162" s="362"/>
      <c r="BB162" s="362"/>
      <c r="BC162" s="362"/>
      <c r="BD162" s="362"/>
      <c r="BE162" s="362"/>
      <c r="BF162" s="362"/>
      <c r="BG162" s="362"/>
      <c r="BI162" s="342" t="s">
        <v>1235</v>
      </c>
    </row>
    <row r="163" spans="2:61" x14ac:dyDescent="0.2">
      <c r="B163" s="67" t="str">
        <f>IF(Capacity!B56="","",Capacity!B56)</f>
        <v>Slot B</v>
      </c>
      <c r="C163" s="220">
        <f>IF(B163="","",Capacity!E56)</f>
        <v>50</v>
      </c>
      <c r="D163" s="309">
        <f>IF(B163="","",Capacity!F56)</f>
        <v>100</v>
      </c>
      <c r="E163" s="220">
        <f ca="1">IF(B163="","",IF(COUNTBLANK(H163:BG163)=52,SUM('Capacity calculation (hide)'!H44:BG44),52-COUNTBLANK(H163:BG163)))</f>
        <v>52</v>
      </c>
      <c r="F163" s="310">
        <f ca="1">'Capacity calculation (hide)'!BI44</f>
        <v>96.15384615384616</v>
      </c>
      <c r="H163" s="362"/>
      <c r="I163" s="362"/>
      <c r="J163" s="362"/>
      <c r="K163" s="362"/>
      <c r="L163" s="362"/>
      <c r="M163" s="362"/>
      <c r="N163" s="362"/>
      <c r="O163" s="362"/>
      <c r="P163" s="362"/>
      <c r="Q163" s="362"/>
      <c r="R163" s="362"/>
      <c r="S163" s="362"/>
      <c r="T163" s="362"/>
      <c r="U163" s="362"/>
      <c r="V163" s="362"/>
      <c r="W163" s="362"/>
      <c r="X163" s="362"/>
      <c r="Y163" s="362"/>
      <c r="Z163" s="362"/>
      <c r="AA163" s="362"/>
      <c r="AB163" s="362"/>
      <c r="AC163" s="362"/>
      <c r="AD163" s="362"/>
      <c r="AE163" s="362"/>
      <c r="AF163" s="362"/>
      <c r="AG163" s="362"/>
      <c r="AH163" s="362"/>
      <c r="AI163" s="362"/>
      <c r="AJ163" s="362"/>
      <c r="AK163" s="362"/>
      <c r="AL163" s="362"/>
      <c r="AM163" s="362"/>
      <c r="AN163" s="362"/>
      <c r="AO163" s="362"/>
      <c r="AP163" s="362"/>
      <c r="AQ163" s="362"/>
      <c r="AR163" s="362"/>
      <c r="AS163" s="362"/>
      <c r="AT163" s="362"/>
      <c r="AU163" s="362"/>
      <c r="AV163" s="362"/>
      <c r="AW163" s="362"/>
      <c r="AX163" s="362"/>
      <c r="AY163" s="362"/>
      <c r="AZ163" s="362"/>
      <c r="BA163" s="362"/>
      <c r="BB163" s="362"/>
      <c r="BC163" s="362"/>
      <c r="BD163" s="362"/>
      <c r="BE163" s="362"/>
      <c r="BF163" s="362"/>
      <c r="BG163" s="362"/>
      <c r="BI163" s="342" t="s">
        <v>1235</v>
      </c>
    </row>
    <row r="164" spans="2:61" x14ac:dyDescent="0.2">
      <c r="B164" s="67" t="str">
        <f>IF(Capacity!B57="","",Capacity!B57)</f>
        <v>PP</v>
      </c>
      <c r="C164" s="220">
        <f>IF(B164="","",Capacity!E57)</f>
        <v>50</v>
      </c>
      <c r="D164" s="309">
        <f>IF(B164="","",Capacity!F57)</f>
        <v>20</v>
      </c>
      <c r="E164" s="220">
        <f ca="1">IF(B164="","",IF(COUNTBLANK(H164:BG164)=52,SUM('Capacity calculation (hide)'!H45:BG45),52-COUNTBLANK(H164:BG164)))</f>
        <v>52</v>
      </c>
      <c r="F164" s="310">
        <f ca="1">'Capacity calculation (hide)'!BI45</f>
        <v>19.23076923076923</v>
      </c>
      <c r="H164" s="362"/>
      <c r="I164" s="362"/>
      <c r="J164" s="362"/>
      <c r="K164" s="362"/>
      <c r="L164" s="362"/>
      <c r="M164" s="362"/>
      <c r="N164" s="362"/>
      <c r="O164" s="362"/>
      <c r="P164" s="362"/>
      <c r="Q164" s="362"/>
      <c r="R164" s="362"/>
      <c r="S164" s="362"/>
      <c r="T164" s="362"/>
      <c r="U164" s="362"/>
      <c r="V164" s="362"/>
      <c r="W164" s="362"/>
      <c r="X164" s="362"/>
      <c r="Y164" s="362"/>
      <c r="Z164" s="362"/>
      <c r="AA164" s="362"/>
      <c r="AB164" s="362"/>
      <c r="AC164" s="362"/>
      <c r="AD164" s="362"/>
      <c r="AE164" s="362"/>
      <c r="AF164" s="362"/>
      <c r="AG164" s="362"/>
      <c r="AH164" s="362"/>
      <c r="AI164" s="362"/>
      <c r="AJ164" s="362"/>
      <c r="AK164" s="362"/>
      <c r="AL164" s="362"/>
      <c r="AM164" s="362"/>
      <c r="AN164" s="362"/>
      <c r="AO164" s="362"/>
      <c r="AP164" s="362"/>
      <c r="AQ164" s="362"/>
      <c r="AR164" s="362"/>
      <c r="AS164" s="362"/>
      <c r="AT164" s="362"/>
      <c r="AU164" s="362"/>
      <c r="AV164" s="362"/>
      <c r="AW164" s="362"/>
      <c r="AX164" s="362"/>
      <c r="AY164" s="362"/>
      <c r="AZ164" s="362"/>
      <c r="BA164" s="362"/>
      <c r="BB164" s="362"/>
      <c r="BC164" s="362"/>
      <c r="BD164" s="362"/>
      <c r="BE164" s="362"/>
      <c r="BF164" s="362"/>
      <c r="BG164" s="362"/>
      <c r="BI164" s="342" t="s">
        <v>1235</v>
      </c>
    </row>
    <row r="165" spans="2:61" x14ac:dyDescent="0.2">
      <c r="B165" s="67" t="str">
        <f>IF(Capacity!B58="","",Capacity!B58)</f>
        <v>Slot A</v>
      </c>
      <c r="C165" s="220">
        <f>IF(B165="","",Capacity!E58)</f>
        <v>50</v>
      </c>
      <c r="D165" s="309">
        <f>IF(B165="","",Capacity!F58)</f>
        <v>95</v>
      </c>
      <c r="E165" s="220">
        <f ca="1">IF(B165="","",IF(COUNTBLANK(H165:BG165)=52,SUM('Capacity calculation (hide)'!H46:BG46),52-COUNTBLANK(H165:BG165)))</f>
        <v>52</v>
      </c>
      <c r="F165" s="310">
        <f ca="1">'Capacity calculation (hide)'!BI46</f>
        <v>91.34615384615384</v>
      </c>
      <c r="H165" s="362"/>
      <c r="I165" s="362"/>
      <c r="J165" s="362"/>
      <c r="K165" s="362"/>
      <c r="L165" s="362"/>
      <c r="M165" s="362"/>
      <c r="N165" s="362"/>
      <c r="O165" s="362"/>
      <c r="P165" s="362"/>
      <c r="Q165" s="362"/>
      <c r="R165" s="362"/>
      <c r="S165" s="362"/>
      <c r="T165" s="362"/>
      <c r="U165" s="362"/>
      <c r="V165" s="362"/>
      <c r="W165" s="362"/>
      <c r="X165" s="362"/>
      <c r="Y165" s="362"/>
      <c r="Z165" s="362"/>
      <c r="AA165" s="362"/>
      <c r="AB165" s="362"/>
      <c r="AC165" s="362"/>
      <c r="AD165" s="362"/>
      <c r="AE165" s="362"/>
      <c r="AF165" s="362"/>
      <c r="AG165" s="362"/>
      <c r="AH165" s="362"/>
      <c r="AI165" s="362"/>
      <c r="AJ165" s="362"/>
      <c r="AK165" s="362"/>
      <c r="AL165" s="362"/>
      <c r="AM165" s="362"/>
      <c r="AN165" s="362"/>
      <c r="AO165" s="362"/>
      <c r="AP165" s="362"/>
      <c r="AQ165" s="362"/>
      <c r="AR165" s="362"/>
      <c r="AS165" s="362"/>
      <c r="AT165" s="362"/>
      <c r="AU165" s="362"/>
      <c r="AV165" s="362"/>
      <c r="AW165" s="362"/>
      <c r="AX165" s="362"/>
      <c r="AY165" s="362"/>
      <c r="AZ165" s="362"/>
      <c r="BA165" s="362"/>
      <c r="BB165" s="362"/>
      <c r="BC165" s="362"/>
      <c r="BD165" s="362"/>
      <c r="BE165" s="362"/>
      <c r="BF165" s="362"/>
      <c r="BG165" s="362"/>
      <c r="BI165" s="342" t="s">
        <v>1235</v>
      </c>
    </row>
    <row r="166" spans="2:61" x14ac:dyDescent="0.2">
      <c r="B166" s="67" t="str">
        <f>IF(Capacity!B59="","",Capacity!B59)</f>
        <v>2 ww</v>
      </c>
      <c r="C166" s="220">
        <f>IF(B166="","",Capacity!E59)</f>
        <v>50</v>
      </c>
      <c r="D166" s="309">
        <f>IF(B166="","",Capacity!F59)</f>
        <v>160</v>
      </c>
      <c r="E166" s="220">
        <f ca="1">IF(B166="","",IF(COUNTBLANK(H166:BG166)=52,SUM('Capacity calculation (hide)'!H47:BG47),52-COUNTBLANK(H166:BG166)))</f>
        <v>52</v>
      </c>
      <c r="F166" s="310">
        <f ca="1">'Capacity calculation (hide)'!BI47</f>
        <v>153.84615384615384</v>
      </c>
      <c r="H166" s="362"/>
      <c r="I166" s="362"/>
      <c r="J166" s="362"/>
      <c r="K166" s="362"/>
      <c r="L166" s="362"/>
      <c r="M166" s="362"/>
      <c r="N166" s="362"/>
      <c r="O166" s="362"/>
      <c r="P166" s="362"/>
      <c r="Q166" s="362"/>
      <c r="R166" s="362"/>
      <c r="S166" s="362"/>
      <c r="T166" s="362"/>
      <c r="U166" s="362"/>
      <c r="V166" s="362"/>
      <c r="W166" s="362"/>
      <c r="X166" s="362"/>
      <c r="Y166" s="362"/>
      <c r="Z166" s="362"/>
      <c r="AA166" s="362"/>
      <c r="AB166" s="362"/>
      <c r="AC166" s="362"/>
      <c r="AD166" s="362"/>
      <c r="AE166" s="362"/>
      <c r="AF166" s="362"/>
      <c r="AG166" s="362"/>
      <c r="AH166" s="362"/>
      <c r="AI166" s="362"/>
      <c r="AJ166" s="362"/>
      <c r="AK166" s="362"/>
      <c r="AL166" s="362"/>
      <c r="AM166" s="362"/>
      <c r="AN166" s="362"/>
      <c r="AO166" s="362"/>
      <c r="AP166" s="362"/>
      <c r="AQ166" s="362"/>
      <c r="AR166" s="362"/>
      <c r="AS166" s="362"/>
      <c r="AT166" s="362"/>
      <c r="AU166" s="362"/>
      <c r="AV166" s="362"/>
      <c r="AW166" s="362"/>
      <c r="AX166" s="362"/>
      <c r="AY166" s="362"/>
      <c r="AZ166" s="362"/>
      <c r="BA166" s="362"/>
      <c r="BB166" s="362"/>
      <c r="BC166" s="362"/>
      <c r="BD166" s="362"/>
      <c r="BE166" s="362"/>
      <c r="BF166" s="362"/>
      <c r="BG166" s="362"/>
      <c r="BI166" s="342" t="s">
        <v>1235</v>
      </c>
    </row>
    <row r="167" spans="2:61" x14ac:dyDescent="0.2">
      <c r="B167" s="67" t="str">
        <f>IF(Capacity!B60="","",Capacity!B60)</f>
        <v>Slot B</v>
      </c>
      <c r="C167" s="220">
        <f>IF(B167="","",Capacity!E60)</f>
        <v>50</v>
      </c>
      <c r="D167" s="309">
        <f>IF(B167="","",Capacity!F60)</f>
        <v>140</v>
      </c>
      <c r="E167" s="220">
        <f ca="1">IF(B167="","",IF(COUNTBLANK(H167:BG167)=52,SUM('Capacity calculation (hide)'!H48:BG48),52-COUNTBLANK(H167:BG167)))</f>
        <v>52</v>
      </c>
      <c r="F167" s="310">
        <f ca="1">'Capacity calculation (hide)'!BI48</f>
        <v>134.61538461538461</v>
      </c>
      <c r="H167" s="362"/>
      <c r="I167" s="362"/>
      <c r="J167" s="362"/>
      <c r="K167" s="362"/>
      <c r="L167" s="362"/>
      <c r="M167" s="362"/>
      <c r="N167" s="362"/>
      <c r="O167" s="362"/>
      <c r="P167" s="362"/>
      <c r="Q167" s="362"/>
      <c r="R167" s="362"/>
      <c r="S167" s="362"/>
      <c r="T167" s="362"/>
      <c r="U167" s="362"/>
      <c r="V167" s="362"/>
      <c r="W167" s="362"/>
      <c r="X167" s="362"/>
      <c r="Y167" s="362"/>
      <c r="Z167" s="362"/>
      <c r="AA167" s="362"/>
      <c r="AB167" s="362"/>
      <c r="AC167" s="362"/>
      <c r="AD167" s="362"/>
      <c r="AE167" s="362"/>
      <c r="AF167" s="362"/>
      <c r="AG167" s="362"/>
      <c r="AH167" s="362"/>
      <c r="AI167" s="362"/>
      <c r="AJ167" s="362"/>
      <c r="AK167" s="362"/>
      <c r="AL167" s="362"/>
      <c r="AM167" s="362"/>
      <c r="AN167" s="362"/>
      <c r="AO167" s="362"/>
      <c r="AP167" s="362"/>
      <c r="AQ167" s="362"/>
      <c r="AR167" s="362"/>
      <c r="AS167" s="362"/>
      <c r="AT167" s="362"/>
      <c r="AU167" s="362"/>
      <c r="AV167" s="362"/>
      <c r="AW167" s="362"/>
      <c r="AX167" s="362"/>
      <c r="AY167" s="362"/>
      <c r="AZ167" s="362"/>
      <c r="BA167" s="362"/>
      <c r="BB167" s="362"/>
      <c r="BC167" s="362"/>
      <c r="BD167" s="362"/>
      <c r="BE167" s="362"/>
      <c r="BF167" s="362"/>
      <c r="BG167" s="362"/>
      <c r="BI167" s="342" t="s">
        <v>1235</v>
      </c>
    </row>
    <row r="168" spans="2:61" x14ac:dyDescent="0.2">
      <c r="B168" s="67" t="str">
        <f>IF(Capacity!B61="","",Capacity!B61)</f>
        <v>Slot A</v>
      </c>
      <c r="C168" s="220">
        <f>IF(B168="","",Capacity!E61)</f>
        <v>49</v>
      </c>
      <c r="D168" s="309">
        <f>IF(B168="","",Capacity!F61)</f>
        <v>75</v>
      </c>
      <c r="E168" s="220">
        <f ca="1">IF(B168="","",IF(COUNTBLANK(H168:BG168)=52,SUM('Capacity calculation (hide)'!H49:BG49),52-COUNTBLANK(H168:BG168)))</f>
        <v>52</v>
      </c>
      <c r="F168" s="310">
        <f ca="1">'Capacity calculation (hide)'!BI49</f>
        <v>70.67307692307692</v>
      </c>
      <c r="H168" s="362"/>
      <c r="I168" s="362"/>
      <c r="J168" s="362"/>
      <c r="K168" s="362"/>
      <c r="L168" s="362"/>
      <c r="M168" s="362"/>
      <c r="N168" s="362"/>
      <c r="O168" s="362"/>
      <c r="P168" s="362"/>
      <c r="Q168" s="362"/>
      <c r="R168" s="362"/>
      <c r="S168" s="362"/>
      <c r="T168" s="362"/>
      <c r="U168" s="362"/>
      <c r="V168" s="362"/>
      <c r="W168" s="362"/>
      <c r="X168" s="362"/>
      <c r="Y168" s="362"/>
      <c r="Z168" s="362"/>
      <c r="AA168" s="362"/>
      <c r="AB168" s="362"/>
      <c r="AC168" s="362"/>
      <c r="AD168" s="362"/>
      <c r="AE168" s="362"/>
      <c r="AF168" s="362"/>
      <c r="AG168" s="362"/>
      <c r="AH168" s="362"/>
      <c r="AI168" s="362"/>
      <c r="AJ168" s="362"/>
      <c r="AK168" s="362"/>
      <c r="AL168" s="362"/>
      <c r="AM168" s="362"/>
      <c r="AN168" s="362"/>
      <c r="AO168" s="362"/>
      <c r="AP168" s="362"/>
      <c r="AQ168" s="362"/>
      <c r="AR168" s="362"/>
      <c r="AS168" s="362"/>
      <c r="AT168" s="362"/>
      <c r="AU168" s="362"/>
      <c r="AV168" s="362"/>
      <c r="AW168" s="362"/>
      <c r="AX168" s="362"/>
      <c r="AY168" s="362"/>
      <c r="AZ168" s="362"/>
      <c r="BA168" s="362"/>
      <c r="BB168" s="362"/>
      <c r="BC168" s="362"/>
      <c r="BD168" s="362"/>
      <c r="BE168" s="362"/>
      <c r="BF168" s="362"/>
      <c r="BG168" s="362"/>
      <c r="BI168" s="342" t="s">
        <v>1235</v>
      </c>
    </row>
    <row r="169" spans="2:61" x14ac:dyDescent="0.2">
      <c r="B169" s="67" t="str">
        <f>IF(Capacity!B62="","",Capacity!B62)</f>
        <v>CT Colon</v>
      </c>
      <c r="C169" s="220">
        <f>IF(B169="","",Capacity!E62)</f>
        <v>49</v>
      </c>
      <c r="D169" s="309">
        <f>IF(B169="","",Capacity!F62)</f>
        <v>120</v>
      </c>
      <c r="E169" s="220">
        <f ca="1">IF(B169="","",IF(COUNTBLANK(H169:BG169)=52,SUM('Capacity calculation (hide)'!H50:BG50),52-COUNTBLANK(H169:BG169)))</f>
        <v>52</v>
      </c>
      <c r="F169" s="310">
        <f ca="1">'Capacity calculation (hide)'!BI50</f>
        <v>113.07692307692308</v>
      </c>
      <c r="H169" s="362"/>
      <c r="I169" s="362"/>
      <c r="J169" s="362"/>
      <c r="K169" s="362"/>
      <c r="L169" s="362"/>
      <c r="M169" s="362"/>
      <c r="N169" s="362"/>
      <c r="O169" s="362"/>
      <c r="P169" s="362"/>
      <c r="Q169" s="362"/>
      <c r="R169" s="362"/>
      <c r="S169" s="362"/>
      <c r="T169" s="362"/>
      <c r="U169" s="362"/>
      <c r="V169" s="362"/>
      <c r="W169" s="362"/>
      <c r="X169" s="362"/>
      <c r="Y169" s="362"/>
      <c r="Z169" s="362"/>
      <c r="AA169" s="362"/>
      <c r="AB169" s="362"/>
      <c r="AC169" s="362"/>
      <c r="AD169" s="362"/>
      <c r="AE169" s="362"/>
      <c r="AF169" s="362"/>
      <c r="AG169" s="362"/>
      <c r="AH169" s="362"/>
      <c r="AI169" s="362"/>
      <c r="AJ169" s="362"/>
      <c r="AK169" s="362"/>
      <c r="AL169" s="362"/>
      <c r="AM169" s="362"/>
      <c r="AN169" s="362"/>
      <c r="AO169" s="362"/>
      <c r="AP169" s="362"/>
      <c r="AQ169" s="362"/>
      <c r="AR169" s="362"/>
      <c r="AS169" s="362"/>
      <c r="AT169" s="362"/>
      <c r="AU169" s="362"/>
      <c r="AV169" s="362"/>
      <c r="AW169" s="362"/>
      <c r="AX169" s="362"/>
      <c r="AY169" s="362"/>
      <c r="AZ169" s="362"/>
      <c r="BA169" s="362"/>
      <c r="BB169" s="362"/>
      <c r="BC169" s="362"/>
      <c r="BD169" s="362"/>
      <c r="BE169" s="362"/>
      <c r="BF169" s="362"/>
      <c r="BG169" s="362"/>
      <c r="BI169" s="342" t="s">
        <v>1235</v>
      </c>
    </row>
    <row r="170" spans="2:61" x14ac:dyDescent="0.2">
      <c r="B170" s="67" t="str">
        <f>IF(Capacity!B63="","",Capacity!B63)</f>
        <v>2 ww</v>
      </c>
      <c r="C170" s="220">
        <f>IF(B170="","",Capacity!E63)</f>
        <v>49</v>
      </c>
      <c r="D170" s="309">
        <f>IF(B170="","",Capacity!F63)</f>
        <v>100</v>
      </c>
      <c r="E170" s="220">
        <f ca="1">IF(B170="","",IF(COUNTBLANK(H170:BG170)=52,SUM('Capacity calculation (hide)'!H51:BG51),52-COUNTBLANK(H170:BG170)))</f>
        <v>52</v>
      </c>
      <c r="F170" s="310">
        <f ca="1">'Capacity calculation (hide)'!BI51</f>
        <v>94.230769230769226</v>
      </c>
      <c r="H170" s="362"/>
      <c r="I170" s="362"/>
      <c r="J170" s="362"/>
      <c r="K170" s="362"/>
      <c r="L170" s="362"/>
      <c r="M170" s="362"/>
      <c r="N170" s="362"/>
      <c r="O170" s="362"/>
      <c r="P170" s="362"/>
      <c r="Q170" s="362"/>
      <c r="R170" s="362"/>
      <c r="S170" s="362"/>
      <c r="T170" s="362"/>
      <c r="U170" s="362"/>
      <c r="V170" s="362"/>
      <c r="W170" s="362"/>
      <c r="X170" s="362"/>
      <c r="Y170" s="362"/>
      <c r="Z170" s="362"/>
      <c r="AA170" s="362"/>
      <c r="AB170" s="362"/>
      <c r="AC170" s="362"/>
      <c r="AD170" s="362"/>
      <c r="AE170" s="362"/>
      <c r="AF170" s="362"/>
      <c r="AG170" s="362"/>
      <c r="AH170" s="362"/>
      <c r="AI170" s="362"/>
      <c r="AJ170" s="362"/>
      <c r="AK170" s="362"/>
      <c r="AL170" s="362"/>
      <c r="AM170" s="362"/>
      <c r="AN170" s="362"/>
      <c r="AO170" s="362"/>
      <c r="AP170" s="362"/>
      <c r="AQ170" s="362"/>
      <c r="AR170" s="362"/>
      <c r="AS170" s="362"/>
      <c r="AT170" s="362"/>
      <c r="AU170" s="362"/>
      <c r="AV170" s="362"/>
      <c r="AW170" s="362"/>
      <c r="AX170" s="362"/>
      <c r="AY170" s="362"/>
      <c r="AZ170" s="362"/>
      <c r="BA170" s="362"/>
      <c r="BB170" s="362"/>
      <c r="BC170" s="362"/>
      <c r="BD170" s="362"/>
      <c r="BE170" s="362"/>
      <c r="BF170" s="362"/>
      <c r="BG170" s="362"/>
      <c r="BI170" s="342" t="s">
        <v>1235</v>
      </c>
    </row>
    <row r="171" spans="2:61" x14ac:dyDescent="0.2">
      <c r="B171" s="67" t="str">
        <f>IF(Capacity!B64="","",Capacity!B64)</f>
        <v>Slot B</v>
      </c>
      <c r="C171" s="220">
        <f>IF(B171="","",Capacity!E64)</f>
        <v>49</v>
      </c>
      <c r="D171" s="309">
        <f>IF(B171="","",Capacity!F64)</f>
        <v>100</v>
      </c>
      <c r="E171" s="220">
        <f ca="1">IF(B171="","",IF(COUNTBLANK(H171:BG171)=52,SUM('Capacity calculation (hide)'!H52:BG52),52-COUNTBLANK(H171:BG171)))</f>
        <v>52</v>
      </c>
      <c r="F171" s="310">
        <f ca="1">'Capacity calculation (hide)'!BI52</f>
        <v>94.230769230769226</v>
      </c>
      <c r="H171" s="362"/>
      <c r="I171" s="362"/>
      <c r="J171" s="362"/>
      <c r="K171" s="362"/>
      <c r="L171" s="362"/>
      <c r="M171" s="362"/>
      <c r="N171" s="362"/>
      <c r="O171" s="362"/>
      <c r="P171" s="362"/>
      <c r="Q171" s="362"/>
      <c r="R171" s="362"/>
      <c r="S171" s="362"/>
      <c r="T171" s="362"/>
      <c r="U171" s="362"/>
      <c r="V171" s="362"/>
      <c r="W171" s="362"/>
      <c r="X171" s="362"/>
      <c r="Y171" s="362"/>
      <c r="Z171" s="362"/>
      <c r="AA171" s="362"/>
      <c r="AB171" s="362"/>
      <c r="AC171" s="362"/>
      <c r="AD171" s="362"/>
      <c r="AE171" s="362"/>
      <c r="AF171" s="362"/>
      <c r="AG171" s="362"/>
      <c r="AH171" s="362"/>
      <c r="AI171" s="362"/>
      <c r="AJ171" s="362"/>
      <c r="AK171" s="362"/>
      <c r="AL171" s="362"/>
      <c r="AM171" s="362"/>
      <c r="AN171" s="362"/>
      <c r="AO171" s="362"/>
      <c r="AP171" s="362"/>
      <c r="AQ171" s="362"/>
      <c r="AR171" s="362"/>
      <c r="AS171" s="362"/>
      <c r="AT171" s="362"/>
      <c r="AU171" s="362"/>
      <c r="AV171" s="362"/>
      <c r="AW171" s="362"/>
      <c r="AX171" s="362"/>
      <c r="AY171" s="362"/>
      <c r="AZ171" s="362"/>
      <c r="BA171" s="362"/>
      <c r="BB171" s="362"/>
      <c r="BC171" s="362"/>
      <c r="BD171" s="362"/>
      <c r="BE171" s="362"/>
      <c r="BF171" s="362"/>
      <c r="BG171" s="362"/>
      <c r="BI171" s="342" t="s">
        <v>1235</v>
      </c>
    </row>
    <row r="172" spans="2:61" x14ac:dyDescent="0.2">
      <c r="B172" s="67" t="str">
        <f>IF(Capacity!B65="","",Capacity!B65)</f>
        <v>Slot A</v>
      </c>
      <c r="C172" s="220">
        <f>IF(B172="","",Capacity!E65)</f>
        <v>50</v>
      </c>
      <c r="D172" s="309">
        <f>IF(B172="","",Capacity!F65)</f>
        <v>160</v>
      </c>
      <c r="E172" s="220">
        <f ca="1">IF(B172="","",IF(COUNTBLANK(H172:BG172)=52,SUM('Capacity calculation (hide)'!H53:BG53),52-COUNTBLANK(H172:BG172)))</f>
        <v>52</v>
      </c>
      <c r="F172" s="310">
        <f ca="1">'Capacity calculation (hide)'!BI53</f>
        <v>153.84615384615384</v>
      </c>
      <c r="H172" s="362"/>
      <c r="I172" s="362"/>
      <c r="J172" s="362"/>
      <c r="K172" s="362"/>
      <c r="L172" s="362"/>
      <c r="M172" s="362"/>
      <c r="N172" s="362"/>
      <c r="O172" s="362"/>
      <c r="P172" s="362"/>
      <c r="Q172" s="362"/>
      <c r="R172" s="362"/>
      <c r="S172" s="362"/>
      <c r="T172" s="362"/>
      <c r="U172" s="362"/>
      <c r="V172" s="362"/>
      <c r="W172" s="362"/>
      <c r="X172" s="362"/>
      <c r="Y172" s="362"/>
      <c r="Z172" s="362"/>
      <c r="AA172" s="362"/>
      <c r="AB172" s="362"/>
      <c r="AC172" s="362"/>
      <c r="AD172" s="362"/>
      <c r="AE172" s="362"/>
      <c r="AF172" s="362"/>
      <c r="AG172" s="362"/>
      <c r="AH172" s="362"/>
      <c r="AI172" s="362"/>
      <c r="AJ172" s="362"/>
      <c r="AK172" s="362"/>
      <c r="AL172" s="362"/>
      <c r="AM172" s="362"/>
      <c r="AN172" s="362"/>
      <c r="AO172" s="362"/>
      <c r="AP172" s="362"/>
      <c r="AQ172" s="362"/>
      <c r="AR172" s="362"/>
      <c r="AS172" s="362"/>
      <c r="AT172" s="362"/>
      <c r="AU172" s="362"/>
      <c r="AV172" s="362"/>
      <c r="AW172" s="362"/>
      <c r="AX172" s="362"/>
      <c r="AY172" s="362"/>
      <c r="AZ172" s="362"/>
      <c r="BA172" s="362"/>
      <c r="BB172" s="362"/>
      <c r="BC172" s="362"/>
      <c r="BD172" s="362"/>
      <c r="BE172" s="362"/>
      <c r="BF172" s="362"/>
      <c r="BG172" s="362"/>
      <c r="BI172" s="342" t="s">
        <v>1235</v>
      </c>
    </row>
    <row r="173" spans="2:61" x14ac:dyDescent="0.2">
      <c r="B173" s="67" t="str">
        <f>IF(Capacity!B66="","",Capacity!B66)</f>
        <v>Slot B</v>
      </c>
      <c r="C173" s="220">
        <f>IF(B173="","",Capacity!E66)</f>
        <v>50</v>
      </c>
      <c r="D173" s="309">
        <f>IF(B173="","",Capacity!F66)</f>
        <v>100</v>
      </c>
      <c r="E173" s="220">
        <f ca="1">IF(B173="","",IF(COUNTBLANK(H173:BG173)=52,SUM('Capacity calculation (hide)'!H54:BG54),52-COUNTBLANK(H173:BG173)))</f>
        <v>52</v>
      </c>
      <c r="F173" s="310">
        <f ca="1">'Capacity calculation (hide)'!BI54</f>
        <v>96.15384615384616</v>
      </c>
      <c r="H173" s="362"/>
      <c r="I173" s="362"/>
      <c r="J173" s="362"/>
      <c r="K173" s="362"/>
      <c r="L173" s="362"/>
      <c r="M173" s="362"/>
      <c r="N173" s="362"/>
      <c r="O173" s="362"/>
      <c r="P173" s="362"/>
      <c r="Q173" s="362"/>
      <c r="R173" s="362"/>
      <c r="S173" s="362"/>
      <c r="T173" s="362"/>
      <c r="U173" s="362"/>
      <c r="V173" s="362"/>
      <c r="W173" s="362"/>
      <c r="X173" s="362"/>
      <c r="Y173" s="362"/>
      <c r="Z173" s="362"/>
      <c r="AA173" s="362"/>
      <c r="AB173" s="362"/>
      <c r="AC173" s="362"/>
      <c r="AD173" s="362"/>
      <c r="AE173" s="362"/>
      <c r="AF173" s="362"/>
      <c r="AG173" s="362"/>
      <c r="AH173" s="362"/>
      <c r="AI173" s="362"/>
      <c r="AJ173" s="362"/>
      <c r="AK173" s="362"/>
      <c r="AL173" s="362"/>
      <c r="AM173" s="362"/>
      <c r="AN173" s="362"/>
      <c r="AO173" s="362"/>
      <c r="AP173" s="362"/>
      <c r="AQ173" s="362"/>
      <c r="AR173" s="362"/>
      <c r="AS173" s="362"/>
      <c r="AT173" s="362"/>
      <c r="AU173" s="362"/>
      <c r="AV173" s="362"/>
      <c r="AW173" s="362"/>
      <c r="AX173" s="362"/>
      <c r="AY173" s="362"/>
      <c r="AZ173" s="362"/>
      <c r="BA173" s="362"/>
      <c r="BB173" s="362"/>
      <c r="BC173" s="362"/>
      <c r="BD173" s="362"/>
      <c r="BE173" s="362"/>
      <c r="BF173" s="362"/>
      <c r="BG173" s="362"/>
      <c r="BI173" s="342" t="s">
        <v>1235</v>
      </c>
    </row>
    <row r="174" spans="2:61" x14ac:dyDescent="0.2">
      <c r="B174" s="67" t="str">
        <f>IF(Capacity!B67="","",Capacity!B67)</f>
        <v>2 ww</v>
      </c>
      <c r="C174" s="220">
        <f>IF(B174="","",Capacity!E67)</f>
        <v>50</v>
      </c>
      <c r="D174" s="309">
        <f>IF(B174="","",Capacity!F67)</f>
        <v>120</v>
      </c>
      <c r="E174" s="220">
        <f ca="1">IF(B174="","",IF(COUNTBLANK(H174:BG174)=52,SUM('Capacity calculation (hide)'!H55:BG55),52-COUNTBLANK(H174:BG174)))</f>
        <v>52</v>
      </c>
      <c r="F174" s="310">
        <f ca="1">'Capacity calculation (hide)'!BI55</f>
        <v>115.38461538461539</v>
      </c>
      <c r="H174" s="362"/>
      <c r="I174" s="362"/>
      <c r="J174" s="362"/>
      <c r="K174" s="362"/>
      <c r="L174" s="362"/>
      <c r="M174" s="362"/>
      <c r="N174" s="362"/>
      <c r="O174" s="362"/>
      <c r="P174" s="362"/>
      <c r="Q174" s="362"/>
      <c r="R174" s="362"/>
      <c r="S174" s="362"/>
      <c r="T174" s="362"/>
      <c r="U174" s="362"/>
      <c r="V174" s="362"/>
      <c r="W174" s="362"/>
      <c r="X174" s="362"/>
      <c r="Y174" s="362"/>
      <c r="Z174" s="362"/>
      <c r="AA174" s="362"/>
      <c r="AB174" s="362"/>
      <c r="AC174" s="362"/>
      <c r="AD174" s="362"/>
      <c r="AE174" s="362"/>
      <c r="AF174" s="362"/>
      <c r="AG174" s="362"/>
      <c r="AH174" s="362"/>
      <c r="AI174" s="362"/>
      <c r="AJ174" s="362"/>
      <c r="AK174" s="362"/>
      <c r="AL174" s="362"/>
      <c r="AM174" s="362"/>
      <c r="AN174" s="362"/>
      <c r="AO174" s="362"/>
      <c r="AP174" s="362"/>
      <c r="AQ174" s="362"/>
      <c r="AR174" s="362"/>
      <c r="AS174" s="362"/>
      <c r="AT174" s="362"/>
      <c r="AU174" s="362"/>
      <c r="AV174" s="362"/>
      <c r="AW174" s="362"/>
      <c r="AX174" s="362"/>
      <c r="AY174" s="362"/>
      <c r="AZ174" s="362"/>
      <c r="BA174" s="362"/>
      <c r="BB174" s="362"/>
      <c r="BC174" s="362"/>
      <c r="BD174" s="362"/>
      <c r="BE174" s="362"/>
      <c r="BF174" s="362"/>
      <c r="BG174" s="362"/>
      <c r="BI174" s="342" t="s">
        <v>1235</v>
      </c>
    </row>
    <row r="175" spans="2:61" x14ac:dyDescent="0.2">
      <c r="B175" s="67" t="str">
        <f>IF(Capacity!B68="","",Capacity!B68)</f>
        <v>Slot A</v>
      </c>
      <c r="C175" s="220">
        <f>IF(B175="","",Capacity!E68)</f>
        <v>50</v>
      </c>
      <c r="D175" s="309">
        <f>IF(B175="","",Capacity!F68)</f>
        <v>160</v>
      </c>
      <c r="E175" s="220">
        <f ca="1">IF(B175="","",IF(COUNTBLANK(H175:BG175)=52,SUM('Capacity calculation (hide)'!H56:BG56),52-COUNTBLANK(H175:BG175)))</f>
        <v>52</v>
      </c>
      <c r="F175" s="310">
        <f ca="1">'Capacity calculation (hide)'!BI56</f>
        <v>153.84615384615384</v>
      </c>
      <c r="H175" s="362"/>
      <c r="I175" s="362"/>
      <c r="J175" s="362"/>
      <c r="K175" s="362"/>
      <c r="L175" s="362"/>
      <c r="M175" s="362"/>
      <c r="N175" s="362"/>
      <c r="O175" s="362"/>
      <c r="P175" s="362"/>
      <c r="Q175" s="362"/>
      <c r="R175" s="362"/>
      <c r="S175" s="362"/>
      <c r="T175" s="362"/>
      <c r="U175" s="362"/>
      <c r="V175" s="362"/>
      <c r="W175" s="362"/>
      <c r="X175" s="362"/>
      <c r="Y175" s="362"/>
      <c r="Z175" s="362"/>
      <c r="AA175" s="362"/>
      <c r="AB175" s="362"/>
      <c r="AC175" s="362"/>
      <c r="AD175" s="362"/>
      <c r="AE175" s="362"/>
      <c r="AF175" s="362"/>
      <c r="AG175" s="362"/>
      <c r="AH175" s="362"/>
      <c r="AI175" s="362"/>
      <c r="AJ175" s="362"/>
      <c r="AK175" s="362"/>
      <c r="AL175" s="362"/>
      <c r="AM175" s="362"/>
      <c r="AN175" s="362"/>
      <c r="AO175" s="362"/>
      <c r="AP175" s="362"/>
      <c r="AQ175" s="362"/>
      <c r="AR175" s="362"/>
      <c r="AS175" s="362"/>
      <c r="AT175" s="362"/>
      <c r="AU175" s="362"/>
      <c r="AV175" s="362"/>
      <c r="AW175" s="362"/>
      <c r="AX175" s="362"/>
      <c r="AY175" s="362"/>
      <c r="AZ175" s="362"/>
      <c r="BA175" s="362"/>
      <c r="BB175" s="362"/>
      <c r="BC175" s="362"/>
      <c r="BD175" s="362"/>
      <c r="BE175" s="362"/>
      <c r="BF175" s="362"/>
      <c r="BG175" s="362"/>
      <c r="BI175" s="342" t="s">
        <v>1235</v>
      </c>
    </row>
    <row r="176" spans="2:61" x14ac:dyDescent="0.2">
      <c r="B176" s="67" t="str">
        <f>IF(Capacity!B69="","",Capacity!B69)</f>
        <v>Slot B</v>
      </c>
      <c r="C176" s="220">
        <f>IF(B176="","",Capacity!E69)</f>
        <v>50</v>
      </c>
      <c r="D176" s="309">
        <f>IF(B176="","",Capacity!F69)</f>
        <v>100</v>
      </c>
      <c r="E176" s="220">
        <f ca="1">IF(B176="","",IF(COUNTBLANK(H176:BG176)=52,SUM('Capacity calculation (hide)'!H57:BG57),52-COUNTBLANK(H176:BG176)))</f>
        <v>52</v>
      </c>
      <c r="F176" s="310">
        <f ca="1">'Capacity calculation (hide)'!BI57</f>
        <v>96.15384615384616</v>
      </c>
      <c r="H176" s="362"/>
      <c r="I176" s="362"/>
      <c r="J176" s="362"/>
      <c r="K176" s="362"/>
      <c r="L176" s="362"/>
      <c r="M176" s="362"/>
      <c r="N176" s="362"/>
      <c r="O176" s="362"/>
      <c r="P176" s="362"/>
      <c r="Q176" s="362"/>
      <c r="R176" s="362"/>
      <c r="S176" s="362"/>
      <c r="T176" s="362"/>
      <c r="U176" s="362"/>
      <c r="V176" s="362"/>
      <c r="W176" s="362"/>
      <c r="X176" s="362"/>
      <c r="Y176" s="362"/>
      <c r="Z176" s="362"/>
      <c r="AA176" s="362"/>
      <c r="AB176" s="362"/>
      <c r="AC176" s="362"/>
      <c r="AD176" s="362"/>
      <c r="AE176" s="362"/>
      <c r="AF176" s="362"/>
      <c r="AG176" s="362"/>
      <c r="AH176" s="362"/>
      <c r="AI176" s="362"/>
      <c r="AJ176" s="362"/>
      <c r="AK176" s="362"/>
      <c r="AL176" s="362"/>
      <c r="AM176" s="362"/>
      <c r="AN176" s="362"/>
      <c r="AO176" s="362"/>
      <c r="AP176" s="362"/>
      <c r="AQ176" s="362"/>
      <c r="AR176" s="362"/>
      <c r="AS176" s="362"/>
      <c r="AT176" s="362"/>
      <c r="AU176" s="362"/>
      <c r="AV176" s="362"/>
      <c r="AW176" s="362"/>
      <c r="AX176" s="362"/>
      <c r="AY176" s="362"/>
      <c r="AZ176" s="362"/>
      <c r="BA176" s="362"/>
      <c r="BB176" s="362"/>
      <c r="BC176" s="362"/>
      <c r="BD176" s="362"/>
      <c r="BE176" s="362"/>
      <c r="BF176" s="362"/>
      <c r="BG176" s="362"/>
      <c r="BI176" s="342" t="s">
        <v>1235</v>
      </c>
    </row>
    <row r="177" spans="2:61" x14ac:dyDescent="0.2">
      <c r="B177" s="67" t="str">
        <f>IF(Capacity!B70="","",Capacity!B70)</f>
        <v>2 ww</v>
      </c>
      <c r="C177" s="220">
        <f>IF(B177="","",Capacity!E70)</f>
        <v>50</v>
      </c>
      <c r="D177" s="309">
        <f>IF(B177="","",Capacity!F70)</f>
        <v>120</v>
      </c>
      <c r="E177" s="220">
        <f ca="1">IF(B177="","",IF(COUNTBLANK(H177:BG177)=52,SUM('Capacity calculation (hide)'!H58:BG58),52-COUNTBLANK(H177:BG177)))</f>
        <v>52</v>
      </c>
      <c r="F177" s="310">
        <f ca="1">'Capacity calculation (hide)'!BI58</f>
        <v>115.38461538461539</v>
      </c>
      <c r="H177" s="362"/>
      <c r="I177" s="362"/>
      <c r="J177" s="362"/>
      <c r="K177" s="362"/>
      <c r="L177" s="362"/>
      <c r="M177" s="362"/>
      <c r="N177" s="362"/>
      <c r="O177" s="362"/>
      <c r="P177" s="362"/>
      <c r="Q177" s="362"/>
      <c r="R177" s="362"/>
      <c r="S177" s="362"/>
      <c r="T177" s="362"/>
      <c r="U177" s="362"/>
      <c r="V177" s="362"/>
      <c r="W177" s="362"/>
      <c r="X177" s="362"/>
      <c r="Y177" s="362"/>
      <c r="Z177" s="362"/>
      <c r="AA177" s="362"/>
      <c r="AB177" s="362"/>
      <c r="AC177" s="362"/>
      <c r="AD177" s="362"/>
      <c r="AE177" s="362"/>
      <c r="AF177" s="362"/>
      <c r="AG177" s="362"/>
      <c r="AH177" s="362"/>
      <c r="AI177" s="362"/>
      <c r="AJ177" s="362"/>
      <c r="AK177" s="362"/>
      <c r="AL177" s="362"/>
      <c r="AM177" s="362"/>
      <c r="AN177" s="362"/>
      <c r="AO177" s="362"/>
      <c r="AP177" s="362"/>
      <c r="AQ177" s="362"/>
      <c r="AR177" s="362"/>
      <c r="AS177" s="362"/>
      <c r="AT177" s="362"/>
      <c r="AU177" s="362"/>
      <c r="AV177" s="362"/>
      <c r="AW177" s="362"/>
      <c r="AX177" s="362"/>
      <c r="AY177" s="362"/>
      <c r="AZ177" s="362"/>
      <c r="BA177" s="362"/>
      <c r="BB177" s="362"/>
      <c r="BC177" s="362"/>
      <c r="BD177" s="362"/>
      <c r="BE177" s="362"/>
      <c r="BF177" s="362"/>
      <c r="BG177" s="362"/>
      <c r="BI177" s="342" t="s">
        <v>1235</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2"/>
      <c r="I178" s="362"/>
      <c r="J178" s="362"/>
      <c r="K178" s="362"/>
      <c r="L178" s="362"/>
      <c r="M178" s="362"/>
      <c r="N178" s="362"/>
      <c r="O178" s="362"/>
      <c r="P178" s="362"/>
      <c r="Q178" s="362"/>
      <c r="R178" s="362"/>
      <c r="S178" s="362"/>
      <c r="T178" s="362"/>
      <c r="U178" s="362"/>
      <c r="V178" s="362"/>
      <c r="W178" s="362"/>
      <c r="X178" s="362"/>
      <c r="Y178" s="362"/>
      <c r="Z178" s="362"/>
      <c r="AA178" s="362"/>
      <c r="AB178" s="362"/>
      <c r="AC178" s="362"/>
      <c r="AD178" s="362"/>
      <c r="AE178" s="362"/>
      <c r="AF178" s="362"/>
      <c r="AG178" s="362"/>
      <c r="AH178" s="362"/>
      <c r="AI178" s="362"/>
      <c r="AJ178" s="362"/>
      <c r="AK178" s="362"/>
      <c r="AL178" s="362"/>
      <c r="AM178" s="362"/>
      <c r="AN178" s="362"/>
      <c r="AO178" s="362"/>
      <c r="AP178" s="362"/>
      <c r="AQ178" s="362"/>
      <c r="AR178" s="362"/>
      <c r="AS178" s="362"/>
      <c r="AT178" s="362"/>
      <c r="AU178" s="362"/>
      <c r="AV178" s="362"/>
      <c r="AW178" s="362"/>
      <c r="AX178" s="362"/>
      <c r="AY178" s="362"/>
      <c r="AZ178" s="362"/>
      <c r="BA178" s="362"/>
      <c r="BB178" s="362"/>
      <c r="BC178" s="362"/>
      <c r="BD178" s="362"/>
      <c r="BE178" s="362"/>
      <c r="BF178" s="362"/>
      <c r="BG178" s="362"/>
      <c r="BI178" s="342" t="s">
        <v>1235</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2"/>
      <c r="I179" s="362"/>
      <c r="J179" s="362"/>
      <c r="K179" s="362"/>
      <c r="L179" s="362"/>
      <c r="M179" s="362"/>
      <c r="N179" s="362"/>
      <c r="O179" s="362"/>
      <c r="P179" s="362"/>
      <c r="Q179" s="362"/>
      <c r="R179" s="362"/>
      <c r="S179" s="362"/>
      <c r="T179" s="362"/>
      <c r="U179" s="362"/>
      <c r="V179" s="362"/>
      <c r="W179" s="362"/>
      <c r="X179" s="362"/>
      <c r="Y179" s="362"/>
      <c r="Z179" s="362"/>
      <c r="AA179" s="362"/>
      <c r="AB179" s="362"/>
      <c r="AC179" s="362"/>
      <c r="AD179" s="362"/>
      <c r="AE179" s="362"/>
      <c r="AF179" s="362"/>
      <c r="AG179" s="362"/>
      <c r="AH179" s="362"/>
      <c r="AI179" s="362"/>
      <c r="AJ179" s="362"/>
      <c r="AK179" s="362"/>
      <c r="AL179" s="362"/>
      <c r="AM179" s="362"/>
      <c r="AN179" s="362"/>
      <c r="AO179" s="362"/>
      <c r="AP179" s="362"/>
      <c r="AQ179" s="362"/>
      <c r="AR179" s="362"/>
      <c r="AS179" s="362"/>
      <c r="AT179" s="362"/>
      <c r="AU179" s="362"/>
      <c r="AV179" s="362"/>
      <c r="AW179" s="362"/>
      <c r="AX179" s="362"/>
      <c r="AY179" s="362"/>
      <c r="AZ179" s="362"/>
      <c r="BA179" s="362"/>
      <c r="BB179" s="362"/>
      <c r="BC179" s="362"/>
      <c r="BD179" s="362"/>
      <c r="BE179" s="362"/>
      <c r="BF179" s="362"/>
      <c r="BG179" s="362"/>
      <c r="BI179" s="342" t="s">
        <v>1235</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2"/>
      <c r="I180" s="362"/>
      <c r="J180" s="362"/>
      <c r="K180" s="362"/>
      <c r="L180" s="362"/>
      <c r="M180" s="362"/>
      <c r="N180" s="362"/>
      <c r="O180" s="362"/>
      <c r="P180" s="362"/>
      <c r="Q180" s="362"/>
      <c r="R180" s="362"/>
      <c r="S180" s="362"/>
      <c r="T180" s="362"/>
      <c r="U180" s="362"/>
      <c r="V180" s="362"/>
      <c r="W180" s="362"/>
      <c r="X180" s="362"/>
      <c r="Y180" s="362"/>
      <c r="Z180" s="362"/>
      <c r="AA180" s="362"/>
      <c r="AB180" s="362"/>
      <c r="AC180" s="362"/>
      <c r="AD180" s="362"/>
      <c r="AE180" s="362"/>
      <c r="AF180" s="362"/>
      <c r="AG180" s="362"/>
      <c r="AH180" s="362"/>
      <c r="AI180" s="362"/>
      <c r="AJ180" s="362"/>
      <c r="AK180" s="362"/>
      <c r="AL180" s="362"/>
      <c r="AM180" s="362"/>
      <c r="AN180" s="362"/>
      <c r="AO180" s="362"/>
      <c r="AP180" s="362"/>
      <c r="AQ180" s="362"/>
      <c r="AR180" s="362"/>
      <c r="AS180" s="362"/>
      <c r="AT180" s="362"/>
      <c r="AU180" s="362"/>
      <c r="AV180" s="362"/>
      <c r="AW180" s="362"/>
      <c r="AX180" s="362"/>
      <c r="AY180" s="362"/>
      <c r="AZ180" s="362"/>
      <c r="BA180" s="362"/>
      <c r="BB180" s="362"/>
      <c r="BC180" s="362"/>
      <c r="BD180" s="362"/>
      <c r="BE180" s="362"/>
      <c r="BF180" s="362"/>
      <c r="BG180" s="362"/>
      <c r="BI180" s="342" t="s">
        <v>1235</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2"/>
      <c r="I181" s="362"/>
      <c r="J181" s="362"/>
      <c r="K181" s="362"/>
      <c r="L181" s="362"/>
      <c r="M181" s="362"/>
      <c r="N181" s="362"/>
      <c r="O181" s="362"/>
      <c r="P181" s="362"/>
      <c r="Q181" s="362"/>
      <c r="R181" s="362"/>
      <c r="S181" s="362"/>
      <c r="T181" s="362"/>
      <c r="U181" s="362"/>
      <c r="V181" s="362"/>
      <c r="W181" s="362"/>
      <c r="X181" s="362"/>
      <c r="Y181" s="362"/>
      <c r="Z181" s="362"/>
      <c r="AA181" s="362"/>
      <c r="AB181" s="362"/>
      <c r="AC181" s="362"/>
      <c r="AD181" s="362"/>
      <c r="AE181" s="362"/>
      <c r="AF181" s="362"/>
      <c r="AG181" s="362"/>
      <c r="AH181" s="362"/>
      <c r="AI181" s="362"/>
      <c r="AJ181" s="362"/>
      <c r="AK181" s="362"/>
      <c r="AL181" s="362"/>
      <c r="AM181" s="362"/>
      <c r="AN181" s="362"/>
      <c r="AO181" s="362"/>
      <c r="AP181" s="362"/>
      <c r="AQ181" s="362"/>
      <c r="AR181" s="362"/>
      <c r="AS181" s="362"/>
      <c r="AT181" s="362"/>
      <c r="AU181" s="362"/>
      <c r="AV181" s="362"/>
      <c r="AW181" s="362"/>
      <c r="AX181" s="362"/>
      <c r="AY181" s="362"/>
      <c r="AZ181" s="362"/>
      <c r="BA181" s="362"/>
      <c r="BB181" s="362"/>
      <c r="BC181" s="362"/>
      <c r="BD181" s="362"/>
      <c r="BE181" s="362"/>
      <c r="BF181" s="362"/>
      <c r="BG181" s="362"/>
      <c r="BI181" s="342" t="s">
        <v>1235</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2"/>
      <c r="I182" s="362"/>
      <c r="J182" s="362"/>
      <c r="K182" s="362"/>
      <c r="L182" s="362"/>
      <c r="M182" s="362"/>
      <c r="N182" s="362"/>
      <c r="O182" s="362"/>
      <c r="P182" s="362"/>
      <c r="Q182" s="362"/>
      <c r="R182" s="362"/>
      <c r="S182" s="362"/>
      <c r="T182" s="362"/>
      <c r="U182" s="362"/>
      <c r="V182" s="362"/>
      <c r="W182" s="362"/>
      <c r="X182" s="362"/>
      <c r="Y182" s="362"/>
      <c r="Z182" s="362"/>
      <c r="AA182" s="362"/>
      <c r="AB182" s="362"/>
      <c r="AC182" s="362"/>
      <c r="AD182" s="362"/>
      <c r="AE182" s="362"/>
      <c r="AF182" s="362"/>
      <c r="AG182" s="362"/>
      <c r="AH182" s="362"/>
      <c r="AI182" s="362"/>
      <c r="AJ182" s="362"/>
      <c r="AK182" s="362"/>
      <c r="AL182" s="362"/>
      <c r="AM182" s="362"/>
      <c r="AN182" s="362"/>
      <c r="AO182" s="362"/>
      <c r="AP182" s="362"/>
      <c r="AQ182" s="362"/>
      <c r="AR182" s="362"/>
      <c r="AS182" s="362"/>
      <c r="AT182" s="362"/>
      <c r="AU182" s="362"/>
      <c r="AV182" s="362"/>
      <c r="AW182" s="362"/>
      <c r="AX182" s="362"/>
      <c r="AY182" s="362"/>
      <c r="AZ182" s="362"/>
      <c r="BA182" s="362"/>
      <c r="BB182" s="362"/>
      <c r="BC182" s="362"/>
      <c r="BD182" s="362"/>
      <c r="BE182" s="362"/>
      <c r="BF182" s="362"/>
      <c r="BG182" s="362"/>
      <c r="BI182" s="342" t="s">
        <v>1235</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2"/>
      <c r="I183" s="362"/>
      <c r="J183" s="362"/>
      <c r="K183" s="362"/>
      <c r="L183" s="362"/>
      <c r="M183" s="362"/>
      <c r="N183" s="362"/>
      <c r="O183" s="362"/>
      <c r="P183" s="362"/>
      <c r="Q183" s="362"/>
      <c r="R183" s="362"/>
      <c r="S183" s="362"/>
      <c r="T183" s="362"/>
      <c r="U183" s="362"/>
      <c r="V183" s="362"/>
      <c r="W183" s="362"/>
      <c r="X183" s="362"/>
      <c r="Y183" s="362"/>
      <c r="Z183" s="362"/>
      <c r="AA183" s="362"/>
      <c r="AB183" s="362"/>
      <c r="AC183" s="362"/>
      <c r="AD183" s="362"/>
      <c r="AE183" s="362"/>
      <c r="AF183" s="362"/>
      <c r="AG183" s="362"/>
      <c r="AH183" s="362"/>
      <c r="AI183" s="362"/>
      <c r="AJ183" s="362"/>
      <c r="AK183" s="362"/>
      <c r="AL183" s="362"/>
      <c r="AM183" s="362"/>
      <c r="AN183" s="362"/>
      <c r="AO183" s="362"/>
      <c r="AP183" s="362"/>
      <c r="AQ183" s="362"/>
      <c r="AR183" s="362"/>
      <c r="AS183" s="362"/>
      <c r="AT183" s="362"/>
      <c r="AU183" s="362"/>
      <c r="AV183" s="362"/>
      <c r="AW183" s="362"/>
      <c r="AX183" s="362"/>
      <c r="AY183" s="362"/>
      <c r="AZ183" s="362"/>
      <c r="BA183" s="362"/>
      <c r="BB183" s="362"/>
      <c r="BC183" s="362"/>
      <c r="BD183" s="362"/>
      <c r="BE183" s="362"/>
      <c r="BF183" s="362"/>
      <c r="BG183" s="362"/>
      <c r="BI183" s="342" t="s">
        <v>1235</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2"/>
      <c r="I184" s="362"/>
      <c r="J184" s="362"/>
      <c r="K184" s="362"/>
      <c r="L184" s="362"/>
      <c r="M184" s="362"/>
      <c r="N184" s="362"/>
      <c r="O184" s="362"/>
      <c r="P184" s="362"/>
      <c r="Q184" s="362"/>
      <c r="R184" s="362"/>
      <c r="S184" s="362"/>
      <c r="T184" s="362"/>
      <c r="U184" s="362"/>
      <c r="V184" s="362"/>
      <c r="W184" s="362"/>
      <c r="X184" s="362"/>
      <c r="Y184" s="362"/>
      <c r="Z184" s="362"/>
      <c r="AA184" s="362"/>
      <c r="AB184" s="362"/>
      <c r="AC184" s="362"/>
      <c r="AD184" s="362"/>
      <c r="AE184" s="362"/>
      <c r="AF184" s="362"/>
      <c r="AG184" s="362"/>
      <c r="AH184" s="362"/>
      <c r="AI184" s="362"/>
      <c r="AJ184" s="362"/>
      <c r="AK184" s="362"/>
      <c r="AL184" s="362"/>
      <c r="AM184" s="362"/>
      <c r="AN184" s="362"/>
      <c r="AO184" s="362"/>
      <c r="AP184" s="362"/>
      <c r="AQ184" s="362"/>
      <c r="AR184" s="362"/>
      <c r="AS184" s="362"/>
      <c r="AT184" s="362"/>
      <c r="AU184" s="362"/>
      <c r="AV184" s="362"/>
      <c r="AW184" s="362"/>
      <c r="AX184" s="362"/>
      <c r="AY184" s="362"/>
      <c r="AZ184" s="362"/>
      <c r="BA184" s="362"/>
      <c r="BB184" s="362"/>
      <c r="BC184" s="362"/>
      <c r="BD184" s="362"/>
      <c r="BE184" s="362"/>
      <c r="BF184" s="362"/>
      <c r="BG184" s="362"/>
      <c r="BI184" s="342" t="s">
        <v>1235</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2"/>
      <c r="I185" s="362"/>
      <c r="J185" s="362"/>
      <c r="K185" s="362"/>
      <c r="L185" s="362"/>
      <c r="M185" s="362"/>
      <c r="N185" s="362"/>
      <c r="O185" s="362"/>
      <c r="P185" s="362"/>
      <c r="Q185" s="362"/>
      <c r="R185" s="362"/>
      <c r="S185" s="362"/>
      <c r="T185" s="362"/>
      <c r="U185" s="362"/>
      <c r="V185" s="362"/>
      <c r="W185" s="362"/>
      <c r="X185" s="362"/>
      <c r="Y185" s="362"/>
      <c r="Z185" s="362"/>
      <c r="AA185" s="362"/>
      <c r="AB185" s="362"/>
      <c r="AC185" s="362"/>
      <c r="AD185" s="362"/>
      <c r="AE185" s="362"/>
      <c r="AF185" s="362"/>
      <c r="AG185" s="362"/>
      <c r="AH185" s="362"/>
      <c r="AI185" s="362"/>
      <c r="AJ185" s="362"/>
      <c r="AK185" s="362"/>
      <c r="AL185" s="362"/>
      <c r="AM185" s="362"/>
      <c r="AN185" s="362"/>
      <c r="AO185" s="362"/>
      <c r="AP185" s="362"/>
      <c r="AQ185" s="362"/>
      <c r="AR185" s="362"/>
      <c r="AS185" s="362"/>
      <c r="AT185" s="362"/>
      <c r="AU185" s="362"/>
      <c r="AV185" s="362"/>
      <c r="AW185" s="362"/>
      <c r="AX185" s="362"/>
      <c r="AY185" s="362"/>
      <c r="AZ185" s="362"/>
      <c r="BA185" s="362"/>
      <c r="BB185" s="362"/>
      <c r="BC185" s="362"/>
      <c r="BD185" s="362"/>
      <c r="BE185" s="362"/>
      <c r="BF185" s="362"/>
      <c r="BG185" s="362"/>
      <c r="BI185" s="342" t="s">
        <v>1235</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2"/>
      <c r="I186" s="362"/>
      <c r="J186" s="362"/>
      <c r="K186" s="362"/>
      <c r="L186" s="362"/>
      <c r="M186" s="362"/>
      <c r="N186" s="362"/>
      <c r="O186" s="362"/>
      <c r="P186" s="362"/>
      <c r="Q186" s="362"/>
      <c r="R186" s="362"/>
      <c r="S186" s="362"/>
      <c r="T186" s="362"/>
      <c r="U186" s="362"/>
      <c r="V186" s="362"/>
      <c r="W186" s="362"/>
      <c r="X186" s="362"/>
      <c r="Y186" s="362"/>
      <c r="Z186" s="362"/>
      <c r="AA186" s="362"/>
      <c r="AB186" s="362"/>
      <c r="AC186" s="362"/>
      <c r="AD186" s="362"/>
      <c r="AE186" s="362"/>
      <c r="AF186" s="362"/>
      <c r="AG186" s="362"/>
      <c r="AH186" s="362"/>
      <c r="AI186" s="362"/>
      <c r="AJ186" s="362"/>
      <c r="AK186" s="362"/>
      <c r="AL186" s="362"/>
      <c r="AM186" s="362"/>
      <c r="AN186" s="362"/>
      <c r="AO186" s="362"/>
      <c r="AP186" s="362"/>
      <c r="AQ186" s="362"/>
      <c r="AR186" s="362"/>
      <c r="AS186" s="362"/>
      <c r="AT186" s="362"/>
      <c r="AU186" s="362"/>
      <c r="AV186" s="362"/>
      <c r="AW186" s="362"/>
      <c r="AX186" s="362"/>
      <c r="AY186" s="362"/>
      <c r="AZ186" s="362"/>
      <c r="BA186" s="362"/>
      <c r="BB186" s="362"/>
      <c r="BC186" s="362"/>
      <c r="BD186" s="362"/>
      <c r="BE186" s="362"/>
      <c r="BF186" s="362"/>
      <c r="BG186" s="362"/>
      <c r="BI186" s="342" t="s">
        <v>1235</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2"/>
      <c r="I187" s="362"/>
      <c r="J187" s="362"/>
      <c r="K187" s="362"/>
      <c r="L187" s="362"/>
      <c r="M187" s="362"/>
      <c r="N187" s="362"/>
      <c r="O187" s="362"/>
      <c r="P187" s="362"/>
      <c r="Q187" s="362"/>
      <c r="R187" s="362"/>
      <c r="S187" s="362"/>
      <c r="T187" s="362"/>
      <c r="U187" s="362"/>
      <c r="V187" s="362"/>
      <c r="W187" s="362"/>
      <c r="X187" s="362"/>
      <c r="Y187" s="362"/>
      <c r="Z187" s="362"/>
      <c r="AA187" s="362"/>
      <c r="AB187" s="362"/>
      <c r="AC187" s="362"/>
      <c r="AD187" s="362"/>
      <c r="AE187" s="362"/>
      <c r="AF187" s="362"/>
      <c r="AG187" s="362"/>
      <c r="AH187" s="362"/>
      <c r="AI187" s="362"/>
      <c r="AJ187" s="362"/>
      <c r="AK187" s="362"/>
      <c r="AL187" s="362"/>
      <c r="AM187" s="362"/>
      <c r="AN187" s="362"/>
      <c r="AO187" s="362"/>
      <c r="AP187" s="362"/>
      <c r="AQ187" s="362"/>
      <c r="AR187" s="362"/>
      <c r="AS187" s="362"/>
      <c r="AT187" s="362"/>
      <c r="AU187" s="362"/>
      <c r="AV187" s="362"/>
      <c r="AW187" s="362"/>
      <c r="AX187" s="362"/>
      <c r="AY187" s="362"/>
      <c r="AZ187" s="362"/>
      <c r="BA187" s="362"/>
      <c r="BB187" s="362"/>
      <c r="BC187" s="362"/>
      <c r="BD187" s="362"/>
      <c r="BE187" s="362"/>
      <c r="BF187" s="362"/>
      <c r="BG187" s="362"/>
      <c r="BI187" s="342" t="s">
        <v>1235</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2"/>
      <c r="I188" s="362"/>
      <c r="J188" s="362"/>
      <c r="K188" s="362"/>
      <c r="L188" s="362"/>
      <c r="M188" s="362"/>
      <c r="N188" s="362"/>
      <c r="O188" s="362"/>
      <c r="P188" s="362"/>
      <c r="Q188" s="362"/>
      <c r="R188" s="362"/>
      <c r="S188" s="362"/>
      <c r="T188" s="362"/>
      <c r="U188" s="362"/>
      <c r="V188" s="362"/>
      <c r="W188" s="362"/>
      <c r="X188" s="362"/>
      <c r="Y188" s="362"/>
      <c r="Z188" s="362"/>
      <c r="AA188" s="362"/>
      <c r="AB188" s="362"/>
      <c r="AC188" s="362"/>
      <c r="AD188" s="362"/>
      <c r="AE188" s="362"/>
      <c r="AF188" s="362"/>
      <c r="AG188" s="362"/>
      <c r="AH188" s="362"/>
      <c r="AI188" s="362"/>
      <c r="AJ188" s="362"/>
      <c r="AK188" s="362"/>
      <c r="AL188" s="362"/>
      <c r="AM188" s="362"/>
      <c r="AN188" s="362"/>
      <c r="AO188" s="362"/>
      <c r="AP188" s="362"/>
      <c r="AQ188" s="362"/>
      <c r="AR188" s="362"/>
      <c r="AS188" s="362"/>
      <c r="AT188" s="362"/>
      <c r="AU188" s="362"/>
      <c r="AV188" s="362"/>
      <c r="AW188" s="362"/>
      <c r="AX188" s="362"/>
      <c r="AY188" s="362"/>
      <c r="AZ188" s="362"/>
      <c r="BA188" s="362"/>
      <c r="BB188" s="362"/>
      <c r="BC188" s="362"/>
      <c r="BD188" s="362"/>
      <c r="BE188" s="362"/>
      <c r="BF188" s="362"/>
      <c r="BG188" s="362"/>
      <c r="BI188" s="342" t="s">
        <v>1235</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2"/>
      <c r="I189" s="362"/>
      <c r="J189" s="362"/>
      <c r="K189" s="362"/>
      <c r="L189" s="362"/>
      <c r="M189" s="362"/>
      <c r="N189" s="362"/>
      <c r="O189" s="362"/>
      <c r="P189" s="362"/>
      <c r="Q189" s="362"/>
      <c r="R189" s="362"/>
      <c r="S189" s="362"/>
      <c r="T189" s="362"/>
      <c r="U189" s="362"/>
      <c r="V189" s="362"/>
      <c r="W189" s="362"/>
      <c r="X189" s="362"/>
      <c r="Y189" s="362"/>
      <c r="Z189" s="362"/>
      <c r="AA189" s="362"/>
      <c r="AB189" s="362"/>
      <c r="AC189" s="362"/>
      <c r="AD189" s="362"/>
      <c r="AE189" s="362"/>
      <c r="AF189" s="362"/>
      <c r="AG189" s="362"/>
      <c r="AH189" s="362"/>
      <c r="AI189" s="362"/>
      <c r="AJ189" s="362"/>
      <c r="AK189" s="362"/>
      <c r="AL189" s="362"/>
      <c r="AM189" s="362"/>
      <c r="AN189" s="362"/>
      <c r="AO189" s="362"/>
      <c r="AP189" s="362"/>
      <c r="AQ189" s="362"/>
      <c r="AR189" s="362"/>
      <c r="AS189" s="362"/>
      <c r="AT189" s="362"/>
      <c r="AU189" s="362"/>
      <c r="AV189" s="362"/>
      <c r="AW189" s="362"/>
      <c r="AX189" s="362"/>
      <c r="AY189" s="362"/>
      <c r="AZ189" s="362"/>
      <c r="BA189" s="362"/>
      <c r="BB189" s="362"/>
      <c r="BC189" s="362"/>
      <c r="BD189" s="362"/>
      <c r="BE189" s="362"/>
      <c r="BF189" s="362"/>
      <c r="BG189" s="362"/>
      <c r="BI189" s="342" t="s">
        <v>1235</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2"/>
      <c r="I190" s="362"/>
      <c r="J190" s="362"/>
      <c r="K190" s="362"/>
      <c r="L190" s="362"/>
      <c r="M190" s="362"/>
      <c r="N190" s="362"/>
      <c r="O190" s="362"/>
      <c r="P190" s="362"/>
      <c r="Q190" s="362"/>
      <c r="R190" s="362"/>
      <c r="S190" s="362"/>
      <c r="T190" s="362"/>
      <c r="U190" s="362"/>
      <c r="V190" s="362"/>
      <c r="W190" s="362"/>
      <c r="X190" s="362"/>
      <c r="Y190" s="362"/>
      <c r="Z190" s="362"/>
      <c r="AA190" s="362"/>
      <c r="AB190" s="362"/>
      <c r="AC190" s="362"/>
      <c r="AD190" s="362"/>
      <c r="AE190" s="362"/>
      <c r="AF190" s="362"/>
      <c r="AG190" s="362"/>
      <c r="AH190" s="362"/>
      <c r="AI190" s="362"/>
      <c r="AJ190" s="362"/>
      <c r="AK190" s="362"/>
      <c r="AL190" s="362"/>
      <c r="AM190" s="362"/>
      <c r="AN190" s="362"/>
      <c r="AO190" s="362"/>
      <c r="AP190" s="362"/>
      <c r="AQ190" s="362"/>
      <c r="AR190" s="362"/>
      <c r="AS190" s="362"/>
      <c r="AT190" s="362"/>
      <c r="AU190" s="362"/>
      <c r="AV190" s="362"/>
      <c r="AW190" s="362"/>
      <c r="AX190" s="362"/>
      <c r="AY190" s="362"/>
      <c r="AZ190" s="362"/>
      <c r="BA190" s="362"/>
      <c r="BB190" s="362"/>
      <c r="BC190" s="362"/>
      <c r="BD190" s="362"/>
      <c r="BE190" s="362"/>
      <c r="BF190" s="362"/>
      <c r="BG190" s="362"/>
      <c r="BI190" s="342" t="s">
        <v>1235</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2"/>
      <c r="I191" s="362"/>
      <c r="J191" s="362"/>
      <c r="K191" s="362"/>
      <c r="L191" s="362"/>
      <c r="M191" s="362"/>
      <c r="N191" s="362"/>
      <c r="O191" s="362"/>
      <c r="P191" s="362"/>
      <c r="Q191" s="362"/>
      <c r="R191" s="362"/>
      <c r="S191" s="362"/>
      <c r="T191" s="362"/>
      <c r="U191" s="362"/>
      <c r="V191" s="362"/>
      <c r="W191" s="362"/>
      <c r="X191" s="362"/>
      <c r="Y191" s="362"/>
      <c r="Z191" s="362"/>
      <c r="AA191" s="362"/>
      <c r="AB191" s="362"/>
      <c r="AC191" s="362"/>
      <c r="AD191" s="362"/>
      <c r="AE191" s="362"/>
      <c r="AF191" s="362"/>
      <c r="AG191" s="362"/>
      <c r="AH191" s="362"/>
      <c r="AI191" s="362"/>
      <c r="AJ191" s="362"/>
      <c r="AK191" s="362"/>
      <c r="AL191" s="362"/>
      <c r="AM191" s="362"/>
      <c r="AN191" s="362"/>
      <c r="AO191" s="362"/>
      <c r="AP191" s="362"/>
      <c r="AQ191" s="362"/>
      <c r="AR191" s="362"/>
      <c r="AS191" s="362"/>
      <c r="AT191" s="362"/>
      <c r="AU191" s="362"/>
      <c r="AV191" s="362"/>
      <c r="AW191" s="362"/>
      <c r="AX191" s="362"/>
      <c r="AY191" s="362"/>
      <c r="AZ191" s="362"/>
      <c r="BA191" s="362"/>
      <c r="BB191" s="362"/>
      <c r="BC191" s="362"/>
      <c r="BD191" s="362"/>
      <c r="BE191" s="362"/>
      <c r="BF191" s="362"/>
      <c r="BG191" s="362"/>
      <c r="BI191" s="342" t="s">
        <v>1235</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2"/>
      <c r="I192" s="362"/>
      <c r="J192" s="362"/>
      <c r="K192" s="362"/>
      <c r="L192" s="362"/>
      <c r="M192" s="362"/>
      <c r="N192" s="362"/>
      <c r="O192" s="362"/>
      <c r="P192" s="362"/>
      <c r="Q192" s="362"/>
      <c r="R192" s="362"/>
      <c r="S192" s="362"/>
      <c r="T192" s="362"/>
      <c r="U192" s="362"/>
      <c r="V192" s="362"/>
      <c r="W192" s="362"/>
      <c r="X192" s="362"/>
      <c r="Y192" s="362"/>
      <c r="Z192" s="362"/>
      <c r="AA192" s="362"/>
      <c r="AB192" s="362"/>
      <c r="AC192" s="362"/>
      <c r="AD192" s="362"/>
      <c r="AE192" s="362"/>
      <c r="AF192" s="362"/>
      <c r="AG192" s="362"/>
      <c r="AH192" s="362"/>
      <c r="AI192" s="362"/>
      <c r="AJ192" s="362"/>
      <c r="AK192" s="362"/>
      <c r="AL192" s="362"/>
      <c r="AM192" s="362"/>
      <c r="AN192" s="362"/>
      <c r="AO192" s="362"/>
      <c r="AP192" s="362"/>
      <c r="AQ192" s="362"/>
      <c r="AR192" s="362"/>
      <c r="AS192" s="362"/>
      <c r="AT192" s="362"/>
      <c r="AU192" s="362"/>
      <c r="AV192" s="362"/>
      <c r="AW192" s="362"/>
      <c r="AX192" s="362"/>
      <c r="AY192" s="362"/>
      <c r="AZ192" s="362"/>
      <c r="BA192" s="362"/>
      <c r="BB192" s="362"/>
      <c r="BC192" s="362"/>
      <c r="BD192" s="362"/>
      <c r="BE192" s="362"/>
      <c r="BF192" s="362"/>
      <c r="BG192" s="362"/>
      <c r="BI192" s="342" t="s">
        <v>1235</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2"/>
      <c r="I193" s="362"/>
      <c r="J193" s="362"/>
      <c r="K193" s="362"/>
      <c r="L193" s="362"/>
      <c r="M193" s="362"/>
      <c r="N193" s="362"/>
      <c r="O193" s="362"/>
      <c r="P193" s="362"/>
      <c r="Q193" s="362"/>
      <c r="R193" s="362"/>
      <c r="S193" s="362"/>
      <c r="T193" s="362"/>
      <c r="U193" s="362"/>
      <c r="V193" s="362"/>
      <c r="W193" s="362"/>
      <c r="X193" s="362"/>
      <c r="Y193" s="362"/>
      <c r="Z193" s="362"/>
      <c r="AA193" s="362"/>
      <c r="AB193" s="362"/>
      <c r="AC193" s="362"/>
      <c r="AD193" s="362"/>
      <c r="AE193" s="362"/>
      <c r="AF193" s="362"/>
      <c r="AG193" s="362"/>
      <c r="AH193" s="362"/>
      <c r="AI193" s="362"/>
      <c r="AJ193" s="362"/>
      <c r="AK193" s="362"/>
      <c r="AL193" s="362"/>
      <c r="AM193" s="362"/>
      <c r="AN193" s="362"/>
      <c r="AO193" s="362"/>
      <c r="AP193" s="362"/>
      <c r="AQ193" s="362"/>
      <c r="AR193" s="362"/>
      <c r="AS193" s="362"/>
      <c r="AT193" s="362"/>
      <c r="AU193" s="362"/>
      <c r="AV193" s="362"/>
      <c r="AW193" s="362"/>
      <c r="AX193" s="362"/>
      <c r="AY193" s="362"/>
      <c r="AZ193" s="362"/>
      <c r="BA193" s="362"/>
      <c r="BB193" s="362"/>
      <c r="BC193" s="362"/>
      <c r="BD193" s="362"/>
      <c r="BE193" s="362"/>
      <c r="BF193" s="362"/>
      <c r="BG193" s="362"/>
      <c r="BI193" s="342" t="s">
        <v>1235</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2"/>
      <c r="I194" s="362"/>
      <c r="J194" s="362"/>
      <c r="K194" s="362"/>
      <c r="L194" s="362"/>
      <c r="M194" s="362"/>
      <c r="N194" s="362"/>
      <c r="O194" s="362"/>
      <c r="P194" s="362"/>
      <c r="Q194" s="362"/>
      <c r="R194" s="362"/>
      <c r="S194" s="362"/>
      <c r="T194" s="362"/>
      <c r="U194" s="362"/>
      <c r="V194" s="362"/>
      <c r="W194" s="362"/>
      <c r="X194" s="362"/>
      <c r="Y194" s="362"/>
      <c r="Z194" s="362"/>
      <c r="AA194" s="362"/>
      <c r="AB194" s="362"/>
      <c r="AC194" s="362"/>
      <c r="AD194" s="362"/>
      <c r="AE194" s="362"/>
      <c r="AF194" s="362"/>
      <c r="AG194" s="362"/>
      <c r="AH194" s="362"/>
      <c r="AI194" s="362"/>
      <c r="AJ194" s="362"/>
      <c r="AK194" s="362"/>
      <c r="AL194" s="362"/>
      <c r="AM194" s="362"/>
      <c r="AN194" s="362"/>
      <c r="AO194" s="362"/>
      <c r="AP194" s="362"/>
      <c r="AQ194" s="362"/>
      <c r="AR194" s="362"/>
      <c r="AS194" s="362"/>
      <c r="AT194" s="362"/>
      <c r="AU194" s="362"/>
      <c r="AV194" s="362"/>
      <c r="AW194" s="362"/>
      <c r="AX194" s="362"/>
      <c r="AY194" s="362"/>
      <c r="AZ194" s="362"/>
      <c r="BA194" s="362"/>
      <c r="BB194" s="362"/>
      <c r="BC194" s="362"/>
      <c r="BD194" s="362"/>
      <c r="BE194" s="362"/>
      <c r="BF194" s="362"/>
      <c r="BG194" s="362"/>
      <c r="BI194" s="342" t="s">
        <v>1235</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2"/>
      <c r="I195" s="362"/>
      <c r="J195" s="362"/>
      <c r="K195" s="362"/>
      <c r="L195" s="362"/>
      <c r="M195" s="362"/>
      <c r="N195" s="362"/>
      <c r="O195" s="362"/>
      <c r="P195" s="362"/>
      <c r="Q195" s="362"/>
      <c r="R195" s="362"/>
      <c r="S195" s="362"/>
      <c r="T195" s="362"/>
      <c r="U195" s="362"/>
      <c r="V195" s="362"/>
      <c r="W195" s="362"/>
      <c r="X195" s="362"/>
      <c r="Y195" s="362"/>
      <c r="Z195" s="362"/>
      <c r="AA195" s="362"/>
      <c r="AB195" s="362"/>
      <c r="AC195" s="362"/>
      <c r="AD195" s="362"/>
      <c r="AE195" s="362"/>
      <c r="AF195" s="362"/>
      <c r="AG195" s="362"/>
      <c r="AH195" s="362"/>
      <c r="AI195" s="362"/>
      <c r="AJ195" s="362"/>
      <c r="AK195" s="362"/>
      <c r="AL195" s="362"/>
      <c r="AM195" s="362"/>
      <c r="AN195" s="362"/>
      <c r="AO195" s="362"/>
      <c r="AP195" s="362"/>
      <c r="AQ195" s="362"/>
      <c r="AR195" s="362"/>
      <c r="AS195" s="362"/>
      <c r="AT195" s="362"/>
      <c r="AU195" s="362"/>
      <c r="AV195" s="362"/>
      <c r="AW195" s="362"/>
      <c r="AX195" s="362"/>
      <c r="AY195" s="362"/>
      <c r="AZ195" s="362"/>
      <c r="BA195" s="362"/>
      <c r="BB195" s="362"/>
      <c r="BC195" s="362"/>
      <c r="BD195" s="362"/>
      <c r="BE195" s="362"/>
      <c r="BF195" s="362"/>
      <c r="BG195" s="362"/>
      <c r="BI195" s="342" t="s">
        <v>1235</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2"/>
      <c r="I196" s="362"/>
      <c r="J196" s="362"/>
      <c r="K196" s="362"/>
      <c r="L196" s="362"/>
      <c r="M196" s="362"/>
      <c r="N196" s="362"/>
      <c r="O196" s="362"/>
      <c r="P196" s="362"/>
      <c r="Q196" s="362"/>
      <c r="R196" s="362"/>
      <c r="S196" s="362"/>
      <c r="T196" s="362"/>
      <c r="U196" s="362"/>
      <c r="V196" s="362"/>
      <c r="W196" s="362"/>
      <c r="X196" s="362"/>
      <c r="Y196" s="362"/>
      <c r="Z196" s="362"/>
      <c r="AA196" s="362"/>
      <c r="AB196" s="362"/>
      <c r="AC196" s="362"/>
      <c r="AD196" s="362"/>
      <c r="AE196" s="362"/>
      <c r="AF196" s="362"/>
      <c r="AG196" s="362"/>
      <c r="AH196" s="362"/>
      <c r="AI196" s="362"/>
      <c r="AJ196" s="362"/>
      <c r="AK196" s="362"/>
      <c r="AL196" s="362"/>
      <c r="AM196" s="362"/>
      <c r="AN196" s="362"/>
      <c r="AO196" s="362"/>
      <c r="AP196" s="362"/>
      <c r="AQ196" s="362"/>
      <c r="AR196" s="362"/>
      <c r="AS196" s="362"/>
      <c r="AT196" s="362"/>
      <c r="AU196" s="362"/>
      <c r="AV196" s="362"/>
      <c r="AW196" s="362"/>
      <c r="AX196" s="362"/>
      <c r="AY196" s="362"/>
      <c r="AZ196" s="362"/>
      <c r="BA196" s="362"/>
      <c r="BB196" s="362"/>
      <c r="BC196" s="362"/>
      <c r="BD196" s="362"/>
      <c r="BE196" s="362"/>
      <c r="BF196" s="362"/>
      <c r="BG196" s="362"/>
      <c r="BI196" s="342" t="s">
        <v>1235</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2"/>
      <c r="I197" s="362"/>
      <c r="J197" s="362"/>
      <c r="K197" s="362"/>
      <c r="L197" s="362"/>
      <c r="M197" s="362"/>
      <c r="N197" s="362"/>
      <c r="O197" s="362"/>
      <c r="P197" s="362"/>
      <c r="Q197" s="362"/>
      <c r="R197" s="362"/>
      <c r="S197" s="362"/>
      <c r="T197" s="362"/>
      <c r="U197" s="362"/>
      <c r="V197" s="362"/>
      <c r="W197" s="362"/>
      <c r="X197" s="362"/>
      <c r="Y197" s="362"/>
      <c r="Z197" s="362"/>
      <c r="AA197" s="362"/>
      <c r="AB197" s="362"/>
      <c r="AC197" s="362"/>
      <c r="AD197" s="362"/>
      <c r="AE197" s="362"/>
      <c r="AF197" s="362"/>
      <c r="AG197" s="362"/>
      <c r="AH197" s="362"/>
      <c r="AI197" s="362"/>
      <c r="AJ197" s="362"/>
      <c r="AK197" s="362"/>
      <c r="AL197" s="362"/>
      <c r="AM197" s="362"/>
      <c r="AN197" s="362"/>
      <c r="AO197" s="362"/>
      <c r="AP197" s="362"/>
      <c r="AQ197" s="362"/>
      <c r="AR197" s="362"/>
      <c r="AS197" s="362"/>
      <c r="AT197" s="362"/>
      <c r="AU197" s="362"/>
      <c r="AV197" s="362"/>
      <c r="AW197" s="362"/>
      <c r="AX197" s="362"/>
      <c r="AY197" s="362"/>
      <c r="AZ197" s="362"/>
      <c r="BA197" s="362"/>
      <c r="BB197" s="362"/>
      <c r="BC197" s="362"/>
      <c r="BD197" s="362"/>
      <c r="BE197" s="362"/>
      <c r="BF197" s="362"/>
      <c r="BG197" s="362"/>
      <c r="BI197" s="342" t="s">
        <v>1235</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2"/>
      <c r="I198" s="362"/>
      <c r="J198" s="362"/>
      <c r="K198" s="362"/>
      <c r="L198" s="362"/>
      <c r="M198" s="362"/>
      <c r="N198" s="362"/>
      <c r="O198" s="362"/>
      <c r="P198" s="362"/>
      <c r="Q198" s="362"/>
      <c r="R198" s="362"/>
      <c r="S198" s="362"/>
      <c r="T198" s="362"/>
      <c r="U198" s="362"/>
      <c r="V198" s="362"/>
      <c r="W198" s="362"/>
      <c r="X198" s="362"/>
      <c r="Y198" s="362"/>
      <c r="Z198" s="362"/>
      <c r="AA198" s="362"/>
      <c r="AB198" s="362"/>
      <c r="AC198" s="362"/>
      <c r="AD198" s="362"/>
      <c r="AE198" s="362"/>
      <c r="AF198" s="362"/>
      <c r="AG198" s="362"/>
      <c r="AH198" s="362"/>
      <c r="AI198" s="362"/>
      <c r="AJ198" s="362"/>
      <c r="AK198" s="362"/>
      <c r="AL198" s="362"/>
      <c r="AM198" s="362"/>
      <c r="AN198" s="362"/>
      <c r="AO198" s="362"/>
      <c r="AP198" s="362"/>
      <c r="AQ198" s="362"/>
      <c r="AR198" s="362"/>
      <c r="AS198" s="362"/>
      <c r="AT198" s="362"/>
      <c r="AU198" s="362"/>
      <c r="AV198" s="362"/>
      <c r="AW198" s="362"/>
      <c r="AX198" s="362"/>
      <c r="AY198" s="362"/>
      <c r="AZ198" s="362"/>
      <c r="BA198" s="362"/>
      <c r="BB198" s="362"/>
      <c r="BC198" s="362"/>
      <c r="BD198" s="362"/>
      <c r="BE198" s="362"/>
      <c r="BF198" s="362"/>
      <c r="BG198" s="362"/>
      <c r="BI198" s="342" t="s">
        <v>1235</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2"/>
      <c r="I199" s="362"/>
      <c r="J199" s="362"/>
      <c r="K199" s="362"/>
      <c r="L199" s="362"/>
      <c r="M199" s="362"/>
      <c r="N199" s="362"/>
      <c r="O199" s="362"/>
      <c r="P199" s="362"/>
      <c r="Q199" s="362"/>
      <c r="R199" s="362"/>
      <c r="S199" s="362"/>
      <c r="T199" s="362"/>
      <c r="U199" s="362"/>
      <c r="V199" s="362"/>
      <c r="W199" s="362"/>
      <c r="X199" s="362"/>
      <c r="Y199" s="362"/>
      <c r="Z199" s="362"/>
      <c r="AA199" s="362"/>
      <c r="AB199" s="362"/>
      <c r="AC199" s="362"/>
      <c r="AD199" s="362"/>
      <c r="AE199" s="362"/>
      <c r="AF199" s="362"/>
      <c r="AG199" s="362"/>
      <c r="AH199" s="362"/>
      <c r="AI199" s="362"/>
      <c r="AJ199" s="362"/>
      <c r="AK199" s="362"/>
      <c r="AL199" s="362"/>
      <c r="AM199" s="362"/>
      <c r="AN199" s="362"/>
      <c r="AO199" s="362"/>
      <c r="AP199" s="362"/>
      <c r="AQ199" s="362"/>
      <c r="AR199" s="362"/>
      <c r="AS199" s="362"/>
      <c r="AT199" s="362"/>
      <c r="AU199" s="362"/>
      <c r="AV199" s="362"/>
      <c r="AW199" s="362"/>
      <c r="AX199" s="362"/>
      <c r="AY199" s="362"/>
      <c r="AZ199" s="362"/>
      <c r="BA199" s="362"/>
      <c r="BB199" s="362"/>
      <c r="BC199" s="362"/>
      <c r="BD199" s="362"/>
      <c r="BE199" s="362"/>
      <c r="BF199" s="362"/>
      <c r="BG199" s="362"/>
      <c r="BI199" s="342" t="s">
        <v>1235</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2"/>
      <c r="I200" s="362"/>
      <c r="J200" s="362"/>
      <c r="K200" s="362"/>
      <c r="L200" s="362"/>
      <c r="M200" s="362"/>
      <c r="N200" s="362"/>
      <c r="O200" s="362"/>
      <c r="P200" s="362"/>
      <c r="Q200" s="362"/>
      <c r="R200" s="362"/>
      <c r="S200" s="362"/>
      <c r="T200" s="362"/>
      <c r="U200" s="362"/>
      <c r="V200" s="362"/>
      <c r="W200" s="362"/>
      <c r="X200" s="362"/>
      <c r="Y200" s="362"/>
      <c r="Z200" s="362"/>
      <c r="AA200" s="362"/>
      <c r="AB200" s="362"/>
      <c r="AC200" s="362"/>
      <c r="AD200" s="362"/>
      <c r="AE200" s="362"/>
      <c r="AF200" s="362"/>
      <c r="AG200" s="362"/>
      <c r="AH200" s="362"/>
      <c r="AI200" s="362"/>
      <c r="AJ200" s="362"/>
      <c r="AK200" s="362"/>
      <c r="AL200" s="362"/>
      <c r="AM200" s="362"/>
      <c r="AN200" s="362"/>
      <c r="AO200" s="362"/>
      <c r="AP200" s="362"/>
      <c r="AQ200" s="362"/>
      <c r="AR200" s="362"/>
      <c r="AS200" s="362"/>
      <c r="AT200" s="362"/>
      <c r="AU200" s="362"/>
      <c r="AV200" s="362"/>
      <c r="AW200" s="362"/>
      <c r="AX200" s="362"/>
      <c r="AY200" s="362"/>
      <c r="AZ200" s="362"/>
      <c r="BA200" s="362"/>
      <c r="BB200" s="362"/>
      <c r="BC200" s="362"/>
      <c r="BD200" s="362"/>
      <c r="BE200" s="362"/>
      <c r="BF200" s="362"/>
      <c r="BG200" s="362"/>
      <c r="BI200" s="342" t="s">
        <v>1235</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2"/>
      <c r="I201" s="362"/>
      <c r="J201" s="362"/>
      <c r="K201" s="362"/>
      <c r="L201" s="362"/>
      <c r="M201" s="362"/>
      <c r="N201" s="362"/>
      <c r="O201" s="362"/>
      <c r="P201" s="362"/>
      <c r="Q201" s="362"/>
      <c r="R201" s="362"/>
      <c r="S201" s="362"/>
      <c r="T201" s="362"/>
      <c r="U201" s="362"/>
      <c r="V201" s="362"/>
      <c r="W201" s="362"/>
      <c r="X201" s="362"/>
      <c r="Y201" s="362"/>
      <c r="Z201" s="362"/>
      <c r="AA201" s="362"/>
      <c r="AB201" s="362"/>
      <c r="AC201" s="362"/>
      <c r="AD201" s="362"/>
      <c r="AE201" s="362"/>
      <c r="AF201" s="362"/>
      <c r="AG201" s="362"/>
      <c r="AH201" s="362"/>
      <c r="AI201" s="362"/>
      <c r="AJ201" s="362"/>
      <c r="AK201" s="362"/>
      <c r="AL201" s="362"/>
      <c r="AM201" s="362"/>
      <c r="AN201" s="362"/>
      <c r="AO201" s="362"/>
      <c r="AP201" s="362"/>
      <c r="AQ201" s="362"/>
      <c r="AR201" s="362"/>
      <c r="AS201" s="362"/>
      <c r="AT201" s="362"/>
      <c r="AU201" s="362"/>
      <c r="AV201" s="362"/>
      <c r="AW201" s="362"/>
      <c r="AX201" s="362"/>
      <c r="AY201" s="362"/>
      <c r="AZ201" s="362"/>
      <c r="BA201" s="362"/>
      <c r="BB201" s="362"/>
      <c r="BC201" s="362"/>
      <c r="BD201" s="362"/>
      <c r="BE201" s="362"/>
      <c r="BF201" s="362"/>
      <c r="BG201" s="362"/>
      <c r="BI201" s="342" t="s">
        <v>1235</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2"/>
      <c r="I202" s="362"/>
      <c r="J202" s="362"/>
      <c r="K202" s="362"/>
      <c r="L202" s="362"/>
      <c r="M202" s="362"/>
      <c r="N202" s="362"/>
      <c r="O202" s="362"/>
      <c r="P202" s="362"/>
      <c r="Q202" s="362"/>
      <c r="R202" s="362"/>
      <c r="S202" s="362"/>
      <c r="T202" s="362"/>
      <c r="U202" s="362"/>
      <c r="V202" s="362"/>
      <c r="W202" s="362"/>
      <c r="X202" s="362"/>
      <c r="Y202" s="362"/>
      <c r="Z202" s="362"/>
      <c r="AA202" s="362"/>
      <c r="AB202" s="362"/>
      <c r="AC202" s="362"/>
      <c r="AD202" s="362"/>
      <c r="AE202" s="362"/>
      <c r="AF202" s="362"/>
      <c r="AG202" s="362"/>
      <c r="AH202" s="362"/>
      <c r="AI202" s="362"/>
      <c r="AJ202" s="362"/>
      <c r="AK202" s="362"/>
      <c r="AL202" s="362"/>
      <c r="AM202" s="362"/>
      <c r="AN202" s="362"/>
      <c r="AO202" s="362"/>
      <c r="AP202" s="362"/>
      <c r="AQ202" s="362"/>
      <c r="AR202" s="362"/>
      <c r="AS202" s="362"/>
      <c r="AT202" s="362"/>
      <c r="AU202" s="362"/>
      <c r="AV202" s="362"/>
      <c r="AW202" s="362"/>
      <c r="AX202" s="362"/>
      <c r="AY202" s="362"/>
      <c r="AZ202" s="362"/>
      <c r="BA202" s="362"/>
      <c r="BB202" s="362"/>
      <c r="BC202" s="362"/>
      <c r="BD202" s="362"/>
      <c r="BE202" s="362"/>
      <c r="BF202" s="362"/>
      <c r="BG202" s="362"/>
      <c r="BI202" s="342" t="s">
        <v>1235</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2"/>
      <c r="I203" s="362"/>
      <c r="J203" s="362"/>
      <c r="K203" s="362"/>
      <c r="L203" s="362"/>
      <c r="M203" s="362"/>
      <c r="N203" s="362"/>
      <c r="O203" s="362"/>
      <c r="P203" s="362"/>
      <c r="Q203" s="362"/>
      <c r="R203" s="362"/>
      <c r="S203" s="362"/>
      <c r="T203" s="362"/>
      <c r="U203" s="362"/>
      <c r="V203" s="362"/>
      <c r="W203" s="362"/>
      <c r="X203" s="362"/>
      <c r="Y203" s="362"/>
      <c r="Z203" s="362"/>
      <c r="AA203" s="362"/>
      <c r="AB203" s="362"/>
      <c r="AC203" s="362"/>
      <c r="AD203" s="362"/>
      <c r="AE203" s="362"/>
      <c r="AF203" s="362"/>
      <c r="AG203" s="362"/>
      <c r="AH203" s="362"/>
      <c r="AI203" s="362"/>
      <c r="AJ203" s="362"/>
      <c r="AK203" s="362"/>
      <c r="AL203" s="362"/>
      <c r="AM203" s="362"/>
      <c r="AN203" s="362"/>
      <c r="AO203" s="362"/>
      <c r="AP203" s="362"/>
      <c r="AQ203" s="362"/>
      <c r="AR203" s="362"/>
      <c r="AS203" s="362"/>
      <c r="AT203" s="362"/>
      <c r="AU203" s="362"/>
      <c r="AV203" s="362"/>
      <c r="AW203" s="362"/>
      <c r="AX203" s="362"/>
      <c r="AY203" s="362"/>
      <c r="AZ203" s="362"/>
      <c r="BA203" s="362"/>
      <c r="BB203" s="362"/>
      <c r="BC203" s="362"/>
      <c r="BD203" s="362"/>
      <c r="BE203" s="362"/>
      <c r="BF203" s="362"/>
      <c r="BG203" s="362"/>
      <c r="BI203" s="342" t="s">
        <v>1235</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2"/>
      <c r="I204" s="362"/>
      <c r="J204" s="362"/>
      <c r="K204" s="362"/>
      <c r="L204" s="362"/>
      <c r="M204" s="362"/>
      <c r="N204" s="362"/>
      <c r="O204" s="362"/>
      <c r="P204" s="362"/>
      <c r="Q204" s="362"/>
      <c r="R204" s="362"/>
      <c r="S204" s="362"/>
      <c r="T204" s="362"/>
      <c r="U204" s="362"/>
      <c r="V204" s="362"/>
      <c r="W204" s="362"/>
      <c r="X204" s="362"/>
      <c r="Y204" s="362"/>
      <c r="Z204" s="362"/>
      <c r="AA204" s="362"/>
      <c r="AB204" s="362"/>
      <c r="AC204" s="362"/>
      <c r="AD204" s="362"/>
      <c r="AE204" s="362"/>
      <c r="AF204" s="362"/>
      <c r="AG204" s="362"/>
      <c r="AH204" s="362"/>
      <c r="AI204" s="362"/>
      <c r="AJ204" s="362"/>
      <c r="AK204" s="362"/>
      <c r="AL204" s="362"/>
      <c r="AM204" s="362"/>
      <c r="AN204" s="362"/>
      <c r="AO204" s="362"/>
      <c r="AP204" s="362"/>
      <c r="AQ204" s="362"/>
      <c r="AR204" s="362"/>
      <c r="AS204" s="362"/>
      <c r="AT204" s="362"/>
      <c r="AU204" s="362"/>
      <c r="AV204" s="362"/>
      <c r="AW204" s="362"/>
      <c r="AX204" s="362"/>
      <c r="AY204" s="362"/>
      <c r="AZ204" s="362"/>
      <c r="BA204" s="362"/>
      <c r="BB204" s="362"/>
      <c r="BC204" s="362"/>
      <c r="BD204" s="362"/>
      <c r="BE204" s="362"/>
      <c r="BF204" s="362"/>
      <c r="BG204" s="362"/>
      <c r="BI204" s="342" t="s">
        <v>1235</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2"/>
      <c r="I205" s="362"/>
      <c r="J205" s="362"/>
      <c r="K205" s="362"/>
      <c r="L205" s="362"/>
      <c r="M205" s="362"/>
      <c r="N205" s="362"/>
      <c r="O205" s="362"/>
      <c r="P205" s="362"/>
      <c r="Q205" s="362"/>
      <c r="R205" s="362"/>
      <c r="S205" s="362"/>
      <c r="T205" s="362"/>
      <c r="U205" s="362"/>
      <c r="V205" s="362"/>
      <c r="W205" s="362"/>
      <c r="X205" s="362"/>
      <c r="Y205" s="362"/>
      <c r="Z205" s="362"/>
      <c r="AA205" s="362"/>
      <c r="AB205" s="362"/>
      <c r="AC205" s="362"/>
      <c r="AD205" s="362"/>
      <c r="AE205" s="362"/>
      <c r="AF205" s="362"/>
      <c r="AG205" s="362"/>
      <c r="AH205" s="362"/>
      <c r="AI205" s="362"/>
      <c r="AJ205" s="362"/>
      <c r="AK205" s="362"/>
      <c r="AL205" s="362"/>
      <c r="AM205" s="362"/>
      <c r="AN205" s="362"/>
      <c r="AO205" s="362"/>
      <c r="AP205" s="362"/>
      <c r="AQ205" s="362"/>
      <c r="AR205" s="362"/>
      <c r="AS205" s="362"/>
      <c r="AT205" s="362"/>
      <c r="AU205" s="362"/>
      <c r="AV205" s="362"/>
      <c r="AW205" s="362"/>
      <c r="AX205" s="362"/>
      <c r="AY205" s="362"/>
      <c r="AZ205" s="362"/>
      <c r="BA205" s="362"/>
      <c r="BB205" s="362"/>
      <c r="BC205" s="362"/>
      <c r="BD205" s="362"/>
      <c r="BE205" s="362"/>
      <c r="BF205" s="362"/>
      <c r="BG205" s="362"/>
      <c r="BI205" s="342" t="s">
        <v>1235</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2"/>
      <c r="I206" s="362"/>
      <c r="J206" s="362"/>
      <c r="K206" s="362"/>
      <c r="L206" s="362"/>
      <c r="M206" s="362"/>
      <c r="N206" s="362"/>
      <c r="O206" s="362"/>
      <c r="P206" s="362"/>
      <c r="Q206" s="362"/>
      <c r="R206" s="362"/>
      <c r="S206" s="362"/>
      <c r="T206" s="362"/>
      <c r="U206" s="362"/>
      <c r="V206" s="362"/>
      <c r="W206" s="362"/>
      <c r="X206" s="362"/>
      <c r="Y206" s="362"/>
      <c r="Z206" s="362"/>
      <c r="AA206" s="362"/>
      <c r="AB206" s="362"/>
      <c r="AC206" s="362"/>
      <c r="AD206" s="362"/>
      <c r="AE206" s="362"/>
      <c r="AF206" s="362"/>
      <c r="AG206" s="362"/>
      <c r="AH206" s="362"/>
      <c r="AI206" s="362"/>
      <c r="AJ206" s="362"/>
      <c r="AK206" s="362"/>
      <c r="AL206" s="362"/>
      <c r="AM206" s="362"/>
      <c r="AN206" s="362"/>
      <c r="AO206" s="362"/>
      <c r="AP206" s="362"/>
      <c r="AQ206" s="362"/>
      <c r="AR206" s="362"/>
      <c r="AS206" s="362"/>
      <c r="AT206" s="362"/>
      <c r="AU206" s="362"/>
      <c r="AV206" s="362"/>
      <c r="AW206" s="362"/>
      <c r="AX206" s="362"/>
      <c r="AY206" s="362"/>
      <c r="AZ206" s="362"/>
      <c r="BA206" s="362"/>
      <c r="BB206" s="362"/>
      <c r="BC206" s="362"/>
      <c r="BD206" s="362"/>
      <c r="BE206" s="362"/>
      <c r="BF206" s="362"/>
      <c r="BG206" s="362"/>
      <c r="BI206" s="342" t="s">
        <v>1235</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2"/>
      <c r="I207" s="362"/>
      <c r="J207" s="362"/>
      <c r="K207" s="362"/>
      <c r="L207" s="362"/>
      <c r="M207" s="362"/>
      <c r="N207" s="362"/>
      <c r="O207" s="362"/>
      <c r="P207" s="362"/>
      <c r="Q207" s="362"/>
      <c r="R207" s="362"/>
      <c r="S207" s="362"/>
      <c r="T207" s="362"/>
      <c r="U207" s="362"/>
      <c r="V207" s="362"/>
      <c r="W207" s="362"/>
      <c r="X207" s="362"/>
      <c r="Y207" s="362"/>
      <c r="Z207" s="362"/>
      <c r="AA207" s="362"/>
      <c r="AB207" s="362"/>
      <c r="AC207" s="362"/>
      <c r="AD207" s="362"/>
      <c r="AE207" s="362"/>
      <c r="AF207" s="362"/>
      <c r="AG207" s="362"/>
      <c r="AH207" s="362"/>
      <c r="AI207" s="362"/>
      <c r="AJ207" s="362"/>
      <c r="AK207" s="362"/>
      <c r="AL207" s="362"/>
      <c r="AM207" s="362"/>
      <c r="AN207" s="362"/>
      <c r="AO207" s="362"/>
      <c r="AP207" s="362"/>
      <c r="AQ207" s="362"/>
      <c r="AR207" s="362"/>
      <c r="AS207" s="362"/>
      <c r="AT207" s="362"/>
      <c r="AU207" s="362"/>
      <c r="AV207" s="362"/>
      <c r="AW207" s="362"/>
      <c r="AX207" s="362"/>
      <c r="AY207" s="362"/>
      <c r="AZ207" s="362"/>
      <c r="BA207" s="362"/>
      <c r="BB207" s="362"/>
      <c r="BC207" s="362"/>
      <c r="BD207" s="362"/>
      <c r="BE207" s="362"/>
      <c r="BF207" s="362"/>
      <c r="BG207" s="362"/>
      <c r="BI207" s="342" t="s">
        <v>1235</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2"/>
      <c r="I208" s="362"/>
      <c r="J208" s="362"/>
      <c r="K208" s="362"/>
      <c r="L208" s="362"/>
      <c r="M208" s="362"/>
      <c r="N208" s="362"/>
      <c r="O208" s="362"/>
      <c r="P208" s="362"/>
      <c r="Q208" s="362"/>
      <c r="R208" s="362"/>
      <c r="S208" s="362"/>
      <c r="T208" s="362"/>
      <c r="U208" s="362"/>
      <c r="V208" s="362"/>
      <c r="W208" s="362"/>
      <c r="X208" s="362"/>
      <c r="Y208" s="362"/>
      <c r="Z208" s="362"/>
      <c r="AA208" s="362"/>
      <c r="AB208" s="362"/>
      <c r="AC208" s="362"/>
      <c r="AD208" s="362"/>
      <c r="AE208" s="362"/>
      <c r="AF208" s="362"/>
      <c r="AG208" s="362"/>
      <c r="AH208" s="362"/>
      <c r="AI208" s="362"/>
      <c r="AJ208" s="362"/>
      <c r="AK208" s="362"/>
      <c r="AL208" s="362"/>
      <c r="AM208" s="362"/>
      <c r="AN208" s="362"/>
      <c r="AO208" s="362"/>
      <c r="AP208" s="362"/>
      <c r="AQ208" s="362"/>
      <c r="AR208" s="362"/>
      <c r="AS208" s="362"/>
      <c r="AT208" s="362"/>
      <c r="AU208" s="362"/>
      <c r="AV208" s="362"/>
      <c r="AW208" s="362"/>
      <c r="AX208" s="362"/>
      <c r="AY208" s="362"/>
      <c r="AZ208" s="362"/>
      <c r="BA208" s="362"/>
      <c r="BB208" s="362"/>
      <c r="BC208" s="362"/>
      <c r="BD208" s="362"/>
      <c r="BE208" s="362"/>
      <c r="BF208" s="362"/>
      <c r="BG208" s="362"/>
      <c r="BI208" s="342" t="s">
        <v>1235</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2"/>
      <c r="I209" s="362"/>
      <c r="J209" s="362"/>
      <c r="K209" s="362"/>
      <c r="L209" s="362"/>
      <c r="M209" s="362"/>
      <c r="N209" s="362"/>
      <c r="O209" s="362"/>
      <c r="P209" s="362"/>
      <c r="Q209" s="362"/>
      <c r="R209" s="362"/>
      <c r="S209" s="362"/>
      <c r="T209" s="362"/>
      <c r="U209" s="362"/>
      <c r="V209" s="362"/>
      <c r="W209" s="362"/>
      <c r="X209" s="362"/>
      <c r="Y209" s="362"/>
      <c r="Z209" s="362"/>
      <c r="AA209" s="362"/>
      <c r="AB209" s="362"/>
      <c r="AC209" s="362"/>
      <c r="AD209" s="362"/>
      <c r="AE209" s="362"/>
      <c r="AF209" s="362"/>
      <c r="AG209" s="362"/>
      <c r="AH209" s="362"/>
      <c r="AI209" s="362"/>
      <c r="AJ209" s="362"/>
      <c r="AK209" s="362"/>
      <c r="AL209" s="362"/>
      <c r="AM209" s="362"/>
      <c r="AN209" s="362"/>
      <c r="AO209" s="362"/>
      <c r="AP209" s="362"/>
      <c r="AQ209" s="362"/>
      <c r="AR209" s="362"/>
      <c r="AS209" s="362"/>
      <c r="AT209" s="362"/>
      <c r="AU209" s="362"/>
      <c r="AV209" s="362"/>
      <c r="AW209" s="362"/>
      <c r="AX209" s="362"/>
      <c r="AY209" s="362"/>
      <c r="AZ209" s="362"/>
      <c r="BA209" s="362"/>
      <c r="BB209" s="362"/>
      <c r="BC209" s="362"/>
      <c r="BD209" s="362"/>
      <c r="BE209" s="362"/>
      <c r="BF209" s="362"/>
      <c r="BG209" s="362"/>
      <c r="BI209" s="342" t="s">
        <v>1235</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2"/>
      <c r="I210" s="362"/>
      <c r="J210" s="362"/>
      <c r="K210" s="362"/>
      <c r="L210" s="362"/>
      <c r="M210" s="362"/>
      <c r="N210" s="362"/>
      <c r="O210" s="362"/>
      <c r="P210" s="362"/>
      <c r="Q210" s="362"/>
      <c r="R210" s="362"/>
      <c r="S210" s="362"/>
      <c r="T210" s="362"/>
      <c r="U210" s="362"/>
      <c r="V210" s="362"/>
      <c r="W210" s="362"/>
      <c r="X210" s="362"/>
      <c r="Y210" s="362"/>
      <c r="Z210" s="362"/>
      <c r="AA210" s="362"/>
      <c r="AB210" s="362"/>
      <c r="AC210" s="362"/>
      <c r="AD210" s="362"/>
      <c r="AE210" s="362"/>
      <c r="AF210" s="362"/>
      <c r="AG210" s="362"/>
      <c r="AH210" s="362"/>
      <c r="AI210" s="362"/>
      <c r="AJ210" s="362"/>
      <c r="AK210" s="362"/>
      <c r="AL210" s="362"/>
      <c r="AM210" s="362"/>
      <c r="AN210" s="362"/>
      <c r="AO210" s="362"/>
      <c r="AP210" s="362"/>
      <c r="AQ210" s="362"/>
      <c r="AR210" s="362"/>
      <c r="AS210" s="362"/>
      <c r="AT210" s="362"/>
      <c r="AU210" s="362"/>
      <c r="AV210" s="362"/>
      <c r="AW210" s="362"/>
      <c r="AX210" s="362"/>
      <c r="AY210" s="362"/>
      <c r="AZ210" s="362"/>
      <c r="BA210" s="362"/>
      <c r="BB210" s="362"/>
      <c r="BC210" s="362"/>
      <c r="BD210" s="362"/>
      <c r="BE210" s="362"/>
      <c r="BF210" s="362"/>
      <c r="BG210" s="362"/>
      <c r="BI210" s="342" t="s">
        <v>1235</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2"/>
      <c r="I211" s="362"/>
      <c r="J211" s="362"/>
      <c r="K211" s="362"/>
      <c r="L211" s="362"/>
      <c r="M211" s="362"/>
      <c r="N211" s="362"/>
      <c r="O211" s="362"/>
      <c r="P211" s="362"/>
      <c r="Q211" s="362"/>
      <c r="R211" s="362"/>
      <c r="S211" s="362"/>
      <c r="T211" s="362"/>
      <c r="U211" s="362"/>
      <c r="V211" s="362"/>
      <c r="W211" s="362"/>
      <c r="X211" s="362"/>
      <c r="Y211" s="362"/>
      <c r="Z211" s="362"/>
      <c r="AA211" s="362"/>
      <c r="AB211" s="362"/>
      <c r="AC211" s="362"/>
      <c r="AD211" s="362"/>
      <c r="AE211" s="362"/>
      <c r="AF211" s="362"/>
      <c r="AG211" s="362"/>
      <c r="AH211" s="362"/>
      <c r="AI211" s="362"/>
      <c r="AJ211" s="362"/>
      <c r="AK211" s="362"/>
      <c r="AL211" s="362"/>
      <c r="AM211" s="362"/>
      <c r="AN211" s="362"/>
      <c r="AO211" s="362"/>
      <c r="AP211" s="362"/>
      <c r="AQ211" s="362"/>
      <c r="AR211" s="362"/>
      <c r="AS211" s="362"/>
      <c r="AT211" s="362"/>
      <c r="AU211" s="362"/>
      <c r="AV211" s="362"/>
      <c r="AW211" s="362"/>
      <c r="AX211" s="362"/>
      <c r="AY211" s="362"/>
      <c r="AZ211" s="362"/>
      <c r="BA211" s="362"/>
      <c r="BB211" s="362"/>
      <c r="BC211" s="362"/>
      <c r="BD211" s="362"/>
      <c r="BE211" s="362"/>
      <c r="BF211" s="362"/>
      <c r="BG211" s="362"/>
      <c r="BI211" s="342" t="s">
        <v>1235</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2"/>
      <c r="I212" s="362"/>
      <c r="J212" s="362"/>
      <c r="K212" s="362"/>
      <c r="L212" s="362"/>
      <c r="M212" s="362"/>
      <c r="N212" s="362"/>
      <c r="O212" s="362"/>
      <c r="P212" s="362"/>
      <c r="Q212" s="362"/>
      <c r="R212" s="362"/>
      <c r="S212" s="362"/>
      <c r="T212" s="362"/>
      <c r="U212" s="362"/>
      <c r="V212" s="362"/>
      <c r="W212" s="362"/>
      <c r="X212" s="362"/>
      <c r="Y212" s="362"/>
      <c r="Z212" s="362"/>
      <c r="AA212" s="362"/>
      <c r="AB212" s="362"/>
      <c r="AC212" s="362"/>
      <c r="AD212" s="362"/>
      <c r="AE212" s="362"/>
      <c r="AF212" s="362"/>
      <c r="AG212" s="362"/>
      <c r="AH212" s="362"/>
      <c r="AI212" s="362"/>
      <c r="AJ212" s="362"/>
      <c r="AK212" s="362"/>
      <c r="AL212" s="362"/>
      <c r="AM212" s="362"/>
      <c r="AN212" s="362"/>
      <c r="AO212" s="362"/>
      <c r="AP212" s="362"/>
      <c r="AQ212" s="362"/>
      <c r="AR212" s="362"/>
      <c r="AS212" s="362"/>
      <c r="AT212" s="362"/>
      <c r="AU212" s="362"/>
      <c r="AV212" s="362"/>
      <c r="AW212" s="362"/>
      <c r="AX212" s="362"/>
      <c r="AY212" s="362"/>
      <c r="AZ212" s="362"/>
      <c r="BA212" s="362"/>
      <c r="BB212" s="362"/>
      <c r="BC212" s="362"/>
      <c r="BD212" s="362"/>
      <c r="BE212" s="362"/>
      <c r="BF212" s="362"/>
      <c r="BG212" s="362"/>
      <c r="BI212" s="342" t="s">
        <v>1235</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2"/>
      <c r="I213" s="362"/>
      <c r="J213" s="362"/>
      <c r="K213" s="362"/>
      <c r="L213" s="362"/>
      <c r="M213" s="362"/>
      <c r="N213" s="362"/>
      <c r="O213" s="362"/>
      <c r="P213" s="362"/>
      <c r="Q213" s="362"/>
      <c r="R213" s="362"/>
      <c r="S213" s="362"/>
      <c r="T213" s="362"/>
      <c r="U213" s="362"/>
      <c r="V213" s="362"/>
      <c r="W213" s="362"/>
      <c r="X213" s="362"/>
      <c r="Y213" s="362"/>
      <c r="Z213" s="362"/>
      <c r="AA213" s="362"/>
      <c r="AB213" s="362"/>
      <c r="AC213" s="362"/>
      <c r="AD213" s="362"/>
      <c r="AE213" s="362"/>
      <c r="AF213" s="362"/>
      <c r="AG213" s="362"/>
      <c r="AH213" s="362"/>
      <c r="AI213" s="362"/>
      <c r="AJ213" s="362"/>
      <c r="AK213" s="362"/>
      <c r="AL213" s="362"/>
      <c r="AM213" s="362"/>
      <c r="AN213" s="362"/>
      <c r="AO213" s="362"/>
      <c r="AP213" s="362"/>
      <c r="AQ213" s="362"/>
      <c r="AR213" s="362"/>
      <c r="AS213" s="362"/>
      <c r="AT213" s="362"/>
      <c r="AU213" s="362"/>
      <c r="AV213" s="362"/>
      <c r="AW213" s="362"/>
      <c r="AX213" s="362"/>
      <c r="AY213" s="362"/>
      <c r="AZ213" s="362"/>
      <c r="BA213" s="362"/>
      <c r="BB213" s="362"/>
      <c r="BC213" s="362"/>
      <c r="BD213" s="362"/>
      <c r="BE213" s="362"/>
      <c r="BF213" s="362"/>
      <c r="BG213" s="362"/>
      <c r="BI213" s="342" t="s">
        <v>1235</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2"/>
      <c r="I214" s="362"/>
      <c r="J214" s="362"/>
      <c r="K214" s="362"/>
      <c r="L214" s="362"/>
      <c r="M214" s="362"/>
      <c r="N214" s="362"/>
      <c r="O214" s="362"/>
      <c r="P214" s="362"/>
      <c r="Q214" s="362"/>
      <c r="R214" s="362"/>
      <c r="S214" s="362"/>
      <c r="T214" s="362"/>
      <c r="U214" s="362"/>
      <c r="V214" s="362"/>
      <c r="W214" s="362"/>
      <c r="X214" s="362"/>
      <c r="Y214" s="362"/>
      <c r="Z214" s="362"/>
      <c r="AA214" s="362"/>
      <c r="AB214" s="362"/>
      <c r="AC214" s="362"/>
      <c r="AD214" s="362"/>
      <c r="AE214" s="362"/>
      <c r="AF214" s="362"/>
      <c r="AG214" s="362"/>
      <c r="AH214" s="362"/>
      <c r="AI214" s="362"/>
      <c r="AJ214" s="362"/>
      <c r="AK214" s="362"/>
      <c r="AL214" s="362"/>
      <c r="AM214" s="362"/>
      <c r="AN214" s="362"/>
      <c r="AO214" s="362"/>
      <c r="AP214" s="362"/>
      <c r="AQ214" s="362"/>
      <c r="AR214" s="362"/>
      <c r="AS214" s="362"/>
      <c r="AT214" s="362"/>
      <c r="AU214" s="362"/>
      <c r="AV214" s="362"/>
      <c r="AW214" s="362"/>
      <c r="AX214" s="362"/>
      <c r="AY214" s="362"/>
      <c r="AZ214" s="362"/>
      <c r="BA214" s="362"/>
      <c r="BB214" s="362"/>
      <c r="BC214" s="362"/>
      <c r="BD214" s="362"/>
      <c r="BE214" s="362"/>
      <c r="BF214" s="362"/>
      <c r="BG214" s="362"/>
      <c r="BI214" s="342" t="s">
        <v>1235</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2"/>
      <c r="I215" s="362"/>
      <c r="J215" s="362"/>
      <c r="K215" s="362"/>
      <c r="L215" s="362"/>
      <c r="M215" s="362"/>
      <c r="N215" s="362"/>
      <c r="O215" s="362"/>
      <c r="P215" s="362"/>
      <c r="Q215" s="362"/>
      <c r="R215" s="362"/>
      <c r="S215" s="362"/>
      <c r="T215" s="362"/>
      <c r="U215" s="362"/>
      <c r="V215" s="362"/>
      <c r="W215" s="362"/>
      <c r="X215" s="362"/>
      <c r="Y215" s="362"/>
      <c r="Z215" s="362"/>
      <c r="AA215" s="362"/>
      <c r="AB215" s="362"/>
      <c r="AC215" s="362"/>
      <c r="AD215" s="362"/>
      <c r="AE215" s="362"/>
      <c r="AF215" s="362"/>
      <c r="AG215" s="362"/>
      <c r="AH215" s="362"/>
      <c r="AI215" s="362"/>
      <c r="AJ215" s="362"/>
      <c r="AK215" s="362"/>
      <c r="AL215" s="362"/>
      <c r="AM215" s="362"/>
      <c r="AN215" s="362"/>
      <c r="AO215" s="362"/>
      <c r="AP215" s="362"/>
      <c r="AQ215" s="362"/>
      <c r="AR215" s="362"/>
      <c r="AS215" s="362"/>
      <c r="AT215" s="362"/>
      <c r="AU215" s="362"/>
      <c r="AV215" s="362"/>
      <c r="AW215" s="362"/>
      <c r="AX215" s="362"/>
      <c r="AY215" s="362"/>
      <c r="AZ215" s="362"/>
      <c r="BA215" s="362"/>
      <c r="BB215" s="362"/>
      <c r="BC215" s="362"/>
      <c r="BD215" s="362"/>
      <c r="BE215" s="362"/>
      <c r="BF215" s="362"/>
      <c r="BG215" s="362"/>
      <c r="BI215" s="342" t="s">
        <v>1235</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2"/>
      <c r="I216" s="362"/>
      <c r="J216" s="362"/>
      <c r="K216" s="362"/>
      <c r="L216" s="362"/>
      <c r="M216" s="362"/>
      <c r="N216" s="362"/>
      <c r="O216" s="362"/>
      <c r="P216" s="362"/>
      <c r="Q216" s="362"/>
      <c r="R216" s="362"/>
      <c r="S216" s="362"/>
      <c r="T216" s="362"/>
      <c r="U216" s="362"/>
      <c r="V216" s="362"/>
      <c r="W216" s="362"/>
      <c r="X216" s="362"/>
      <c r="Y216" s="362"/>
      <c r="Z216" s="362"/>
      <c r="AA216" s="362"/>
      <c r="AB216" s="362"/>
      <c r="AC216" s="362"/>
      <c r="AD216" s="362"/>
      <c r="AE216" s="362"/>
      <c r="AF216" s="362"/>
      <c r="AG216" s="362"/>
      <c r="AH216" s="362"/>
      <c r="AI216" s="362"/>
      <c r="AJ216" s="362"/>
      <c r="AK216" s="362"/>
      <c r="AL216" s="362"/>
      <c r="AM216" s="362"/>
      <c r="AN216" s="362"/>
      <c r="AO216" s="362"/>
      <c r="AP216" s="362"/>
      <c r="AQ216" s="362"/>
      <c r="AR216" s="362"/>
      <c r="AS216" s="362"/>
      <c r="AT216" s="362"/>
      <c r="AU216" s="362"/>
      <c r="AV216" s="362"/>
      <c r="AW216" s="362"/>
      <c r="AX216" s="362"/>
      <c r="AY216" s="362"/>
      <c r="AZ216" s="362"/>
      <c r="BA216" s="362"/>
      <c r="BB216" s="362"/>
      <c r="BC216" s="362"/>
      <c r="BD216" s="362"/>
      <c r="BE216" s="362"/>
      <c r="BF216" s="362"/>
      <c r="BG216" s="362"/>
      <c r="BI216" s="342" t="s">
        <v>1235</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2"/>
      <c r="I217" s="362"/>
      <c r="J217" s="362"/>
      <c r="K217" s="362"/>
      <c r="L217" s="362"/>
      <c r="M217" s="362"/>
      <c r="N217" s="362"/>
      <c r="O217" s="362"/>
      <c r="P217" s="362"/>
      <c r="Q217" s="362"/>
      <c r="R217" s="362"/>
      <c r="S217" s="362"/>
      <c r="T217" s="362"/>
      <c r="U217" s="362"/>
      <c r="V217" s="362"/>
      <c r="W217" s="362"/>
      <c r="X217" s="362"/>
      <c r="Y217" s="362"/>
      <c r="Z217" s="362"/>
      <c r="AA217" s="362"/>
      <c r="AB217" s="362"/>
      <c r="AC217" s="362"/>
      <c r="AD217" s="362"/>
      <c r="AE217" s="362"/>
      <c r="AF217" s="362"/>
      <c r="AG217" s="362"/>
      <c r="AH217" s="362"/>
      <c r="AI217" s="362"/>
      <c r="AJ217" s="362"/>
      <c r="AK217" s="362"/>
      <c r="AL217" s="362"/>
      <c r="AM217" s="362"/>
      <c r="AN217" s="362"/>
      <c r="AO217" s="362"/>
      <c r="AP217" s="362"/>
      <c r="AQ217" s="362"/>
      <c r="AR217" s="362"/>
      <c r="AS217" s="362"/>
      <c r="AT217" s="362"/>
      <c r="AU217" s="362"/>
      <c r="AV217" s="362"/>
      <c r="AW217" s="362"/>
      <c r="AX217" s="362"/>
      <c r="AY217" s="362"/>
      <c r="AZ217" s="362"/>
      <c r="BA217" s="362"/>
      <c r="BB217" s="362"/>
      <c r="BC217" s="362"/>
      <c r="BD217" s="362"/>
      <c r="BE217" s="362"/>
      <c r="BF217" s="362"/>
      <c r="BG217" s="362"/>
      <c r="BI217" s="342" t="s">
        <v>1235</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2"/>
      <c r="I218" s="362"/>
      <c r="J218" s="362"/>
      <c r="K218" s="362"/>
      <c r="L218" s="362"/>
      <c r="M218" s="362"/>
      <c r="N218" s="362"/>
      <c r="O218" s="362"/>
      <c r="P218" s="362"/>
      <c r="Q218" s="362"/>
      <c r="R218" s="362"/>
      <c r="S218" s="362"/>
      <c r="T218" s="362"/>
      <c r="U218" s="362"/>
      <c r="V218" s="362"/>
      <c r="W218" s="362"/>
      <c r="X218" s="362"/>
      <c r="Y218" s="362"/>
      <c r="Z218" s="362"/>
      <c r="AA218" s="362"/>
      <c r="AB218" s="362"/>
      <c r="AC218" s="362"/>
      <c r="AD218" s="362"/>
      <c r="AE218" s="362"/>
      <c r="AF218" s="362"/>
      <c r="AG218" s="362"/>
      <c r="AH218" s="362"/>
      <c r="AI218" s="362"/>
      <c r="AJ218" s="362"/>
      <c r="AK218" s="362"/>
      <c r="AL218" s="362"/>
      <c r="AM218" s="362"/>
      <c r="AN218" s="362"/>
      <c r="AO218" s="362"/>
      <c r="AP218" s="362"/>
      <c r="AQ218" s="362"/>
      <c r="AR218" s="362"/>
      <c r="AS218" s="362"/>
      <c r="AT218" s="362"/>
      <c r="AU218" s="362"/>
      <c r="AV218" s="362"/>
      <c r="AW218" s="362"/>
      <c r="AX218" s="362"/>
      <c r="AY218" s="362"/>
      <c r="AZ218" s="362"/>
      <c r="BA218" s="362"/>
      <c r="BB218" s="362"/>
      <c r="BC218" s="362"/>
      <c r="BD218" s="362"/>
      <c r="BE218" s="362"/>
      <c r="BF218" s="362"/>
      <c r="BG218" s="362"/>
      <c r="BI218" s="342" t="s">
        <v>1235</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2"/>
      <c r="I219" s="362"/>
      <c r="J219" s="362"/>
      <c r="K219" s="362"/>
      <c r="L219" s="362"/>
      <c r="M219" s="362"/>
      <c r="N219" s="362"/>
      <c r="O219" s="362"/>
      <c r="P219" s="362"/>
      <c r="Q219" s="362"/>
      <c r="R219" s="362"/>
      <c r="S219" s="362"/>
      <c r="T219" s="362"/>
      <c r="U219" s="362"/>
      <c r="V219" s="362"/>
      <c r="W219" s="362"/>
      <c r="X219" s="362"/>
      <c r="Y219" s="362"/>
      <c r="Z219" s="362"/>
      <c r="AA219" s="362"/>
      <c r="AB219" s="362"/>
      <c r="AC219" s="362"/>
      <c r="AD219" s="362"/>
      <c r="AE219" s="362"/>
      <c r="AF219" s="362"/>
      <c r="AG219" s="362"/>
      <c r="AH219" s="362"/>
      <c r="AI219" s="362"/>
      <c r="AJ219" s="362"/>
      <c r="AK219" s="362"/>
      <c r="AL219" s="362"/>
      <c r="AM219" s="362"/>
      <c r="AN219" s="362"/>
      <c r="AO219" s="362"/>
      <c r="AP219" s="362"/>
      <c r="AQ219" s="362"/>
      <c r="AR219" s="362"/>
      <c r="AS219" s="362"/>
      <c r="AT219" s="362"/>
      <c r="AU219" s="362"/>
      <c r="AV219" s="362"/>
      <c r="AW219" s="362"/>
      <c r="AX219" s="362"/>
      <c r="AY219" s="362"/>
      <c r="AZ219" s="362"/>
      <c r="BA219" s="362"/>
      <c r="BB219" s="362"/>
      <c r="BC219" s="362"/>
      <c r="BD219" s="362"/>
      <c r="BE219" s="362"/>
      <c r="BF219" s="362"/>
      <c r="BG219" s="362"/>
      <c r="BI219" s="342" t="s">
        <v>1235</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2"/>
      <c r="I220" s="362"/>
      <c r="J220" s="362"/>
      <c r="K220" s="362"/>
      <c r="L220" s="362"/>
      <c r="M220" s="362"/>
      <c r="N220" s="362"/>
      <c r="O220" s="362"/>
      <c r="P220" s="362"/>
      <c r="Q220" s="362"/>
      <c r="R220" s="362"/>
      <c r="S220" s="362"/>
      <c r="T220" s="362"/>
      <c r="U220" s="362"/>
      <c r="V220" s="362"/>
      <c r="W220" s="362"/>
      <c r="X220" s="362"/>
      <c r="Y220" s="362"/>
      <c r="Z220" s="362"/>
      <c r="AA220" s="362"/>
      <c r="AB220" s="362"/>
      <c r="AC220" s="362"/>
      <c r="AD220" s="362"/>
      <c r="AE220" s="362"/>
      <c r="AF220" s="362"/>
      <c r="AG220" s="362"/>
      <c r="AH220" s="362"/>
      <c r="AI220" s="362"/>
      <c r="AJ220" s="362"/>
      <c r="AK220" s="362"/>
      <c r="AL220" s="362"/>
      <c r="AM220" s="362"/>
      <c r="AN220" s="362"/>
      <c r="AO220" s="362"/>
      <c r="AP220" s="362"/>
      <c r="AQ220" s="362"/>
      <c r="AR220" s="362"/>
      <c r="AS220" s="362"/>
      <c r="AT220" s="362"/>
      <c r="AU220" s="362"/>
      <c r="AV220" s="362"/>
      <c r="AW220" s="362"/>
      <c r="AX220" s="362"/>
      <c r="AY220" s="362"/>
      <c r="AZ220" s="362"/>
      <c r="BA220" s="362"/>
      <c r="BB220" s="362"/>
      <c r="BC220" s="362"/>
      <c r="BD220" s="362"/>
      <c r="BE220" s="362"/>
      <c r="BF220" s="362"/>
      <c r="BG220" s="362"/>
      <c r="BI220" s="342" t="s">
        <v>1235</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2"/>
      <c r="I221" s="362"/>
      <c r="J221" s="362"/>
      <c r="K221" s="362"/>
      <c r="L221" s="362"/>
      <c r="M221" s="362"/>
      <c r="N221" s="362"/>
      <c r="O221" s="362"/>
      <c r="P221" s="362"/>
      <c r="Q221" s="362"/>
      <c r="R221" s="362"/>
      <c r="S221" s="362"/>
      <c r="T221" s="362"/>
      <c r="U221" s="362"/>
      <c r="V221" s="362"/>
      <c r="W221" s="362"/>
      <c r="X221" s="362"/>
      <c r="Y221" s="362"/>
      <c r="Z221" s="362"/>
      <c r="AA221" s="362"/>
      <c r="AB221" s="362"/>
      <c r="AC221" s="362"/>
      <c r="AD221" s="362"/>
      <c r="AE221" s="362"/>
      <c r="AF221" s="362"/>
      <c r="AG221" s="362"/>
      <c r="AH221" s="362"/>
      <c r="AI221" s="362"/>
      <c r="AJ221" s="362"/>
      <c r="AK221" s="362"/>
      <c r="AL221" s="362"/>
      <c r="AM221" s="362"/>
      <c r="AN221" s="362"/>
      <c r="AO221" s="362"/>
      <c r="AP221" s="362"/>
      <c r="AQ221" s="362"/>
      <c r="AR221" s="362"/>
      <c r="AS221" s="362"/>
      <c r="AT221" s="362"/>
      <c r="AU221" s="362"/>
      <c r="AV221" s="362"/>
      <c r="AW221" s="362"/>
      <c r="AX221" s="362"/>
      <c r="AY221" s="362"/>
      <c r="AZ221" s="362"/>
      <c r="BA221" s="362"/>
      <c r="BB221" s="362"/>
      <c r="BC221" s="362"/>
      <c r="BD221" s="362"/>
      <c r="BE221" s="362"/>
      <c r="BF221" s="362"/>
      <c r="BG221" s="362"/>
      <c r="BI221" s="342" t="s">
        <v>1235</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2"/>
      <c r="I222" s="362"/>
      <c r="J222" s="362"/>
      <c r="K222" s="362"/>
      <c r="L222" s="362"/>
      <c r="M222" s="362"/>
      <c r="N222" s="362"/>
      <c r="O222" s="362"/>
      <c r="P222" s="362"/>
      <c r="Q222" s="362"/>
      <c r="R222" s="362"/>
      <c r="S222" s="362"/>
      <c r="T222" s="362"/>
      <c r="U222" s="362"/>
      <c r="V222" s="362"/>
      <c r="W222" s="362"/>
      <c r="X222" s="362"/>
      <c r="Y222" s="362"/>
      <c r="Z222" s="362"/>
      <c r="AA222" s="362"/>
      <c r="AB222" s="362"/>
      <c r="AC222" s="362"/>
      <c r="AD222" s="362"/>
      <c r="AE222" s="362"/>
      <c r="AF222" s="362"/>
      <c r="AG222" s="362"/>
      <c r="AH222" s="362"/>
      <c r="AI222" s="362"/>
      <c r="AJ222" s="362"/>
      <c r="AK222" s="362"/>
      <c r="AL222" s="362"/>
      <c r="AM222" s="362"/>
      <c r="AN222" s="362"/>
      <c r="AO222" s="362"/>
      <c r="AP222" s="362"/>
      <c r="AQ222" s="362"/>
      <c r="AR222" s="362"/>
      <c r="AS222" s="362"/>
      <c r="AT222" s="362"/>
      <c r="AU222" s="362"/>
      <c r="AV222" s="362"/>
      <c r="AW222" s="362"/>
      <c r="AX222" s="362"/>
      <c r="AY222" s="362"/>
      <c r="AZ222" s="362"/>
      <c r="BA222" s="362"/>
      <c r="BB222" s="362"/>
      <c r="BC222" s="362"/>
      <c r="BD222" s="362"/>
      <c r="BE222" s="362"/>
      <c r="BF222" s="362"/>
      <c r="BG222" s="362"/>
      <c r="BI222" s="342" t="s">
        <v>1235</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2"/>
      <c r="I223" s="362"/>
      <c r="J223" s="362"/>
      <c r="K223" s="362"/>
      <c r="L223" s="362"/>
      <c r="M223" s="362"/>
      <c r="N223" s="362"/>
      <c r="O223" s="362"/>
      <c r="P223" s="362"/>
      <c r="Q223" s="362"/>
      <c r="R223" s="362"/>
      <c r="S223" s="362"/>
      <c r="T223" s="362"/>
      <c r="U223" s="362"/>
      <c r="V223" s="362"/>
      <c r="W223" s="362"/>
      <c r="X223" s="362"/>
      <c r="Y223" s="362"/>
      <c r="Z223" s="362"/>
      <c r="AA223" s="362"/>
      <c r="AB223" s="362"/>
      <c r="AC223" s="362"/>
      <c r="AD223" s="362"/>
      <c r="AE223" s="362"/>
      <c r="AF223" s="362"/>
      <c r="AG223" s="362"/>
      <c r="AH223" s="362"/>
      <c r="AI223" s="362"/>
      <c r="AJ223" s="362"/>
      <c r="AK223" s="362"/>
      <c r="AL223" s="362"/>
      <c r="AM223" s="362"/>
      <c r="AN223" s="362"/>
      <c r="AO223" s="362"/>
      <c r="AP223" s="362"/>
      <c r="AQ223" s="362"/>
      <c r="AR223" s="362"/>
      <c r="AS223" s="362"/>
      <c r="AT223" s="362"/>
      <c r="AU223" s="362"/>
      <c r="AV223" s="362"/>
      <c r="AW223" s="362"/>
      <c r="AX223" s="362"/>
      <c r="AY223" s="362"/>
      <c r="AZ223" s="362"/>
      <c r="BA223" s="362"/>
      <c r="BB223" s="362"/>
      <c r="BC223" s="362"/>
      <c r="BD223" s="362"/>
      <c r="BE223" s="362"/>
      <c r="BF223" s="362"/>
      <c r="BG223" s="362"/>
      <c r="BI223" s="342" t="s">
        <v>1235</v>
      </c>
    </row>
    <row r="224" spans="2:61" x14ac:dyDescent="0.2">
      <c r="H224" s="343"/>
      <c r="I224" s="343"/>
      <c r="J224" s="343"/>
      <c r="K224" s="343"/>
      <c r="L224" s="343"/>
      <c r="M224" s="343"/>
      <c r="N224" s="343"/>
      <c r="O224" s="343"/>
      <c r="P224" s="343"/>
      <c r="Q224" s="343"/>
      <c r="R224" s="343"/>
      <c r="S224" s="343"/>
      <c r="T224" s="343"/>
      <c r="U224" s="343"/>
      <c r="V224" s="343"/>
      <c r="W224" s="343"/>
      <c r="X224" s="343"/>
      <c r="Y224" s="343"/>
      <c r="Z224" s="343"/>
      <c r="AA224" s="343"/>
      <c r="AB224" s="343"/>
      <c r="AC224" s="343"/>
      <c r="AD224" s="343"/>
      <c r="AE224" s="343"/>
      <c r="AF224" s="343"/>
      <c r="AG224" s="343"/>
      <c r="AH224" s="343"/>
      <c r="AI224" s="343"/>
      <c r="AJ224" s="343"/>
      <c r="AK224" s="343"/>
      <c r="AL224" s="343"/>
      <c r="AM224" s="343"/>
      <c r="AN224" s="343"/>
      <c r="AO224" s="343"/>
      <c r="AP224" s="343"/>
      <c r="AQ224" s="343"/>
      <c r="AR224" s="343"/>
      <c r="AS224" s="343"/>
      <c r="AT224" s="343"/>
      <c r="AU224" s="343"/>
      <c r="AV224" s="343"/>
      <c r="AW224" s="343"/>
      <c r="AX224" s="343"/>
      <c r="AY224" s="343"/>
      <c r="AZ224" s="343"/>
      <c r="BA224" s="343"/>
      <c r="BB224" s="343"/>
      <c r="BC224" s="343"/>
      <c r="BD224" s="343"/>
      <c r="BE224" s="343"/>
      <c r="BF224" s="343"/>
      <c r="BG224" s="343"/>
    </row>
    <row r="225" spans="8:59" x14ac:dyDescent="0.2">
      <c r="H225" s="343"/>
      <c r="I225" s="343"/>
      <c r="J225" s="343"/>
      <c r="K225" s="343"/>
      <c r="L225" s="343"/>
      <c r="M225" s="343"/>
      <c r="N225" s="343"/>
      <c r="O225" s="343"/>
      <c r="P225" s="343"/>
      <c r="Q225" s="343"/>
      <c r="R225" s="343"/>
      <c r="S225" s="343"/>
      <c r="T225" s="343"/>
      <c r="U225" s="343"/>
      <c r="V225" s="343"/>
      <c r="W225" s="343"/>
      <c r="X225" s="343"/>
      <c r="Y225" s="343"/>
      <c r="Z225" s="343"/>
      <c r="AA225" s="343"/>
      <c r="AB225" s="343"/>
      <c r="AC225" s="343"/>
      <c r="AD225" s="343"/>
      <c r="AE225" s="343"/>
      <c r="AF225" s="343"/>
      <c r="AG225" s="343"/>
      <c r="AH225" s="343"/>
      <c r="AI225" s="343"/>
      <c r="AJ225" s="343"/>
      <c r="AK225" s="343"/>
      <c r="AL225" s="343"/>
      <c r="AM225" s="343"/>
      <c r="AN225" s="343"/>
      <c r="AO225" s="343"/>
      <c r="AP225" s="343"/>
      <c r="AQ225" s="343"/>
      <c r="AR225" s="343"/>
      <c r="AS225" s="343"/>
      <c r="AT225" s="343"/>
      <c r="AU225" s="343"/>
      <c r="AV225" s="343"/>
      <c r="AW225" s="343"/>
      <c r="AX225" s="343"/>
      <c r="AY225" s="343"/>
      <c r="AZ225" s="343"/>
      <c r="BA225" s="343"/>
      <c r="BB225" s="343"/>
      <c r="BC225" s="343"/>
      <c r="BD225" s="343"/>
      <c r="BE225" s="343"/>
      <c r="BF225" s="343"/>
      <c r="BG225" s="343"/>
    </row>
    <row r="226" spans="8:59" x14ac:dyDescent="0.2">
      <c r="H226" s="343"/>
      <c r="I226" s="343"/>
      <c r="J226" s="343"/>
      <c r="K226" s="343"/>
      <c r="L226" s="343"/>
      <c r="M226" s="343"/>
      <c r="N226" s="343"/>
      <c r="O226" s="343"/>
      <c r="P226" s="343"/>
      <c r="Q226" s="343"/>
      <c r="R226" s="343"/>
      <c r="S226" s="343"/>
      <c r="T226" s="343"/>
      <c r="U226" s="343"/>
      <c r="V226" s="343"/>
      <c r="W226" s="343"/>
      <c r="X226" s="343"/>
      <c r="Y226" s="343"/>
      <c r="Z226" s="343"/>
      <c r="AA226" s="343"/>
      <c r="AB226" s="343"/>
      <c r="AC226" s="343"/>
      <c r="AD226" s="343"/>
      <c r="AE226" s="343"/>
      <c r="AF226" s="343"/>
      <c r="AG226" s="343"/>
      <c r="AH226" s="343"/>
      <c r="AI226" s="343"/>
      <c r="AJ226" s="343"/>
      <c r="AK226" s="343"/>
      <c r="AL226" s="343"/>
      <c r="AM226" s="343"/>
      <c r="AN226" s="343"/>
      <c r="AO226" s="343"/>
      <c r="AP226" s="343"/>
      <c r="AQ226" s="343"/>
      <c r="AR226" s="343"/>
      <c r="AS226" s="343"/>
      <c r="AT226" s="343"/>
      <c r="AU226" s="343"/>
      <c r="AV226" s="343"/>
      <c r="AW226" s="343"/>
      <c r="AX226" s="343"/>
      <c r="AY226" s="343"/>
      <c r="AZ226" s="343"/>
      <c r="BA226" s="343"/>
      <c r="BB226" s="343"/>
      <c r="BC226" s="343"/>
      <c r="BD226" s="343"/>
      <c r="BE226" s="343"/>
      <c r="BF226" s="343"/>
      <c r="BG226" s="343"/>
    </row>
    <row r="227" spans="8:59" x14ac:dyDescent="0.2">
      <c r="H227" s="343"/>
      <c r="I227" s="343"/>
      <c r="J227" s="343"/>
      <c r="K227" s="343"/>
      <c r="L227" s="343"/>
      <c r="M227" s="343"/>
      <c r="N227" s="343"/>
      <c r="O227" s="343"/>
      <c r="P227" s="343"/>
      <c r="Q227" s="343"/>
      <c r="R227" s="343"/>
      <c r="S227" s="343"/>
      <c r="T227" s="343"/>
      <c r="U227" s="343"/>
      <c r="V227" s="343"/>
      <c r="W227" s="343"/>
      <c r="X227" s="343"/>
      <c r="Y227" s="343"/>
      <c r="Z227" s="343"/>
      <c r="AA227" s="343"/>
      <c r="AB227" s="343"/>
      <c r="AC227" s="343"/>
      <c r="AD227" s="343"/>
      <c r="AE227" s="343"/>
      <c r="AF227" s="343"/>
      <c r="AG227" s="343"/>
      <c r="AH227" s="343"/>
      <c r="AI227" s="343"/>
      <c r="AJ227" s="343"/>
      <c r="AK227" s="343"/>
      <c r="AL227" s="343"/>
      <c r="AM227" s="343"/>
      <c r="AN227" s="343"/>
      <c r="AO227" s="343"/>
      <c r="AP227" s="343"/>
      <c r="AQ227" s="343"/>
      <c r="AR227" s="343"/>
      <c r="AS227" s="343"/>
      <c r="AT227" s="343"/>
      <c r="AU227" s="343"/>
      <c r="AV227" s="343"/>
      <c r="AW227" s="343"/>
      <c r="AX227" s="343"/>
      <c r="AY227" s="343"/>
      <c r="AZ227" s="343"/>
      <c r="BA227" s="343"/>
      <c r="BB227" s="343"/>
      <c r="BC227" s="343"/>
      <c r="BD227" s="343"/>
      <c r="BE227" s="343"/>
      <c r="BF227" s="343"/>
      <c r="BG227" s="343"/>
    </row>
    <row r="228" spans="8:59" x14ac:dyDescent="0.2">
      <c r="H228" s="343"/>
      <c r="I228" s="343"/>
      <c r="J228" s="343"/>
      <c r="K228" s="343"/>
      <c r="L228" s="343"/>
      <c r="M228" s="343"/>
      <c r="N228" s="343"/>
      <c r="O228" s="343"/>
      <c r="P228" s="343"/>
      <c r="Q228" s="343"/>
      <c r="R228" s="343"/>
      <c r="S228" s="343"/>
      <c r="T228" s="343"/>
      <c r="U228" s="343"/>
      <c r="V228" s="343"/>
      <c r="W228" s="343"/>
      <c r="X228" s="343"/>
      <c r="Y228" s="343"/>
      <c r="Z228" s="343"/>
      <c r="AA228" s="343"/>
      <c r="AB228" s="343"/>
      <c r="AC228" s="343"/>
      <c r="AD228" s="343"/>
      <c r="AE228" s="343"/>
      <c r="AF228" s="343"/>
      <c r="AG228" s="343"/>
      <c r="AH228" s="343"/>
      <c r="AI228" s="343"/>
      <c r="AJ228" s="343"/>
      <c r="AK228" s="343"/>
      <c r="AL228" s="343"/>
      <c r="AM228" s="343"/>
      <c r="AN228" s="343"/>
      <c r="AO228" s="343"/>
      <c r="AP228" s="343"/>
      <c r="AQ228" s="343"/>
      <c r="AR228" s="343"/>
      <c r="AS228" s="343"/>
      <c r="AT228" s="343"/>
      <c r="AU228" s="343"/>
      <c r="AV228" s="343"/>
      <c r="AW228" s="343"/>
      <c r="AX228" s="343"/>
      <c r="AY228" s="343"/>
      <c r="AZ228" s="343"/>
      <c r="BA228" s="343"/>
      <c r="BB228" s="343"/>
      <c r="BC228" s="343"/>
      <c r="BD228" s="343"/>
      <c r="BE228" s="343"/>
      <c r="BF228" s="343"/>
      <c r="BG228" s="343"/>
    </row>
    <row r="229" spans="8:59" x14ac:dyDescent="0.2">
      <c r="H229" s="343"/>
      <c r="I229" s="343"/>
      <c r="J229" s="343"/>
      <c r="K229" s="343"/>
      <c r="L229" s="343"/>
      <c r="M229" s="343"/>
      <c r="N229" s="343"/>
      <c r="O229" s="343"/>
      <c r="P229" s="343"/>
      <c r="Q229" s="343"/>
      <c r="R229" s="343"/>
      <c r="S229" s="343"/>
      <c r="T229" s="343"/>
      <c r="U229" s="343"/>
      <c r="V229" s="343"/>
      <c r="W229" s="343"/>
      <c r="X229" s="343"/>
      <c r="Y229" s="343"/>
      <c r="Z229" s="343"/>
      <c r="AA229" s="343"/>
      <c r="AB229" s="343"/>
      <c r="AC229" s="343"/>
      <c r="AD229" s="343"/>
      <c r="AE229" s="343"/>
      <c r="AF229" s="343"/>
      <c r="AG229" s="343"/>
      <c r="AH229" s="343"/>
      <c r="AI229" s="343"/>
      <c r="AJ229" s="343"/>
      <c r="AK229" s="343"/>
      <c r="AL229" s="343"/>
      <c r="AM229" s="343"/>
      <c r="AN229" s="343"/>
      <c r="AO229" s="343"/>
      <c r="AP229" s="343"/>
      <c r="AQ229" s="343"/>
      <c r="AR229" s="343"/>
      <c r="AS229" s="343"/>
      <c r="AT229" s="343"/>
      <c r="AU229" s="343"/>
      <c r="AV229" s="343"/>
      <c r="AW229" s="343"/>
      <c r="AX229" s="343"/>
      <c r="AY229" s="343"/>
      <c r="AZ229" s="343"/>
      <c r="BA229" s="343"/>
      <c r="BB229" s="343"/>
      <c r="BC229" s="343"/>
      <c r="BD229" s="343"/>
      <c r="BE229" s="343"/>
      <c r="BF229" s="343"/>
      <c r="BG229" s="343"/>
    </row>
    <row r="230" spans="8:59" x14ac:dyDescent="0.2">
      <c r="H230" s="343"/>
      <c r="I230" s="343"/>
      <c r="J230" s="343"/>
      <c r="K230" s="343"/>
      <c r="L230" s="343"/>
      <c r="M230" s="343"/>
      <c r="N230" s="343"/>
      <c r="O230" s="343"/>
      <c r="P230" s="343"/>
      <c r="Q230" s="343"/>
      <c r="R230" s="343"/>
      <c r="S230" s="343"/>
      <c r="T230" s="343"/>
      <c r="U230" s="343"/>
      <c r="V230" s="343"/>
      <c r="W230" s="343"/>
      <c r="X230" s="343"/>
      <c r="Y230" s="343"/>
      <c r="Z230" s="343"/>
      <c r="AA230" s="343"/>
      <c r="AB230" s="343"/>
      <c r="AC230" s="343"/>
      <c r="AD230" s="343"/>
      <c r="AE230" s="343"/>
      <c r="AF230" s="343"/>
      <c r="AG230" s="343"/>
      <c r="AH230" s="343"/>
      <c r="AI230" s="343"/>
      <c r="AJ230" s="343"/>
      <c r="AK230" s="343"/>
      <c r="AL230" s="343"/>
      <c r="AM230" s="343"/>
      <c r="AN230" s="343"/>
      <c r="AO230" s="343"/>
      <c r="AP230" s="343"/>
      <c r="AQ230" s="343"/>
      <c r="AR230" s="343"/>
      <c r="AS230" s="343"/>
      <c r="AT230" s="343"/>
      <c r="AU230" s="343"/>
      <c r="AV230" s="343"/>
      <c r="AW230" s="343"/>
      <c r="AX230" s="343"/>
      <c r="AY230" s="343"/>
      <c r="AZ230" s="343"/>
      <c r="BA230" s="343"/>
      <c r="BB230" s="343"/>
      <c r="BC230" s="343"/>
      <c r="BD230" s="343"/>
      <c r="BE230" s="343"/>
      <c r="BF230" s="343"/>
      <c r="BG230" s="343"/>
    </row>
    <row r="231" spans="8:59" x14ac:dyDescent="0.2">
      <c r="H231" s="343"/>
      <c r="I231" s="343"/>
      <c r="J231" s="343"/>
      <c r="K231" s="343"/>
      <c r="L231" s="343"/>
      <c r="M231" s="343"/>
      <c r="N231" s="343"/>
      <c r="O231" s="343"/>
      <c r="P231" s="343"/>
      <c r="Q231" s="343"/>
      <c r="R231" s="343"/>
      <c r="S231" s="343"/>
      <c r="T231" s="343"/>
      <c r="U231" s="343"/>
      <c r="V231" s="343"/>
      <c r="W231" s="343"/>
      <c r="X231" s="343"/>
      <c r="Y231" s="343"/>
      <c r="Z231" s="343"/>
      <c r="AA231" s="343"/>
      <c r="AB231" s="343"/>
      <c r="AC231" s="343"/>
      <c r="AD231" s="343"/>
      <c r="AE231" s="343"/>
      <c r="AF231" s="343"/>
      <c r="AG231" s="343"/>
      <c r="AH231" s="343"/>
      <c r="AI231" s="343"/>
      <c r="AJ231" s="343"/>
      <c r="AK231" s="343"/>
      <c r="AL231" s="343"/>
      <c r="AM231" s="343"/>
      <c r="AN231" s="343"/>
      <c r="AO231" s="343"/>
      <c r="AP231" s="343"/>
      <c r="AQ231" s="343"/>
      <c r="AR231" s="343"/>
      <c r="AS231" s="343"/>
      <c r="AT231" s="343"/>
      <c r="AU231" s="343"/>
      <c r="AV231" s="343"/>
      <c r="AW231" s="343"/>
      <c r="AX231" s="343"/>
      <c r="AY231" s="343"/>
      <c r="AZ231" s="343"/>
      <c r="BA231" s="343"/>
      <c r="BB231" s="343"/>
      <c r="BC231" s="343"/>
      <c r="BD231" s="343"/>
      <c r="BE231" s="343"/>
      <c r="BF231" s="343"/>
      <c r="BG231" s="343"/>
    </row>
    <row r="232" spans="8:59" x14ac:dyDescent="0.2">
      <c r="H232" s="343"/>
      <c r="I232" s="343"/>
      <c r="J232" s="343"/>
      <c r="K232" s="343"/>
      <c r="L232" s="343"/>
      <c r="M232" s="343"/>
      <c r="N232" s="343"/>
      <c r="O232" s="343"/>
      <c r="P232" s="343"/>
      <c r="Q232" s="343"/>
      <c r="R232" s="343"/>
      <c r="S232" s="343"/>
      <c r="T232" s="343"/>
      <c r="U232" s="343"/>
      <c r="V232" s="343"/>
      <c r="W232" s="343"/>
      <c r="X232" s="343"/>
      <c r="Y232" s="343"/>
      <c r="Z232" s="343"/>
      <c r="AA232" s="343"/>
      <c r="AB232" s="343"/>
      <c r="AC232" s="343"/>
      <c r="AD232" s="343"/>
      <c r="AE232" s="343"/>
      <c r="AF232" s="343"/>
      <c r="AG232" s="343"/>
      <c r="AH232" s="343"/>
      <c r="AI232" s="343"/>
      <c r="AJ232" s="343"/>
      <c r="AK232" s="343"/>
      <c r="AL232" s="343"/>
      <c r="AM232" s="343"/>
      <c r="AN232" s="343"/>
      <c r="AO232" s="343"/>
      <c r="AP232" s="343"/>
      <c r="AQ232" s="343"/>
      <c r="AR232" s="343"/>
      <c r="AS232" s="343"/>
      <c r="AT232" s="343"/>
      <c r="AU232" s="343"/>
      <c r="AV232" s="343"/>
      <c r="AW232" s="343"/>
      <c r="AX232" s="343"/>
      <c r="AY232" s="343"/>
      <c r="AZ232" s="343"/>
      <c r="BA232" s="343"/>
      <c r="BB232" s="343"/>
      <c r="BC232" s="343"/>
      <c r="BD232" s="343"/>
      <c r="BE232" s="343"/>
      <c r="BF232" s="343"/>
      <c r="BG232" s="343"/>
    </row>
    <row r="233" spans="8:59" x14ac:dyDescent="0.2">
      <c r="H233" s="343"/>
      <c r="I233" s="343"/>
      <c r="J233" s="343"/>
      <c r="K233" s="343"/>
      <c r="L233" s="343"/>
      <c r="M233" s="343"/>
      <c r="N233" s="343"/>
      <c r="O233" s="343"/>
      <c r="P233" s="343"/>
      <c r="Q233" s="343"/>
      <c r="R233" s="343"/>
      <c r="S233" s="343"/>
      <c r="T233" s="343"/>
      <c r="U233" s="343"/>
      <c r="V233" s="343"/>
      <c r="W233" s="343"/>
      <c r="X233" s="343"/>
      <c r="Y233" s="343"/>
      <c r="Z233" s="343"/>
      <c r="AA233" s="343"/>
      <c r="AB233" s="343"/>
      <c r="AC233" s="343"/>
      <c r="AD233" s="343"/>
      <c r="AE233" s="343"/>
      <c r="AF233" s="343"/>
      <c r="AG233" s="343"/>
      <c r="AH233" s="343"/>
      <c r="AI233" s="343"/>
      <c r="AJ233" s="343"/>
      <c r="AK233" s="343"/>
      <c r="AL233" s="343"/>
      <c r="AM233" s="343"/>
      <c r="AN233" s="343"/>
      <c r="AO233" s="343"/>
      <c r="AP233" s="343"/>
      <c r="AQ233" s="343"/>
      <c r="AR233" s="343"/>
      <c r="AS233" s="343"/>
      <c r="AT233" s="343"/>
      <c r="AU233" s="343"/>
      <c r="AV233" s="343"/>
      <c r="AW233" s="343"/>
      <c r="AX233" s="343"/>
      <c r="AY233" s="343"/>
      <c r="AZ233" s="343"/>
      <c r="BA233" s="343"/>
      <c r="BB233" s="343"/>
      <c r="BC233" s="343"/>
      <c r="BD233" s="343"/>
      <c r="BE233" s="343"/>
      <c r="BF233" s="343"/>
      <c r="BG233" s="343"/>
    </row>
    <row r="234" spans="8:59" x14ac:dyDescent="0.2">
      <c r="H234" s="343"/>
      <c r="I234" s="343"/>
      <c r="J234" s="343"/>
      <c r="K234" s="343"/>
      <c r="L234" s="343"/>
      <c r="M234" s="343"/>
      <c r="N234" s="343"/>
      <c r="O234" s="343"/>
      <c r="P234" s="343"/>
      <c r="Q234" s="343"/>
      <c r="R234" s="343"/>
      <c r="S234" s="343"/>
      <c r="T234" s="343"/>
      <c r="U234" s="343"/>
      <c r="V234" s="343"/>
      <c r="W234" s="343"/>
      <c r="X234" s="343"/>
      <c r="Y234" s="343"/>
      <c r="Z234" s="343"/>
      <c r="AA234" s="343"/>
      <c r="AB234" s="343"/>
      <c r="AC234" s="343"/>
      <c r="AD234" s="343"/>
      <c r="AE234" s="343"/>
      <c r="AF234" s="343"/>
      <c r="AG234" s="343"/>
      <c r="AH234" s="343"/>
      <c r="AI234" s="343"/>
      <c r="AJ234" s="343"/>
      <c r="AK234" s="343"/>
      <c r="AL234" s="343"/>
      <c r="AM234" s="343"/>
      <c r="AN234" s="343"/>
      <c r="AO234" s="343"/>
      <c r="AP234" s="343"/>
      <c r="AQ234" s="343"/>
      <c r="AR234" s="343"/>
      <c r="AS234" s="343"/>
      <c r="AT234" s="343"/>
      <c r="AU234" s="343"/>
      <c r="AV234" s="343"/>
      <c r="AW234" s="343"/>
      <c r="AX234" s="343"/>
      <c r="AY234" s="343"/>
      <c r="AZ234" s="343"/>
      <c r="BA234" s="343"/>
      <c r="BB234" s="343"/>
      <c r="BC234" s="343"/>
      <c r="BD234" s="343"/>
      <c r="BE234" s="343"/>
      <c r="BF234" s="343"/>
      <c r="BG234" s="343"/>
    </row>
    <row r="235" spans="8:59" x14ac:dyDescent="0.2">
      <c r="H235" s="343"/>
      <c r="I235" s="343"/>
      <c r="J235" s="343"/>
      <c r="K235" s="343"/>
      <c r="L235" s="343"/>
      <c r="M235" s="343"/>
      <c r="N235" s="343"/>
      <c r="O235" s="343"/>
      <c r="P235" s="343"/>
      <c r="Q235" s="343"/>
      <c r="R235" s="343"/>
      <c r="S235" s="343"/>
      <c r="T235" s="343"/>
      <c r="U235" s="343"/>
      <c r="V235" s="343"/>
      <c r="W235" s="343"/>
      <c r="X235" s="343"/>
      <c r="Y235" s="343"/>
      <c r="Z235" s="343"/>
      <c r="AA235" s="343"/>
      <c r="AB235" s="343"/>
      <c r="AC235" s="343"/>
      <c r="AD235" s="343"/>
      <c r="AE235" s="343"/>
      <c r="AF235" s="343"/>
      <c r="AG235" s="343"/>
      <c r="AH235" s="343"/>
      <c r="AI235" s="343"/>
      <c r="AJ235" s="343"/>
      <c r="AK235" s="343"/>
      <c r="AL235" s="343"/>
      <c r="AM235" s="343"/>
      <c r="AN235" s="343"/>
      <c r="AO235" s="343"/>
      <c r="AP235" s="343"/>
      <c r="AQ235" s="343"/>
      <c r="AR235" s="343"/>
      <c r="AS235" s="343"/>
      <c r="AT235" s="343"/>
      <c r="AU235" s="343"/>
      <c r="AV235" s="343"/>
      <c r="AW235" s="343"/>
      <c r="AX235" s="343"/>
      <c r="AY235" s="343"/>
      <c r="AZ235" s="343"/>
      <c r="BA235" s="343"/>
      <c r="BB235" s="343"/>
      <c r="BC235" s="343"/>
      <c r="BD235" s="343"/>
      <c r="BE235" s="343"/>
      <c r="BF235" s="343"/>
      <c r="BG235" s="343"/>
    </row>
    <row r="236" spans="8:59" x14ac:dyDescent="0.2">
      <c r="H236" s="343"/>
      <c r="I236" s="343"/>
      <c r="J236" s="343"/>
      <c r="K236" s="343"/>
      <c r="L236" s="343"/>
      <c r="M236" s="343"/>
      <c r="N236" s="343"/>
      <c r="O236" s="343"/>
      <c r="P236" s="343"/>
      <c r="Q236" s="343"/>
      <c r="R236" s="343"/>
      <c r="S236" s="343"/>
      <c r="T236" s="343"/>
      <c r="U236" s="343"/>
      <c r="V236" s="343"/>
      <c r="W236" s="343"/>
      <c r="X236" s="343"/>
      <c r="Y236" s="343"/>
      <c r="Z236" s="343"/>
      <c r="AA236" s="343"/>
      <c r="AB236" s="343"/>
      <c r="AC236" s="343"/>
      <c r="AD236" s="343"/>
      <c r="AE236" s="343"/>
      <c r="AF236" s="343"/>
      <c r="AG236" s="343"/>
      <c r="AH236" s="343"/>
      <c r="AI236" s="343"/>
      <c r="AJ236" s="343"/>
      <c r="AK236" s="343"/>
      <c r="AL236" s="343"/>
      <c r="AM236" s="343"/>
      <c r="AN236" s="343"/>
      <c r="AO236" s="343"/>
      <c r="AP236" s="343"/>
      <c r="AQ236" s="343"/>
      <c r="AR236" s="343"/>
      <c r="AS236" s="343"/>
      <c r="AT236" s="343"/>
      <c r="AU236" s="343"/>
      <c r="AV236" s="343"/>
      <c r="AW236" s="343"/>
      <c r="AX236" s="343"/>
      <c r="AY236" s="343"/>
      <c r="AZ236" s="343"/>
      <c r="BA236" s="343"/>
      <c r="BB236" s="343"/>
      <c r="BC236" s="343"/>
      <c r="BD236" s="343"/>
      <c r="BE236" s="343"/>
      <c r="BF236" s="343"/>
      <c r="BG236" s="343"/>
    </row>
    <row r="237" spans="8:59" x14ac:dyDescent="0.2">
      <c r="H237" s="343"/>
      <c r="I237" s="343"/>
      <c r="J237" s="343"/>
      <c r="K237" s="343"/>
      <c r="L237" s="343"/>
      <c r="M237" s="343"/>
      <c r="N237" s="343"/>
      <c r="O237" s="343"/>
      <c r="P237" s="343"/>
      <c r="Q237" s="343"/>
      <c r="R237" s="343"/>
      <c r="S237" s="343"/>
      <c r="T237" s="343"/>
      <c r="U237" s="343"/>
      <c r="V237" s="343"/>
      <c r="W237" s="343"/>
      <c r="X237" s="343"/>
      <c r="Y237" s="343"/>
      <c r="Z237" s="343"/>
      <c r="AA237" s="343"/>
      <c r="AB237" s="343"/>
      <c r="AC237" s="343"/>
      <c r="AD237" s="343"/>
      <c r="AE237" s="343"/>
      <c r="AF237" s="343"/>
      <c r="AG237" s="343"/>
      <c r="AH237" s="343"/>
      <c r="AI237" s="343"/>
      <c r="AJ237" s="343"/>
      <c r="AK237" s="343"/>
      <c r="AL237" s="343"/>
      <c r="AM237" s="343"/>
      <c r="AN237" s="343"/>
      <c r="AO237" s="343"/>
      <c r="AP237" s="343"/>
      <c r="AQ237" s="343"/>
      <c r="AR237" s="343"/>
      <c r="AS237" s="343"/>
      <c r="AT237" s="343"/>
      <c r="AU237" s="343"/>
      <c r="AV237" s="343"/>
      <c r="AW237" s="343"/>
      <c r="AX237" s="343"/>
      <c r="AY237" s="343"/>
      <c r="AZ237" s="343"/>
      <c r="BA237" s="343"/>
      <c r="BB237" s="343"/>
      <c r="BC237" s="343"/>
      <c r="BD237" s="343"/>
      <c r="BE237" s="343"/>
      <c r="BF237" s="343"/>
      <c r="BG237" s="343"/>
    </row>
    <row r="238" spans="8:59" x14ac:dyDescent="0.2">
      <c r="H238" s="343"/>
      <c r="I238" s="343"/>
      <c r="J238" s="343"/>
      <c r="K238" s="343"/>
      <c r="L238" s="343"/>
      <c r="M238" s="343"/>
      <c r="N238" s="343"/>
      <c r="O238" s="343"/>
      <c r="P238" s="343"/>
      <c r="Q238" s="343"/>
      <c r="R238" s="343"/>
      <c r="S238" s="343"/>
      <c r="T238" s="343"/>
      <c r="U238" s="343"/>
      <c r="V238" s="343"/>
      <c r="W238" s="343"/>
      <c r="X238" s="343"/>
      <c r="Y238" s="343"/>
      <c r="Z238" s="343"/>
      <c r="AA238" s="343"/>
      <c r="AB238" s="343"/>
      <c r="AC238" s="343"/>
      <c r="AD238" s="343"/>
      <c r="AE238" s="343"/>
      <c r="AF238" s="343"/>
      <c r="AG238" s="343"/>
      <c r="AH238" s="343"/>
      <c r="AI238" s="343"/>
      <c r="AJ238" s="343"/>
      <c r="AK238" s="343"/>
      <c r="AL238" s="343"/>
      <c r="AM238" s="343"/>
      <c r="AN238" s="343"/>
      <c r="AO238" s="343"/>
      <c r="AP238" s="343"/>
      <c r="AQ238" s="343"/>
      <c r="AR238" s="343"/>
      <c r="AS238" s="343"/>
      <c r="AT238" s="343"/>
      <c r="AU238" s="343"/>
      <c r="AV238" s="343"/>
      <c r="AW238" s="343"/>
      <c r="AX238" s="343"/>
      <c r="AY238" s="343"/>
      <c r="AZ238" s="343"/>
      <c r="BA238" s="343"/>
      <c r="BB238" s="343"/>
      <c r="BC238" s="343"/>
      <c r="BD238" s="343"/>
      <c r="BE238" s="343"/>
      <c r="BF238" s="343"/>
      <c r="BG238" s="343"/>
    </row>
    <row r="239" spans="8:59" x14ac:dyDescent="0.2">
      <c r="H239" s="343"/>
      <c r="I239" s="343"/>
      <c r="J239" s="343"/>
      <c r="K239" s="343"/>
      <c r="L239" s="343"/>
      <c r="M239" s="343"/>
      <c r="N239" s="343"/>
      <c r="O239" s="343"/>
      <c r="P239" s="343"/>
      <c r="Q239" s="343"/>
      <c r="R239" s="343"/>
      <c r="S239" s="343"/>
      <c r="T239" s="343"/>
      <c r="U239" s="343"/>
      <c r="V239" s="343"/>
      <c r="W239" s="343"/>
      <c r="X239" s="343"/>
      <c r="Y239" s="343"/>
      <c r="Z239" s="343"/>
      <c r="AA239" s="343"/>
      <c r="AB239" s="343"/>
      <c r="AC239" s="343"/>
      <c r="AD239" s="343"/>
      <c r="AE239" s="343"/>
      <c r="AF239" s="343"/>
      <c r="AG239" s="343"/>
      <c r="AH239" s="343"/>
      <c r="AI239" s="343"/>
      <c r="AJ239" s="343"/>
      <c r="AK239" s="343"/>
      <c r="AL239" s="343"/>
      <c r="AM239" s="343"/>
      <c r="AN239" s="343"/>
      <c r="AO239" s="343"/>
      <c r="AP239" s="343"/>
      <c r="AQ239" s="343"/>
      <c r="AR239" s="343"/>
      <c r="AS239" s="343"/>
      <c r="AT239" s="343"/>
      <c r="AU239" s="343"/>
      <c r="AV239" s="343"/>
      <c r="AW239" s="343"/>
      <c r="AX239" s="343"/>
      <c r="AY239" s="343"/>
      <c r="AZ239" s="343"/>
      <c r="BA239" s="343"/>
      <c r="BB239" s="343"/>
      <c r="BC239" s="343"/>
      <c r="BD239" s="343"/>
      <c r="BE239" s="343"/>
      <c r="BF239" s="343"/>
      <c r="BG239" s="343"/>
    </row>
    <row r="240" spans="8:59" x14ac:dyDescent="0.2">
      <c r="H240" s="343"/>
      <c r="I240" s="343"/>
      <c r="J240" s="343"/>
      <c r="K240" s="343"/>
      <c r="L240" s="343"/>
      <c r="M240" s="343"/>
      <c r="N240" s="343"/>
      <c r="O240" s="343"/>
      <c r="P240" s="343"/>
      <c r="Q240" s="343"/>
      <c r="R240" s="343"/>
      <c r="S240" s="343"/>
      <c r="T240" s="343"/>
      <c r="U240" s="343"/>
      <c r="V240" s="343"/>
      <c r="W240" s="343"/>
      <c r="X240" s="343"/>
      <c r="Y240" s="343"/>
      <c r="Z240" s="343"/>
      <c r="AA240" s="343"/>
      <c r="AB240" s="343"/>
      <c r="AC240" s="343"/>
      <c r="AD240" s="343"/>
      <c r="AE240" s="343"/>
      <c r="AF240" s="343"/>
      <c r="AG240" s="343"/>
      <c r="AH240" s="343"/>
      <c r="AI240" s="343"/>
      <c r="AJ240" s="343"/>
      <c r="AK240" s="343"/>
      <c r="AL240" s="343"/>
      <c r="AM240" s="343"/>
      <c r="AN240" s="343"/>
      <c r="AO240" s="343"/>
      <c r="AP240" s="343"/>
      <c r="AQ240" s="343"/>
      <c r="AR240" s="343"/>
      <c r="AS240" s="343"/>
      <c r="AT240" s="343"/>
      <c r="AU240" s="343"/>
      <c r="AV240" s="343"/>
      <c r="AW240" s="343"/>
      <c r="AX240" s="343"/>
      <c r="AY240" s="343"/>
      <c r="AZ240" s="343"/>
      <c r="BA240" s="343"/>
      <c r="BB240" s="343"/>
      <c r="BC240" s="343"/>
      <c r="BD240" s="343"/>
      <c r="BE240" s="343"/>
      <c r="BF240" s="343"/>
      <c r="BG240" s="343"/>
    </row>
    <row r="241" spans="8:59" x14ac:dyDescent="0.2">
      <c r="H241" s="343"/>
      <c r="I241" s="343"/>
      <c r="J241" s="343"/>
      <c r="K241" s="343"/>
      <c r="L241" s="343"/>
      <c r="M241" s="343"/>
      <c r="N241" s="343"/>
      <c r="O241" s="343"/>
      <c r="P241" s="343"/>
      <c r="Q241" s="343"/>
      <c r="R241" s="343"/>
      <c r="S241" s="343"/>
      <c r="T241" s="343"/>
      <c r="U241" s="343"/>
      <c r="V241" s="343"/>
      <c r="W241" s="343"/>
      <c r="X241" s="343"/>
      <c r="Y241" s="343"/>
      <c r="Z241" s="343"/>
      <c r="AA241" s="343"/>
      <c r="AB241" s="343"/>
      <c r="AC241" s="343"/>
      <c r="AD241" s="343"/>
      <c r="AE241" s="343"/>
      <c r="AF241" s="343"/>
      <c r="AG241" s="343"/>
      <c r="AH241" s="343"/>
      <c r="AI241" s="343"/>
      <c r="AJ241" s="343"/>
      <c r="AK241" s="343"/>
      <c r="AL241" s="343"/>
      <c r="AM241" s="343"/>
      <c r="AN241" s="343"/>
      <c r="AO241" s="343"/>
      <c r="AP241" s="343"/>
      <c r="AQ241" s="343"/>
      <c r="AR241" s="343"/>
      <c r="AS241" s="343"/>
      <c r="AT241" s="343"/>
      <c r="AU241" s="343"/>
      <c r="AV241" s="343"/>
      <c r="AW241" s="343"/>
      <c r="AX241" s="343"/>
      <c r="AY241" s="343"/>
      <c r="AZ241" s="343"/>
      <c r="BA241" s="343"/>
      <c r="BB241" s="343"/>
      <c r="BC241" s="343"/>
      <c r="BD241" s="343"/>
      <c r="BE241" s="343"/>
      <c r="BF241" s="343"/>
      <c r="BG241" s="343"/>
    </row>
    <row r="242" spans="8:59" x14ac:dyDescent="0.2">
      <c r="H242" s="343"/>
      <c r="I242" s="343"/>
      <c r="J242" s="343"/>
      <c r="K242" s="343"/>
      <c r="L242" s="343"/>
      <c r="M242" s="343"/>
      <c r="N242" s="343"/>
      <c r="O242" s="343"/>
      <c r="P242" s="343"/>
      <c r="Q242" s="343"/>
      <c r="R242" s="343"/>
      <c r="S242" s="343"/>
      <c r="T242" s="343"/>
      <c r="U242" s="343"/>
      <c r="V242" s="343"/>
      <c r="W242" s="343"/>
      <c r="X242" s="343"/>
      <c r="Y242" s="343"/>
      <c r="Z242" s="343"/>
      <c r="AA242" s="343"/>
      <c r="AB242" s="343"/>
      <c r="AC242" s="343"/>
      <c r="AD242" s="343"/>
      <c r="AE242" s="343"/>
      <c r="AF242" s="343"/>
      <c r="AG242" s="343"/>
      <c r="AH242" s="343"/>
      <c r="AI242" s="343"/>
      <c r="AJ242" s="343"/>
      <c r="AK242" s="343"/>
      <c r="AL242" s="343"/>
      <c r="AM242" s="343"/>
      <c r="AN242" s="343"/>
      <c r="AO242" s="343"/>
      <c r="AP242" s="343"/>
      <c r="AQ242" s="343"/>
      <c r="AR242" s="343"/>
      <c r="AS242" s="343"/>
      <c r="AT242" s="343"/>
      <c r="AU242" s="343"/>
      <c r="AV242" s="343"/>
      <c r="AW242" s="343"/>
      <c r="AX242" s="343"/>
      <c r="AY242" s="343"/>
      <c r="AZ242" s="343"/>
      <c r="BA242" s="343"/>
      <c r="BB242" s="343"/>
      <c r="BC242" s="343"/>
      <c r="BD242" s="343"/>
      <c r="BE242" s="343"/>
      <c r="BF242" s="343"/>
      <c r="BG242" s="343"/>
    </row>
    <row r="243" spans="8:59" x14ac:dyDescent="0.2">
      <c r="H243" s="343"/>
      <c r="I243" s="343"/>
      <c r="J243" s="343"/>
      <c r="K243" s="343"/>
      <c r="L243" s="343"/>
      <c r="M243" s="343"/>
      <c r="N243" s="343"/>
      <c r="O243" s="343"/>
      <c r="P243" s="343"/>
      <c r="Q243" s="343"/>
      <c r="R243" s="343"/>
      <c r="S243" s="343"/>
      <c r="T243" s="343"/>
      <c r="U243" s="343"/>
      <c r="V243" s="343"/>
      <c r="W243" s="343"/>
      <c r="X243" s="343"/>
      <c r="Y243" s="343"/>
      <c r="Z243" s="343"/>
      <c r="AA243" s="343"/>
      <c r="AB243" s="343"/>
      <c r="AC243" s="343"/>
      <c r="AD243" s="343"/>
      <c r="AE243" s="343"/>
      <c r="AF243" s="343"/>
      <c r="AG243" s="343"/>
      <c r="AH243" s="343"/>
      <c r="AI243" s="343"/>
      <c r="AJ243" s="343"/>
      <c r="AK243" s="343"/>
      <c r="AL243" s="343"/>
      <c r="AM243" s="343"/>
      <c r="AN243" s="343"/>
      <c r="AO243" s="343"/>
      <c r="AP243" s="343"/>
      <c r="AQ243" s="343"/>
      <c r="AR243" s="343"/>
      <c r="AS243" s="343"/>
      <c r="AT243" s="343"/>
      <c r="AU243" s="343"/>
      <c r="AV243" s="343"/>
      <c r="AW243" s="343"/>
      <c r="AX243" s="343"/>
      <c r="AY243" s="343"/>
      <c r="AZ243" s="343"/>
      <c r="BA243" s="343"/>
      <c r="BB243" s="343"/>
      <c r="BC243" s="343"/>
      <c r="BD243" s="343"/>
      <c r="BE243" s="343"/>
      <c r="BF243" s="343"/>
      <c r="BG243" s="343"/>
    </row>
    <row r="244" spans="8:59" x14ac:dyDescent="0.2">
      <c r="H244" s="343"/>
      <c r="I244" s="343"/>
      <c r="J244" s="343"/>
      <c r="K244" s="343"/>
      <c r="L244" s="343"/>
      <c r="M244" s="343"/>
      <c r="N244" s="343"/>
      <c r="O244" s="343"/>
      <c r="P244" s="343"/>
      <c r="Q244" s="343"/>
      <c r="R244" s="343"/>
      <c r="S244" s="343"/>
      <c r="T244" s="343"/>
      <c r="U244" s="343"/>
      <c r="V244" s="343"/>
      <c r="W244" s="343"/>
      <c r="X244" s="343"/>
      <c r="Y244" s="343"/>
      <c r="Z244" s="343"/>
      <c r="AA244" s="343"/>
      <c r="AB244" s="343"/>
      <c r="AC244" s="343"/>
      <c r="AD244" s="343"/>
      <c r="AE244" s="343"/>
      <c r="AF244" s="343"/>
      <c r="AG244" s="343"/>
      <c r="AH244" s="343"/>
      <c r="AI244" s="343"/>
      <c r="AJ244" s="343"/>
      <c r="AK244" s="343"/>
      <c r="AL244" s="343"/>
      <c r="AM244" s="343"/>
      <c r="AN244" s="343"/>
      <c r="AO244" s="343"/>
      <c r="AP244" s="343"/>
      <c r="AQ244" s="343"/>
      <c r="AR244" s="343"/>
      <c r="AS244" s="343"/>
      <c r="AT244" s="343"/>
      <c r="AU244" s="343"/>
      <c r="AV244" s="343"/>
      <c r="AW244" s="343"/>
      <c r="AX244" s="343"/>
      <c r="AY244" s="343"/>
      <c r="AZ244" s="343"/>
      <c r="BA244" s="343"/>
      <c r="BB244" s="343"/>
      <c r="BC244" s="343"/>
      <c r="BD244" s="343"/>
      <c r="BE244" s="343"/>
      <c r="BF244" s="343"/>
      <c r="BG244" s="343"/>
    </row>
    <row r="245" spans="8:59" x14ac:dyDescent="0.2">
      <c r="H245" s="343"/>
      <c r="I245" s="343"/>
      <c r="J245" s="343"/>
      <c r="K245" s="343"/>
      <c r="L245" s="343"/>
      <c r="M245" s="343"/>
      <c r="N245" s="343"/>
      <c r="O245" s="343"/>
      <c r="P245" s="343"/>
      <c r="Q245" s="343"/>
      <c r="R245" s="343"/>
      <c r="S245" s="343"/>
      <c r="T245" s="343"/>
      <c r="U245" s="343"/>
      <c r="V245" s="343"/>
      <c r="W245" s="343"/>
      <c r="X245" s="343"/>
      <c r="Y245" s="343"/>
      <c r="Z245" s="343"/>
      <c r="AA245" s="343"/>
      <c r="AB245" s="343"/>
      <c r="AC245" s="343"/>
      <c r="AD245" s="343"/>
      <c r="AE245" s="343"/>
      <c r="AF245" s="343"/>
      <c r="AG245" s="343"/>
      <c r="AH245" s="343"/>
      <c r="AI245" s="343"/>
      <c r="AJ245" s="343"/>
      <c r="AK245" s="343"/>
      <c r="AL245" s="343"/>
      <c r="AM245" s="343"/>
      <c r="AN245" s="343"/>
      <c r="AO245" s="343"/>
      <c r="AP245" s="343"/>
      <c r="AQ245" s="343"/>
      <c r="AR245" s="343"/>
      <c r="AS245" s="343"/>
      <c r="AT245" s="343"/>
      <c r="AU245" s="343"/>
      <c r="AV245" s="343"/>
      <c r="AW245" s="343"/>
      <c r="AX245" s="343"/>
      <c r="AY245" s="343"/>
      <c r="AZ245" s="343"/>
      <c r="BA245" s="343"/>
      <c r="BB245" s="343"/>
      <c r="BC245" s="343"/>
      <c r="BD245" s="343"/>
      <c r="BE245" s="343"/>
      <c r="BF245" s="343"/>
      <c r="BG245" s="343"/>
    </row>
    <row r="246" spans="8:59" x14ac:dyDescent="0.2">
      <c r="H246" s="343"/>
      <c r="I246" s="343"/>
      <c r="J246" s="343"/>
      <c r="K246" s="343"/>
      <c r="L246" s="343"/>
      <c r="M246" s="343"/>
      <c r="N246" s="343"/>
      <c r="O246" s="343"/>
      <c r="P246" s="343"/>
      <c r="Q246" s="343"/>
      <c r="R246" s="343"/>
      <c r="S246" s="343"/>
      <c r="T246" s="343"/>
      <c r="U246" s="343"/>
      <c r="V246" s="343"/>
      <c r="W246" s="343"/>
      <c r="X246" s="343"/>
      <c r="Y246" s="343"/>
      <c r="Z246" s="343"/>
      <c r="AA246" s="343"/>
      <c r="AB246" s="343"/>
      <c r="AC246" s="343"/>
      <c r="AD246" s="343"/>
      <c r="AE246" s="343"/>
      <c r="AF246" s="343"/>
      <c r="AG246" s="343"/>
      <c r="AH246" s="343"/>
      <c r="AI246" s="343"/>
      <c r="AJ246" s="343"/>
      <c r="AK246" s="343"/>
      <c r="AL246" s="343"/>
      <c r="AM246" s="343"/>
      <c r="AN246" s="343"/>
      <c r="AO246" s="343"/>
      <c r="AP246" s="343"/>
      <c r="AQ246" s="343"/>
      <c r="AR246" s="343"/>
      <c r="AS246" s="343"/>
      <c r="AT246" s="343"/>
      <c r="AU246" s="343"/>
      <c r="AV246" s="343"/>
      <c r="AW246" s="343"/>
      <c r="AX246" s="343"/>
      <c r="AY246" s="343"/>
      <c r="AZ246" s="343"/>
      <c r="BA246" s="343"/>
      <c r="BB246" s="343"/>
      <c r="BC246" s="343"/>
      <c r="BD246" s="343"/>
      <c r="BE246" s="343"/>
      <c r="BF246" s="343"/>
      <c r="BG246" s="343"/>
    </row>
  </sheetData>
  <sheetProtection algorithmName="SHA-512" hashValue="jJ8IuLmtUVjvDO1BdXUaVvVjw0rkxy9YZc+oWbztMr4nic73J+wZLBnZfg7fvk6DXUPoUAhQ3MQXLhrTYv3CNQ==" saltValue="opSFBiPOwimR/lAzTN2tmA==" spinCount="100000" sheet="1" objects="1" scenarios="1"/>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25" sqref="F25"/>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1162</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1161</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44402</v>
      </c>
      <c r="B6" s="87">
        <f ca="1">IF('Critical resources'!$D$3="",TODAY()-WEEKDAY(TODAY(),3)+7,'Critical resources'!D3-WEEKDAY('Critical resources'!D3,3))</f>
        <v>44396</v>
      </c>
      <c r="C6" s="67">
        <v>1</v>
      </c>
      <c r="D6" s="67">
        <f ca="1">YEAR(B6)</f>
        <v>2021</v>
      </c>
      <c r="E6" s="67" t="str">
        <f t="shared" ref="E6:E54" ca="1" si="0">IF(TEXT(B6,"MMM")=TEXT(B5,"MMM")," ",TEXT(B6,"MMM"))</f>
        <v>Jul</v>
      </c>
      <c r="F6" s="67">
        <f ca="1">WEEKNUM(B6,21)</f>
        <v>29</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44409</v>
      </c>
      <c r="B7" s="87">
        <f ca="1">B6+7</f>
        <v>44403</v>
      </c>
      <c r="C7" s="67">
        <v>2</v>
      </c>
      <c r="D7" s="67" t="str">
        <f ca="1">IF(YEAR(B7)=YEAR(B6),"",YEAR(B7))</f>
        <v/>
      </c>
      <c r="E7" s="67" t="str">
        <f t="shared" ca="1" si="0"/>
        <v xml:space="preserve"> </v>
      </c>
      <c r="F7" s="67">
        <f t="shared" ref="F7:F58" ca="1" si="7">WEEKNUM(B7,21)</f>
        <v>30</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44416</v>
      </c>
      <c r="B8" s="87">
        <f t="shared" ref="B8:B58" ca="1" si="9">B7+7</f>
        <v>44410</v>
      </c>
      <c r="C8" s="67">
        <v>3</v>
      </c>
      <c r="D8" s="67" t="str">
        <f t="shared" ref="D8:D57" ca="1" si="10">IF(YEAR(B8)=YEAR(B7),"",YEAR(B8))</f>
        <v/>
      </c>
      <c r="E8" s="67" t="str">
        <f t="shared" ca="1" si="0"/>
        <v>Aug</v>
      </c>
      <c r="F8" s="67">
        <f t="shared" ca="1" si="7"/>
        <v>31</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44423</v>
      </c>
      <c r="B9" s="87">
        <f t="shared" ca="1" si="9"/>
        <v>44417</v>
      </c>
      <c r="C9" s="67">
        <v>4</v>
      </c>
      <c r="D9" s="67" t="str">
        <f t="shared" ca="1" si="10"/>
        <v/>
      </c>
      <c r="E9" s="67" t="str">
        <f t="shared" ca="1" si="0"/>
        <v xml:space="preserve"> </v>
      </c>
      <c r="F9" s="67">
        <f t="shared" ca="1" si="7"/>
        <v>32</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44430</v>
      </c>
      <c r="B10" s="87">
        <f t="shared" ca="1" si="9"/>
        <v>44424</v>
      </c>
      <c r="C10" s="67">
        <v>5</v>
      </c>
      <c r="D10" s="67" t="str">
        <f t="shared" ca="1" si="10"/>
        <v/>
      </c>
      <c r="E10" s="67" t="str">
        <f t="shared" ca="1" si="0"/>
        <v xml:space="preserve"> </v>
      </c>
      <c r="F10" s="67">
        <f t="shared" ca="1" si="7"/>
        <v>33</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44437</v>
      </c>
      <c r="B11" s="87">
        <f t="shared" ca="1" si="9"/>
        <v>44431</v>
      </c>
      <c r="C11" s="67">
        <v>6</v>
      </c>
      <c r="D11" s="67" t="str">
        <f t="shared" ca="1" si="10"/>
        <v/>
      </c>
      <c r="E11" s="67" t="str">
        <f t="shared" ca="1" si="0"/>
        <v xml:space="preserve"> </v>
      </c>
      <c r="F11" s="67">
        <f t="shared" ca="1" si="7"/>
        <v>34</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44444</v>
      </c>
      <c r="B12" s="87">
        <f t="shared" ca="1" si="9"/>
        <v>44438</v>
      </c>
      <c r="C12" s="67">
        <v>7</v>
      </c>
      <c r="D12" s="67" t="str">
        <f t="shared" ca="1" si="10"/>
        <v/>
      </c>
      <c r="E12" s="67" t="str">
        <f t="shared" ca="1" si="0"/>
        <v xml:space="preserve"> </v>
      </c>
      <c r="F12" s="67">
        <f t="shared" ca="1" si="7"/>
        <v>35</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44451</v>
      </c>
      <c r="B13" s="87">
        <f t="shared" ca="1" si="9"/>
        <v>44445</v>
      </c>
      <c r="C13" s="67">
        <v>8</v>
      </c>
      <c r="D13" s="67" t="str">
        <f t="shared" ca="1" si="10"/>
        <v/>
      </c>
      <c r="E13" s="67" t="str">
        <f t="shared" ca="1" si="0"/>
        <v>Sep</v>
      </c>
      <c r="F13" s="67">
        <f t="shared" ca="1" si="7"/>
        <v>36</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44458</v>
      </c>
      <c r="B14" s="87">
        <f t="shared" ca="1" si="9"/>
        <v>44452</v>
      </c>
      <c r="C14" s="67">
        <v>9</v>
      </c>
      <c r="D14" s="67" t="str">
        <f t="shared" ca="1" si="10"/>
        <v/>
      </c>
      <c r="E14" s="67" t="str">
        <f t="shared" ca="1" si="0"/>
        <v xml:space="preserve"> </v>
      </c>
      <c r="F14" s="67">
        <f t="shared" ca="1" si="7"/>
        <v>37</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44465</v>
      </c>
      <c r="B15" s="87">
        <f t="shared" ca="1" si="9"/>
        <v>44459</v>
      </c>
      <c r="C15" s="67">
        <v>10</v>
      </c>
      <c r="D15" s="67" t="str">
        <f t="shared" ca="1" si="10"/>
        <v/>
      </c>
      <c r="E15" s="67" t="str">
        <f t="shared" ca="1" si="0"/>
        <v xml:space="preserve"> </v>
      </c>
      <c r="F15" s="67">
        <f t="shared" ca="1" si="7"/>
        <v>38</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44472</v>
      </c>
      <c r="B16" s="87">
        <f t="shared" ca="1" si="9"/>
        <v>44466</v>
      </c>
      <c r="C16" s="67">
        <v>11</v>
      </c>
      <c r="D16" s="67" t="str">
        <f t="shared" ca="1" si="10"/>
        <v/>
      </c>
      <c r="E16" s="67" t="str">
        <f t="shared" ca="1" si="0"/>
        <v xml:space="preserve"> </v>
      </c>
      <c r="F16" s="67">
        <f t="shared" ca="1" si="7"/>
        <v>39</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44479</v>
      </c>
      <c r="B17" s="87">
        <f t="shared" ca="1" si="9"/>
        <v>44473</v>
      </c>
      <c r="C17" s="67">
        <v>12</v>
      </c>
      <c r="D17" s="67" t="str">
        <f t="shared" ca="1" si="10"/>
        <v/>
      </c>
      <c r="E17" s="67" t="str">
        <f t="shared" ca="1" si="0"/>
        <v>Oct</v>
      </c>
      <c r="F17" s="67">
        <f t="shared" ca="1" si="7"/>
        <v>40</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44486</v>
      </c>
      <c r="B18" s="87">
        <f t="shared" ca="1" si="9"/>
        <v>44480</v>
      </c>
      <c r="C18" s="67">
        <v>13</v>
      </c>
      <c r="D18" s="67" t="str">
        <f t="shared" ca="1" si="10"/>
        <v/>
      </c>
      <c r="E18" s="67" t="str">
        <f t="shared" ca="1" si="0"/>
        <v xml:space="preserve"> </v>
      </c>
      <c r="F18" s="67">
        <f t="shared" ca="1" si="7"/>
        <v>41</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44493</v>
      </c>
      <c r="B19" s="87">
        <f t="shared" ca="1" si="9"/>
        <v>44487</v>
      </c>
      <c r="C19" s="67">
        <v>14</v>
      </c>
      <c r="D19" s="67" t="str">
        <f t="shared" ca="1" si="10"/>
        <v/>
      </c>
      <c r="E19" s="67" t="str">
        <f t="shared" ca="1" si="0"/>
        <v xml:space="preserve"> </v>
      </c>
      <c r="F19" s="67">
        <f t="shared" ca="1" si="7"/>
        <v>42</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44500</v>
      </c>
      <c r="B20" s="87">
        <f t="shared" ca="1" si="9"/>
        <v>44494</v>
      </c>
      <c r="C20" s="67">
        <v>15</v>
      </c>
      <c r="D20" s="67" t="str">
        <f t="shared" ca="1" si="10"/>
        <v/>
      </c>
      <c r="E20" s="67" t="str">
        <f t="shared" ca="1" si="0"/>
        <v xml:space="preserve"> </v>
      </c>
      <c r="F20" s="67">
        <f t="shared" ca="1" si="7"/>
        <v>43</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44507</v>
      </c>
      <c r="B21" s="87">
        <f t="shared" ca="1" si="9"/>
        <v>44501</v>
      </c>
      <c r="C21" s="67">
        <v>16</v>
      </c>
      <c r="D21" s="67" t="str">
        <f t="shared" ca="1" si="10"/>
        <v/>
      </c>
      <c r="E21" s="67" t="str">
        <f t="shared" ca="1" si="0"/>
        <v>Nov</v>
      </c>
      <c r="F21" s="67">
        <f t="shared" ca="1" si="7"/>
        <v>44</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44514</v>
      </c>
      <c r="B22" s="87">
        <f t="shared" ca="1" si="9"/>
        <v>44508</v>
      </c>
      <c r="C22" s="67">
        <v>17</v>
      </c>
      <c r="D22" s="67" t="str">
        <f t="shared" ca="1" si="10"/>
        <v/>
      </c>
      <c r="E22" s="67" t="str">
        <f t="shared" ca="1" si="0"/>
        <v xml:space="preserve"> </v>
      </c>
      <c r="F22" s="67">
        <f t="shared" ca="1" si="7"/>
        <v>45</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44521</v>
      </c>
      <c r="B23" s="87">
        <f t="shared" ca="1" si="9"/>
        <v>44515</v>
      </c>
      <c r="C23" s="67">
        <v>18</v>
      </c>
      <c r="D23" s="67" t="str">
        <f t="shared" ca="1" si="10"/>
        <v/>
      </c>
      <c r="E23" s="67" t="str">
        <f t="shared" ca="1" si="0"/>
        <v xml:space="preserve"> </v>
      </c>
      <c r="F23" s="67">
        <f t="shared" ca="1" si="7"/>
        <v>46</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44528</v>
      </c>
      <c r="B24" s="87">
        <f t="shared" ca="1" si="9"/>
        <v>44522</v>
      </c>
      <c r="C24" s="67">
        <v>19</v>
      </c>
      <c r="D24" s="67" t="str">
        <f t="shared" ca="1" si="10"/>
        <v/>
      </c>
      <c r="E24" s="67" t="str">
        <f t="shared" ca="1" si="0"/>
        <v xml:space="preserve"> </v>
      </c>
      <c r="F24" s="67">
        <f t="shared" ca="1" si="7"/>
        <v>47</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44535</v>
      </c>
      <c r="B25" s="87">
        <f t="shared" ca="1" si="9"/>
        <v>44529</v>
      </c>
      <c r="C25" s="67">
        <v>20</v>
      </c>
      <c r="D25" s="67" t="str">
        <f t="shared" ca="1" si="10"/>
        <v/>
      </c>
      <c r="E25" s="67" t="str">
        <f t="shared" ca="1" si="0"/>
        <v xml:space="preserve"> </v>
      </c>
      <c r="F25" s="67">
        <f t="shared" ca="1" si="7"/>
        <v>48</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44542</v>
      </c>
      <c r="B26" s="87">
        <f t="shared" ca="1" si="9"/>
        <v>44536</v>
      </c>
      <c r="C26" s="67">
        <v>21</v>
      </c>
      <c r="D26" s="67" t="str">
        <f t="shared" ca="1" si="10"/>
        <v/>
      </c>
      <c r="E26" s="67" t="str">
        <f t="shared" ca="1" si="0"/>
        <v>Dec</v>
      </c>
      <c r="F26" s="67">
        <f t="shared" ca="1" si="7"/>
        <v>49</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44549</v>
      </c>
      <c r="B27" s="87">
        <f t="shared" ca="1" si="9"/>
        <v>44543</v>
      </c>
      <c r="C27" s="67">
        <v>22</v>
      </c>
      <c r="D27" s="67" t="str">
        <f t="shared" ca="1" si="10"/>
        <v/>
      </c>
      <c r="E27" s="67" t="str">
        <f t="shared" ca="1" si="0"/>
        <v xml:space="preserve"> </v>
      </c>
      <c r="F27" s="67">
        <f t="shared" ca="1" si="7"/>
        <v>50</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44556</v>
      </c>
      <c r="B28" s="87">
        <f t="shared" ca="1" si="9"/>
        <v>44550</v>
      </c>
      <c r="C28" s="67">
        <v>23</v>
      </c>
      <c r="D28" s="67" t="str">
        <f t="shared" ca="1" si="10"/>
        <v/>
      </c>
      <c r="E28" s="67" t="str">
        <f t="shared" ca="1" si="0"/>
        <v xml:space="preserve"> </v>
      </c>
      <c r="F28" s="67">
        <f t="shared" ca="1" si="7"/>
        <v>51</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44563</v>
      </c>
      <c r="B29" s="87">
        <f t="shared" ca="1" si="9"/>
        <v>44557</v>
      </c>
      <c r="C29" s="67">
        <v>24</v>
      </c>
      <c r="D29" s="67" t="str">
        <f t="shared" ca="1" si="10"/>
        <v/>
      </c>
      <c r="E29" s="67" t="str">
        <f t="shared" ca="1" si="0"/>
        <v xml:space="preserve"> </v>
      </c>
      <c r="F29" s="67">
        <f t="shared" ca="1" si="7"/>
        <v>52</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44570</v>
      </c>
      <c r="B30" s="87">
        <f t="shared" ca="1" si="9"/>
        <v>44564</v>
      </c>
      <c r="C30" s="67">
        <v>25</v>
      </c>
      <c r="D30" s="67">
        <f t="shared" ca="1" si="10"/>
        <v>2022</v>
      </c>
      <c r="E30" s="67" t="str">
        <f t="shared" ca="1" si="0"/>
        <v>Jan</v>
      </c>
      <c r="F30" s="67">
        <f t="shared" ca="1" si="7"/>
        <v>1</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44577</v>
      </c>
      <c r="B31" s="87">
        <f t="shared" ca="1" si="9"/>
        <v>44571</v>
      </c>
      <c r="C31" s="67">
        <v>26</v>
      </c>
      <c r="D31" s="67" t="str">
        <f t="shared" ca="1" si="10"/>
        <v/>
      </c>
      <c r="E31" s="67" t="str">
        <f t="shared" ca="1" si="0"/>
        <v xml:space="preserve"> </v>
      </c>
      <c r="F31" s="67">
        <f t="shared" ca="1" si="7"/>
        <v>2</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44584</v>
      </c>
      <c r="B32" s="87">
        <f t="shared" ca="1" si="9"/>
        <v>44578</v>
      </c>
      <c r="C32" s="67">
        <v>27</v>
      </c>
      <c r="D32" s="67" t="str">
        <f t="shared" ca="1" si="10"/>
        <v/>
      </c>
      <c r="E32" s="67" t="str">
        <f t="shared" ca="1" si="0"/>
        <v xml:space="preserve"> </v>
      </c>
      <c r="F32" s="67">
        <f t="shared" ca="1" si="7"/>
        <v>3</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44591</v>
      </c>
      <c r="B33" s="87">
        <f t="shared" ca="1" si="9"/>
        <v>44585</v>
      </c>
      <c r="C33" s="67">
        <v>28</v>
      </c>
      <c r="D33" s="67" t="str">
        <f t="shared" ca="1" si="10"/>
        <v/>
      </c>
      <c r="E33" s="67" t="str">
        <f t="shared" ca="1" si="0"/>
        <v xml:space="preserve"> </v>
      </c>
      <c r="F33" s="67">
        <f t="shared" ca="1" si="7"/>
        <v>4</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44598</v>
      </c>
      <c r="B34" s="87">
        <f t="shared" ca="1" si="9"/>
        <v>44592</v>
      </c>
      <c r="C34" s="67">
        <v>29</v>
      </c>
      <c r="D34" s="67" t="str">
        <f t="shared" ca="1" si="10"/>
        <v/>
      </c>
      <c r="E34" s="67" t="str">
        <f t="shared" ca="1" si="0"/>
        <v xml:space="preserve"> </v>
      </c>
      <c r="F34" s="67">
        <f t="shared" ca="1" si="7"/>
        <v>5</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44605</v>
      </c>
      <c r="B35" s="87">
        <f t="shared" ca="1" si="9"/>
        <v>44599</v>
      </c>
      <c r="C35" s="67">
        <v>30</v>
      </c>
      <c r="D35" s="67" t="str">
        <f t="shared" ca="1" si="10"/>
        <v/>
      </c>
      <c r="E35" s="67" t="str">
        <f t="shared" ca="1" si="0"/>
        <v>Feb</v>
      </c>
      <c r="F35" s="67">
        <f t="shared" ca="1" si="7"/>
        <v>6</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44612</v>
      </c>
      <c r="B36" s="87">
        <f t="shared" ca="1" si="9"/>
        <v>44606</v>
      </c>
      <c r="C36" s="67">
        <v>31</v>
      </c>
      <c r="D36" s="67" t="str">
        <f t="shared" ca="1" si="10"/>
        <v/>
      </c>
      <c r="E36" s="67" t="str">
        <f t="shared" ca="1" si="0"/>
        <v xml:space="preserve"> </v>
      </c>
      <c r="F36" s="67">
        <f t="shared" ca="1" si="7"/>
        <v>7</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44619</v>
      </c>
      <c r="B37" s="87">
        <f t="shared" ca="1" si="9"/>
        <v>44613</v>
      </c>
      <c r="C37" s="67">
        <v>32</v>
      </c>
      <c r="D37" s="67" t="str">
        <f t="shared" ca="1" si="10"/>
        <v/>
      </c>
      <c r="E37" s="67" t="str">
        <f t="shared" ca="1" si="0"/>
        <v xml:space="preserve"> </v>
      </c>
      <c r="F37" s="67">
        <f t="shared" ca="1" si="7"/>
        <v>8</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44626</v>
      </c>
      <c r="B38" s="87">
        <f t="shared" ca="1" si="9"/>
        <v>44620</v>
      </c>
      <c r="C38" s="67">
        <v>33</v>
      </c>
      <c r="D38" s="67" t="str">
        <f t="shared" ca="1" si="10"/>
        <v/>
      </c>
      <c r="E38" s="67" t="str">
        <f t="shared" ca="1" si="0"/>
        <v xml:space="preserve"> </v>
      </c>
      <c r="F38" s="67">
        <f t="shared" ca="1" si="7"/>
        <v>9</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44633</v>
      </c>
      <c r="B39" s="87">
        <f t="shared" ca="1" si="9"/>
        <v>44627</v>
      </c>
      <c r="C39" s="67">
        <v>34</v>
      </c>
      <c r="D39" s="67" t="str">
        <f t="shared" ca="1" si="10"/>
        <v/>
      </c>
      <c r="E39" s="67" t="str">
        <f t="shared" ca="1" si="0"/>
        <v>Mar</v>
      </c>
      <c r="F39" s="67">
        <f t="shared" ca="1" si="7"/>
        <v>10</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44640</v>
      </c>
      <c r="B40" s="87">
        <f t="shared" ca="1" si="9"/>
        <v>44634</v>
      </c>
      <c r="C40" s="67">
        <v>35</v>
      </c>
      <c r="D40" s="67" t="str">
        <f t="shared" ca="1" si="10"/>
        <v/>
      </c>
      <c r="E40" s="67" t="str">
        <f t="shared" ca="1" si="0"/>
        <v xml:space="preserve"> </v>
      </c>
      <c r="F40" s="67">
        <f t="shared" ca="1" si="7"/>
        <v>11</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44647</v>
      </c>
      <c r="B41" s="87">
        <f t="shared" ca="1" si="9"/>
        <v>44641</v>
      </c>
      <c r="C41" s="67">
        <v>36</v>
      </c>
      <c r="D41" s="67" t="str">
        <f t="shared" ca="1" si="10"/>
        <v/>
      </c>
      <c r="E41" s="67" t="str">
        <f t="shared" ca="1" si="0"/>
        <v xml:space="preserve"> </v>
      </c>
      <c r="F41" s="67">
        <f t="shared" ca="1" si="7"/>
        <v>12</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44654</v>
      </c>
      <c r="B42" s="87">
        <f t="shared" ca="1" si="9"/>
        <v>44648</v>
      </c>
      <c r="C42" s="67">
        <v>37</v>
      </c>
      <c r="D42" s="67" t="str">
        <f t="shared" ca="1" si="10"/>
        <v/>
      </c>
      <c r="E42" s="67" t="str">
        <f t="shared" ca="1" si="0"/>
        <v xml:space="preserve"> </v>
      </c>
      <c r="F42" s="67">
        <f t="shared" ca="1" si="7"/>
        <v>13</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44661</v>
      </c>
      <c r="B43" s="87">
        <f t="shared" ca="1" si="9"/>
        <v>44655</v>
      </c>
      <c r="C43" s="67">
        <v>38</v>
      </c>
      <c r="D43" s="67" t="str">
        <f t="shared" ca="1" si="10"/>
        <v/>
      </c>
      <c r="E43" s="67" t="str">
        <f t="shared" ca="1" si="0"/>
        <v>Apr</v>
      </c>
      <c r="F43" s="67">
        <f t="shared" ca="1" si="7"/>
        <v>14</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44668</v>
      </c>
      <c r="B44" s="87">
        <f t="shared" ca="1" si="9"/>
        <v>44662</v>
      </c>
      <c r="C44" s="67">
        <v>39</v>
      </c>
      <c r="D44" s="67" t="str">
        <f t="shared" ca="1" si="10"/>
        <v/>
      </c>
      <c r="E44" s="67" t="str">
        <f t="shared" ca="1" si="0"/>
        <v xml:space="preserve"> </v>
      </c>
      <c r="F44" s="67">
        <f t="shared" ca="1" si="7"/>
        <v>15</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44675</v>
      </c>
      <c r="B45" s="87">
        <f t="shared" ca="1" si="9"/>
        <v>44669</v>
      </c>
      <c r="C45" s="67">
        <v>40</v>
      </c>
      <c r="D45" s="67" t="str">
        <f t="shared" ca="1" si="10"/>
        <v/>
      </c>
      <c r="E45" s="67" t="str">
        <f t="shared" ca="1" si="0"/>
        <v xml:space="preserve"> </v>
      </c>
      <c r="F45" s="67">
        <f t="shared" ca="1" si="7"/>
        <v>16</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44682</v>
      </c>
      <c r="B46" s="87">
        <f t="shared" ca="1" si="9"/>
        <v>44676</v>
      </c>
      <c r="C46" s="67">
        <v>41</v>
      </c>
      <c r="D46" s="67" t="str">
        <f t="shared" ca="1" si="10"/>
        <v/>
      </c>
      <c r="E46" s="67" t="str">
        <f t="shared" ca="1" si="0"/>
        <v xml:space="preserve"> </v>
      </c>
      <c r="F46" s="67">
        <f t="shared" ca="1" si="7"/>
        <v>17</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44689</v>
      </c>
      <c r="B47" s="87">
        <f t="shared" ca="1" si="9"/>
        <v>44683</v>
      </c>
      <c r="C47" s="67">
        <v>42</v>
      </c>
      <c r="D47" s="67" t="str">
        <f t="shared" ca="1" si="10"/>
        <v/>
      </c>
      <c r="E47" s="67" t="str">
        <f t="shared" ca="1" si="0"/>
        <v>May</v>
      </c>
      <c r="F47" s="67">
        <f t="shared" ca="1" si="7"/>
        <v>18</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44696</v>
      </c>
      <c r="B48" s="87">
        <f t="shared" ca="1" si="9"/>
        <v>44690</v>
      </c>
      <c r="C48" s="67">
        <v>43</v>
      </c>
      <c r="D48" s="67" t="str">
        <f t="shared" ca="1" si="10"/>
        <v/>
      </c>
      <c r="E48" s="67" t="str">
        <f t="shared" ca="1" si="0"/>
        <v xml:space="preserve"> </v>
      </c>
      <c r="F48" s="67">
        <f t="shared" ca="1" si="7"/>
        <v>19</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44703</v>
      </c>
      <c r="B49" s="87">
        <f t="shared" ca="1" si="9"/>
        <v>44697</v>
      </c>
      <c r="C49" s="67">
        <v>44</v>
      </c>
      <c r="D49" s="67" t="str">
        <f t="shared" ca="1" si="10"/>
        <v/>
      </c>
      <c r="E49" s="67" t="str">
        <f t="shared" ca="1" si="0"/>
        <v xml:space="preserve"> </v>
      </c>
      <c r="F49" s="67">
        <f t="shared" ca="1" si="7"/>
        <v>20</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44710</v>
      </c>
      <c r="B50" s="87">
        <f t="shared" ca="1" si="9"/>
        <v>44704</v>
      </c>
      <c r="C50" s="67">
        <v>45</v>
      </c>
      <c r="D50" s="67" t="str">
        <f t="shared" ca="1" si="10"/>
        <v/>
      </c>
      <c r="E50" s="67" t="str">
        <f t="shared" ca="1" si="0"/>
        <v xml:space="preserve"> </v>
      </c>
      <c r="F50" s="67">
        <f t="shared" ca="1" si="7"/>
        <v>21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44717</v>
      </c>
      <c r="B51" s="87">
        <f t="shared" ca="1" si="9"/>
        <v>44711</v>
      </c>
      <c r="C51" s="67">
        <v>46</v>
      </c>
      <c r="D51" s="67" t="str">
        <f t="shared" ca="1" si="10"/>
        <v/>
      </c>
      <c r="E51" s="67" t="str">
        <f t="shared" ca="1" si="0"/>
        <v xml:space="preserve"> </v>
      </c>
      <c r="F51" s="67">
        <f t="shared" ca="1" si="7"/>
        <v>22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44724</v>
      </c>
      <c r="B52" s="87">
        <f t="shared" ca="1" si="9"/>
        <v>44718</v>
      </c>
      <c r="C52" s="67">
        <v>47</v>
      </c>
      <c r="D52" s="67" t="str">
        <f t="shared" ca="1" si="10"/>
        <v/>
      </c>
      <c r="E52" s="67" t="str">
        <f t="shared" ca="1" si="0"/>
        <v>Jun</v>
      </c>
      <c r="F52" s="67">
        <f t="shared" ca="1" si="7"/>
        <v>23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44731</v>
      </c>
      <c r="B53" s="87">
        <f t="shared" ca="1" si="9"/>
        <v>44725</v>
      </c>
      <c r="C53" s="67">
        <v>48</v>
      </c>
      <c r="D53" s="67" t="str">
        <f t="shared" ca="1" si="10"/>
        <v/>
      </c>
      <c r="E53" s="67" t="str">
        <f t="shared" ca="1" si="0"/>
        <v xml:space="preserve"> </v>
      </c>
      <c r="F53" s="67">
        <f t="shared" ca="1" si="7"/>
        <v>24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44738</v>
      </c>
      <c r="B54" s="87">
        <f t="shared" ca="1" si="9"/>
        <v>44732</v>
      </c>
      <c r="C54" s="67">
        <v>49</v>
      </c>
      <c r="D54" s="67" t="str">
        <f t="shared" ca="1" si="10"/>
        <v/>
      </c>
      <c r="E54" s="67" t="str">
        <f t="shared" ca="1" si="0"/>
        <v xml:space="preserve"> </v>
      </c>
      <c r="F54" s="67">
        <f t="shared" ca="1" si="7"/>
        <v>25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44745</v>
      </c>
      <c r="B55" s="87">
        <f t="shared" ca="1" si="9"/>
        <v>44739</v>
      </c>
      <c r="C55" s="67">
        <v>50</v>
      </c>
      <c r="D55" s="67" t="str">
        <f t="shared" ca="1" si="10"/>
        <v/>
      </c>
      <c r="E55" s="67" t="str">
        <f ca="1">IF(TEXT(B55,"MMM")=TEXT(B54,"MMM")," ",TEXT(B55,"MMM"))</f>
        <v xml:space="preserve"> </v>
      </c>
      <c r="F55" s="67">
        <f t="shared" ca="1" si="7"/>
        <v>26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44752</v>
      </c>
      <c r="B56" s="87">
        <f t="shared" ca="1" si="9"/>
        <v>44746</v>
      </c>
      <c r="C56" s="67">
        <v>51</v>
      </c>
      <c r="D56" s="67" t="str">
        <f t="shared" ca="1" si="10"/>
        <v/>
      </c>
      <c r="E56" s="67" t="str">
        <f t="shared" ref="E56:E58" ca="1" si="25">IF(TEXT(B56,"MMM")=TEXT(B55,"MMM")," ",TEXT(B56,"MMM"))</f>
        <v>Jul</v>
      </c>
      <c r="F56" s="67">
        <f t="shared" ca="1" si="7"/>
        <v>27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44759</v>
      </c>
      <c r="B57" s="87">
        <f t="shared" ca="1" si="9"/>
        <v>44753</v>
      </c>
      <c r="C57" s="67">
        <v>52</v>
      </c>
      <c r="D57" s="67" t="str">
        <f t="shared" ca="1" si="10"/>
        <v/>
      </c>
      <c r="E57" s="67" t="str">
        <f t="shared" ca="1" si="25"/>
        <v xml:space="preserve"> </v>
      </c>
      <c r="F57" s="67">
        <f t="shared" ca="1" si="7"/>
        <v>28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44766</v>
      </c>
      <c r="B58" s="317">
        <f t="shared" ca="1" si="9"/>
        <v>44760</v>
      </c>
      <c r="C58" s="67">
        <v>53</v>
      </c>
      <c r="E58" s="67" t="str">
        <f t="shared" ca="1" si="25"/>
        <v xml:space="preserve"> </v>
      </c>
      <c r="F58" s="67">
        <f t="shared" ca="1" si="7"/>
        <v>29</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abSelected="1" workbookViewId="0"/>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1241</v>
      </c>
      <c r="C1" s="2" t="s">
        <v>459</v>
      </c>
      <c r="D1" t="s">
        <v>467</v>
      </c>
      <c r="E1">
        <v>1</v>
      </c>
      <c r="H1" t="s">
        <v>433</v>
      </c>
      <c r="I1" t="str">
        <f>"Capacity summary ("&amp;LOWER('Capacity summary'!$C$16)&amp;")"&amp;IF(Capacity!C12&lt;&gt;"[Not Saved]"," - " &amp;Capacity!C12,"")</f>
        <v>Capacity summary (minutes)</v>
      </c>
      <c r="BJ1" s="67" t="s">
        <v>458</v>
      </c>
      <c r="BK1" s="317">
        <f ca="1">INDEX('Critical resources (hide)'!$B$6:$F$58,MATCH('Capacity calculation (hide)'!BK$3,'Critical resources (hide)'!$F$6:$F$58,0),1)</f>
        <v>44396</v>
      </c>
      <c r="BL1" s="317">
        <f ca="1">INDEX('Critical resources (hide)'!$B$6:$F$58,MATCH('Capacity calculation (hide)'!BL$3,'Critical resources (hide)'!$F$6:$F$58,0),1)</f>
        <v>44403</v>
      </c>
      <c r="BM1" s="317">
        <f ca="1">INDEX('Critical resources (hide)'!$B$6:$F$58,MATCH('Capacity calculation (hide)'!BM$3,'Critical resources (hide)'!$F$6:$F$58,0),1)</f>
        <v>44410</v>
      </c>
      <c r="BN1" s="317">
        <f ca="1">INDEX('Critical resources (hide)'!$B$6:$F$58,MATCH('Capacity calculation (hide)'!BN$3,'Critical resources (hide)'!$F$6:$F$58,0),1)</f>
        <v>44417</v>
      </c>
      <c r="BO1" s="317">
        <f ca="1">INDEX('Critical resources (hide)'!$B$6:$F$58,MATCH('Capacity calculation (hide)'!BO$3,'Critical resources (hide)'!$F$6:$F$58,0),1)</f>
        <v>44424</v>
      </c>
      <c r="BP1" s="317">
        <f ca="1">INDEX('Critical resources (hide)'!$B$6:$F$58,MATCH('Capacity calculation (hide)'!BP$3,'Critical resources (hide)'!$F$6:$F$58,0),1)</f>
        <v>44431</v>
      </c>
      <c r="BQ1" s="317">
        <f ca="1">INDEX('Critical resources (hide)'!$B$6:$F$58,MATCH('Capacity calculation (hide)'!BQ$3,'Critical resources (hide)'!$F$6:$F$58,0),1)</f>
        <v>44438</v>
      </c>
      <c r="BR1" s="317">
        <f ca="1">INDEX('Critical resources (hide)'!$B$6:$F$58,MATCH('Capacity calculation (hide)'!BR$3,'Critical resources (hide)'!$F$6:$F$58,0),1)</f>
        <v>44445</v>
      </c>
      <c r="BS1" s="317">
        <f ca="1">INDEX('Critical resources (hide)'!$B$6:$F$58,MATCH('Capacity calculation (hide)'!BS$3,'Critical resources (hide)'!$F$6:$F$58,0),1)</f>
        <v>44452</v>
      </c>
      <c r="BT1" s="317">
        <f ca="1">INDEX('Critical resources (hide)'!$B$6:$F$58,MATCH('Capacity calculation (hide)'!BT$3,'Critical resources (hide)'!$F$6:$F$58,0),1)</f>
        <v>44459</v>
      </c>
      <c r="BU1" s="317">
        <f ca="1">INDEX('Critical resources (hide)'!$B$6:$F$58,MATCH('Capacity calculation (hide)'!BU$3,'Critical resources (hide)'!$F$6:$F$58,0),1)</f>
        <v>44466</v>
      </c>
      <c r="BV1" s="317">
        <f ca="1">INDEX('Critical resources (hide)'!$B$6:$F$58,MATCH('Capacity calculation (hide)'!BV$3,'Critical resources (hide)'!$F$6:$F$58,0),1)</f>
        <v>44473</v>
      </c>
      <c r="BW1" s="317">
        <f ca="1">INDEX('Critical resources (hide)'!$B$6:$F$58,MATCH('Capacity calculation (hide)'!BW$3,'Critical resources (hide)'!$F$6:$F$58,0),1)</f>
        <v>44480</v>
      </c>
      <c r="BX1" s="317">
        <f ca="1">INDEX('Critical resources (hide)'!$B$6:$F$58,MATCH('Capacity calculation (hide)'!BX$3,'Critical resources (hide)'!$F$6:$F$58,0),1)</f>
        <v>44487</v>
      </c>
      <c r="BY1" s="317">
        <f ca="1">INDEX('Critical resources (hide)'!$B$6:$F$58,MATCH('Capacity calculation (hide)'!BY$3,'Critical resources (hide)'!$F$6:$F$58,0),1)</f>
        <v>44494</v>
      </c>
      <c r="BZ1" s="317">
        <f ca="1">INDEX('Critical resources (hide)'!$B$6:$F$58,MATCH('Capacity calculation (hide)'!BZ$3,'Critical resources (hide)'!$F$6:$F$58,0),1)</f>
        <v>44501</v>
      </c>
      <c r="CA1" s="317">
        <f ca="1">INDEX('Critical resources (hide)'!$B$6:$F$58,MATCH('Capacity calculation (hide)'!CA$3,'Critical resources (hide)'!$F$6:$F$58,0),1)</f>
        <v>44508</v>
      </c>
      <c r="CB1" s="317">
        <f ca="1">INDEX('Critical resources (hide)'!$B$6:$F$58,MATCH('Capacity calculation (hide)'!CB$3,'Critical resources (hide)'!$F$6:$F$58,0),1)</f>
        <v>44515</v>
      </c>
      <c r="CC1" s="317">
        <f ca="1">INDEX('Critical resources (hide)'!$B$6:$F$58,MATCH('Capacity calculation (hide)'!CC$3,'Critical resources (hide)'!$F$6:$F$58,0),1)</f>
        <v>44522</v>
      </c>
      <c r="CD1" s="317">
        <f ca="1">INDEX('Critical resources (hide)'!$B$6:$F$58,MATCH('Capacity calculation (hide)'!CD$3,'Critical resources (hide)'!$F$6:$F$58,0),1)</f>
        <v>44529</v>
      </c>
      <c r="CE1" s="317">
        <f ca="1">INDEX('Critical resources (hide)'!$B$6:$F$58,MATCH('Capacity calculation (hide)'!CE$3,'Critical resources (hide)'!$F$6:$F$58,0),1)</f>
        <v>44536</v>
      </c>
      <c r="CF1" s="317">
        <f ca="1">INDEX('Critical resources (hide)'!$B$6:$F$58,MATCH('Capacity calculation (hide)'!CF$3,'Critical resources (hide)'!$F$6:$F$58,0),1)</f>
        <v>44543</v>
      </c>
      <c r="CG1" s="317">
        <f ca="1">INDEX('Critical resources (hide)'!$B$6:$F$58,MATCH('Capacity calculation (hide)'!CG$3,'Critical resources (hide)'!$F$6:$F$58,0),1)</f>
        <v>44550</v>
      </c>
      <c r="CH1" s="317">
        <f ca="1">INDEX('Critical resources (hide)'!$B$6:$F$58,MATCH('Capacity calculation (hide)'!CH$3,'Critical resources (hide)'!$F$6:$F$58,0),1)</f>
        <v>44557</v>
      </c>
      <c r="CI1" s="317">
        <f ca="1">INDEX('Critical resources (hide)'!$B$6:$F$58,MATCH('Capacity calculation (hide)'!CI$3,'Critical resources (hide)'!$F$6:$F$58,0),1)</f>
        <v>44564</v>
      </c>
      <c r="CJ1" s="317">
        <f ca="1">INDEX('Critical resources (hide)'!$B$6:$F$58,MATCH('Capacity calculation (hide)'!CJ$3,'Critical resources (hide)'!$F$6:$F$58,0),1)</f>
        <v>44571</v>
      </c>
      <c r="CK1" s="317">
        <f ca="1">INDEX('Critical resources (hide)'!$B$6:$F$58,MATCH('Capacity calculation (hide)'!CK$3,'Critical resources (hide)'!$F$6:$F$58,0),1)</f>
        <v>44578</v>
      </c>
      <c r="CL1" s="317">
        <f ca="1">INDEX('Critical resources (hide)'!$B$6:$F$58,MATCH('Capacity calculation (hide)'!CL$3,'Critical resources (hide)'!$F$6:$F$58,0),1)</f>
        <v>44585</v>
      </c>
      <c r="CM1" s="317">
        <f ca="1">INDEX('Critical resources (hide)'!$B$6:$F$58,MATCH('Capacity calculation (hide)'!CM$3,'Critical resources (hide)'!$F$6:$F$58,0),1)</f>
        <v>44592</v>
      </c>
      <c r="CN1" s="317">
        <f ca="1">INDEX('Critical resources (hide)'!$B$6:$F$58,MATCH('Capacity calculation (hide)'!CN$3,'Critical resources (hide)'!$F$6:$F$58,0),1)</f>
        <v>44599</v>
      </c>
      <c r="CO1" s="317">
        <f ca="1">INDEX('Critical resources (hide)'!$B$6:$F$58,MATCH('Capacity calculation (hide)'!CO$3,'Critical resources (hide)'!$F$6:$F$58,0),1)</f>
        <v>44606</v>
      </c>
      <c r="CP1" s="317">
        <f ca="1">INDEX('Critical resources (hide)'!$B$6:$F$58,MATCH('Capacity calculation (hide)'!CP$3,'Critical resources (hide)'!$F$6:$F$58,0),1)</f>
        <v>44613</v>
      </c>
      <c r="CQ1" s="317">
        <f ca="1">INDEX('Critical resources (hide)'!$B$6:$F$58,MATCH('Capacity calculation (hide)'!CQ$3,'Critical resources (hide)'!$F$6:$F$58,0),1)</f>
        <v>44620</v>
      </c>
      <c r="CR1" s="317">
        <f ca="1">INDEX('Critical resources (hide)'!$B$6:$F$58,MATCH('Capacity calculation (hide)'!CR$3,'Critical resources (hide)'!$F$6:$F$58,0),1)</f>
        <v>44627</v>
      </c>
      <c r="CS1" s="317">
        <f ca="1">INDEX('Critical resources (hide)'!$B$6:$F$58,MATCH('Capacity calculation (hide)'!CS$3,'Critical resources (hide)'!$F$6:$F$58,0),1)</f>
        <v>44634</v>
      </c>
      <c r="CT1" s="317">
        <f ca="1">INDEX('Critical resources (hide)'!$B$6:$F$58,MATCH('Capacity calculation (hide)'!CT$3,'Critical resources (hide)'!$F$6:$F$58,0),1)</f>
        <v>44641</v>
      </c>
      <c r="CU1" s="317">
        <f ca="1">INDEX('Critical resources (hide)'!$B$6:$F$58,MATCH('Capacity calculation (hide)'!CU$3,'Critical resources (hide)'!$F$6:$F$58,0),1)</f>
        <v>44648</v>
      </c>
      <c r="CV1" s="317">
        <f ca="1">INDEX('Critical resources (hide)'!$B$6:$F$58,MATCH('Capacity calculation (hide)'!CV$3,'Critical resources (hide)'!$F$6:$F$58,0),1)</f>
        <v>44655</v>
      </c>
      <c r="CW1" s="317">
        <f ca="1">INDEX('Critical resources (hide)'!$B$6:$F$58,MATCH('Capacity calculation (hide)'!CW$3,'Critical resources (hide)'!$F$6:$F$58,0),1)</f>
        <v>44662</v>
      </c>
      <c r="CX1" s="317">
        <f ca="1">INDEX('Critical resources (hide)'!$B$6:$F$58,MATCH('Capacity calculation (hide)'!CX$3,'Critical resources (hide)'!$F$6:$F$58,0),1)</f>
        <v>44669</v>
      </c>
      <c r="CY1" s="317">
        <f ca="1">INDEX('Critical resources (hide)'!$B$6:$F$58,MATCH('Capacity calculation (hide)'!CY$3,'Critical resources (hide)'!$F$6:$F$58,0),1)</f>
        <v>44676</v>
      </c>
      <c r="CZ1" s="317">
        <f ca="1">INDEX('Critical resources (hide)'!$B$6:$F$58,MATCH('Capacity calculation (hide)'!CZ$3,'Critical resources (hide)'!$F$6:$F$58,0),1)</f>
        <v>44683</v>
      </c>
      <c r="DA1" s="317">
        <f ca="1">INDEX('Critical resources (hide)'!$B$6:$F$58,MATCH('Capacity calculation (hide)'!DA$3,'Critical resources (hide)'!$F$6:$F$58,0),1)</f>
        <v>44690</v>
      </c>
      <c r="DB1" s="317">
        <f ca="1">INDEX('Critical resources (hide)'!$B$6:$F$58,MATCH('Capacity calculation (hide)'!DB$3,'Critical resources (hide)'!$F$6:$F$58,0),1)</f>
        <v>44697</v>
      </c>
      <c r="DC1" s="317">
        <f ca="1">INDEX('Critical resources (hide)'!$B$6:$F$58,MATCH('Capacity calculation (hide)'!DC$3,'Critical resources (hide)'!$F$6:$F$58,0),1)</f>
        <v>44704</v>
      </c>
      <c r="DD1" s="317">
        <f ca="1">INDEX('Critical resources (hide)'!$B$6:$F$58,MATCH('Capacity calculation (hide)'!DD$3,'Critical resources (hide)'!$F$6:$F$58,0),1)</f>
        <v>44711</v>
      </c>
      <c r="DE1" s="317">
        <f ca="1">INDEX('Critical resources (hide)'!$B$6:$F$58,MATCH('Capacity calculation (hide)'!DE$3,'Critical resources (hide)'!$F$6:$F$58,0),1)</f>
        <v>44718</v>
      </c>
      <c r="DF1" s="317">
        <f ca="1">INDEX('Critical resources (hide)'!$B$6:$F$58,MATCH('Capacity calculation (hide)'!DF$3,'Critical resources (hide)'!$F$6:$F$58,0),1)</f>
        <v>44725</v>
      </c>
      <c r="DG1" s="317">
        <f ca="1">INDEX('Critical resources (hide)'!$B$6:$F$58,MATCH('Capacity calculation (hide)'!DG$3,'Critical resources (hide)'!$F$6:$F$58,0),1)</f>
        <v>44732</v>
      </c>
      <c r="DH1" s="317">
        <f ca="1">INDEX('Critical resources (hide)'!$B$6:$F$58,MATCH('Capacity calculation (hide)'!DH$3,'Critical resources (hide)'!$F$6:$F$58,0),1)</f>
        <v>44739</v>
      </c>
      <c r="DI1" s="317">
        <f ca="1">INDEX('Critical resources (hide)'!$B$6:$F$58,MATCH('Capacity calculation (hide)'!DI$3,'Critical resources (hide)'!$F$6:$F$58,0),1)</f>
        <v>44746</v>
      </c>
      <c r="DJ1" s="317">
        <f ca="1">INDEX('Critical resources (hide)'!$B$6:$F$58,MATCH('Capacity calculation (hide)'!DJ$3,'Critical resources (hide)'!$F$6:$F$58,0),1)</f>
        <v>44753</v>
      </c>
      <c r="DK1" s="317" t="e">
        <f ca="1">INDEX('Critical resources (hide)'!$B$6:$F$58,MATCH('Capacity calculation (hide)'!DK$3,'Critical resources (hide)'!$F$6:$F$58,0),1)</f>
        <v>#N/A</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7">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29</v>
      </c>
      <c r="BL3" s="59">
        <f ca="1">OFFSET('Critical resources (hide)'!$F$6,COLUMN(B1)-1,0,1,1)</f>
        <v>30</v>
      </c>
      <c r="BM3" s="59">
        <f ca="1">OFFSET('Critical resources (hide)'!$F$6,COLUMN(C1)-1,0,1,1)</f>
        <v>31</v>
      </c>
      <c r="BN3" s="59">
        <f ca="1">OFFSET('Critical resources (hide)'!$F$6,COLUMN(D1)-1,0,1,1)</f>
        <v>32</v>
      </c>
      <c r="BO3" s="59">
        <f ca="1">OFFSET('Critical resources (hide)'!$F$6,COLUMN(E1)-1,0,1,1)</f>
        <v>33</v>
      </c>
      <c r="BP3" s="59">
        <f ca="1">OFFSET('Critical resources (hide)'!$F$6,COLUMN(F1)-1,0,1,1)</f>
        <v>34</v>
      </c>
      <c r="BQ3" s="59">
        <f ca="1">OFFSET('Critical resources (hide)'!$F$6,COLUMN(G1)-1,0,1,1)</f>
        <v>35</v>
      </c>
      <c r="BR3" s="59">
        <f ca="1">OFFSET('Critical resources (hide)'!$F$6,COLUMN(H1)-1,0,1,1)</f>
        <v>36</v>
      </c>
      <c r="BS3" s="59">
        <f ca="1">OFFSET('Critical resources (hide)'!$F$6,COLUMN(I1)-1,0,1,1)</f>
        <v>37</v>
      </c>
      <c r="BT3" s="59">
        <f ca="1">OFFSET('Critical resources (hide)'!$F$6,COLUMN(J1)-1,0,1,1)</f>
        <v>38</v>
      </c>
      <c r="BU3" s="59">
        <f ca="1">OFFSET('Critical resources (hide)'!$F$6,COLUMN(K1)-1,0,1,1)</f>
        <v>39</v>
      </c>
      <c r="BV3" s="59">
        <f ca="1">OFFSET('Critical resources (hide)'!$F$6,COLUMN(L1)-1,0,1,1)</f>
        <v>40</v>
      </c>
      <c r="BW3" s="59">
        <f ca="1">OFFSET('Critical resources (hide)'!$F$6,COLUMN(M1)-1,0,1,1)</f>
        <v>41</v>
      </c>
      <c r="BX3" s="59">
        <f ca="1">OFFSET('Critical resources (hide)'!$F$6,COLUMN(N1)-1,0,1,1)</f>
        <v>42</v>
      </c>
      <c r="BY3" s="59">
        <f ca="1">OFFSET('Critical resources (hide)'!$F$6,COLUMN(O1)-1,0,1,1)</f>
        <v>43</v>
      </c>
      <c r="BZ3" s="59">
        <f ca="1">OFFSET('Critical resources (hide)'!$F$6,COLUMN(P1)-1,0,1,1)</f>
        <v>44</v>
      </c>
      <c r="CA3" s="59">
        <f ca="1">OFFSET('Critical resources (hide)'!$F$6,COLUMN(Q1)-1,0,1,1)</f>
        <v>45</v>
      </c>
      <c r="CB3" s="59">
        <f ca="1">OFFSET('Critical resources (hide)'!$F$6,COLUMN(R1)-1,0,1,1)</f>
        <v>46</v>
      </c>
      <c r="CC3" s="59">
        <f ca="1">OFFSET('Critical resources (hide)'!$F$6,COLUMN(S1)-1,0,1,1)</f>
        <v>47</v>
      </c>
      <c r="CD3" s="59">
        <f ca="1">OFFSET('Critical resources (hide)'!$F$6,COLUMN(T1)-1,0,1,1)</f>
        <v>48</v>
      </c>
      <c r="CE3" s="59">
        <f ca="1">OFFSET('Critical resources (hide)'!$F$6,COLUMN(U1)-1,0,1,1)</f>
        <v>49</v>
      </c>
      <c r="CF3" s="59">
        <f ca="1">OFFSET('Critical resources (hide)'!$F$6,COLUMN(V1)-1,0,1,1)</f>
        <v>50</v>
      </c>
      <c r="CG3" s="59">
        <f ca="1">OFFSET('Critical resources (hide)'!$F$6,COLUMN(W1)-1,0,1,1)</f>
        <v>51</v>
      </c>
      <c r="CH3" s="59">
        <f ca="1">OFFSET('Critical resources (hide)'!$F$6,COLUMN(X1)-1,0,1,1)</f>
        <v>52</v>
      </c>
      <c r="CI3" s="59">
        <f ca="1">OFFSET('Critical resources (hide)'!$F$6,COLUMN(Y1)-1,0,1,1)</f>
        <v>1</v>
      </c>
      <c r="CJ3" s="59">
        <f ca="1">OFFSET('Critical resources (hide)'!$F$6,COLUMN(Z1)-1,0,1,1)</f>
        <v>2</v>
      </c>
      <c r="CK3" s="59">
        <f ca="1">OFFSET('Critical resources (hide)'!$F$6,COLUMN(AA1)-1,0,1,1)</f>
        <v>3</v>
      </c>
      <c r="CL3" s="59">
        <f ca="1">OFFSET('Critical resources (hide)'!$F$6,COLUMN(AB1)-1,0,1,1)</f>
        <v>4</v>
      </c>
      <c r="CM3" s="59">
        <f ca="1">OFFSET('Critical resources (hide)'!$F$6,COLUMN(AC1)-1,0,1,1)</f>
        <v>5</v>
      </c>
      <c r="CN3" s="59">
        <f ca="1">OFFSET('Critical resources (hide)'!$F$6,COLUMN(AD1)-1,0,1,1)</f>
        <v>6</v>
      </c>
      <c r="CO3" s="59">
        <f ca="1">OFFSET('Critical resources (hide)'!$F$6,COLUMN(AE1)-1,0,1,1)</f>
        <v>7</v>
      </c>
      <c r="CP3" s="59">
        <f ca="1">OFFSET('Critical resources (hide)'!$F$6,COLUMN(AF1)-1,0,1,1)</f>
        <v>8</v>
      </c>
      <c r="CQ3" s="59">
        <f ca="1">OFFSET('Critical resources (hide)'!$F$6,COLUMN(AG1)-1,0,1,1)</f>
        <v>9</v>
      </c>
      <c r="CR3" s="59">
        <f ca="1">OFFSET('Critical resources (hide)'!$F$6,COLUMN(AH1)-1,0,1,1)</f>
        <v>10</v>
      </c>
      <c r="CS3" s="59">
        <f ca="1">OFFSET('Critical resources (hide)'!$F$6,COLUMN(AI1)-1,0,1,1)</f>
        <v>11</v>
      </c>
      <c r="CT3" s="59">
        <f ca="1">OFFSET('Critical resources (hide)'!$F$6,COLUMN(AJ1)-1,0,1,1)</f>
        <v>12</v>
      </c>
      <c r="CU3" s="59">
        <f ca="1">OFFSET('Critical resources (hide)'!$F$6,COLUMN(AK1)-1,0,1,1)</f>
        <v>13</v>
      </c>
      <c r="CV3" s="59">
        <f ca="1">OFFSET('Critical resources (hide)'!$F$6,COLUMN(AL1)-1,0,1,1)</f>
        <v>14</v>
      </c>
      <c r="CW3" s="59">
        <f ca="1">OFFSET('Critical resources (hide)'!$F$6,COLUMN(AM1)-1,0,1,1)</f>
        <v>15</v>
      </c>
      <c r="CX3" s="59">
        <f ca="1">OFFSET('Critical resources (hide)'!$F$6,COLUMN(AN1)-1,0,1,1)</f>
        <v>16</v>
      </c>
      <c r="CY3" s="59">
        <f ca="1">OFFSET('Critical resources (hide)'!$F$6,COLUMN(AO1)-1,0,1,1)</f>
        <v>17</v>
      </c>
      <c r="CZ3" s="59">
        <f ca="1">OFFSET('Critical resources (hide)'!$F$6,COLUMN(AP1)-1,0,1,1)</f>
        <v>18</v>
      </c>
      <c r="DA3" s="59">
        <f ca="1">OFFSET('Critical resources (hide)'!$F$6,COLUMN(AQ1)-1,0,1,1)</f>
        <v>19</v>
      </c>
      <c r="DB3" s="59">
        <f ca="1">OFFSET('Critical resources (hide)'!$F$6,COLUMN(AR1)-1,0,1,1)</f>
        <v>20</v>
      </c>
      <c r="DC3" s="59">
        <f ca="1">OFFSET('Critical resources (hide)'!$F$6,COLUMN(AS1)-1,0,1,1)</f>
        <v>21</v>
      </c>
      <c r="DD3" s="59">
        <f ca="1">OFFSET('Critical resources (hide)'!$F$6,COLUMN(AT1)-1,0,1,1)</f>
        <v>22</v>
      </c>
      <c r="DE3" s="59">
        <f ca="1">OFFSET('Critical resources (hide)'!$F$6,COLUMN(AU1)-1,0,1,1)</f>
        <v>23</v>
      </c>
      <c r="DF3" s="59">
        <f ca="1">OFFSET('Critical resources (hide)'!$F$6,COLUMN(AV1)-1,0,1,1)</f>
        <v>24</v>
      </c>
      <c r="DG3" s="59">
        <f ca="1">OFFSET('Critical resources (hide)'!$F$6,COLUMN(AW1)-1,0,1,1)</f>
        <v>25</v>
      </c>
      <c r="DH3" s="59">
        <f ca="1">OFFSET('Critical resources (hide)'!$F$6,COLUMN(AX1)-1,0,1,1)</f>
        <v>26</v>
      </c>
      <c r="DI3" s="59">
        <f ca="1">OFFSET('Critical resources (hide)'!$F$6,COLUMN(AY1)-1,0,1,1)</f>
        <v>27</v>
      </c>
      <c r="DJ3" s="59">
        <f ca="1">OFFSET('Critical resources (hide)'!$F$6,COLUMN(AZ1)-1,0,1,1)</f>
        <v>28</v>
      </c>
      <c r="DK3" s="373">
        <f ca="1">IF(ISERROR(MATCH(53,BK3:DJ3,0)),53,IF(DJ3=52,1,DJ3+1))</f>
        <v>53</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5044.8076923076915</v>
      </c>
      <c r="BL4" s="311">
        <f t="shared" ca="1" si="0"/>
        <v>5044.8076923076915</v>
      </c>
      <c r="BM4" s="311">
        <f t="shared" ca="1" si="0"/>
        <v>5044.8076923076915</v>
      </c>
      <c r="BN4" s="311">
        <f t="shared" ca="1" si="0"/>
        <v>5044.8076923076915</v>
      </c>
      <c r="BO4" s="311">
        <f t="shared" ca="1" si="0"/>
        <v>5044.8076923076915</v>
      </c>
      <c r="BP4" s="311">
        <f t="shared" ca="1" si="0"/>
        <v>5044.8076923076915</v>
      </c>
      <c r="BQ4" s="311">
        <f t="shared" ca="1" si="0"/>
        <v>5044.8076923076915</v>
      </c>
      <c r="BR4" s="311">
        <f t="shared" ca="1" si="0"/>
        <v>5044.8076923076915</v>
      </c>
      <c r="BS4" s="311">
        <f t="shared" ca="1" si="0"/>
        <v>5044.8076923076915</v>
      </c>
      <c r="BT4" s="311">
        <f t="shared" ca="1" si="0"/>
        <v>5044.8076923076915</v>
      </c>
      <c r="BU4" s="311">
        <f t="shared" ca="1" si="0"/>
        <v>5044.8076923076915</v>
      </c>
      <c r="BV4" s="311">
        <f t="shared" ca="1" si="0"/>
        <v>5044.8076923076915</v>
      </c>
      <c r="BW4" s="311">
        <f t="shared" ca="1" si="0"/>
        <v>5044.8076923076915</v>
      </c>
      <c r="BX4" s="311">
        <f t="shared" ca="1" si="0"/>
        <v>5044.8076923076915</v>
      </c>
      <c r="BY4" s="311">
        <f t="shared" ca="1" si="0"/>
        <v>5044.8076923076915</v>
      </c>
      <c r="BZ4" s="311">
        <f t="shared" ca="1" si="0"/>
        <v>5044.8076923076915</v>
      </c>
      <c r="CA4" s="311">
        <f t="shared" ca="1" si="0"/>
        <v>5044.8076923076915</v>
      </c>
      <c r="CB4" s="311">
        <f t="shared" ca="1" si="0"/>
        <v>5044.8076923076915</v>
      </c>
      <c r="CC4" s="311">
        <f t="shared" ca="1" si="0"/>
        <v>5044.8076923076915</v>
      </c>
      <c r="CD4" s="311">
        <f t="shared" ca="1" si="0"/>
        <v>5044.8076923076915</v>
      </c>
      <c r="CE4" s="311">
        <f t="shared" ca="1" si="0"/>
        <v>5044.8076923076915</v>
      </c>
      <c r="CF4" s="311">
        <f t="shared" ca="1" si="0"/>
        <v>5044.8076923076915</v>
      </c>
      <c r="CG4" s="311">
        <f t="shared" ca="1" si="0"/>
        <v>5044.8076923076915</v>
      </c>
      <c r="CH4" s="311">
        <f t="shared" ca="1" si="0"/>
        <v>5044.8076923076915</v>
      </c>
      <c r="CI4" s="311">
        <f t="shared" ca="1" si="0"/>
        <v>5044.8076923076915</v>
      </c>
      <c r="CJ4" s="311">
        <f t="shared" ca="1" si="0"/>
        <v>5044.8076923076915</v>
      </c>
      <c r="CK4" s="311">
        <f t="shared" ca="1" si="0"/>
        <v>5044.8076923076915</v>
      </c>
      <c r="CL4" s="311">
        <f t="shared" ca="1" si="0"/>
        <v>5044.8076923076915</v>
      </c>
      <c r="CM4" s="311">
        <f t="shared" ca="1" si="0"/>
        <v>5044.8076923076915</v>
      </c>
      <c r="CN4" s="311">
        <f t="shared" ca="1" si="0"/>
        <v>5044.8076923076915</v>
      </c>
      <c r="CO4" s="311">
        <f t="shared" ca="1" si="0"/>
        <v>5044.8076923076915</v>
      </c>
      <c r="CP4" s="311">
        <f t="shared" ca="1" si="0"/>
        <v>5044.8076923076915</v>
      </c>
      <c r="CQ4" s="311">
        <f t="shared" ref="CQ4:DJ4" ca="1" si="1">SUM(CQ5:CQ104)</f>
        <v>5044.8076923076915</v>
      </c>
      <c r="CR4" s="311">
        <f t="shared" ca="1" si="1"/>
        <v>5044.8076923076915</v>
      </c>
      <c r="CS4" s="311">
        <f t="shared" ca="1" si="1"/>
        <v>5044.8076923076915</v>
      </c>
      <c r="CT4" s="311">
        <f t="shared" ca="1" si="1"/>
        <v>5044.8076923076915</v>
      </c>
      <c r="CU4" s="311">
        <f t="shared" ca="1" si="1"/>
        <v>5044.8076923076915</v>
      </c>
      <c r="CV4" s="311">
        <f t="shared" ca="1" si="1"/>
        <v>5044.8076923076915</v>
      </c>
      <c r="CW4" s="311">
        <f t="shared" ca="1" si="1"/>
        <v>5044.8076923076915</v>
      </c>
      <c r="CX4" s="311">
        <f t="shared" ca="1" si="1"/>
        <v>5044.8076923076915</v>
      </c>
      <c r="CY4" s="311">
        <f t="shared" ca="1" si="1"/>
        <v>5044.8076923076915</v>
      </c>
      <c r="CZ4" s="311">
        <f t="shared" ca="1" si="1"/>
        <v>5044.8076923076915</v>
      </c>
      <c r="DA4" s="311">
        <f t="shared" ca="1" si="1"/>
        <v>5044.8076923076915</v>
      </c>
      <c r="DB4" s="311">
        <f t="shared" ca="1" si="1"/>
        <v>5044.8076923076915</v>
      </c>
      <c r="DC4" s="311">
        <f t="shared" ca="1" si="1"/>
        <v>5044.8076923076915</v>
      </c>
      <c r="DD4" s="311">
        <f t="shared" ca="1" si="1"/>
        <v>5044.8076923076915</v>
      </c>
      <c r="DE4" s="311">
        <f t="shared" ca="1" si="1"/>
        <v>5044.8076923076915</v>
      </c>
      <c r="DF4" s="311">
        <f t="shared" ca="1" si="1"/>
        <v>5044.8076923076915</v>
      </c>
      <c r="DG4" s="311">
        <f t="shared" ca="1" si="1"/>
        <v>5044.8076923076915</v>
      </c>
      <c r="DH4" s="311">
        <f t="shared" ca="1" si="1"/>
        <v>5044.8076923076915</v>
      </c>
      <c r="DI4" s="311">
        <f t="shared" ca="1" si="1"/>
        <v>5044.8076923076915</v>
      </c>
      <c r="DJ4" s="311">
        <f t="shared" ca="1" si="1"/>
        <v>5044.8076923076915</v>
      </c>
      <c r="DK4" s="388">
        <f ca="1">DJ4</f>
        <v>5044.8076923076915</v>
      </c>
      <c r="DL4" s="136">
        <f ca="1">SUM(BK4:DK4)</f>
        <v>267374.80769230751</v>
      </c>
      <c r="DM4" s="5">
        <f>SUM(DM5:DM104)</f>
        <v>262330</v>
      </c>
    </row>
    <row r="5" spans="1:121" x14ac:dyDescent="0.2">
      <c r="A5" s="67">
        <f>IF(Capacity!L17='Capacity summary'!BI124,1,0)</f>
        <v>1</v>
      </c>
      <c r="B5">
        <f>IF(Capacity!V17='Capacity summary'!BI24,1,0)</f>
        <v>1</v>
      </c>
      <c r="C5" s="67" t="str">
        <f>ROW(A1)&amp;". "&amp;Capacity!B17</f>
        <v>1. Slot A</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34.615384615384613</v>
      </c>
      <c r="BK5" s="311">
        <f ca="1">IF($BI5&lt;&gt;"",IF('Capacity summary'!$D$14="Yes",IF(COUNTBLANK('Capacity summary'!$H124:$BG124)&lt;52,IF('Capacity summary'!H124&lt;&gt;"",IF(LOWER('Capacity summary'!H124)="x",$BI5*H5,VALUE('Capacity summary'!H124)),0),H5*$BI5),H5*$BI5),0)</f>
        <v>34.615384615384613</v>
      </c>
      <c r="BL5" s="311">
        <f ca="1">IF($BI5&lt;&gt;"",IF('Capacity summary'!$D$14="Yes",IF(COUNTBLANK('Capacity summary'!$H124:$BG124)&lt;52,IF('Capacity summary'!I124&lt;&gt;"",IF(LOWER('Capacity summary'!I124)="x",$BI5*I5,VALUE('Capacity summary'!I124)),0),I5*$BI5),I5*$BI5),0)</f>
        <v>34.615384615384613</v>
      </c>
      <c r="BM5" s="311">
        <f ca="1">IF($BI5&lt;&gt;"",IF('Capacity summary'!$D$14="Yes",IF(COUNTBLANK('Capacity summary'!$H124:$BG124)&lt;52,IF('Capacity summary'!J124&lt;&gt;"",IF(LOWER('Capacity summary'!J124)="x",$BI5*J5,VALUE('Capacity summary'!J124)),0),J5*$BI5),J5*$BI5),0)</f>
        <v>34.615384615384613</v>
      </c>
      <c r="BN5" s="311">
        <f ca="1">IF($BI5&lt;&gt;"",IF('Capacity summary'!$D$14="Yes",IF(COUNTBLANK('Capacity summary'!$H124:$BG124)&lt;52,IF('Capacity summary'!K124&lt;&gt;"",IF(LOWER('Capacity summary'!K124)="x",$BI5*K5,VALUE('Capacity summary'!K124)),0),K5*$BI5),K5*$BI5),0)</f>
        <v>34.615384615384613</v>
      </c>
      <c r="BO5" s="311">
        <f ca="1">IF($BI5&lt;&gt;"",IF('Capacity summary'!$D$14="Yes",IF(COUNTBLANK('Capacity summary'!$H124:$BG124)&lt;52,IF('Capacity summary'!L124&lt;&gt;"",IF(LOWER('Capacity summary'!L124)="x",$BI5*L5,VALUE('Capacity summary'!L124)),0),L5*$BI5),L5*$BI5),0)</f>
        <v>34.615384615384613</v>
      </c>
      <c r="BP5" s="311">
        <f ca="1">IF($BI5&lt;&gt;"",IF('Capacity summary'!$D$14="Yes",IF(COUNTBLANK('Capacity summary'!$H124:$BG124)&lt;52,IF('Capacity summary'!M124&lt;&gt;"",IF(LOWER('Capacity summary'!M124)="x",$BI5*M5,VALUE('Capacity summary'!M124)),0),M5*$BI5),M5*$BI5),0)</f>
        <v>34.615384615384613</v>
      </c>
      <c r="BQ5" s="311">
        <f ca="1">IF($BI5&lt;&gt;"",IF('Capacity summary'!$D$14="Yes",IF(COUNTBLANK('Capacity summary'!$H124:$BG124)&lt;52,IF('Capacity summary'!N124&lt;&gt;"",IF(LOWER('Capacity summary'!N124)="x",$BI5*N5,VALUE('Capacity summary'!N124)),0),N5*$BI5),N5*$BI5),0)</f>
        <v>34.615384615384613</v>
      </c>
      <c r="BR5" s="311">
        <f ca="1">IF($BI5&lt;&gt;"",IF('Capacity summary'!$D$14="Yes",IF(COUNTBLANK('Capacity summary'!$H124:$BG124)&lt;52,IF('Capacity summary'!O124&lt;&gt;"",IF(LOWER('Capacity summary'!O124)="x",$BI5*O5,VALUE('Capacity summary'!O124)),0),O5*$BI5),O5*$BI5),0)</f>
        <v>34.615384615384613</v>
      </c>
      <c r="BS5" s="311">
        <f ca="1">IF($BI5&lt;&gt;"",IF('Capacity summary'!$D$14="Yes",IF(COUNTBLANK('Capacity summary'!$H124:$BG124)&lt;52,IF('Capacity summary'!P124&lt;&gt;"",IF(LOWER('Capacity summary'!P124)="x",$BI5*P5,VALUE('Capacity summary'!P124)),0),P5*$BI5),P5*$BI5),0)</f>
        <v>34.615384615384613</v>
      </c>
      <c r="BT5" s="311">
        <f ca="1">IF($BI5&lt;&gt;"",IF('Capacity summary'!$D$14="Yes",IF(COUNTBLANK('Capacity summary'!$H124:$BG124)&lt;52,IF('Capacity summary'!Q124&lt;&gt;"",IF(LOWER('Capacity summary'!Q124)="x",$BI5*Q5,VALUE('Capacity summary'!Q124)),0),Q5*$BI5),Q5*$BI5),0)</f>
        <v>34.615384615384613</v>
      </c>
      <c r="BU5" s="311">
        <f ca="1">IF($BI5&lt;&gt;"",IF('Capacity summary'!$D$14="Yes",IF(COUNTBLANK('Capacity summary'!$H124:$BG124)&lt;52,IF('Capacity summary'!R124&lt;&gt;"",IF(LOWER('Capacity summary'!R124)="x",$BI5*R5,VALUE('Capacity summary'!R124)),0),R5*$BI5),R5*$BI5),0)</f>
        <v>34.615384615384613</v>
      </c>
      <c r="BV5" s="311">
        <f ca="1">IF($BI5&lt;&gt;"",IF('Capacity summary'!$D$14="Yes",IF(COUNTBLANK('Capacity summary'!$H124:$BG124)&lt;52,IF('Capacity summary'!S124&lt;&gt;"",IF(LOWER('Capacity summary'!S124)="x",$BI5*S5,VALUE('Capacity summary'!S124)),0),S5*$BI5),S5*$BI5),0)</f>
        <v>34.615384615384613</v>
      </c>
      <c r="BW5" s="311">
        <f ca="1">IF($BI5&lt;&gt;"",IF('Capacity summary'!$D$14="Yes",IF(COUNTBLANK('Capacity summary'!$H124:$BG124)&lt;52,IF('Capacity summary'!T124&lt;&gt;"",IF(LOWER('Capacity summary'!T124)="x",$BI5*T5,VALUE('Capacity summary'!T124)),0),T5*$BI5),T5*$BI5),0)</f>
        <v>34.615384615384613</v>
      </c>
      <c r="BX5" s="311">
        <f ca="1">IF($BI5&lt;&gt;"",IF('Capacity summary'!$D$14="Yes",IF(COUNTBLANK('Capacity summary'!$H124:$BG124)&lt;52,IF('Capacity summary'!U124&lt;&gt;"",IF(LOWER('Capacity summary'!U124)="x",$BI5*U5,VALUE('Capacity summary'!U124)),0),U5*$BI5),U5*$BI5),0)</f>
        <v>34.615384615384613</v>
      </c>
      <c r="BY5" s="311">
        <f ca="1">IF($BI5&lt;&gt;"",IF('Capacity summary'!$D$14="Yes",IF(COUNTBLANK('Capacity summary'!$H124:$BG124)&lt;52,IF('Capacity summary'!V124&lt;&gt;"",IF(LOWER('Capacity summary'!V124)="x",$BI5*V5,VALUE('Capacity summary'!V124)),0),V5*$BI5),V5*$BI5),0)</f>
        <v>34.615384615384613</v>
      </c>
      <c r="BZ5" s="311">
        <f ca="1">IF($BI5&lt;&gt;"",IF('Capacity summary'!$D$14="Yes",IF(COUNTBLANK('Capacity summary'!$H124:$BG124)&lt;52,IF('Capacity summary'!W124&lt;&gt;"",IF(LOWER('Capacity summary'!W124)="x",$BI5*W5,VALUE('Capacity summary'!W124)),0),W5*$BI5),W5*$BI5),0)</f>
        <v>34.615384615384613</v>
      </c>
      <c r="CA5" s="311">
        <f ca="1">IF($BI5&lt;&gt;"",IF('Capacity summary'!$D$14="Yes",IF(COUNTBLANK('Capacity summary'!$H124:$BG124)&lt;52,IF('Capacity summary'!X124&lt;&gt;"",IF(LOWER('Capacity summary'!X124)="x",$BI5*X5,VALUE('Capacity summary'!X124)),0),X5*$BI5),X5*$BI5),0)</f>
        <v>34.615384615384613</v>
      </c>
      <c r="CB5" s="311">
        <f ca="1">IF($BI5&lt;&gt;"",IF('Capacity summary'!$D$14="Yes",IF(COUNTBLANK('Capacity summary'!$H124:$BG124)&lt;52,IF('Capacity summary'!Y124&lt;&gt;"",IF(LOWER('Capacity summary'!Y124)="x",$BI5*Y5,VALUE('Capacity summary'!Y124)),0),Y5*$BI5),Y5*$BI5),0)</f>
        <v>34.615384615384613</v>
      </c>
      <c r="CC5" s="311">
        <f ca="1">IF($BI5&lt;&gt;"",IF('Capacity summary'!$D$14="Yes",IF(COUNTBLANK('Capacity summary'!$H124:$BG124)&lt;52,IF('Capacity summary'!Z124&lt;&gt;"",IF(LOWER('Capacity summary'!Z124)="x",$BI5*Z5,VALUE('Capacity summary'!Z124)),0),Z5*$BI5),Z5*$BI5),0)</f>
        <v>34.615384615384613</v>
      </c>
      <c r="CD5" s="311">
        <f ca="1">IF($BI5&lt;&gt;"",IF('Capacity summary'!$D$14="Yes",IF(COUNTBLANK('Capacity summary'!$H124:$BG124)&lt;52,IF('Capacity summary'!AA124&lt;&gt;"",IF(LOWER('Capacity summary'!AA124)="x",$BI5*AA5,VALUE('Capacity summary'!AA124)),0),AA5*$BI5),AA5*$BI5),0)</f>
        <v>34.615384615384613</v>
      </c>
      <c r="CE5" s="311">
        <f ca="1">IF($BI5&lt;&gt;"",IF('Capacity summary'!$D$14="Yes",IF(COUNTBLANK('Capacity summary'!$H124:$BG124)&lt;52,IF('Capacity summary'!AB124&lt;&gt;"",IF(LOWER('Capacity summary'!AB124)="x",$BI5*AB5,VALUE('Capacity summary'!AB124)),0),AB5*$BI5),AB5*$BI5),0)</f>
        <v>34.615384615384613</v>
      </c>
      <c r="CF5" s="311">
        <f ca="1">IF($BI5&lt;&gt;"",IF('Capacity summary'!$D$14="Yes",IF(COUNTBLANK('Capacity summary'!$H124:$BG124)&lt;52,IF('Capacity summary'!AC124&lt;&gt;"",IF(LOWER('Capacity summary'!AC124)="x",$BI5*AC5,VALUE('Capacity summary'!AC124)),0),AC5*$BI5),AC5*$BI5),0)</f>
        <v>34.615384615384613</v>
      </c>
      <c r="CG5" s="311">
        <f ca="1">IF($BI5&lt;&gt;"",IF('Capacity summary'!$D$14="Yes",IF(COUNTBLANK('Capacity summary'!$H124:$BG124)&lt;52,IF('Capacity summary'!AD124&lt;&gt;"",IF(LOWER('Capacity summary'!AD124)="x",$BI5*AD5,VALUE('Capacity summary'!AD124)),0),AD5*$BI5),AD5*$BI5),0)</f>
        <v>34.615384615384613</v>
      </c>
      <c r="CH5" s="311">
        <f ca="1">IF($BI5&lt;&gt;"",IF('Capacity summary'!$D$14="Yes",IF(COUNTBLANK('Capacity summary'!$H124:$BG124)&lt;52,IF('Capacity summary'!AE124&lt;&gt;"",IF(LOWER('Capacity summary'!AE124)="x",$BI5*AE5,VALUE('Capacity summary'!AE124)),0),AE5*$BI5),AE5*$BI5),0)</f>
        <v>34.615384615384613</v>
      </c>
      <c r="CI5" s="311">
        <f ca="1">IF($BI5&lt;&gt;"",IF('Capacity summary'!$D$14="Yes",IF(COUNTBLANK('Capacity summary'!$H124:$BG124)&lt;52,IF('Capacity summary'!AF124&lt;&gt;"",IF(LOWER('Capacity summary'!AF124)="x",$BI5*AF5,VALUE('Capacity summary'!AF124)),0),AF5*$BI5),AF5*$BI5),0)</f>
        <v>34.615384615384613</v>
      </c>
      <c r="CJ5" s="311">
        <f ca="1">IF($BI5&lt;&gt;"",IF('Capacity summary'!$D$14="Yes",IF(COUNTBLANK('Capacity summary'!$H124:$BG124)&lt;52,IF('Capacity summary'!AG124&lt;&gt;"",IF(LOWER('Capacity summary'!AG124)="x",$BI5*AG5,VALUE('Capacity summary'!AG124)),0),AG5*$BI5),AG5*$BI5),0)</f>
        <v>34.615384615384613</v>
      </c>
      <c r="CK5" s="311">
        <f ca="1">IF($BI5&lt;&gt;"",IF('Capacity summary'!$D$14="Yes",IF(COUNTBLANK('Capacity summary'!$H124:$BG124)&lt;52,IF('Capacity summary'!AH124&lt;&gt;"",IF(LOWER('Capacity summary'!AH124)="x",$BI5*AH5,VALUE('Capacity summary'!AH124)),0),AH5*$BI5),AH5*$BI5),0)</f>
        <v>34.615384615384613</v>
      </c>
      <c r="CL5" s="311">
        <f ca="1">IF($BI5&lt;&gt;"",IF('Capacity summary'!$D$14="Yes",IF(COUNTBLANK('Capacity summary'!$H124:$BG124)&lt;52,IF('Capacity summary'!AI124&lt;&gt;"",IF(LOWER('Capacity summary'!AI124)="x",$BI5*AI5,VALUE('Capacity summary'!AI124)),0),AI5*$BI5),AI5*$BI5),0)</f>
        <v>34.615384615384613</v>
      </c>
      <c r="CM5" s="311">
        <f ca="1">IF($BI5&lt;&gt;"",IF('Capacity summary'!$D$14="Yes",IF(COUNTBLANK('Capacity summary'!$H124:$BG124)&lt;52,IF('Capacity summary'!AJ124&lt;&gt;"",IF(LOWER('Capacity summary'!AJ124)="x",$BI5*AJ5,VALUE('Capacity summary'!AJ124)),0),AJ5*$BI5),AJ5*$BI5),0)</f>
        <v>34.615384615384613</v>
      </c>
      <c r="CN5" s="311">
        <f ca="1">IF($BI5&lt;&gt;"",IF('Capacity summary'!$D$14="Yes",IF(COUNTBLANK('Capacity summary'!$H124:$BG124)&lt;52,IF('Capacity summary'!AK124&lt;&gt;"",IF(LOWER('Capacity summary'!AK124)="x",$BI5*AK5,VALUE('Capacity summary'!AK124)),0),AK5*$BI5),AK5*$BI5),0)</f>
        <v>34.615384615384613</v>
      </c>
      <c r="CO5" s="311">
        <f ca="1">IF($BI5&lt;&gt;"",IF('Capacity summary'!$D$14="Yes",IF(COUNTBLANK('Capacity summary'!$H124:$BG124)&lt;52,IF('Capacity summary'!AL124&lt;&gt;"",IF(LOWER('Capacity summary'!AL124)="x",$BI5*AL5,VALUE('Capacity summary'!AL124)),0),AL5*$BI5),AL5*$BI5),0)</f>
        <v>34.615384615384613</v>
      </c>
      <c r="CP5" s="311">
        <f ca="1">IF($BI5&lt;&gt;"",IF('Capacity summary'!$D$14="Yes",IF(COUNTBLANK('Capacity summary'!$H124:$BG124)&lt;52,IF('Capacity summary'!AM124&lt;&gt;"",IF(LOWER('Capacity summary'!AM124)="x",$BI5*AM5,VALUE('Capacity summary'!AM124)),0),AM5*$BI5),AM5*$BI5),0)</f>
        <v>34.615384615384613</v>
      </c>
      <c r="CQ5" s="311">
        <f ca="1">IF($BI5&lt;&gt;"",IF('Capacity summary'!$D$14="Yes",IF(COUNTBLANK('Capacity summary'!$H124:$BG124)&lt;52,IF('Capacity summary'!AN124&lt;&gt;"",IF(LOWER('Capacity summary'!AN124)="x",$BI5*AN5,VALUE('Capacity summary'!AN124)),0),AN5*$BI5),AN5*$BI5),0)</f>
        <v>34.615384615384613</v>
      </c>
      <c r="CR5" s="311">
        <f ca="1">IF($BI5&lt;&gt;"",IF('Capacity summary'!$D$14="Yes",IF(COUNTBLANK('Capacity summary'!$H124:$BG124)&lt;52,IF('Capacity summary'!AO124&lt;&gt;"",IF(LOWER('Capacity summary'!AO124)="x",$BI5*AO5,VALUE('Capacity summary'!AO124)),0),AO5*$BI5),AO5*$BI5),0)</f>
        <v>34.615384615384613</v>
      </c>
      <c r="CS5" s="311">
        <f ca="1">IF($BI5&lt;&gt;"",IF('Capacity summary'!$D$14="Yes",IF(COUNTBLANK('Capacity summary'!$H124:$BG124)&lt;52,IF('Capacity summary'!AP124&lt;&gt;"",IF(LOWER('Capacity summary'!AP124)="x",$BI5*AP5,VALUE('Capacity summary'!AP124)),0),AP5*$BI5),AP5*$BI5),0)</f>
        <v>34.615384615384613</v>
      </c>
      <c r="CT5" s="311">
        <f ca="1">IF($BI5&lt;&gt;"",IF('Capacity summary'!$D$14="Yes",IF(COUNTBLANK('Capacity summary'!$H124:$BG124)&lt;52,IF('Capacity summary'!AQ124&lt;&gt;"",IF(LOWER('Capacity summary'!AQ124)="x",$BI5*AQ5,VALUE('Capacity summary'!AQ124)),0),AQ5*$BI5),AQ5*$BI5),0)</f>
        <v>34.615384615384613</v>
      </c>
      <c r="CU5" s="311">
        <f ca="1">IF($BI5&lt;&gt;"",IF('Capacity summary'!$D$14="Yes",IF(COUNTBLANK('Capacity summary'!$H124:$BG124)&lt;52,IF('Capacity summary'!AR124&lt;&gt;"",IF(LOWER('Capacity summary'!AR124)="x",$BI5*AR5,VALUE('Capacity summary'!AR124)),0),AR5*$BI5),AR5*$BI5),0)</f>
        <v>34.615384615384613</v>
      </c>
      <c r="CV5" s="311">
        <f ca="1">IF($BI5&lt;&gt;"",IF('Capacity summary'!$D$14="Yes",IF(COUNTBLANK('Capacity summary'!$H124:$BG124)&lt;52,IF('Capacity summary'!AS124&lt;&gt;"",IF(LOWER('Capacity summary'!AS124)="x",$BI5*AS5,VALUE('Capacity summary'!AS124)),0),AS5*$BI5),AS5*$BI5),0)</f>
        <v>34.615384615384613</v>
      </c>
      <c r="CW5" s="311">
        <f ca="1">IF($BI5&lt;&gt;"",IF('Capacity summary'!$D$14="Yes",IF(COUNTBLANK('Capacity summary'!$H124:$BG124)&lt;52,IF('Capacity summary'!AT124&lt;&gt;"",IF(LOWER('Capacity summary'!AT124)="x",$BI5*AT5,VALUE('Capacity summary'!AT124)),0),AT5*$BI5),AT5*$BI5),0)</f>
        <v>34.615384615384613</v>
      </c>
      <c r="CX5" s="311">
        <f ca="1">IF($BI5&lt;&gt;"",IF('Capacity summary'!$D$14="Yes",IF(COUNTBLANK('Capacity summary'!$H124:$BG124)&lt;52,IF('Capacity summary'!AU124&lt;&gt;"",IF(LOWER('Capacity summary'!AU124)="x",$BI5*AU5,VALUE('Capacity summary'!AU124)),0),AU5*$BI5),AU5*$BI5),0)</f>
        <v>34.615384615384613</v>
      </c>
      <c r="CY5" s="311">
        <f ca="1">IF($BI5&lt;&gt;"",IF('Capacity summary'!$D$14="Yes",IF(COUNTBLANK('Capacity summary'!$H124:$BG124)&lt;52,IF('Capacity summary'!AV124&lt;&gt;"",IF(LOWER('Capacity summary'!AV124)="x",$BI5*AV5,VALUE('Capacity summary'!AV124)),0),AV5*$BI5),AV5*$BI5),0)</f>
        <v>34.615384615384613</v>
      </c>
      <c r="CZ5" s="311">
        <f ca="1">IF($BI5&lt;&gt;"",IF('Capacity summary'!$D$14="Yes",IF(COUNTBLANK('Capacity summary'!$H124:$BG124)&lt;52,IF('Capacity summary'!AW124&lt;&gt;"",IF(LOWER('Capacity summary'!AW124)="x",$BI5*AW5,VALUE('Capacity summary'!AW124)),0),AW5*$BI5),AW5*$BI5),0)</f>
        <v>34.615384615384613</v>
      </c>
      <c r="DA5" s="311">
        <f ca="1">IF($BI5&lt;&gt;"",IF('Capacity summary'!$D$14="Yes",IF(COUNTBLANK('Capacity summary'!$H124:$BG124)&lt;52,IF('Capacity summary'!AX124&lt;&gt;"",IF(LOWER('Capacity summary'!AX124)="x",$BI5*AX5,VALUE('Capacity summary'!AX124)),0),AX5*$BI5),AX5*$BI5),0)</f>
        <v>34.615384615384613</v>
      </c>
      <c r="DB5" s="311">
        <f ca="1">IF($BI5&lt;&gt;"",IF('Capacity summary'!$D$14="Yes",IF(COUNTBLANK('Capacity summary'!$H124:$BG124)&lt;52,IF('Capacity summary'!AY124&lt;&gt;"",IF(LOWER('Capacity summary'!AY124)="x",$BI5*AY5,VALUE('Capacity summary'!AY124)),0),AY5*$BI5),AY5*$BI5),0)</f>
        <v>34.615384615384613</v>
      </c>
      <c r="DC5" s="311">
        <f ca="1">IF($BI5&lt;&gt;"",IF('Capacity summary'!$D$14="Yes",IF(COUNTBLANK('Capacity summary'!$H124:$BG124)&lt;52,IF('Capacity summary'!AZ124&lt;&gt;"",IF(LOWER('Capacity summary'!AZ124)="x",$BI5*AZ5,VALUE('Capacity summary'!AZ124)),0),AZ5*$BI5),AZ5*$BI5),0)</f>
        <v>34.615384615384613</v>
      </c>
      <c r="DD5" s="311">
        <f ca="1">IF($BI5&lt;&gt;"",IF('Capacity summary'!$D$14="Yes",IF(COUNTBLANK('Capacity summary'!$H124:$BG124)&lt;52,IF('Capacity summary'!BA124&lt;&gt;"",IF(LOWER('Capacity summary'!BA124)="x",$BI5*BA5,VALUE('Capacity summary'!BA124)),0),BA5*$BI5),BA5*$BI5),0)</f>
        <v>34.615384615384613</v>
      </c>
      <c r="DE5" s="311">
        <f ca="1">IF($BI5&lt;&gt;"",IF('Capacity summary'!$D$14="Yes",IF(COUNTBLANK('Capacity summary'!$H124:$BG124)&lt;52,IF('Capacity summary'!BB124&lt;&gt;"",IF(LOWER('Capacity summary'!BB124)="x",$BI5*BB5,VALUE('Capacity summary'!BB124)),0),BB5*$BI5),BB5*$BI5),0)</f>
        <v>34.615384615384613</v>
      </c>
      <c r="DF5" s="311">
        <f ca="1">IF($BI5&lt;&gt;"",IF('Capacity summary'!$D$14="Yes",IF(COUNTBLANK('Capacity summary'!$H124:$BG124)&lt;52,IF('Capacity summary'!BC124&lt;&gt;"",IF(LOWER('Capacity summary'!BC124)="x",$BI5*BC5,VALUE('Capacity summary'!BC124)),0),BC5*$BI5),BC5*$BI5),0)</f>
        <v>34.615384615384613</v>
      </c>
      <c r="DG5" s="311">
        <f ca="1">IF($BI5&lt;&gt;"",IF('Capacity summary'!$D$14="Yes",IF(COUNTBLANK('Capacity summary'!$H124:$BG124)&lt;52,IF('Capacity summary'!BD124&lt;&gt;"",IF(LOWER('Capacity summary'!BD124)="x",$BI5*BD5,VALUE('Capacity summary'!BD124)),0),BD5*$BI5),BD5*$BI5),0)</f>
        <v>34.615384615384613</v>
      </c>
      <c r="DH5" s="311">
        <f ca="1">IF($BI5&lt;&gt;"",IF('Capacity summary'!$D$14="Yes",IF(COUNTBLANK('Capacity summary'!$H124:$BG124)&lt;52,IF('Capacity summary'!BE124&lt;&gt;"",IF(LOWER('Capacity summary'!BE124)="x",$BI5*BE5,VALUE('Capacity summary'!BE124)),0),BE5*$BI5),BE5*$BI5),0)</f>
        <v>34.615384615384613</v>
      </c>
      <c r="DI5" s="311">
        <f ca="1">IF($BI5&lt;&gt;"",IF('Capacity summary'!$D$14="Yes",IF(COUNTBLANK('Capacity summary'!$H124:$BG124)&lt;52,IF('Capacity summary'!BF124&lt;&gt;"",IF(LOWER('Capacity summary'!BF124)="x",$BI5*BF5,VALUE('Capacity summary'!BF124)),0),BF5*$BI5),BF5*$BI5),0)</f>
        <v>34.615384615384613</v>
      </c>
      <c r="DJ5" s="311">
        <f ca="1">IF($BI5&lt;&gt;"",IF('Capacity summary'!$D$14="Yes",IF(COUNTBLANK('Capacity summary'!$H124:$BG124)&lt;52,IF('Capacity summary'!BG124&lt;&gt;"",IF(LOWER('Capacity summary'!BG124)="x",$BI5*BG5,VALUE('Capacity summary'!BG124)),0),BG5*$BI5),BG5*$BI5),0)</f>
        <v>34.615384615384613</v>
      </c>
      <c r="DK5" s="388">
        <f t="shared" ref="DK5:DK68" ca="1" si="2">DJ5</f>
        <v>34.615384615384613</v>
      </c>
      <c r="DL5" s="136">
        <f t="shared" ref="DL5:DL68" ca="1" si="3">SUM(BK5:DJ5)</f>
        <v>1799.9999999999986</v>
      </c>
      <c r="DM5" s="311">
        <f>Capacity!H17</f>
        <v>1800</v>
      </c>
      <c r="DQ5" s="5"/>
    </row>
    <row r="6" spans="1:121" x14ac:dyDescent="0.2">
      <c r="A6" s="67">
        <f>IF(Capacity!L18='Capacity summary'!BI125,1,0)</f>
        <v>1</v>
      </c>
      <c r="B6" s="67">
        <f>IF(Capacity!V18='Capacity summary'!BI25,1,0)</f>
        <v>1</v>
      </c>
      <c r="C6" s="67" t="str">
        <f>ROW(A2)&amp;". "&amp;Capacity!B18</f>
        <v>2. Slot B</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51.92307692307692</v>
      </c>
      <c r="BK6" s="311">
        <f ca="1">IF($BI6&lt;&gt;"",IF('Capacity summary'!$D$14="Yes",IF(COUNTBLANK('Capacity summary'!$H125:$BG125)&lt;52,IF('Capacity summary'!H125&lt;&gt;"",IF(LOWER('Capacity summary'!H125)="x",$BI6*H6,VALUE('Capacity summary'!H125)),0),H6*$BI6),H6*$BI6),0)</f>
        <v>51.92307692307692</v>
      </c>
      <c r="BL6" s="311">
        <f ca="1">IF($BI6&lt;&gt;"",IF('Capacity summary'!$D$14="Yes",IF(COUNTBLANK('Capacity summary'!$H125:$BG125)&lt;52,IF('Capacity summary'!I125&lt;&gt;"",IF(LOWER('Capacity summary'!I125)="x",$BI6*I6,VALUE('Capacity summary'!I125)),0),I6*$BI6),I6*$BI6),0)</f>
        <v>51.92307692307692</v>
      </c>
      <c r="BM6" s="311">
        <f ca="1">IF($BI6&lt;&gt;"",IF('Capacity summary'!$D$14="Yes",IF(COUNTBLANK('Capacity summary'!$H125:$BG125)&lt;52,IF('Capacity summary'!J125&lt;&gt;"",IF(LOWER('Capacity summary'!J125)="x",$BI6*J6,VALUE('Capacity summary'!J125)),0),J6*$BI6),J6*$BI6),0)</f>
        <v>51.92307692307692</v>
      </c>
      <c r="BN6" s="311">
        <f ca="1">IF($BI6&lt;&gt;"",IF('Capacity summary'!$D$14="Yes",IF(COUNTBLANK('Capacity summary'!$H125:$BG125)&lt;52,IF('Capacity summary'!K125&lt;&gt;"",IF(LOWER('Capacity summary'!K125)="x",$BI6*K6,VALUE('Capacity summary'!K125)),0),K6*$BI6),K6*$BI6),0)</f>
        <v>51.92307692307692</v>
      </c>
      <c r="BO6" s="311">
        <f ca="1">IF($BI6&lt;&gt;"",IF('Capacity summary'!$D$14="Yes",IF(COUNTBLANK('Capacity summary'!$H125:$BG125)&lt;52,IF('Capacity summary'!L125&lt;&gt;"",IF(LOWER('Capacity summary'!L125)="x",$BI6*L6,VALUE('Capacity summary'!L125)),0),L6*$BI6),L6*$BI6),0)</f>
        <v>51.92307692307692</v>
      </c>
      <c r="BP6" s="311">
        <f ca="1">IF($BI6&lt;&gt;"",IF('Capacity summary'!$D$14="Yes",IF(COUNTBLANK('Capacity summary'!$H125:$BG125)&lt;52,IF('Capacity summary'!M125&lt;&gt;"",IF(LOWER('Capacity summary'!M125)="x",$BI6*M6,VALUE('Capacity summary'!M125)),0),M6*$BI6),M6*$BI6),0)</f>
        <v>51.92307692307692</v>
      </c>
      <c r="BQ6" s="311">
        <f ca="1">IF($BI6&lt;&gt;"",IF('Capacity summary'!$D$14="Yes",IF(COUNTBLANK('Capacity summary'!$H125:$BG125)&lt;52,IF('Capacity summary'!N125&lt;&gt;"",IF(LOWER('Capacity summary'!N125)="x",$BI6*N6,VALUE('Capacity summary'!N125)),0),N6*$BI6),N6*$BI6),0)</f>
        <v>51.92307692307692</v>
      </c>
      <c r="BR6" s="311">
        <f ca="1">IF($BI6&lt;&gt;"",IF('Capacity summary'!$D$14="Yes",IF(COUNTBLANK('Capacity summary'!$H125:$BG125)&lt;52,IF('Capacity summary'!O125&lt;&gt;"",IF(LOWER('Capacity summary'!O125)="x",$BI6*O6,VALUE('Capacity summary'!O125)),0),O6*$BI6),O6*$BI6),0)</f>
        <v>51.92307692307692</v>
      </c>
      <c r="BS6" s="311">
        <f ca="1">IF($BI6&lt;&gt;"",IF('Capacity summary'!$D$14="Yes",IF(COUNTBLANK('Capacity summary'!$H125:$BG125)&lt;52,IF('Capacity summary'!P125&lt;&gt;"",IF(LOWER('Capacity summary'!P125)="x",$BI6*P6,VALUE('Capacity summary'!P125)),0),P6*$BI6),P6*$BI6),0)</f>
        <v>51.92307692307692</v>
      </c>
      <c r="BT6" s="311">
        <f ca="1">IF($BI6&lt;&gt;"",IF('Capacity summary'!$D$14="Yes",IF(COUNTBLANK('Capacity summary'!$H125:$BG125)&lt;52,IF('Capacity summary'!Q125&lt;&gt;"",IF(LOWER('Capacity summary'!Q125)="x",$BI6*Q6,VALUE('Capacity summary'!Q125)),0),Q6*$BI6),Q6*$BI6),0)</f>
        <v>51.92307692307692</v>
      </c>
      <c r="BU6" s="311">
        <f ca="1">IF($BI6&lt;&gt;"",IF('Capacity summary'!$D$14="Yes",IF(COUNTBLANK('Capacity summary'!$H125:$BG125)&lt;52,IF('Capacity summary'!R125&lt;&gt;"",IF(LOWER('Capacity summary'!R125)="x",$BI6*R6,VALUE('Capacity summary'!R125)),0),R6*$BI6),R6*$BI6),0)</f>
        <v>51.92307692307692</v>
      </c>
      <c r="BV6" s="311">
        <f ca="1">IF($BI6&lt;&gt;"",IF('Capacity summary'!$D$14="Yes",IF(COUNTBLANK('Capacity summary'!$H125:$BG125)&lt;52,IF('Capacity summary'!S125&lt;&gt;"",IF(LOWER('Capacity summary'!S125)="x",$BI6*S6,VALUE('Capacity summary'!S125)),0),S6*$BI6),S6*$BI6),0)</f>
        <v>51.92307692307692</v>
      </c>
      <c r="BW6" s="311">
        <f ca="1">IF($BI6&lt;&gt;"",IF('Capacity summary'!$D$14="Yes",IF(COUNTBLANK('Capacity summary'!$H125:$BG125)&lt;52,IF('Capacity summary'!T125&lt;&gt;"",IF(LOWER('Capacity summary'!T125)="x",$BI6*T6,VALUE('Capacity summary'!T125)),0),T6*$BI6),T6*$BI6),0)</f>
        <v>51.92307692307692</v>
      </c>
      <c r="BX6" s="311">
        <f ca="1">IF($BI6&lt;&gt;"",IF('Capacity summary'!$D$14="Yes",IF(COUNTBLANK('Capacity summary'!$H125:$BG125)&lt;52,IF('Capacity summary'!U125&lt;&gt;"",IF(LOWER('Capacity summary'!U125)="x",$BI6*U6,VALUE('Capacity summary'!U125)),0),U6*$BI6),U6*$BI6),0)</f>
        <v>51.92307692307692</v>
      </c>
      <c r="BY6" s="311">
        <f ca="1">IF($BI6&lt;&gt;"",IF('Capacity summary'!$D$14="Yes",IF(COUNTBLANK('Capacity summary'!$H125:$BG125)&lt;52,IF('Capacity summary'!V125&lt;&gt;"",IF(LOWER('Capacity summary'!V125)="x",$BI6*V6,VALUE('Capacity summary'!V125)),0),V6*$BI6),V6*$BI6),0)</f>
        <v>51.92307692307692</v>
      </c>
      <c r="BZ6" s="311">
        <f ca="1">IF($BI6&lt;&gt;"",IF('Capacity summary'!$D$14="Yes",IF(COUNTBLANK('Capacity summary'!$H125:$BG125)&lt;52,IF('Capacity summary'!W125&lt;&gt;"",IF(LOWER('Capacity summary'!W125)="x",$BI6*W6,VALUE('Capacity summary'!W125)),0),W6*$BI6),W6*$BI6),0)</f>
        <v>51.92307692307692</v>
      </c>
      <c r="CA6" s="311">
        <f ca="1">IF($BI6&lt;&gt;"",IF('Capacity summary'!$D$14="Yes",IF(COUNTBLANK('Capacity summary'!$H125:$BG125)&lt;52,IF('Capacity summary'!X125&lt;&gt;"",IF(LOWER('Capacity summary'!X125)="x",$BI6*X6,VALUE('Capacity summary'!X125)),0),X6*$BI6),X6*$BI6),0)</f>
        <v>51.92307692307692</v>
      </c>
      <c r="CB6" s="311">
        <f ca="1">IF($BI6&lt;&gt;"",IF('Capacity summary'!$D$14="Yes",IF(COUNTBLANK('Capacity summary'!$H125:$BG125)&lt;52,IF('Capacity summary'!Y125&lt;&gt;"",IF(LOWER('Capacity summary'!Y125)="x",$BI6*Y6,VALUE('Capacity summary'!Y125)),0),Y6*$BI6),Y6*$BI6),0)</f>
        <v>51.92307692307692</v>
      </c>
      <c r="CC6" s="311">
        <f ca="1">IF($BI6&lt;&gt;"",IF('Capacity summary'!$D$14="Yes",IF(COUNTBLANK('Capacity summary'!$H125:$BG125)&lt;52,IF('Capacity summary'!Z125&lt;&gt;"",IF(LOWER('Capacity summary'!Z125)="x",$BI6*Z6,VALUE('Capacity summary'!Z125)),0),Z6*$BI6),Z6*$BI6),0)</f>
        <v>51.92307692307692</v>
      </c>
      <c r="CD6" s="311">
        <f ca="1">IF($BI6&lt;&gt;"",IF('Capacity summary'!$D$14="Yes",IF(COUNTBLANK('Capacity summary'!$H125:$BG125)&lt;52,IF('Capacity summary'!AA125&lt;&gt;"",IF(LOWER('Capacity summary'!AA125)="x",$BI6*AA6,VALUE('Capacity summary'!AA125)),0),AA6*$BI6),AA6*$BI6),0)</f>
        <v>51.92307692307692</v>
      </c>
      <c r="CE6" s="311">
        <f ca="1">IF($BI6&lt;&gt;"",IF('Capacity summary'!$D$14="Yes",IF(COUNTBLANK('Capacity summary'!$H125:$BG125)&lt;52,IF('Capacity summary'!AB125&lt;&gt;"",IF(LOWER('Capacity summary'!AB125)="x",$BI6*AB6,VALUE('Capacity summary'!AB125)),0),AB6*$BI6),AB6*$BI6),0)</f>
        <v>51.92307692307692</v>
      </c>
      <c r="CF6" s="311">
        <f ca="1">IF($BI6&lt;&gt;"",IF('Capacity summary'!$D$14="Yes",IF(COUNTBLANK('Capacity summary'!$H125:$BG125)&lt;52,IF('Capacity summary'!AC125&lt;&gt;"",IF(LOWER('Capacity summary'!AC125)="x",$BI6*AC6,VALUE('Capacity summary'!AC125)),0),AC6*$BI6),AC6*$BI6),0)</f>
        <v>51.92307692307692</v>
      </c>
      <c r="CG6" s="311">
        <f ca="1">IF($BI6&lt;&gt;"",IF('Capacity summary'!$D$14="Yes",IF(COUNTBLANK('Capacity summary'!$H125:$BG125)&lt;52,IF('Capacity summary'!AD125&lt;&gt;"",IF(LOWER('Capacity summary'!AD125)="x",$BI6*AD6,VALUE('Capacity summary'!AD125)),0),AD6*$BI6),AD6*$BI6),0)</f>
        <v>51.92307692307692</v>
      </c>
      <c r="CH6" s="311">
        <f ca="1">IF($BI6&lt;&gt;"",IF('Capacity summary'!$D$14="Yes",IF(COUNTBLANK('Capacity summary'!$H125:$BG125)&lt;52,IF('Capacity summary'!AE125&lt;&gt;"",IF(LOWER('Capacity summary'!AE125)="x",$BI6*AE6,VALUE('Capacity summary'!AE125)),0),AE6*$BI6),AE6*$BI6),0)</f>
        <v>51.92307692307692</v>
      </c>
      <c r="CI6" s="311">
        <f ca="1">IF($BI6&lt;&gt;"",IF('Capacity summary'!$D$14="Yes",IF(COUNTBLANK('Capacity summary'!$H125:$BG125)&lt;52,IF('Capacity summary'!AF125&lt;&gt;"",IF(LOWER('Capacity summary'!AF125)="x",$BI6*AF6,VALUE('Capacity summary'!AF125)),0),AF6*$BI6),AF6*$BI6),0)</f>
        <v>51.92307692307692</v>
      </c>
      <c r="CJ6" s="311">
        <f ca="1">IF($BI6&lt;&gt;"",IF('Capacity summary'!$D$14="Yes",IF(COUNTBLANK('Capacity summary'!$H125:$BG125)&lt;52,IF('Capacity summary'!AG125&lt;&gt;"",IF(LOWER('Capacity summary'!AG125)="x",$BI6*AG6,VALUE('Capacity summary'!AG125)),0),AG6*$BI6),AG6*$BI6),0)</f>
        <v>51.92307692307692</v>
      </c>
      <c r="CK6" s="311">
        <f ca="1">IF($BI6&lt;&gt;"",IF('Capacity summary'!$D$14="Yes",IF(COUNTBLANK('Capacity summary'!$H125:$BG125)&lt;52,IF('Capacity summary'!AH125&lt;&gt;"",IF(LOWER('Capacity summary'!AH125)="x",$BI6*AH6,VALUE('Capacity summary'!AH125)),0),AH6*$BI6),AH6*$BI6),0)</f>
        <v>51.92307692307692</v>
      </c>
      <c r="CL6" s="311">
        <f ca="1">IF($BI6&lt;&gt;"",IF('Capacity summary'!$D$14="Yes",IF(COUNTBLANK('Capacity summary'!$H125:$BG125)&lt;52,IF('Capacity summary'!AI125&lt;&gt;"",IF(LOWER('Capacity summary'!AI125)="x",$BI6*AI6,VALUE('Capacity summary'!AI125)),0),AI6*$BI6),AI6*$BI6),0)</f>
        <v>51.92307692307692</v>
      </c>
      <c r="CM6" s="311">
        <f ca="1">IF($BI6&lt;&gt;"",IF('Capacity summary'!$D$14="Yes",IF(COUNTBLANK('Capacity summary'!$H125:$BG125)&lt;52,IF('Capacity summary'!AJ125&lt;&gt;"",IF(LOWER('Capacity summary'!AJ125)="x",$BI6*AJ6,VALUE('Capacity summary'!AJ125)),0),AJ6*$BI6),AJ6*$BI6),0)</f>
        <v>51.92307692307692</v>
      </c>
      <c r="CN6" s="311">
        <f ca="1">IF($BI6&lt;&gt;"",IF('Capacity summary'!$D$14="Yes",IF(COUNTBLANK('Capacity summary'!$H125:$BG125)&lt;52,IF('Capacity summary'!AK125&lt;&gt;"",IF(LOWER('Capacity summary'!AK125)="x",$BI6*AK6,VALUE('Capacity summary'!AK125)),0),AK6*$BI6),AK6*$BI6),0)</f>
        <v>51.92307692307692</v>
      </c>
      <c r="CO6" s="311">
        <f ca="1">IF($BI6&lt;&gt;"",IF('Capacity summary'!$D$14="Yes",IF(COUNTBLANK('Capacity summary'!$H125:$BG125)&lt;52,IF('Capacity summary'!AL125&lt;&gt;"",IF(LOWER('Capacity summary'!AL125)="x",$BI6*AL6,VALUE('Capacity summary'!AL125)),0),AL6*$BI6),AL6*$BI6),0)</f>
        <v>51.92307692307692</v>
      </c>
      <c r="CP6" s="311">
        <f ca="1">IF($BI6&lt;&gt;"",IF('Capacity summary'!$D$14="Yes",IF(COUNTBLANK('Capacity summary'!$H125:$BG125)&lt;52,IF('Capacity summary'!AM125&lt;&gt;"",IF(LOWER('Capacity summary'!AM125)="x",$BI6*AM6,VALUE('Capacity summary'!AM125)),0),AM6*$BI6),AM6*$BI6),0)</f>
        <v>51.92307692307692</v>
      </c>
      <c r="CQ6" s="311">
        <f ca="1">IF($BI6&lt;&gt;"",IF('Capacity summary'!$D$14="Yes",IF(COUNTBLANK('Capacity summary'!$H125:$BG125)&lt;52,IF('Capacity summary'!AN125&lt;&gt;"",IF(LOWER('Capacity summary'!AN125)="x",$BI6*AN6,VALUE('Capacity summary'!AN125)),0),AN6*$BI6),AN6*$BI6),0)</f>
        <v>51.92307692307692</v>
      </c>
      <c r="CR6" s="311">
        <f ca="1">IF($BI6&lt;&gt;"",IF('Capacity summary'!$D$14="Yes",IF(COUNTBLANK('Capacity summary'!$H125:$BG125)&lt;52,IF('Capacity summary'!AO125&lt;&gt;"",IF(LOWER('Capacity summary'!AO125)="x",$BI6*AO6,VALUE('Capacity summary'!AO125)),0),AO6*$BI6),AO6*$BI6),0)</f>
        <v>51.92307692307692</v>
      </c>
      <c r="CS6" s="311">
        <f ca="1">IF($BI6&lt;&gt;"",IF('Capacity summary'!$D$14="Yes",IF(COUNTBLANK('Capacity summary'!$H125:$BG125)&lt;52,IF('Capacity summary'!AP125&lt;&gt;"",IF(LOWER('Capacity summary'!AP125)="x",$BI6*AP6,VALUE('Capacity summary'!AP125)),0),AP6*$BI6),AP6*$BI6),0)</f>
        <v>51.92307692307692</v>
      </c>
      <c r="CT6" s="311">
        <f ca="1">IF($BI6&lt;&gt;"",IF('Capacity summary'!$D$14="Yes",IF(COUNTBLANK('Capacity summary'!$H125:$BG125)&lt;52,IF('Capacity summary'!AQ125&lt;&gt;"",IF(LOWER('Capacity summary'!AQ125)="x",$BI6*AQ6,VALUE('Capacity summary'!AQ125)),0),AQ6*$BI6),AQ6*$BI6),0)</f>
        <v>51.92307692307692</v>
      </c>
      <c r="CU6" s="311">
        <f ca="1">IF($BI6&lt;&gt;"",IF('Capacity summary'!$D$14="Yes",IF(COUNTBLANK('Capacity summary'!$H125:$BG125)&lt;52,IF('Capacity summary'!AR125&lt;&gt;"",IF(LOWER('Capacity summary'!AR125)="x",$BI6*AR6,VALUE('Capacity summary'!AR125)),0),AR6*$BI6),AR6*$BI6),0)</f>
        <v>51.92307692307692</v>
      </c>
      <c r="CV6" s="311">
        <f ca="1">IF($BI6&lt;&gt;"",IF('Capacity summary'!$D$14="Yes",IF(COUNTBLANK('Capacity summary'!$H125:$BG125)&lt;52,IF('Capacity summary'!AS125&lt;&gt;"",IF(LOWER('Capacity summary'!AS125)="x",$BI6*AS6,VALUE('Capacity summary'!AS125)),0),AS6*$BI6),AS6*$BI6),0)</f>
        <v>51.92307692307692</v>
      </c>
      <c r="CW6" s="311">
        <f ca="1">IF($BI6&lt;&gt;"",IF('Capacity summary'!$D$14="Yes",IF(COUNTBLANK('Capacity summary'!$H125:$BG125)&lt;52,IF('Capacity summary'!AT125&lt;&gt;"",IF(LOWER('Capacity summary'!AT125)="x",$BI6*AT6,VALUE('Capacity summary'!AT125)),0),AT6*$BI6),AT6*$BI6),0)</f>
        <v>51.92307692307692</v>
      </c>
      <c r="CX6" s="311">
        <f ca="1">IF($BI6&lt;&gt;"",IF('Capacity summary'!$D$14="Yes",IF(COUNTBLANK('Capacity summary'!$H125:$BG125)&lt;52,IF('Capacity summary'!AU125&lt;&gt;"",IF(LOWER('Capacity summary'!AU125)="x",$BI6*AU6,VALUE('Capacity summary'!AU125)),0),AU6*$BI6),AU6*$BI6),0)</f>
        <v>51.92307692307692</v>
      </c>
      <c r="CY6" s="311">
        <f ca="1">IF($BI6&lt;&gt;"",IF('Capacity summary'!$D$14="Yes",IF(COUNTBLANK('Capacity summary'!$H125:$BG125)&lt;52,IF('Capacity summary'!AV125&lt;&gt;"",IF(LOWER('Capacity summary'!AV125)="x",$BI6*AV6,VALUE('Capacity summary'!AV125)),0),AV6*$BI6),AV6*$BI6),0)</f>
        <v>51.92307692307692</v>
      </c>
      <c r="CZ6" s="311">
        <f ca="1">IF($BI6&lt;&gt;"",IF('Capacity summary'!$D$14="Yes",IF(COUNTBLANK('Capacity summary'!$H125:$BG125)&lt;52,IF('Capacity summary'!AW125&lt;&gt;"",IF(LOWER('Capacity summary'!AW125)="x",$BI6*AW6,VALUE('Capacity summary'!AW125)),0),AW6*$BI6),AW6*$BI6),0)</f>
        <v>51.92307692307692</v>
      </c>
      <c r="DA6" s="311">
        <f ca="1">IF($BI6&lt;&gt;"",IF('Capacity summary'!$D$14="Yes",IF(COUNTBLANK('Capacity summary'!$H125:$BG125)&lt;52,IF('Capacity summary'!AX125&lt;&gt;"",IF(LOWER('Capacity summary'!AX125)="x",$BI6*AX6,VALUE('Capacity summary'!AX125)),0),AX6*$BI6),AX6*$BI6),0)</f>
        <v>51.92307692307692</v>
      </c>
      <c r="DB6" s="311">
        <f ca="1">IF($BI6&lt;&gt;"",IF('Capacity summary'!$D$14="Yes",IF(COUNTBLANK('Capacity summary'!$H125:$BG125)&lt;52,IF('Capacity summary'!AY125&lt;&gt;"",IF(LOWER('Capacity summary'!AY125)="x",$BI6*AY6,VALUE('Capacity summary'!AY125)),0),AY6*$BI6),AY6*$BI6),0)</f>
        <v>51.92307692307692</v>
      </c>
      <c r="DC6" s="311">
        <f ca="1">IF($BI6&lt;&gt;"",IF('Capacity summary'!$D$14="Yes",IF(COUNTBLANK('Capacity summary'!$H125:$BG125)&lt;52,IF('Capacity summary'!AZ125&lt;&gt;"",IF(LOWER('Capacity summary'!AZ125)="x",$BI6*AZ6,VALUE('Capacity summary'!AZ125)),0),AZ6*$BI6),AZ6*$BI6),0)</f>
        <v>51.92307692307692</v>
      </c>
      <c r="DD6" s="311">
        <f ca="1">IF($BI6&lt;&gt;"",IF('Capacity summary'!$D$14="Yes",IF(COUNTBLANK('Capacity summary'!$H125:$BG125)&lt;52,IF('Capacity summary'!BA125&lt;&gt;"",IF(LOWER('Capacity summary'!BA125)="x",$BI6*BA6,VALUE('Capacity summary'!BA125)),0),BA6*$BI6),BA6*$BI6),0)</f>
        <v>51.92307692307692</v>
      </c>
      <c r="DE6" s="311">
        <f ca="1">IF($BI6&lt;&gt;"",IF('Capacity summary'!$D$14="Yes",IF(COUNTBLANK('Capacity summary'!$H125:$BG125)&lt;52,IF('Capacity summary'!BB125&lt;&gt;"",IF(LOWER('Capacity summary'!BB125)="x",$BI6*BB6,VALUE('Capacity summary'!BB125)),0),BB6*$BI6),BB6*$BI6),0)</f>
        <v>51.92307692307692</v>
      </c>
      <c r="DF6" s="311">
        <f ca="1">IF($BI6&lt;&gt;"",IF('Capacity summary'!$D$14="Yes",IF(COUNTBLANK('Capacity summary'!$H125:$BG125)&lt;52,IF('Capacity summary'!BC125&lt;&gt;"",IF(LOWER('Capacity summary'!BC125)="x",$BI6*BC6,VALUE('Capacity summary'!BC125)),0),BC6*$BI6),BC6*$BI6),0)</f>
        <v>51.92307692307692</v>
      </c>
      <c r="DG6" s="311">
        <f ca="1">IF($BI6&lt;&gt;"",IF('Capacity summary'!$D$14="Yes",IF(COUNTBLANK('Capacity summary'!$H125:$BG125)&lt;52,IF('Capacity summary'!BD125&lt;&gt;"",IF(LOWER('Capacity summary'!BD125)="x",$BI6*BD6,VALUE('Capacity summary'!BD125)),0),BD6*$BI6),BD6*$BI6),0)</f>
        <v>51.92307692307692</v>
      </c>
      <c r="DH6" s="311">
        <f ca="1">IF($BI6&lt;&gt;"",IF('Capacity summary'!$D$14="Yes",IF(COUNTBLANK('Capacity summary'!$H125:$BG125)&lt;52,IF('Capacity summary'!BE125&lt;&gt;"",IF(LOWER('Capacity summary'!BE125)="x",$BI6*BE6,VALUE('Capacity summary'!BE125)),0),BE6*$BI6),BE6*$BI6),0)</f>
        <v>51.92307692307692</v>
      </c>
      <c r="DI6" s="311">
        <f ca="1">IF($BI6&lt;&gt;"",IF('Capacity summary'!$D$14="Yes",IF(COUNTBLANK('Capacity summary'!$H125:$BG125)&lt;52,IF('Capacity summary'!BF125&lt;&gt;"",IF(LOWER('Capacity summary'!BF125)="x",$BI6*BF6,VALUE('Capacity summary'!BF125)),0),BF6*$BI6),BF6*$BI6),0)</f>
        <v>51.92307692307692</v>
      </c>
      <c r="DJ6" s="311">
        <f ca="1">IF($BI6&lt;&gt;"",IF('Capacity summary'!$D$14="Yes",IF(COUNTBLANK('Capacity summary'!$H125:$BG125)&lt;52,IF('Capacity summary'!BG125&lt;&gt;"",IF(LOWER('Capacity summary'!BG125)="x",$BI6*BG6,VALUE('Capacity summary'!BG125)),0),BG6*$BI6),BG6*$BI6),0)</f>
        <v>51.92307692307692</v>
      </c>
      <c r="DK6" s="388">
        <f t="shared" ca="1" si="2"/>
        <v>51.92307692307692</v>
      </c>
      <c r="DL6" s="136">
        <f t="shared" ca="1" si="3"/>
        <v>2700.0000000000023</v>
      </c>
      <c r="DM6" s="311">
        <f>Capacity!H18</f>
        <v>2700</v>
      </c>
      <c r="DQ6" s="5"/>
    </row>
    <row r="7" spans="1:121" x14ac:dyDescent="0.2">
      <c r="A7" s="67">
        <f>IF(Capacity!L19='Capacity summary'!BI126,1,0)</f>
        <v>1</v>
      </c>
      <c r="B7" s="67">
        <f>IF(Capacity!V19='Capacity summary'!BI26,1,0)</f>
        <v>1</v>
      </c>
      <c r="C7" s="67" t="str">
        <f>ROW(A3)&amp;". "&amp;Capacity!B19</f>
        <v>3. 2 ww</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190.38461538461539</v>
      </c>
      <c r="BK7" s="311">
        <f ca="1">IF($BI7&lt;&gt;"",IF('Capacity summary'!$D$14="Yes",IF(COUNTBLANK('Capacity summary'!$H126:$BG126)&lt;52,IF('Capacity summary'!H126&lt;&gt;"",IF(LOWER('Capacity summary'!H126)="x",$BI7*H7,VALUE('Capacity summary'!H126)),0),H7*$BI7),H7*$BI7),0)</f>
        <v>190.38461538461539</v>
      </c>
      <c r="BL7" s="311">
        <f ca="1">IF($BI7&lt;&gt;"",IF('Capacity summary'!$D$14="Yes",IF(COUNTBLANK('Capacity summary'!$H126:$BG126)&lt;52,IF('Capacity summary'!I126&lt;&gt;"",IF(LOWER('Capacity summary'!I126)="x",$BI7*I7,VALUE('Capacity summary'!I126)),0),I7*$BI7),I7*$BI7),0)</f>
        <v>190.38461538461539</v>
      </c>
      <c r="BM7" s="311">
        <f ca="1">IF($BI7&lt;&gt;"",IF('Capacity summary'!$D$14="Yes",IF(COUNTBLANK('Capacity summary'!$H126:$BG126)&lt;52,IF('Capacity summary'!J126&lt;&gt;"",IF(LOWER('Capacity summary'!J126)="x",$BI7*J7,VALUE('Capacity summary'!J126)),0),J7*$BI7),J7*$BI7),0)</f>
        <v>190.38461538461539</v>
      </c>
      <c r="BN7" s="311">
        <f ca="1">IF($BI7&lt;&gt;"",IF('Capacity summary'!$D$14="Yes",IF(COUNTBLANK('Capacity summary'!$H126:$BG126)&lt;52,IF('Capacity summary'!K126&lt;&gt;"",IF(LOWER('Capacity summary'!K126)="x",$BI7*K7,VALUE('Capacity summary'!K126)),0),K7*$BI7),K7*$BI7),0)</f>
        <v>190.38461538461539</v>
      </c>
      <c r="BO7" s="311">
        <f ca="1">IF($BI7&lt;&gt;"",IF('Capacity summary'!$D$14="Yes",IF(COUNTBLANK('Capacity summary'!$H126:$BG126)&lt;52,IF('Capacity summary'!L126&lt;&gt;"",IF(LOWER('Capacity summary'!L126)="x",$BI7*L7,VALUE('Capacity summary'!L126)),0),L7*$BI7),L7*$BI7),0)</f>
        <v>190.38461538461539</v>
      </c>
      <c r="BP7" s="311">
        <f ca="1">IF($BI7&lt;&gt;"",IF('Capacity summary'!$D$14="Yes",IF(COUNTBLANK('Capacity summary'!$H126:$BG126)&lt;52,IF('Capacity summary'!M126&lt;&gt;"",IF(LOWER('Capacity summary'!M126)="x",$BI7*M7,VALUE('Capacity summary'!M126)),0),M7*$BI7),M7*$BI7),0)</f>
        <v>190.38461538461539</v>
      </c>
      <c r="BQ7" s="311">
        <f ca="1">IF($BI7&lt;&gt;"",IF('Capacity summary'!$D$14="Yes",IF(COUNTBLANK('Capacity summary'!$H126:$BG126)&lt;52,IF('Capacity summary'!N126&lt;&gt;"",IF(LOWER('Capacity summary'!N126)="x",$BI7*N7,VALUE('Capacity summary'!N126)),0),N7*$BI7),N7*$BI7),0)</f>
        <v>190.38461538461539</v>
      </c>
      <c r="BR7" s="311">
        <f ca="1">IF($BI7&lt;&gt;"",IF('Capacity summary'!$D$14="Yes",IF(COUNTBLANK('Capacity summary'!$H126:$BG126)&lt;52,IF('Capacity summary'!O126&lt;&gt;"",IF(LOWER('Capacity summary'!O126)="x",$BI7*O7,VALUE('Capacity summary'!O126)),0),O7*$BI7),O7*$BI7),0)</f>
        <v>190.38461538461539</v>
      </c>
      <c r="BS7" s="311">
        <f ca="1">IF($BI7&lt;&gt;"",IF('Capacity summary'!$D$14="Yes",IF(COUNTBLANK('Capacity summary'!$H126:$BG126)&lt;52,IF('Capacity summary'!P126&lt;&gt;"",IF(LOWER('Capacity summary'!P126)="x",$BI7*P7,VALUE('Capacity summary'!P126)),0),P7*$BI7),P7*$BI7),0)</f>
        <v>190.38461538461539</v>
      </c>
      <c r="BT7" s="311">
        <f ca="1">IF($BI7&lt;&gt;"",IF('Capacity summary'!$D$14="Yes",IF(COUNTBLANK('Capacity summary'!$H126:$BG126)&lt;52,IF('Capacity summary'!Q126&lt;&gt;"",IF(LOWER('Capacity summary'!Q126)="x",$BI7*Q7,VALUE('Capacity summary'!Q126)),0),Q7*$BI7),Q7*$BI7),0)</f>
        <v>190.38461538461539</v>
      </c>
      <c r="BU7" s="311">
        <f ca="1">IF($BI7&lt;&gt;"",IF('Capacity summary'!$D$14="Yes",IF(COUNTBLANK('Capacity summary'!$H126:$BG126)&lt;52,IF('Capacity summary'!R126&lt;&gt;"",IF(LOWER('Capacity summary'!R126)="x",$BI7*R7,VALUE('Capacity summary'!R126)),0),R7*$BI7),R7*$BI7),0)</f>
        <v>190.38461538461539</v>
      </c>
      <c r="BV7" s="311">
        <f ca="1">IF($BI7&lt;&gt;"",IF('Capacity summary'!$D$14="Yes",IF(COUNTBLANK('Capacity summary'!$H126:$BG126)&lt;52,IF('Capacity summary'!S126&lt;&gt;"",IF(LOWER('Capacity summary'!S126)="x",$BI7*S7,VALUE('Capacity summary'!S126)),0),S7*$BI7),S7*$BI7),0)</f>
        <v>190.38461538461539</v>
      </c>
      <c r="BW7" s="311">
        <f ca="1">IF($BI7&lt;&gt;"",IF('Capacity summary'!$D$14="Yes",IF(COUNTBLANK('Capacity summary'!$H126:$BG126)&lt;52,IF('Capacity summary'!T126&lt;&gt;"",IF(LOWER('Capacity summary'!T126)="x",$BI7*T7,VALUE('Capacity summary'!T126)),0),T7*$BI7),T7*$BI7),0)</f>
        <v>190.38461538461539</v>
      </c>
      <c r="BX7" s="311">
        <f ca="1">IF($BI7&lt;&gt;"",IF('Capacity summary'!$D$14="Yes",IF(COUNTBLANK('Capacity summary'!$H126:$BG126)&lt;52,IF('Capacity summary'!U126&lt;&gt;"",IF(LOWER('Capacity summary'!U126)="x",$BI7*U7,VALUE('Capacity summary'!U126)),0),U7*$BI7),U7*$BI7),0)</f>
        <v>190.38461538461539</v>
      </c>
      <c r="BY7" s="311">
        <f ca="1">IF($BI7&lt;&gt;"",IF('Capacity summary'!$D$14="Yes",IF(COUNTBLANK('Capacity summary'!$H126:$BG126)&lt;52,IF('Capacity summary'!V126&lt;&gt;"",IF(LOWER('Capacity summary'!V126)="x",$BI7*V7,VALUE('Capacity summary'!V126)),0),V7*$BI7),V7*$BI7),0)</f>
        <v>190.38461538461539</v>
      </c>
      <c r="BZ7" s="311">
        <f ca="1">IF($BI7&lt;&gt;"",IF('Capacity summary'!$D$14="Yes",IF(COUNTBLANK('Capacity summary'!$H126:$BG126)&lt;52,IF('Capacity summary'!W126&lt;&gt;"",IF(LOWER('Capacity summary'!W126)="x",$BI7*W7,VALUE('Capacity summary'!W126)),0),W7*$BI7),W7*$BI7),0)</f>
        <v>190.38461538461539</v>
      </c>
      <c r="CA7" s="311">
        <f ca="1">IF($BI7&lt;&gt;"",IF('Capacity summary'!$D$14="Yes",IF(COUNTBLANK('Capacity summary'!$H126:$BG126)&lt;52,IF('Capacity summary'!X126&lt;&gt;"",IF(LOWER('Capacity summary'!X126)="x",$BI7*X7,VALUE('Capacity summary'!X126)),0),X7*$BI7),X7*$BI7),0)</f>
        <v>190.38461538461539</v>
      </c>
      <c r="CB7" s="311">
        <f ca="1">IF($BI7&lt;&gt;"",IF('Capacity summary'!$D$14="Yes",IF(COUNTBLANK('Capacity summary'!$H126:$BG126)&lt;52,IF('Capacity summary'!Y126&lt;&gt;"",IF(LOWER('Capacity summary'!Y126)="x",$BI7*Y7,VALUE('Capacity summary'!Y126)),0),Y7*$BI7),Y7*$BI7),0)</f>
        <v>190.38461538461539</v>
      </c>
      <c r="CC7" s="311">
        <f ca="1">IF($BI7&lt;&gt;"",IF('Capacity summary'!$D$14="Yes",IF(COUNTBLANK('Capacity summary'!$H126:$BG126)&lt;52,IF('Capacity summary'!Z126&lt;&gt;"",IF(LOWER('Capacity summary'!Z126)="x",$BI7*Z7,VALUE('Capacity summary'!Z126)),0),Z7*$BI7),Z7*$BI7),0)</f>
        <v>190.38461538461539</v>
      </c>
      <c r="CD7" s="311">
        <f ca="1">IF($BI7&lt;&gt;"",IF('Capacity summary'!$D$14="Yes",IF(COUNTBLANK('Capacity summary'!$H126:$BG126)&lt;52,IF('Capacity summary'!AA126&lt;&gt;"",IF(LOWER('Capacity summary'!AA126)="x",$BI7*AA7,VALUE('Capacity summary'!AA126)),0),AA7*$BI7),AA7*$BI7),0)</f>
        <v>190.38461538461539</v>
      </c>
      <c r="CE7" s="311">
        <f ca="1">IF($BI7&lt;&gt;"",IF('Capacity summary'!$D$14="Yes",IF(COUNTBLANK('Capacity summary'!$H126:$BG126)&lt;52,IF('Capacity summary'!AB126&lt;&gt;"",IF(LOWER('Capacity summary'!AB126)="x",$BI7*AB7,VALUE('Capacity summary'!AB126)),0),AB7*$BI7),AB7*$BI7),0)</f>
        <v>190.38461538461539</v>
      </c>
      <c r="CF7" s="311">
        <f ca="1">IF($BI7&lt;&gt;"",IF('Capacity summary'!$D$14="Yes",IF(COUNTBLANK('Capacity summary'!$H126:$BG126)&lt;52,IF('Capacity summary'!AC126&lt;&gt;"",IF(LOWER('Capacity summary'!AC126)="x",$BI7*AC7,VALUE('Capacity summary'!AC126)),0),AC7*$BI7),AC7*$BI7),0)</f>
        <v>190.38461538461539</v>
      </c>
      <c r="CG7" s="311">
        <f ca="1">IF($BI7&lt;&gt;"",IF('Capacity summary'!$D$14="Yes",IF(COUNTBLANK('Capacity summary'!$H126:$BG126)&lt;52,IF('Capacity summary'!AD126&lt;&gt;"",IF(LOWER('Capacity summary'!AD126)="x",$BI7*AD7,VALUE('Capacity summary'!AD126)),0),AD7*$BI7),AD7*$BI7),0)</f>
        <v>190.38461538461539</v>
      </c>
      <c r="CH7" s="311">
        <f ca="1">IF($BI7&lt;&gt;"",IF('Capacity summary'!$D$14="Yes",IF(COUNTBLANK('Capacity summary'!$H126:$BG126)&lt;52,IF('Capacity summary'!AE126&lt;&gt;"",IF(LOWER('Capacity summary'!AE126)="x",$BI7*AE7,VALUE('Capacity summary'!AE126)),0),AE7*$BI7),AE7*$BI7),0)</f>
        <v>190.38461538461539</v>
      </c>
      <c r="CI7" s="311">
        <f ca="1">IF($BI7&lt;&gt;"",IF('Capacity summary'!$D$14="Yes",IF(COUNTBLANK('Capacity summary'!$H126:$BG126)&lt;52,IF('Capacity summary'!AF126&lt;&gt;"",IF(LOWER('Capacity summary'!AF126)="x",$BI7*AF7,VALUE('Capacity summary'!AF126)),0),AF7*$BI7),AF7*$BI7),0)</f>
        <v>190.38461538461539</v>
      </c>
      <c r="CJ7" s="311">
        <f ca="1">IF($BI7&lt;&gt;"",IF('Capacity summary'!$D$14="Yes",IF(COUNTBLANK('Capacity summary'!$H126:$BG126)&lt;52,IF('Capacity summary'!AG126&lt;&gt;"",IF(LOWER('Capacity summary'!AG126)="x",$BI7*AG7,VALUE('Capacity summary'!AG126)),0),AG7*$BI7),AG7*$BI7),0)</f>
        <v>190.38461538461539</v>
      </c>
      <c r="CK7" s="311">
        <f ca="1">IF($BI7&lt;&gt;"",IF('Capacity summary'!$D$14="Yes",IF(COUNTBLANK('Capacity summary'!$H126:$BG126)&lt;52,IF('Capacity summary'!AH126&lt;&gt;"",IF(LOWER('Capacity summary'!AH126)="x",$BI7*AH7,VALUE('Capacity summary'!AH126)),0),AH7*$BI7),AH7*$BI7),0)</f>
        <v>190.38461538461539</v>
      </c>
      <c r="CL7" s="311">
        <f ca="1">IF($BI7&lt;&gt;"",IF('Capacity summary'!$D$14="Yes",IF(COUNTBLANK('Capacity summary'!$H126:$BG126)&lt;52,IF('Capacity summary'!AI126&lt;&gt;"",IF(LOWER('Capacity summary'!AI126)="x",$BI7*AI7,VALUE('Capacity summary'!AI126)),0),AI7*$BI7),AI7*$BI7),0)</f>
        <v>190.38461538461539</v>
      </c>
      <c r="CM7" s="311">
        <f ca="1">IF($BI7&lt;&gt;"",IF('Capacity summary'!$D$14="Yes",IF(COUNTBLANK('Capacity summary'!$H126:$BG126)&lt;52,IF('Capacity summary'!AJ126&lt;&gt;"",IF(LOWER('Capacity summary'!AJ126)="x",$BI7*AJ7,VALUE('Capacity summary'!AJ126)),0),AJ7*$BI7),AJ7*$BI7),0)</f>
        <v>190.38461538461539</v>
      </c>
      <c r="CN7" s="311">
        <f ca="1">IF($BI7&lt;&gt;"",IF('Capacity summary'!$D$14="Yes",IF(COUNTBLANK('Capacity summary'!$H126:$BG126)&lt;52,IF('Capacity summary'!AK126&lt;&gt;"",IF(LOWER('Capacity summary'!AK126)="x",$BI7*AK7,VALUE('Capacity summary'!AK126)),0),AK7*$BI7),AK7*$BI7),0)</f>
        <v>190.38461538461539</v>
      </c>
      <c r="CO7" s="311">
        <f ca="1">IF($BI7&lt;&gt;"",IF('Capacity summary'!$D$14="Yes",IF(COUNTBLANK('Capacity summary'!$H126:$BG126)&lt;52,IF('Capacity summary'!AL126&lt;&gt;"",IF(LOWER('Capacity summary'!AL126)="x",$BI7*AL7,VALUE('Capacity summary'!AL126)),0),AL7*$BI7),AL7*$BI7),0)</f>
        <v>190.38461538461539</v>
      </c>
      <c r="CP7" s="311">
        <f ca="1">IF($BI7&lt;&gt;"",IF('Capacity summary'!$D$14="Yes",IF(COUNTBLANK('Capacity summary'!$H126:$BG126)&lt;52,IF('Capacity summary'!AM126&lt;&gt;"",IF(LOWER('Capacity summary'!AM126)="x",$BI7*AM7,VALUE('Capacity summary'!AM126)),0),AM7*$BI7),AM7*$BI7),0)</f>
        <v>190.38461538461539</v>
      </c>
      <c r="CQ7" s="311">
        <f ca="1">IF($BI7&lt;&gt;"",IF('Capacity summary'!$D$14="Yes",IF(COUNTBLANK('Capacity summary'!$H126:$BG126)&lt;52,IF('Capacity summary'!AN126&lt;&gt;"",IF(LOWER('Capacity summary'!AN126)="x",$BI7*AN7,VALUE('Capacity summary'!AN126)),0),AN7*$BI7),AN7*$BI7),0)</f>
        <v>190.38461538461539</v>
      </c>
      <c r="CR7" s="311">
        <f ca="1">IF($BI7&lt;&gt;"",IF('Capacity summary'!$D$14="Yes",IF(COUNTBLANK('Capacity summary'!$H126:$BG126)&lt;52,IF('Capacity summary'!AO126&lt;&gt;"",IF(LOWER('Capacity summary'!AO126)="x",$BI7*AO7,VALUE('Capacity summary'!AO126)),0),AO7*$BI7),AO7*$BI7),0)</f>
        <v>190.38461538461539</v>
      </c>
      <c r="CS7" s="311">
        <f ca="1">IF($BI7&lt;&gt;"",IF('Capacity summary'!$D$14="Yes",IF(COUNTBLANK('Capacity summary'!$H126:$BG126)&lt;52,IF('Capacity summary'!AP126&lt;&gt;"",IF(LOWER('Capacity summary'!AP126)="x",$BI7*AP7,VALUE('Capacity summary'!AP126)),0),AP7*$BI7),AP7*$BI7),0)</f>
        <v>190.38461538461539</v>
      </c>
      <c r="CT7" s="311">
        <f ca="1">IF($BI7&lt;&gt;"",IF('Capacity summary'!$D$14="Yes",IF(COUNTBLANK('Capacity summary'!$H126:$BG126)&lt;52,IF('Capacity summary'!AQ126&lt;&gt;"",IF(LOWER('Capacity summary'!AQ126)="x",$BI7*AQ7,VALUE('Capacity summary'!AQ126)),0),AQ7*$BI7),AQ7*$BI7),0)</f>
        <v>190.38461538461539</v>
      </c>
      <c r="CU7" s="311">
        <f ca="1">IF($BI7&lt;&gt;"",IF('Capacity summary'!$D$14="Yes",IF(COUNTBLANK('Capacity summary'!$H126:$BG126)&lt;52,IF('Capacity summary'!AR126&lt;&gt;"",IF(LOWER('Capacity summary'!AR126)="x",$BI7*AR7,VALUE('Capacity summary'!AR126)),0),AR7*$BI7),AR7*$BI7),0)</f>
        <v>190.38461538461539</v>
      </c>
      <c r="CV7" s="311">
        <f ca="1">IF($BI7&lt;&gt;"",IF('Capacity summary'!$D$14="Yes",IF(COUNTBLANK('Capacity summary'!$H126:$BG126)&lt;52,IF('Capacity summary'!AS126&lt;&gt;"",IF(LOWER('Capacity summary'!AS126)="x",$BI7*AS7,VALUE('Capacity summary'!AS126)),0),AS7*$BI7),AS7*$BI7),0)</f>
        <v>190.38461538461539</v>
      </c>
      <c r="CW7" s="311">
        <f ca="1">IF($BI7&lt;&gt;"",IF('Capacity summary'!$D$14="Yes",IF(COUNTBLANK('Capacity summary'!$H126:$BG126)&lt;52,IF('Capacity summary'!AT126&lt;&gt;"",IF(LOWER('Capacity summary'!AT126)="x",$BI7*AT7,VALUE('Capacity summary'!AT126)),0),AT7*$BI7),AT7*$BI7),0)</f>
        <v>190.38461538461539</v>
      </c>
      <c r="CX7" s="311">
        <f ca="1">IF($BI7&lt;&gt;"",IF('Capacity summary'!$D$14="Yes",IF(COUNTBLANK('Capacity summary'!$H126:$BG126)&lt;52,IF('Capacity summary'!AU126&lt;&gt;"",IF(LOWER('Capacity summary'!AU126)="x",$BI7*AU7,VALUE('Capacity summary'!AU126)),0),AU7*$BI7),AU7*$BI7),0)</f>
        <v>190.38461538461539</v>
      </c>
      <c r="CY7" s="311">
        <f ca="1">IF($BI7&lt;&gt;"",IF('Capacity summary'!$D$14="Yes",IF(COUNTBLANK('Capacity summary'!$H126:$BG126)&lt;52,IF('Capacity summary'!AV126&lt;&gt;"",IF(LOWER('Capacity summary'!AV126)="x",$BI7*AV7,VALUE('Capacity summary'!AV126)),0),AV7*$BI7),AV7*$BI7),0)</f>
        <v>190.38461538461539</v>
      </c>
      <c r="CZ7" s="311">
        <f ca="1">IF($BI7&lt;&gt;"",IF('Capacity summary'!$D$14="Yes",IF(COUNTBLANK('Capacity summary'!$H126:$BG126)&lt;52,IF('Capacity summary'!AW126&lt;&gt;"",IF(LOWER('Capacity summary'!AW126)="x",$BI7*AW7,VALUE('Capacity summary'!AW126)),0),AW7*$BI7),AW7*$BI7),0)</f>
        <v>190.38461538461539</v>
      </c>
      <c r="DA7" s="311">
        <f ca="1">IF($BI7&lt;&gt;"",IF('Capacity summary'!$D$14="Yes",IF(COUNTBLANK('Capacity summary'!$H126:$BG126)&lt;52,IF('Capacity summary'!AX126&lt;&gt;"",IF(LOWER('Capacity summary'!AX126)="x",$BI7*AX7,VALUE('Capacity summary'!AX126)),0),AX7*$BI7),AX7*$BI7),0)</f>
        <v>190.38461538461539</v>
      </c>
      <c r="DB7" s="311">
        <f ca="1">IF($BI7&lt;&gt;"",IF('Capacity summary'!$D$14="Yes",IF(COUNTBLANK('Capacity summary'!$H126:$BG126)&lt;52,IF('Capacity summary'!AY126&lt;&gt;"",IF(LOWER('Capacity summary'!AY126)="x",$BI7*AY7,VALUE('Capacity summary'!AY126)),0),AY7*$BI7),AY7*$BI7),0)</f>
        <v>190.38461538461539</v>
      </c>
      <c r="DC7" s="311">
        <f ca="1">IF($BI7&lt;&gt;"",IF('Capacity summary'!$D$14="Yes",IF(COUNTBLANK('Capacity summary'!$H126:$BG126)&lt;52,IF('Capacity summary'!AZ126&lt;&gt;"",IF(LOWER('Capacity summary'!AZ126)="x",$BI7*AZ7,VALUE('Capacity summary'!AZ126)),0),AZ7*$BI7),AZ7*$BI7),0)</f>
        <v>190.38461538461539</v>
      </c>
      <c r="DD7" s="311">
        <f ca="1">IF($BI7&lt;&gt;"",IF('Capacity summary'!$D$14="Yes",IF(COUNTBLANK('Capacity summary'!$H126:$BG126)&lt;52,IF('Capacity summary'!BA126&lt;&gt;"",IF(LOWER('Capacity summary'!BA126)="x",$BI7*BA7,VALUE('Capacity summary'!BA126)),0),BA7*$BI7),BA7*$BI7),0)</f>
        <v>190.38461538461539</v>
      </c>
      <c r="DE7" s="311">
        <f ca="1">IF($BI7&lt;&gt;"",IF('Capacity summary'!$D$14="Yes",IF(COUNTBLANK('Capacity summary'!$H126:$BG126)&lt;52,IF('Capacity summary'!BB126&lt;&gt;"",IF(LOWER('Capacity summary'!BB126)="x",$BI7*BB7,VALUE('Capacity summary'!BB126)),0),BB7*$BI7),BB7*$BI7),0)</f>
        <v>190.38461538461539</v>
      </c>
      <c r="DF7" s="311">
        <f ca="1">IF($BI7&lt;&gt;"",IF('Capacity summary'!$D$14="Yes",IF(COUNTBLANK('Capacity summary'!$H126:$BG126)&lt;52,IF('Capacity summary'!BC126&lt;&gt;"",IF(LOWER('Capacity summary'!BC126)="x",$BI7*BC7,VALUE('Capacity summary'!BC126)),0),BC7*$BI7),BC7*$BI7),0)</f>
        <v>190.38461538461539</v>
      </c>
      <c r="DG7" s="311">
        <f ca="1">IF($BI7&lt;&gt;"",IF('Capacity summary'!$D$14="Yes",IF(COUNTBLANK('Capacity summary'!$H126:$BG126)&lt;52,IF('Capacity summary'!BD126&lt;&gt;"",IF(LOWER('Capacity summary'!BD126)="x",$BI7*BD7,VALUE('Capacity summary'!BD126)),0),BD7*$BI7),BD7*$BI7),0)</f>
        <v>190.38461538461539</v>
      </c>
      <c r="DH7" s="311">
        <f ca="1">IF($BI7&lt;&gt;"",IF('Capacity summary'!$D$14="Yes",IF(COUNTBLANK('Capacity summary'!$H126:$BG126)&lt;52,IF('Capacity summary'!BE126&lt;&gt;"",IF(LOWER('Capacity summary'!BE126)="x",$BI7*BE7,VALUE('Capacity summary'!BE126)),0),BE7*$BI7),BE7*$BI7),0)</f>
        <v>190.38461538461539</v>
      </c>
      <c r="DI7" s="311">
        <f ca="1">IF($BI7&lt;&gt;"",IF('Capacity summary'!$D$14="Yes",IF(COUNTBLANK('Capacity summary'!$H126:$BG126)&lt;52,IF('Capacity summary'!BF126&lt;&gt;"",IF(LOWER('Capacity summary'!BF126)="x",$BI7*BF7,VALUE('Capacity summary'!BF126)),0),BF7*$BI7),BF7*$BI7),0)</f>
        <v>190.38461538461539</v>
      </c>
      <c r="DJ7" s="311">
        <f ca="1">IF($BI7&lt;&gt;"",IF('Capacity summary'!$D$14="Yes",IF(COUNTBLANK('Capacity summary'!$H126:$BG126)&lt;52,IF('Capacity summary'!BG126&lt;&gt;"",IF(LOWER('Capacity summary'!BG126)="x",$BI7*BG7,VALUE('Capacity summary'!BG126)),0),BG7*$BI7),BG7*$BI7),0)</f>
        <v>190.38461538461539</v>
      </c>
      <c r="DK7" s="388">
        <f t="shared" ca="1" si="2"/>
        <v>190.38461538461539</v>
      </c>
      <c r="DL7" s="136">
        <f t="shared" ca="1" si="3"/>
        <v>9899.9999999999945</v>
      </c>
      <c r="DM7" s="311">
        <f>Capacity!H19</f>
        <v>9900</v>
      </c>
      <c r="DQ7" s="5"/>
    </row>
    <row r="8" spans="1:121" x14ac:dyDescent="0.2">
      <c r="A8" s="67">
        <f>IF(Capacity!L20='Capacity summary'!BI127,1,0)</f>
        <v>1</v>
      </c>
      <c r="B8" s="67">
        <f>IF(Capacity!V20='Capacity summary'!BI27,1,0)</f>
        <v>1</v>
      </c>
      <c r="C8" s="67" t="str">
        <f>ROW(A4)&amp;". "&amp;Capacity!B20</f>
        <v>4. Biopsy</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155.76923076923077</v>
      </c>
      <c r="BK8" s="311">
        <f ca="1">IF($BI8&lt;&gt;"",IF('Capacity summary'!$D$14="Yes",IF(COUNTBLANK('Capacity summary'!$H127:$BG127)&lt;52,IF('Capacity summary'!H127&lt;&gt;"",IF(LOWER('Capacity summary'!H127)="x",$BI8*H8,VALUE('Capacity summary'!H127)),0),H8*$BI8),H8*$BI8),0)</f>
        <v>155.76923076923077</v>
      </c>
      <c r="BL8" s="311">
        <f ca="1">IF($BI8&lt;&gt;"",IF('Capacity summary'!$D$14="Yes",IF(COUNTBLANK('Capacity summary'!$H127:$BG127)&lt;52,IF('Capacity summary'!I127&lt;&gt;"",IF(LOWER('Capacity summary'!I127)="x",$BI8*I8,VALUE('Capacity summary'!I127)),0),I8*$BI8),I8*$BI8),0)</f>
        <v>155.76923076923077</v>
      </c>
      <c r="BM8" s="311">
        <f ca="1">IF($BI8&lt;&gt;"",IF('Capacity summary'!$D$14="Yes",IF(COUNTBLANK('Capacity summary'!$H127:$BG127)&lt;52,IF('Capacity summary'!J127&lt;&gt;"",IF(LOWER('Capacity summary'!J127)="x",$BI8*J8,VALUE('Capacity summary'!J127)),0),J8*$BI8),J8*$BI8),0)</f>
        <v>155.76923076923077</v>
      </c>
      <c r="BN8" s="311">
        <f ca="1">IF($BI8&lt;&gt;"",IF('Capacity summary'!$D$14="Yes",IF(COUNTBLANK('Capacity summary'!$H127:$BG127)&lt;52,IF('Capacity summary'!K127&lt;&gt;"",IF(LOWER('Capacity summary'!K127)="x",$BI8*K8,VALUE('Capacity summary'!K127)),0),K8*$BI8),K8*$BI8),0)</f>
        <v>155.76923076923077</v>
      </c>
      <c r="BO8" s="311">
        <f ca="1">IF($BI8&lt;&gt;"",IF('Capacity summary'!$D$14="Yes",IF(COUNTBLANK('Capacity summary'!$H127:$BG127)&lt;52,IF('Capacity summary'!L127&lt;&gt;"",IF(LOWER('Capacity summary'!L127)="x",$BI8*L8,VALUE('Capacity summary'!L127)),0),L8*$BI8),L8*$BI8),0)</f>
        <v>155.76923076923077</v>
      </c>
      <c r="BP8" s="311">
        <f ca="1">IF($BI8&lt;&gt;"",IF('Capacity summary'!$D$14="Yes",IF(COUNTBLANK('Capacity summary'!$H127:$BG127)&lt;52,IF('Capacity summary'!M127&lt;&gt;"",IF(LOWER('Capacity summary'!M127)="x",$BI8*M8,VALUE('Capacity summary'!M127)),0),M8*$BI8),M8*$BI8),0)</f>
        <v>155.76923076923077</v>
      </c>
      <c r="BQ8" s="311">
        <f ca="1">IF($BI8&lt;&gt;"",IF('Capacity summary'!$D$14="Yes",IF(COUNTBLANK('Capacity summary'!$H127:$BG127)&lt;52,IF('Capacity summary'!N127&lt;&gt;"",IF(LOWER('Capacity summary'!N127)="x",$BI8*N8,VALUE('Capacity summary'!N127)),0),N8*$BI8),N8*$BI8),0)</f>
        <v>155.76923076923077</v>
      </c>
      <c r="BR8" s="311">
        <f ca="1">IF($BI8&lt;&gt;"",IF('Capacity summary'!$D$14="Yes",IF(COUNTBLANK('Capacity summary'!$H127:$BG127)&lt;52,IF('Capacity summary'!O127&lt;&gt;"",IF(LOWER('Capacity summary'!O127)="x",$BI8*O8,VALUE('Capacity summary'!O127)),0),O8*$BI8),O8*$BI8),0)</f>
        <v>155.76923076923077</v>
      </c>
      <c r="BS8" s="311">
        <f ca="1">IF($BI8&lt;&gt;"",IF('Capacity summary'!$D$14="Yes",IF(COUNTBLANK('Capacity summary'!$H127:$BG127)&lt;52,IF('Capacity summary'!P127&lt;&gt;"",IF(LOWER('Capacity summary'!P127)="x",$BI8*P8,VALUE('Capacity summary'!P127)),0),P8*$BI8),P8*$BI8),0)</f>
        <v>155.76923076923077</v>
      </c>
      <c r="BT8" s="311">
        <f ca="1">IF($BI8&lt;&gt;"",IF('Capacity summary'!$D$14="Yes",IF(COUNTBLANK('Capacity summary'!$H127:$BG127)&lt;52,IF('Capacity summary'!Q127&lt;&gt;"",IF(LOWER('Capacity summary'!Q127)="x",$BI8*Q8,VALUE('Capacity summary'!Q127)),0),Q8*$BI8),Q8*$BI8),0)</f>
        <v>155.76923076923077</v>
      </c>
      <c r="BU8" s="311">
        <f ca="1">IF($BI8&lt;&gt;"",IF('Capacity summary'!$D$14="Yes",IF(COUNTBLANK('Capacity summary'!$H127:$BG127)&lt;52,IF('Capacity summary'!R127&lt;&gt;"",IF(LOWER('Capacity summary'!R127)="x",$BI8*R8,VALUE('Capacity summary'!R127)),0),R8*$BI8),R8*$BI8),0)</f>
        <v>155.76923076923077</v>
      </c>
      <c r="BV8" s="311">
        <f ca="1">IF($BI8&lt;&gt;"",IF('Capacity summary'!$D$14="Yes",IF(COUNTBLANK('Capacity summary'!$H127:$BG127)&lt;52,IF('Capacity summary'!S127&lt;&gt;"",IF(LOWER('Capacity summary'!S127)="x",$BI8*S8,VALUE('Capacity summary'!S127)),0),S8*$BI8),S8*$BI8),0)</f>
        <v>155.76923076923077</v>
      </c>
      <c r="BW8" s="311">
        <f ca="1">IF($BI8&lt;&gt;"",IF('Capacity summary'!$D$14="Yes",IF(COUNTBLANK('Capacity summary'!$H127:$BG127)&lt;52,IF('Capacity summary'!T127&lt;&gt;"",IF(LOWER('Capacity summary'!T127)="x",$BI8*T8,VALUE('Capacity summary'!T127)),0),T8*$BI8),T8*$BI8),0)</f>
        <v>155.76923076923077</v>
      </c>
      <c r="BX8" s="311">
        <f ca="1">IF($BI8&lt;&gt;"",IF('Capacity summary'!$D$14="Yes",IF(COUNTBLANK('Capacity summary'!$H127:$BG127)&lt;52,IF('Capacity summary'!U127&lt;&gt;"",IF(LOWER('Capacity summary'!U127)="x",$BI8*U8,VALUE('Capacity summary'!U127)),0),U8*$BI8),U8*$BI8),0)</f>
        <v>155.76923076923077</v>
      </c>
      <c r="BY8" s="311">
        <f ca="1">IF($BI8&lt;&gt;"",IF('Capacity summary'!$D$14="Yes",IF(COUNTBLANK('Capacity summary'!$H127:$BG127)&lt;52,IF('Capacity summary'!V127&lt;&gt;"",IF(LOWER('Capacity summary'!V127)="x",$BI8*V8,VALUE('Capacity summary'!V127)),0),V8*$BI8),V8*$BI8),0)</f>
        <v>155.76923076923077</v>
      </c>
      <c r="BZ8" s="311">
        <f ca="1">IF($BI8&lt;&gt;"",IF('Capacity summary'!$D$14="Yes",IF(COUNTBLANK('Capacity summary'!$H127:$BG127)&lt;52,IF('Capacity summary'!W127&lt;&gt;"",IF(LOWER('Capacity summary'!W127)="x",$BI8*W8,VALUE('Capacity summary'!W127)),0),W8*$BI8),W8*$BI8),0)</f>
        <v>155.76923076923077</v>
      </c>
      <c r="CA8" s="311">
        <f ca="1">IF($BI8&lt;&gt;"",IF('Capacity summary'!$D$14="Yes",IF(COUNTBLANK('Capacity summary'!$H127:$BG127)&lt;52,IF('Capacity summary'!X127&lt;&gt;"",IF(LOWER('Capacity summary'!X127)="x",$BI8*X8,VALUE('Capacity summary'!X127)),0),X8*$BI8),X8*$BI8),0)</f>
        <v>155.76923076923077</v>
      </c>
      <c r="CB8" s="311">
        <f ca="1">IF($BI8&lt;&gt;"",IF('Capacity summary'!$D$14="Yes",IF(COUNTBLANK('Capacity summary'!$H127:$BG127)&lt;52,IF('Capacity summary'!Y127&lt;&gt;"",IF(LOWER('Capacity summary'!Y127)="x",$BI8*Y8,VALUE('Capacity summary'!Y127)),0),Y8*$BI8),Y8*$BI8),0)</f>
        <v>155.76923076923077</v>
      </c>
      <c r="CC8" s="311">
        <f ca="1">IF($BI8&lt;&gt;"",IF('Capacity summary'!$D$14="Yes",IF(COUNTBLANK('Capacity summary'!$H127:$BG127)&lt;52,IF('Capacity summary'!Z127&lt;&gt;"",IF(LOWER('Capacity summary'!Z127)="x",$BI8*Z8,VALUE('Capacity summary'!Z127)),0),Z8*$BI8),Z8*$BI8),0)</f>
        <v>155.76923076923077</v>
      </c>
      <c r="CD8" s="311">
        <f ca="1">IF($BI8&lt;&gt;"",IF('Capacity summary'!$D$14="Yes",IF(COUNTBLANK('Capacity summary'!$H127:$BG127)&lt;52,IF('Capacity summary'!AA127&lt;&gt;"",IF(LOWER('Capacity summary'!AA127)="x",$BI8*AA8,VALUE('Capacity summary'!AA127)),0),AA8*$BI8),AA8*$BI8),0)</f>
        <v>155.76923076923077</v>
      </c>
      <c r="CE8" s="311">
        <f ca="1">IF($BI8&lt;&gt;"",IF('Capacity summary'!$D$14="Yes",IF(COUNTBLANK('Capacity summary'!$H127:$BG127)&lt;52,IF('Capacity summary'!AB127&lt;&gt;"",IF(LOWER('Capacity summary'!AB127)="x",$BI8*AB8,VALUE('Capacity summary'!AB127)),0),AB8*$BI8),AB8*$BI8),0)</f>
        <v>155.76923076923077</v>
      </c>
      <c r="CF8" s="311">
        <f ca="1">IF($BI8&lt;&gt;"",IF('Capacity summary'!$D$14="Yes",IF(COUNTBLANK('Capacity summary'!$H127:$BG127)&lt;52,IF('Capacity summary'!AC127&lt;&gt;"",IF(LOWER('Capacity summary'!AC127)="x",$BI8*AC8,VALUE('Capacity summary'!AC127)),0),AC8*$BI8),AC8*$BI8),0)</f>
        <v>155.76923076923077</v>
      </c>
      <c r="CG8" s="311">
        <f ca="1">IF($BI8&lt;&gt;"",IF('Capacity summary'!$D$14="Yes",IF(COUNTBLANK('Capacity summary'!$H127:$BG127)&lt;52,IF('Capacity summary'!AD127&lt;&gt;"",IF(LOWER('Capacity summary'!AD127)="x",$BI8*AD8,VALUE('Capacity summary'!AD127)),0),AD8*$BI8),AD8*$BI8),0)</f>
        <v>155.76923076923077</v>
      </c>
      <c r="CH8" s="311">
        <f ca="1">IF($BI8&lt;&gt;"",IF('Capacity summary'!$D$14="Yes",IF(COUNTBLANK('Capacity summary'!$H127:$BG127)&lt;52,IF('Capacity summary'!AE127&lt;&gt;"",IF(LOWER('Capacity summary'!AE127)="x",$BI8*AE8,VALUE('Capacity summary'!AE127)),0),AE8*$BI8),AE8*$BI8),0)</f>
        <v>155.76923076923077</v>
      </c>
      <c r="CI8" s="311">
        <f ca="1">IF($BI8&lt;&gt;"",IF('Capacity summary'!$D$14="Yes",IF(COUNTBLANK('Capacity summary'!$H127:$BG127)&lt;52,IF('Capacity summary'!AF127&lt;&gt;"",IF(LOWER('Capacity summary'!AF127)="x",$BI8*AF8,VALUE('Capacity summary'!AF127)),0),AF8*$BI8),AF8*$BI8),0)</f>
        <v>155.76923076923077</v>
      </c>
      <c r="CJ8" s="311">
        <f ca="1">IF($BI8&lt;&gt;"",IF('Capacity summary'!$D$14="Yes",IF(COUNTBLANK('Capacity summary'!$H127:$BG127)&lt;52,IF('Capacity summary'!AG127&lt;&gt;"",IF(LOWER('Capacity summary'!AG127)="x",$BI8*AG8,VALUE('Capacity summary'!AG127)),0),AG8*$BI8),AG8*$BI8),0)</f>
        <v>155.76923076923077</v>
      </c>
      <c r="CK8" s="311">
        <f ca="1">IF($BI8&lt;&gt;"",IF('Capacity summary'!$D$14="Yes",IF(COUNTBLANK('Capacity summary'!$H127:$BG127)&lt;52,IF('Capacity summary'!AH127&lt;&gt;"",IF(LOWER('Capacity summary'!AH127)="x",$BI8*AH8,VALUE('Capacity summary'!AH127)),0),AH8*$BI8),AH8*$BI8),0)</f>
        <v>155.76923076923077</v>
      </c>
      <c r="CL8" s="311">
        <f ca="1">IF($BI8&lt;&gt;"",IF('Capacity summary'!$D$14="Yes",IF(COUNTBLANK('Capacity summary'!$H127:$BG127)&lt;52,IF('Capacity summary'!AI127&lt;&gt;"",IF(LOWER('Capacity summary'!AI127)="x",$BI8*AI8,VALUE('Capacity summary'!AI127)),0),AI8*$BI8),AI8*$BI8),0)</f>
        <v>155.76923076923077</v>
      </c>
      <c r="CM8" s="311">
        <f ca="1">IF($BI8&lt;&gt;"",IF('Capacity summary'!$D$14="Yes",IF(COUNTBLANK('Capacity summary'!$H127:$BG127)&lt;52,IF('Capacity summary'!AJ127&lt;&gt;"",IF(LOWER('Capacity summary'!AJ127)="x",$BI8*AJ8,VALUE('Capacity summary'!AJ127)),0),AJ8*$BI8),AJ8*$BI8),0)</f>
        <v>155.76923076923077</v>
      </c>
      <c r="CN8" s="311">
        <f ca="1">IF($BI8&lt;&gt;"",IF('Capacity summary'!$D$14="Yes",IF(COUNTBLANK('Capacity summary'!$H127:$BG127)&lt;52,IF('Capacity summary'!AK127&lt;&gt;"",IF(LOWER('Capacity summary'!AK127)="x",$BI8*AK8,VALUE('Capacity summary'!AK127)),0),AK8*$BI8),AK8*$BI8),0)</f>
        <v>155.76923076923077</v>
      </c>
      <c r="CO8" s="311">
        <f ca="1">IF($BI8&lt;&gt;"",IF('Capacity summary'!$D$14="Yes",IF(COUNTBLANK('Capacity summary'!$H127:$BG127)&lt;52,IF('Capacity summary'!AL127&lt;&gt;"",IF(LOWER('Capacity summary'!AL127)="x",$BI8*AL8,VALUE('Capacity summary'!AL127)),0),AL8*$BI8),AL8*$BI8),0)</f>
        <v>155.76923076923077</v>
      </c>
      <c r="CP8" s="311">
        <f ca="1">IF($BI8&lt;&gt;"",IF('Capacity summary'!$D$14="Yes",IF(COUNTBLANK('Capacity summary'!$H127:$BG127)&lt;52,IF('Capacity summary'!AM127&lt;&gt;"",IF(LOWER('Capacity summary'!AM127)="x",$BI8*AM8,VALUE('Capacity summary'!AM127)),0),AM8*$BI8),AM8*$BI8),0)</f>
        <v>155.76923076923077</v>
      </c>
      <c r="CQ8" s="311">
        <f ca="1">IF($BI8&lt;&gt;"",IF('Capacity summary'!$D$14="Yes",IF(COUNTBLANK('Capacity summary'!$H127:$BG127)&lt;52,IF('Capacity summary'!AN127&lt;&gt;"",IF(LOWER('Capacity summary'!AN127)="x",$BI8*AN8,VALUE('Capacity summary'!AN127)),0),AN8*$BI8),AN8*$BI8),0)</f>
        <v>155.76923076923077</v>
      </c>
      <c r="CR8" s="311">
        <f ca="1">IF($BI8&lt;&gt;"",IF('Capacity summary'!$D$14="Yes",IF(COUNTBLANK('Capacity summary'!$H127:$BG127)&lt;52,IF('Capacity summary'!AO127&lt;&gt;"",IF(LOWER('Capacity summary'!AO127)="x",$BI8*AO8,VALUE('Capacity summary'!AO127)),0),AO8*$BI8),AO8*$BI8),0)</f>
        <v>155.76923076923077</v>
      </c>
      <c r="CS8" s="311">
        <f ca="1">IF($BI8&lt;&gt;"",IF('Capacity summary'!$D$14="Yes",IF(COUNTBLANK('Capacity summary'!$H127:$BG127)&lt;52,IF('Capacity summary'!AP127&lt;&gt;"",IF(LOWER('Capacity summary'!AP127)="x",$BI8*AP8,VALUE('Capacity summary'!AP127)),0),AP8*$BI8),AP8*$BI8),0)</f>
        <v>155.76923076923077</v>
      </c>
      <c r="CT8" s="311">
        <f ca="1">IF($BI8&lt;&gt;"",IF('Capacity summary'!$D$14="Yes",IF(COUNTBLANK('Capacity summary'!$H127:$BG127)&lt;52,IF('Capacity summary'!AQ127&lt;&gt;"",IF(LOWER('Capacity summary'!AQ127)="x",$BI8*AQ8,VALUE('Capacity summary'!AQ127)),0),AQ8*$BI8),AQ8*$BI8),0)</f>
        <v>155.76923076923077</v>
      </c>
      <c r="CU8" s="311">
        <f ca="1">IF($BI8&lt;&gt;"",IF('Capacity summary'!$D$14="Yes",IF(COUNTBLANK('Capacity summary'!$H127:$BG127)&lt;52,IF('Capacity summary'!AR127&lt;&gt;"",IF(LOWER('Capacity summary'!AR127)="x",$BI8*AR8,VALUE('Capacity summary'!AR127)),0),AR8*$BI8),AR8*$BI8),0)</f>
        <v>155.76923076923077</v>
      </c>
      <c r="CV8" s="311">
        <f ca="1">IF($BI8&lt;&gt;"",IF('Capacity summary'!$D$14="Yes",IF(COUNTBLANK('Capacity summary'!$H127:$BG127)&lt;52,IF('Capacity summary'!AS127&lt;&gt;"",IF(LOWER('Capacity summary'!AS127)="x",$BI8*AS8,VALUE('Capacity summary'!AS127)),0),AS8*$BI8),AS8*$BI8),0)</f>
        <v>155.76923076923077</v>
      </c>
      <c r="CW8" s="311">
        <f ca="1">IF($BI8&lt;&gt;"",IF('Capacity summary'!$D$14="Yes",IF(COUNTBLANK('Capacity summary'!$H127:$BG127)&lt;52,IF('Capacity summary'!AT127&lt;&gt;"",IF(LOWER('Capacity summary'!AT127)="x",$BI8*AT8,VALUE('Capacity summary'!AT127)),0),AT8*$BI8),AT8*$BI8),0)</f>
        <v>155.76923076923077</v>
      </c>
      <c r="CX8" s="311">
        <f ca="1">IF($BI8&lt;&gt;"",IF('Capacity summary'!$D$14="Yes",IF(COUNTBLANK('Capacity summary'!$H127:$BG127)&lt;52,IF('Capacity summary'!AU127&lt;&gt;"",IF(LOWER('Capacity summary'!AU127)="x",$BI8*AU8,VALUE('Capacity summary'!AU127)),0),AU8*$BI8),AU8*$BI8),0)</f>
        <v>155.76923076923077</v>
      </c>
      <c r="CY8" s="311">
        <f ca="1">IF($BI8&lt;&gt;"",IF('Capacity summary'!$D$14="Yes",IF(COUNTBLANK('Capacity summary'!$H127:$BG127)&lt;52,IF('Capacity summary'!AV127&lt;&gt;"",IF(LOWER('Capacity summary'!AV127)="x",$BI8*AV8,VALUE('Capacity summary'!AV127)),0),AV8*$BI8),AV8*$BI8),0)</f>
        <v>155.76923076923077</v>
      </c>
      <c r="CZ8" s="311">
        <f ca="1">IF($BI8&lt;&gt;"",IF('Capacity summary'!$D$14="Yes",IF(COUNTBLANK('Capacity summary'!$H127:$BG127)&lt;52,IF('Capacity summary'!AW127&lt;&gt;"",IF(LOWER('Capacity summary'!AW127)="x",$BI8*AW8,VALUE('Capacity summary'!AW127)),0),AW8*$BI8),AW8*$BI8),0)</f>
        <v>155.76923076923077</v>
      </c>
      <c r="DA8" s="311">
        <f ca="1">IF($BI8&lt;&gt;"",IF('Capacity summary'!$D$14="Yes",IF(COUNTBLANK('Capacity summary'!$H127:$BG127)&lt;52,IF('Capacity summary'!AX127&lt;&gt;"",IF(LOWER('Capacity summary'!AX127)="x",$BI8*AX8,VALUE('Capacity summary'!AX127)),0),AX8*$BI8),AX8*$BI8),0)</f>
        <v>155.76923076923077</v>
      </c>
      <c r="DB8" s="311">
        <f ca="1">IF($BI8&lt;&gt;"",IF('Capacity summary'!$D$14="Yes",IF(COUNTBLANK('Capacity summary'!$H127:$BG127)&lt;52,IF('Capacity summary'!AY127&lt;&gt;"",IF(LOWER('Capacity summary'!AY127)="x",$BI8*AY8,VALUE('Capacity summary'!AY127)),0),AY8*$BI8),AY8*$BI8),0)</f>
        <v>155.76923076923077</v>
      </c>
      <c r="DC8" s="311">
        <f ca="1">IF($BI8&lt;&gt;"",IF('Capacity summary'!$D$14="Yes",IF(COUNTBLANK('Capacity summary'!$H127:$BG127)&lt;52,IF('Capacity summary'!AZ127&lt;&gt;"",IF(LOWER('Capacity summary'!AZ127)="x",$BI8*AZ8,VALUE('Capacity summary'!AZ127)),0),AZ8*$BI8),AZ8*$BI8),0)</f>
        <v>155.76923076923077</v>
      </c>
      <c r="DD8" s="311">
        <f ca="1">IF($BI8&lt;&gt;"",IF('Capacity summary'!$D$14="Yes",IF(COUNTBLANK('Capacity summary'!$H127:$BG127)&lt;52,IF('Capacity summary'!BA127&lt;&gt;"",IF(LOWER('Capacity summary'!BA127)="x",$BI8*BA8,VALUE('Capacity summary'!BA127)),0),BA8*$BI8),BA8*$BI8),0)</f>
        <v>155.76923076923077</v>
      </c>
      <c r="DE8" s="311">
        <f ca="1">IF($BI8&lt;&gt;"",IF('Capacity summary'!$D$14="Yes",IF(COUNTBLANK('Capacity summary'!$H127:$BG127)&lt;52,IF('Capacity summary'!BB127&lt;&gt;"",IF(LOWER('Capacity summary'!BB127)="x",$BI8*BB8,VALUE('Capacity summary'!BB127)),0),BB8*$BI8),BB8*$BI8),0)</f>
        <v>155.76923076923077</v>
      </c>
      <c r="DF8" s="311">
        <f ca="1">IF($BI8&lt;&gt;"",IF('Capacity summary'!$D$14="Yes",IF(COUNTBLANK('Capacity summary'!$H127:$BG127)&lt;52,IF('Capacity summary'!BC127&lt;&gt;"",IF(LOWER('Capacity summary'!BC127)="x",$BI8*BC8,VALUE('Capacity summary'!BC127)),0),BC8*$BI8),BC8*$BI8),0)</f>
        <v>155.76923076923077</v>
      </c>
      <c r="DG8" s="311">
        <f ca="1">IF($BI8&lt;&gt;"",IF('Capacity summary'!$D$14="Yes",IF(COUNTBLANK('Capacity summary'!$H127:$BG127)&lt;52,IF('Capacity summary'!BD127&lt;&gt;"",IF(LOWER('Capacity summary'!BD127)="x",$BI8*BD8,VALUE('Capacity summary'!BD127)),0),BD8*$BI8),BD8*$BI8),0)</f>
        <v>155.76923076923077</v>
      </c>
      <c r="DH8" s="311">
        <f ca="1">IF($BI8&lt;&gt;"",IF('Capacity summary'!$D$14="Yes",IF(COUNTBLANK('Capacity summary'!$H127:$BG127)&lt;52,IF('Capacity summary'!BE127&lt;&gt;"",IF(LOWER('Capacity summary'!BE127)="x",$BI8*BE8,VALUE('Capacity summary'!BE127)),0),BE8*$BI8),BE8*$BI8),0)</f>
        <v>155.76923076923077</v>
      </c>
      <c r="DI8" s="311">
        <f ca="1">IF($BI8&lt;&gt;"",IF('Capacity summary'!$D$14="Yes",IF(COUNTBLANK('Capacity summary'!$H127:$BG127)&lt;52,IF('Capacity summary'!BF127&lt;&gt;"",IF(LOWER('Capacity summary'!BF127)="x",$BI8*BF8,VALUE('Capacity summary'!BF127)),0),BF8*$BI8),BF8*$BI8),0)</f>
        <v>155.76923076923077</v>
      </c>
      <c r="DJ8" s="311">
        <f ca="1">IF($BI8&lt;&gt;"",IF('Capacity summary'!$D$14="Yes",IF(COUNTBLANK('Capacity summary'!$H127:$BG127)&lt;52,IF('Capacity summary'!BG127&lt;&gt;"",IF(LOWER('Capacity summary'!BG127)="x",$BI8*BG8,VALUE('Capacity summary'!BG127)),0),BG8*$BI8),BG8*$BI8),0)</f>
        <v>155.76923076923077</v>
      </c>
      <c r="DK8" s="388">
        <f t="shared" ca="1" si="2"/>
        <v>155.76923076923077</v>
      </c>
      <c r="DL8" s="136">
        <f t="shared" ca="1" si="3"/>
        <v>8099.9999999999945</v>
      </c>
      <c r="DM8" s="311">
        <f>Capacity!H20</f>
        <v>8100</v>
      </c>
      <c r="DQ8" s="5"/>
    </row>
    <row r="9" spans="1:121" x14ac:dyDescent="0.2">
      <c r="A9" s="67">
        <f>IF(Capacity!L21='Capacity summary'!BI128,1,0)</f>
        <v>1</v>
      </c>
      <c r="B9" s="67">
        <f>IF(Capacity!V21='Capacity summary'!BI28,1,0)</f>
        <v>1</v>
      </c>
      <c r="C9" s="67" t="str">
        <f>ROW(A5)&amp;". "&amp;Capacity!B21</f>
        <v>5. Slot A</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9.615384615384615</v>
      </c>
      <c r="BK9" s="311">
        <f ca="1">IF($BI9&lt;&gt;"",IF('Capacity summary'!$D$14="Yes",IF(COUNTBLANK('Capacity summary'!$H128:$BG128)&lt;52,IF('Capacity summary'!H128&lt;&gt;"",IF(LOWER('Capacity summary'!H128)="x",$BI9*H9,VALUE('Capacity summary'!H128)),0),H9*$BI9),H9*$BI9),0)</f>
        <v>9.615384615384615</v>
      </c>
      <c r="BL9" s="311">
        <f ca="1">IF($BI9&lt;&gt;"",IF('Capacity summary'!$D$14="Yes",IF(COUNTBLANK('Capacity summary'!$H128:$BG128)&lt;52,IF('Capacity summary'!I128&lt;&gt;"",IF(LOWER('Capacity summary'!I128)="x",$BI9*I9,VALUE('Capacity summary'!I128)),0),I9*$BI9),I9*$BI9),0)</f>
        <v>9.615384615384615</v>
      </c>
      <c r="BM9" s="311">
        <f ca="1">IF($BI9&lt;&gt;"",IF('Capacity summary'!$D$14="Yes",IF(COUNTBLANK('Capacity summary'!$H128:$BG128)&lt;52,IF('Capacity summary'!J128&lt;&gt;"",IF(LOWER('Capacity summary'!J128)="x",$BI9*J9,VALUE('Capacity summary'!J128)),0),J9*$BI9),J9*$BI9),0)</f>
        <v>9.615384615384615</v>
      </c>
      <c r="BN9" s="311">
        <f ca="1">IF($BI9&lt;&gt;"",IF('Capacity summary'!$D$14="Yes",IF(COUNTBLANK('Capacity summary'!$H128:$BG128)&lt;52,IF('Capacity summary'!K128&lt;&gt;"",IF(LOWER('Capacity summary'!K128)="x",$BI9*K9,VALUE('Capacity summary'!K128)),0),K9*$BI9),K9*$BI9),0)</f>
        <v>9.615384615384615</v>
      </c>
      <c r="BO9" s="311">
        <f ca="1">IF($BI9&lt;&gt;"",IF('Capacity summary'!$D$14="Yes",IF(COUNTBLANK('Capacity summary'!$H128:$BG128)&lt;52,IF('Capacity summary'!L128&lt;&gt;"",IF(LOWER('Capacity summary'!L128)="x",$BI9*L9,VALUE('Capacity summary'!L128)),0),L9*$BI9),L9*$BI9),0)</f>
        <v>9.615384615384615</v>
      </c>
      <c r="BP9" s="311">
        <f ca="1">IF($BI9&lt;&gt;"",IF('Capacity summary'!$D$14="Yes",IF(COUNTBLANK('Capacity summary'!$H128:$BG128)&lt;52,IF('Capacity summary'!M128&lt;&gt;"",IF(LOWER('Capacity summary'!M128)="x",$BI9*M9,VALUE('Capacity summary'!M128)),0),M9*$BI9),M9*$BI9),0)</f>
        <v>9.615384615384615</v>
      </c>
      <c r="BQ9" s="311">
        <f ca="1">IF($BI9&lt;&gt;"",IF('Capacity summary'!$D$14="Yes",IF(COUNTBLANK('Capacity summary'!$H128:$BG128)&lt;52,IF('Capacity summary'!N128&lt;&gt;"",IF(LOWER('Capacity summary'!N128)="x",$BI9*N9,VALUE('Capacity summary'!N128)),0),N9*$BI9),N9*$BI9),0)</f>
        <v>9.615384615384615</v>
      </c>
      <c r="BR9" s="311">
        <f ca="1">IF($BI9&lt;&gt;"",IF('Capacity summary'!$D$14="Yes",IF(COUNTBLANK('Capacity summary'!$H128:$BG128)&lt;52,IF('Capacity summary'!O128&lt;&gt;"",IF(LOWER('Capacity summary'!O128)="x",$BI9*O9,VALUE('Capacity summary'!O128)),0),O9*$BI9),O9*$BI9),0)</f>
        <v>9.615384615384615</v>
      </c>
      <c r="BS9" s="311">
        <f ca="1">IF($BI9&lt;&gt;"",IF('Capacity summary'!$D$14="Yes",IF(COUNTBLANK('Capacity summary'!$H128:$BG128)&lt;52,IF('Capacity summary'!P128&lt;&gt;"",IF(LOWER('Capacity summary'!P128)="x",$BI9*P9,VALUE('Capacity summary'!P128)),0),P9*$BI9),P9*$BI9),0)</f>
        <v>9.615384615384615</v>
      </c>
      <c r="BT9" s="311">
        <f ca="1">IF($BI9&lt;&gt;"",IF('Capacity summary'!$D$14="Yes",IF(COUNTBLANK('Capacity summary'!$H128:$BG128)&lt;52,IF('Capacity summary'!Q128&lt;&gt;"",IF(LOWER('Capacity summary'!Q128)="x",$BI9*Q9,VALUE('Capacity summary'!Q128)),0),Q9*$BI9),Q9*$BI9),0)</f>
        <v>9.615384615384615</v>
      </c>
      <c r="BU9" s="311">
        <f ca="1">IF($BI9&lt;&gt;"",IF('Capacity summary'!$D$14="Yes",IF(COUNTBLANK('Capacity summary'!$H128:$BG128)&lt;52,IF('Capacity summary'!R128&lt;&gt;"",IF(LOWER('Capacity summary'!R128)="x",$BI9*R9,VALUE('Capacity summary'!R128)),0),R9*$BI9),R9*$BI9),0)</f>
        <v>9.615384615384615</v>
      </c>
      <c r="BV9" s="311">
        <f ca="1">IF($BI9&lt;&gt;"",IF('Capacity summary'!$D$14="Yes",IF(COUNTBLANK('Capacity summary'!$H128:$BG128)&lt;52,IF('Capacity summary'!S128&lt;&gt;"",IF(LOWER('Capacity summary'!S128)="x",$BI9*S9,VALUE('Capacity summary'!S128)),0),S9*$BI9),S9*$BI9),0)</f>
        <v>9.615384615384615</v>
      </c>
      <c r="BW9" s="311">
        <f ca="1">IF($BI9&lt;&gt;"",IF('Capacity summary'!$D$14="Yes",IF(COUNTBLANK('Capacity summary'!$H128:$BG128)&lt;52,IF('Capacity summary'!T128&lt;&gt;"",IF(LOWER('Capacity summary'!T128)="x",$BI9*T9,VALUE('Capacity summary'!T128)),0),T9*$BI9),T9*$BI9),0)</f>
        <v>9.615384615384615</v>
      </c>
      <c r="BX9" s="311">
        <f ca="1">IF($BI9&lt;&gt;"",IF('Capacity summary'!$D$14="Yes",IF(COUNTBLANK('Capacity summary'!$H128:$BG128)&lt;52,IF('Capacity summary'!U128&lt;&gt;"",IF(LOWER('Capacity summary'!U128)="x",$BI9*U9,VALUE('Capacity summary'!U128)),0),U9*$BI9),U9*$BI9),0)</f>
        <v>9.615384615384615</v>
      </c>
      <c r="BY9" s="311">
        <f ca="1">IF($BI9&lt;&gt;"",IF('Capacity summary'!$D$14="Yes",IF(COUNTBLANK('Capacity summary'!$H128:$BG128)&lt;52,IF('Capacity summary'!V128&lt;&gt;"",IF(LOWER('Capacity summary'!V128)="x",$BI9*V9,VALUE('Capacity summary'!V128)),0),V9*$BI9),V9*$BI9),0)</f>
        <v>9.615384615384615</v>
      </c>
      <c r="BZ9" s="311">
        <f ca="1">IF($BI9&lt;&gt;"",IF('Capacity summary'!$D$14="Yes",IF(COUNTBLANK('Capacity summary'!$H128:$BG128)&lt;52,IF('Capacity summary'!W128&lt;&gt;"",IF(LOWER('Capacity summary'!W128)="x",$BI9*W9,VALUE('Capacity summary'!W128)),0),W9*$BI9),W9*$BI9),0)</f>
        <v>9.615384615384615</v>
      </c>
      <c r="CA9" s="311">
        <f ca="1">IF($BI9&lt;&gt;"",IF('Capacity summary'!$D$14="Yes",IF(COUNTBLANK('Capacity summary'!$H128:$BG128)&lt;52,IF('Capacity summary'!X128&lt;&gt;"",IF(LOWER('Capacity summary'!X128)="x",$BI9*X9,VALUE('Capacity summary'!X128)),0),X9*$BI9),X9*$BI9),0)</f>
        <v>9.615384615384615</v>
      </c>
      <c r="CB9" s="311">
        <f ca="1">IF($BI9&lt;&gt;"",IF('Capacity summary'!$D$14="Yes",IF(COUNTBLANK('Capacity summary'!$H128:$BG128)&lt;52,IF('Capacity summary'!Y128&lt;&gt;"",IF(LOWER('Capacity summary'!Y128)="x",$BI9*Y9,VALUE('Capacity summary'!Y128)),0),Y9*$BI9),Y9*$BI9),0)</f>
        <v>9.615384615384615</v>
      </c>
      <c r="CC9" s="311">
        <f ca="1">IF($BI9&lt;&gt;"",IF('Capacity summary'!$D$14="Yes",IF(COUNTBLANK('Capacity summary'!$H128:$BG128)&lt;52,IF('Capacity summary'!Z128&lt;&gt;"",IF(LOWER('Capacity summary'!Z128)="x",$BI9*Z9,VALUE('Capacity summary'!Z128)),0),Z9*$BI9),Z9*$BI9),0)</f>
        <v>9.615384615384615</v>
      </c>
      <c r="CD9" s="311">
        <f ca="1">IF($BI9&lt;&gt;"",IF('Capacity summary'!$D$14="Yes",IF(COUNTBLANK('Capacity summary'!$H128:$BG128)&lt;52,IF('Capacity summary'!AA128&lt;&gt;"",IF(LOWER('Capacity summary'!AA128)="x",$BI9*AA9,VALUE('Capacity summary'!AA128)),0),AA9*$BI9),AA9*$BI9),0)</f>
        <v>9.615384615384615</v>
      </c>
      <c r="CE9" s="311">
        <f ca="1">IF($BI9&lt;&gt;"",IF('Capacity summary'!$D$14="Yes",IF(COUNTBLANK('Capacity summary'!$H128:$BG128)&lt;52,IF('Capacity summary'!AB128&lt;&gt;"",IF(LOWER('Capacity summary'!AB128)="x",$BI9*AB9,VALUE('Capacity summary'!AB128)),0),AB9*$BI9),AB9*$BI9),0)</f>
        <v>9.615384615384615</v>
      </c>
      <c r="CF9" s="311">
        <f ca="1">IF($BI9&lt;&gt;"",IF('Capacity summary'!$D$14="Yes",IF(COUNTBLANK('Capacity summary'!$H128:$BG128)&lt;52,IF('Capacity summary'!AC128&lt;&gt;"",IF(LOWER('Capacity summary'!AC128)="x",$BI9*AC9,VALUE('Capacity summary'!AC128)),0),AC9*$BI9),AC9*$BI9),0)</f>
        <v>9.615384615384615</v>
      </c>
      <c r="CG9" s="311">
        <f ca="1">IF($BI9&lt;&gt;"",IF('Capacity summary'!$D$14="Yes",IF(COUNTBLANK('Capacity summary'!$H128:$BG128)&lt;52,IF('Capacity summary'!AD128&lt;&gt;"",IF(LOWER('Capacity summary'!AD128)="x",$BI9*AD9,VALUE('Capacity summary'!AD128)),0),AD9*$BI9),AD9*$BI9),0)</f>
        <v>9.615384615384615</v>
      </c>
      <c r="CH9" s="311">
        <f ca="1">IF($BI9&lt;&gt;"",IF('Capacity summary'!$D$14="Yes",IF(COUNTBLANK('Capacity summary'!$H128:$BG128)&lt;52,IF('Capacity summary'!AE128&lt;&gt;"",IF(LOWER('Capacity summary'!AE128)="x",$BI9*AE9,VALUE('Capacity summary'!AE128)),0),AE9*$BI9),AE9*$BI9),0)</f>
        <v>9.615384615384615</v>
      </c>
      <c r="CI9" s="311">
        <f ca="1">IF($BI9&lt;&gt;"",IF('Capacity summary'!$D$14="Yes",IF(COUNTBLANK('Capacity summary'!$H128:$BG128)&lt;52,IF('Capacity summary'!AF128&lt;&gt;"",IF(LOWER('Capacity summary'!AF128)="x",$BI9*AF9,VALUE('Capacity summary'!AF128)),0),AF9*$BI9),AF9*$BI9),0)</f>
        <v>9.615384615384615</v>
      </c>
      <c r="CJ9" s="311">
        <f ca="1">IF($BI9&lt;&gt;"",IF('Capacity summary'!$D$14="Yes",IF(COUNTBLANK('Capacity summary'!$H128:$BG128)&lt;52,IF('Capacity summary'!AG128&lt;&gt;"",IF(LOWER('Capacity summary'!AG128)="x",$BI9*AG9,VALUE('Capacity summary'!AG128)),0),AG9*$BI9),AG9*$BI9),0)</f>
        <v>9.615384615384615</v>
      </c>
      <c r="CK9" s="311">
        <f ca="1">IF($BI9&lt;&gt;"",IF('Capacity summary'!$D$14="Yes",IF(COUNTBLANK('Capacity summary'!$H128:$BG128)&lt;52,IF('Capacity summary'!AH128&lt;&gt;"",IF(LOWER('Capacity summary'!AH128)="x",$BI9*AH9,VALUE('Capacity summary'!AH128)),0),AH9*$BI9),AH9*$BI9),0)</f>
        <v>9.615384615384615</v>
      </c>
      <c r="CL9" s="311">
        <f ca="1">IF($BI9&lt;&gt;"",IF('Capacity summary'!$D$14="Yes",IF(COUNTBLANK('Capacity summary'!$H128:$BG128)&lt;52,IF('Capacity summary'!AI128&lt;&gt;"",IF(LOWER('Capacity summary'!AI128)="x",$BI9*AI9,VALUE('Capacity summary'!AI128)),0),AI9*$BI9),AI9*$BI9),0)</f>
        <v>9.615384615384615</v>
      </c>
      <c r="CM9" s="311">
        <f ca="1">IF($BI9&lt;&gt;"",IF('Capacity summary'!$D$14="Yes",IF(COUNTBLANK('Capacity summary'!$H128:$BG128)&lt;52,IF('Capacity summary'!AJ128&lt;&gt;"",IF(LOWER('Capacity summary'!AJ128)="x",$BI9*AJ9,VALUE('Capacity summary'!AJ128)),0),AJ9*$BI9),AJ9*$BI9),0)</f>
        <v>9.615384615384615</v>
      </c>
      <c r="CN9" s="311">
        <f ca="1">IF($BI9&lt;&gt;"",IF('Capacity summary'!$D$14="Yes",IF(COUNTBLANK('Capacity summary'!$H128:$BG128)&lt;52,IF('Capacity summary'!AK128&lt;&gt;"",IF(LOWER('Capacity summary'!AK128)="x",$BI9*AK9,VALUE('Capacity summary'!AK128)),0),AK9*$BI9),AK9*$BI9),0)</f>
        <v>9.615384615384615</v>
      </c>
      <c r="CO9" s="311">
        <f ca="1">IF($BI9&lt;&gt;"",IF('Capacity summary'!$D$14="Yes",IF(COUNTBLANK('Capacity summary'!$H128:$BG128)&lt;52,IF('Capacity summary'!AL128&lt;&gt;"",IF(LOWER('Capacity summary'!AL128)="x",$BI9*AL9,VALUE('Capacity summary'!AL128)),0),AL9*$BI9),AL9*$BI9),0)</f>
        <v>9.615384615384615</v>
      </c>
      <c r="CP9" s="311">
        <f ca="1">IF($BI9&lt;&gt;"",IF('Capacity summary'!$D$14="Yes",IF(COUNTBLANK('Capacity summary'!$H128:$BG128)&lt;52,IF('Capacity summary'!AM128&lt;&gt;"",IF(LOWER('Capacity summary'!AM128)="x",$BI9*AM9,VALUE('Capacity summary'!AM128)),0),AM9*$BI9),AM9*$BI9),0)</f>
        <v>9.615384615384615</v>
      </c>
      <c r="CQ9" s="311">
        <f ca="1">IF($BI9&lt;&gt;"",IF('Capacity summary'!$D$14="Yes",IF(COUNTBLANK('Capacity summary'!$H128:$BG128)&lt;52,IF('Capacity summary'!AN128&lt;&gt;"",IF(LOWER('Capacity summary'!AN128)="x",$BI9*AN9,VALUE('Capacity summary'!AN128)),0),AN9*$BI9),AN9*$BI9),0)</f>
        <v>9.615384615384615</v>
      </c>
      <c r="CR9" s="311">
        <f ca="1">IF($BI9&lt;&gt;"",IF('Capacity summary'!$D$14="Yes",IF(COUNTBLANK('Capacity summary'!$H128:$BG128)&lt;52,IF('Capacity summary'!AO128&lt;&gt;"",IF(LOWER('Capacity summary'!AO128)="x",$BI9*AO9,VALUE('Capacity summary'!AO128)),0),AO9*$BI9),AO9*$BI9),0)</f>
        <v>9.615384615384615</v>
      </c>
      <c r="CS9" s="311">
        <f ca="1">IF($BI9&lt;&gt;"",IF('Capacity summary'!$D$14="Yes",IF(COUNTBLANK('Capacity summary'!$H128:$BG128)&lt;52,IF('Capacity summary'!AP128&lt;&gt;"",IF(LOWER('Capacity summary'!AP128)="x",$BI9*AP9,VALUE('Capacity summary'!AP128)),0),AP9*$BI9),AP9*$BI9),0)</f>
        <v>9.615384615384615</v>
      </c>
      <c r="CT9" s="311">
        <f ca="1">IF($BI9&lt;&gt;"",IF('Capacity summary'!$D$14="Yes",IF(COUNTBLANK('Capacity summary'!$H128:$BG128)&lt;52,IF('Capacity summary'!AQ128&lt;&gt;"",IF(LOWER('Capacity summary'!AQ128)="x",$BI9*AQ9,VALUE('Capacity summary'!AQ128)),0),AQ9*$BI9),AQ9*$BI9),0)</f>
        <v>9.615384615384615</v>
      </c>
      <c r="CU9" s="311">
        <f ca="1">IF($BI9&lt;&gt;"",IF('Capacity summary'!$D$14="Yes",IF(COUNTBLANK('Capacity summary'!$H128:$BG128)&lt;52,IF('Capacity summary'!AR128&lt;&gt;"",IF(LOWER('Capacity summary'!AR128)="x",$BI9*AR9,VALUE('Capacity summary'!AR128)),0),AR9*$BI9),AR9*$BI9),0)</f>
        <v>9.615384615384615</v>
      </c>
      <c r="CV9" s="311">
        <f ca="1">IF($BI9&lt;&gt;"",IF('Capacity summary'!$D$14="Yes",IF(COUNTBLANK('Capacity summary'!$H128:$BG128)&lt;52,IF('Capacity summary'!AS128&lt;&gt;"",IF(LOWER('Capacity summary'!AS128)="x",$BI9*AS9,VALUE('Capacity summary'!AS128)),0),AS9*$BI9),AS9*$BI9),0)</f>
        <v>9.615384615384615</v>
      </c>
      <c r="CW9" s="311">
        <f ca="1">IF($BI9&lt;&gt;"",IF('Capacity summary'!$D$14="Yes",IF(COUNTBLANK('Capacity summary'!$H128:$BG128)&lt;52,IF('Capacity summary'!AT128&lt;&gt;"",IF(LOWER('Capacity summary'!AT128)="x",$BI9*AT9,VALUE('Capacity summary'!AT128)),0),AT9*$BI9),AT9*$BI9),0)</f>
        <v>9.615384615384615</v>
      </c>
      <c r="CX9" s="311">
        <f ca="1">IF($BI9&lt;&gt;"",IF('Capacity summary'!$D$14="Yes",IF(COUNTBLANK('Capacity summary'!$H128:$BG128)&lt;52,IF('Capacity summary'!AU128&lt;&gt;"",IF(LOWER('Capacity summary'!AU128)="x",$BI9*AU9,VALUE('Capacity summary'!AU128)),0),AU9*$BI9),AU9*$BI9),0)</f>
        <v>9.615384615384615</v>
      </c>
      <c r="CY9" s="311">
        <f ca="1">IF($BI9&lt;&gt;"",IF('Capacity summary'!$D$14="Yes",IF(COUNTBLANK('Capacity summary'!$H128:$BG128)&lt;52,IF('Capacity summary'!AV128&lt;&gt;"",IF(LOWER('Capacity summary'!AV128)="x",$BI9*AV9,VALUE('Capacity summary'!AV128)),0),AV9*$BI9),AV9*$BI9),0)</f>
        <v>9.615384615384615</v>
      </c>
      <c r="CZ9" s="311">
        <f ca="1">IF($BI9&lt;&gt;"",IF('Capacity summary'!$D$14="Yes",IF(COUNTBLANK('Capacity summary'!$H128:$BG128)&lt;52,IF('Capacity summary'!AW128&lt;&gt;"",IF(LOWER('Capacity summary'!AW128)="x",$BI9*AW9,VALUE('Capacity summary'!AW128)),0),AW9*$BI9),AW9*$BI9),0)</f>
        <v>9.615384615384615</v>
      </c>
      <c r="DA9" s="311">
        <f ca="1">IF($BI9&lt;&gt;"",IF('Capacity summary'!$D$14="Yes",IF(COUNTBLANK('Capacity summary'!$H128:$BG128)&lt;52,IF('Capacity summary'!AX128&lt;&gt;"",IF(LOWER('Capacity summary'!AX128)="x",$BI9*AX9,VALUE('Capacity summary'!AX128)),0),AX9*$BI9),AX9*$BI9),0)</f>
        <v>9.615384615384615</v>
      </c>
      <c r="DB9" s="311">
        <f ca="1">IF($BI9&lt;&gt;"",IF('Capacity summary'!$D$14="Yes",IF(COUNTBLANK('Capacity summary'!$H128:$BG128)&lt;52,IF('Capacity summary'!AY128&lt;&gt;"",IF(LOWER('Capacity summary'!AY128)="x",$BI9*AY9,VALUE('Capacity summary'!AY128)),0),AY9*$BI9),AY9*$BI9),0)</f>
        <v>9.615384615384615</v>
      </c>
      <c r="DC9" s="311">
        <f ca="1">IF($BI9&lt;&gt;"",IF('Capacity summary'!$D$14="Yes",IF(COUNTBLANK('Capacity summary'!$H128:$BG128)&lt;52,IF('Capacity summary'!AZ128&lt;&gt;"",IF(LOWER('Capacity summary'!AZ128)="x",$BI9*AZ9,VALUE('Capacity summary'!AZ128)),0),AZ9*$BI9),AZ9*$BI9),0)</f>
        <v>9.615384615384615</v>
      </c>
      <c r="DD9" s="311">
        <f ca="1">IF($BI9&lt;&gt;"",IF('Capacity summary'!$D$14="Yes",IF(COUNTBLANK('Capacity summary'!$H128:$BG128)&lt;52,IF('Capacity summary'!BA128&lt;&gt;"",IF(LOWER('Capacity summary'!BA128)="x",$BI9*BA9,VALUE('Capacity summary'!BA128)),0),BA9*$BI9),BA9*$BI9),0)</f>
        <v>9.615384615384615</v>
      </c>
      <c r="DE9" s="311">
        <f ca="1">IF($BI9&lt;&gt;"",IF('Capacity summary'!$D$14="Yes",IF(COUNTBLANK('Capacity summary'!$H128:$BG128)&lt;52,IF('Capacity summary'!BB128&lt;&gt;"",IF(LOWER('Capacity summary'!BB128)="x",$BI9*BB9,VALUE('Capacity summary'!BB128)),0),BB9*$BI9),BB9*$BI9),0)</f>
        <v>9.615384615384615</v>
      </c>
      <c r="DF9" s="311">
        <f ca="1">IF($BI9&lt;&gt;"",IF('Capacity summary'!$D$14="Yes",IF(COUNTBLANK('Capacity summary'!$H128:$BG128)&lt;52,IF('Capacity summary'!BC128&lt;&gt;"",IF(LOWER('Capacity summary'!BC128)="x",$BI9*BC9,VALUE('Capacity summary'!BC128)),0),BC9*$BI9),BC9*$BI9),0)</f>
        <v>9.615384615384615</v>
      </c>
      <c r="DG9" s="311">
        <f ca="1">IF($BI9&lt;&gt;"",IF('Capacity summary'!$D$14="Yes",IF(COUNTBLANK('Capacity summary'!$H128:$BG128)&lt;52,IF('Capacity summary'!BD128&lt;&gt;"",IF(LOWER('Capacity summary'!BD128)="x",$BI9*BD9,VALUE('Capacity summary'!BD128)),0),BD9*$BI9),BD9*$BI9),0)</f>
        <v>9.615384615384615</v>
      </c>
      <c r="DH9" s="311">
        <f ca="1">IF($BI9&lt;&gt;"",IF('Capacity summary'!$D$14="Yes",IF(COUNTBLANK('Capacity summary'!$H128:$BG128)&lt;52,IF('Capacity summary'!BE128&lt;&gt;"",IF(LOWER('Capacity summary'!BE128)="x",$BI9*BE9,VALUE('Capacity summary'!BE128)),0),BE9*$BI9),BE9*$BI9),0)</f>
        <v>9.615384615384615</v>
      </c>
      <c r="DI9" s="311">
        <f ca="1">IF($BI9&lt;&gt;"",IF('Capacity summary'!$D$14="Yes",IF(COUNTBLANK('Capacity summary'!$H128:$BG128)&lt;52,IF('Capacity summary'!BF128&lt;&gt;"",IF(LOWER('Capacity summary'!BF128)="x",$BI9*BF9,VALUE('Capacity summary'!BF128)),0),BF9*$BI9),BF9*$BI9),0)</f>
        <v>9.615384615384615</v>
      </c>
      <c r="DJ9" s="311">
        <f ca="1">IF($BI9&lt;&gt;"",IF('Capacity summary'!$D$14="Yes",IF(COUNTBLANK('Capacity summary'!$H128:$BG128)&lt;52,IF('Capacity summary'!BG128&lt;&gt;"",IF(LOWER('Capacity summary'!BG128)="x",$BI9*BG9,VALUE('Capacity summary'!BG128)),0),BG9*$BI9),BG9*$BI9),0)</f>
        <v>9.615384615384615</v>
      </c>
      <c r="DK9" s="388">
        <f t="shared" ca="1" si="2"/>
        <v>9.615384615384615</v>
      </c>
      <c r="DL9" s="136">
        <f t="shared" ca="1" si="3"/>
        <v>500.00000000000063</v>
      </c>
      <c r="DM9" s="311">
        <f>Capacity!H21</f>
        <v>500</v>
      </c>
      <c r="DQ9" s="5"/>
    </row>
    <row r="10" spans="1:121" x14ac:dyDescent="0.2">
      <c r="A10" s="67">
        <f>IF(Capacity!L22='Capacity summary'!BI129,1,0)</f>
        <v>1</v>
      </c>
      <c r="B10" s="67">
        <f>IF(Capacity!V22='Capacity summary'!BI29,1,0)</f>
        <v>1</v>
      </c>
      <c r="C10" s="67" t="str">
        <f>ROW(A6)&amp;". "&amp;Capacity!B22</f>
        <v>6. 2 ww</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 ca="1">IF(ROW(C6)&lt;=Capacity!$A$16,IF('Capacity summary'!$D$14="No",SUM(H10:BG10),'Capacity summary'!$E129),0)</f>
        <v>52</v>
      </c>
      <c r="BI10" s="5">
        <f ca="1">IF(BH10&gt;0,IF(BH10&lt;Capacity!E22,Capacity!F22,Capacity!H22/'Capacity calculation (hide)'!BH10),"")</f>
        <v>57.692307692307693</v>
      </c>
      <c r="BK10" s="311">
        <f ca="1">IF($BI10&lt;&gt;"",IF('Capacity summary'!$D$14="Yes",IF(COUNTBLANK('Capacity summary'!$H129:$BG129)&lt;52,IF('Capacity summary'!H129&lt;&gt;"",IF(LOWER('Capacity summary'!H129)="x",$BI10*H10,VALUE('Capacity summary'!H129)),0),H10*$BI10),H10*$BI10),0)</f>
        <v>57.692307692307693</v>
      </c>
      <c r="BL10" s="311">
        <f ca="1">IF($BI10&lt;&gt;"",IF('Capacity summary'!$D$14="Yes",IF(COUNTBLANK('Capacity summary'!$H129:$BG129)&lt;52,IF('Capacity summary'!I129&lt;&gt;"",IF(LOWER('Capacity summary'!I129)="x",$BI10*I10,VALUE('Capacity summary'!I129)),0),I10*$BI10),I10*$BI10),0)</f>
        <v>57.692307692307693</v>
      </c>
      <c r="BM10" s="311">
        <f ca="1">IF($BI10&lt;&gt;"",IF('Capacity summary'!$D$14="Yes",IF(COUNTBLANK('Capacity summary'!$H129:$BG129)&lt;52,IF('Capacity summary'!J129&lt;&gt;"",IF(LOWER('Capacity summary'!J129)="x",$BI10*J10,VALUE('Capacity summary'!J129)),0),J10*$BI10),J10*$BI10),0)</f>
        <v>57.692307692307693</v>
      </c>
      <c r="BN10" s="311">
        <f ca="1">IF($BI10&lt;&gt;"",IF('Capacity summary'!$D$14="Yes",IF(COUNTBLANK('Capacity summary'!$H129:$BG129)&lt;52,IF('Capacity summary'!K129&lt;&gt;"",IF(LOWER('Capacity summary'!K129)="x",$BI10*K10,VALUE('Capacity summary'!K129)),0),K10*$BI10),K10*$BI10),0)</f>
        <v>57.692307692307693</v>
      </c>
      <c r="BO10" s="311">
        <f ca="1">IF($BI10&lt;&gt;"",IF('Capacity summary'!$D$14="Yes",IF(COUNTBLANK('Capacity summary'!$H129:$BG129)&lt;52,IF('Capacity summary'!L129&lt;&gt;"",IF(LOWER('Capacity summary'!L129)="x",$BI10*L10,VALUE('Capacity summary'!L129)),0),L10*$BI10),L10*$BI10),0)</f>
        <v>57.692307692307693</v>
      </c>
      <c r="BP10" s="311">
        <f ca="1">IF($BI10&lt;&gt;"",IF('Capacity summary'!$D$14="Yes",IF(COUNTBLANK('Capacity summary'!$H129:$BG129)&lt;52,IF('Capacity summary'!M129&lt;&gt;"",IF(LOWER('Capacity summary'!M129)="x",$BI10*M10,VALUE('Capacity summary'!M129)),0),M10*$BI10),M10*$BI10),0)</f>
        <v>57.692307692307693</v>
      </c>
      <c r="BQ10" s="311">
        <f ca="1">IF($BI10&lt;&gt;"",IF('Capacity summary'!$D$14="Yes",IF(COUNTBLANK('Capacity summary'!$H129:$BG129)&lt;52,IF('Capacity summary'!N129&lt;&gt;"",IF(LOWER('Capacity summary'!N129)="x",$BI10*N10,VALUE('Capacity summary'!N129)),0),N10*$BI10),N10*$BI10),0)</f>
        <v>57.692307692307693</v>
      </c>
      <c r="BR10" s="311">
        <f ca="1">IF($BI10&lt;&gt;"",IF('Capacity summary'!$D$14="Yes",IF(COUNTBLANK('Capacity summary'!$H129:$BG129)&lt;52,IF('Capacity summary'!O129&lt;&gt;"",IF(LOWER('Capacity summary'!O129)="x",$BI10*O10,VALUE('Capacity summary'!O129)),0),O10*$BI10),O10*$BI10),0)</f>
        <v>57.692307692307693</v>
      </c>
      <c r="BS10" s="311">
        <f ca="1">IF($BI10&lt;&gt;"",IF('Capacity summary'!$D$14="Yes",IF(COUNTBLANK('Capacity summary'!$H129:$BG129)&lt;52,IF('Capacity summary'!P129&lt;&gt;"",IF(LOWER('Capacity summary'!P129)="x",$BI10*P10,VALUE('Capacity summary'!P129)),0),P10*$BI10),P10*$BI10),0)</f>
        <v>57.692307692307693</v>
      </c>
      <c r="BT10" s="311">
        <f ca="1">IF($BI10&lt;&gt;"",IF('Capacity summary'!$D$14="Yes",IF(COUNTBLANK('Capacity summary'!$H129:$BG129)&lt;52,IF('Capacity summary'!Q129&lt;&gt;"",IF(LOWER('Capacity summary'!Q129)="x",$BI10*Q10,VALUE('Capacity summary'!Q129)),0),Q10*$BI10),Q10*$BI10),0)</f>
        <v>57.692307692307693</v>
      </c>
      <c r="BU10" s="311">
        <f ca="1">IF($BI10&lt;&gt;"",IF('Capacity summary'!$D$14="Yes",IF(COUNTBLANK('Capacity summary'!$H129:$BG129)&lt;52,IF('Capacity summary'!R129&lt;&gt;"",IF(LOWER('Capacity summary'!R129)="x",$BI10*R10,VALUE('Capacity summary'!R129)),0),R10*$BI10),R10*$BI10),0)</f>
        <v>57.692307692307693</v>
      </c>
      <c r="BV10" s="311">
        <f ca="1">IF($BI10&lt;&gt;"",IF('Capacity summary'!$D$14="Yes",IF(COUNTBLANK('Capacity summary'!$H129:$BG129)&lt;52,IF('Capacity summary'!S129&lt;&gt;"",IF(LOWER('Capacity summary'!S129)="x",$BI10*S10,VALUE('Capacity summary'!S129)),0),S10*$BI10),S10*$BI10),0)</f>
        <v>57.692307692307693</v>
      </c>
      <c r="BW10" s="311">
        <f ca="1">IF($BI10&lt;&gt;"",IF('Capacity summary'!$D$14="Yes",IF(COUNTBLANK('Capacity summary'!$H129:$BG129)&lt;52,IF('Capacity summary'!T129&lt;&gt;"",IF(LOWER('Capacity summary'!T129)="x",$BI10*T10,VALUE('Capacity summary'!T129)),0),T10*$BI10),T10*$BI10),0)</f>
        <v>57.692307692307693</v>
      </c>
      <c r="BX10" s="311">
        <f ca="1">IF($BI10&lt;&gt;"",IF('Capacity summary'!$D$14="Yes",IF(COUNTBLANK('Capacity summary'!$H129:$BG129)&lt;52,IF('Capacity summary'!U129&lt;&gt;"",IF(LOWER('Capacity summary'!U129)="x",$BI10*U10,VALUE('Capacity summary'!U129)),0),U10*$BI10),U10*$BI10),0)</f>
        <v>57.692307692307693</v>
      </c>
      <c r="BY10" s="311">
        <f ca="1">IF($BI10&lt;&gt;"",IF('Capacity summary'!$D$14="Yes",IF(COUNTBLANK('Capacity summary'!$H129:$BG129)&lt;52,IF('Capacity summary'!V129&lt;&gt;"",IF(LOWER('Capacity summary'!V129)="x",$BI10*V10,VALUE('Capacity summary'!V129)),0),V10*$BI10),V10*$BI10),0)</f>
        <v>57.692307692307693</v>
      </c>
      <c r="BZ10" s="311">
        <f ca="1">IF($BI10&lt;&gt;"",IF('Capacity summary'!$D$14="Yes",IF(COUNTBLANK('Capacity summary'!$H129:$BG129)&lt;52,IF('Capacity summary'!W129&lt;&gt;"",IF(LOWER('Capacity summary'!W129)="x",$BI10*W10,VALUE('Capacity summary'!W129)),0),W10*$BI10),W10*$BI10),0)</f>
        <v>57.692307692307693</v>
      </c>
      <c r="CA10" s="311">
        <f ca="1">IF($BI10&lt;&gt;"",IF('Capacity summary'!$D$14="Yes",IF(COUNTBLANK('Capacity summary'!$H129:$BG129)&lt;52,IF('Capacity summary'!X129&lt;&gt;"",IF(LOWER('Capacity summary'!X129)="x",$BI10*X10,VALUE('Capacity summary'!X129)),0),X10*$BI10),X10*$BI10),0)</f>
        <v>57.692307692307693</v>
      </c>
      <c r="CB10" s="311">
        <f ca="1">IF($BI10&lt;&gt;"",IF('Capacity summary'!$D$14="Yes",IF(COUNTBLANK('Capacity summary'!$H129:$BG129)&lt;52,IF('Capacity summary'!Y129&lt;&gt;"",IF(LOWER('Capacity summary'!Y129)="x",$BI10*Y10,VALUE('Capacity summary'!Y129)),0),Y10*$BI10),Y10*$BI10),0)</f>
        <v>57.692307692307693</v>
      </c>
      <c r="CC10" s="311">
        <f ca="1">IF($BI10&lt;&gt;"",IF('Capacity summary'!$D$14="Yes",IF(COUNTBLANK('Capacity summary'!$H129:$BG129)&lt;52,IF('Capacity summary'!Z129&lt;&gt;"",IF(LOWER('Capacity summary'!Z129)="x",$BI10*Z10,VALUE('Capacity summary'!Z129)),0),Z10*$BI10),Z10*$BI10),0)</f>
        <v>57.692307692307693</v>
      </c>
      <c r="CD10" s="311">
        <f ca="1">IF($BI10&lt;&gt;"",IF('Capacity summary'!$D$14="Yes",IF(COUNTBLANK('Capacity summary'!$H129:$BG129)&lt;52,IF('Capacity summary'!AA129&lt;&gt;"",IF(LOWER('Capacity summary'!AA129)="x",$BI10*AA10,VALUE('Capacity summary'!AA129)),0),AA10*$BI10),AA10*$BI10),0)</f>
        <v>57.692307692307693</v>
      </c>
      <c r="CE10" s="311">
        <f ca="1">IF($BI10&lt;&gt;"",IF('Capacity summary'!$D$14="Yes",IF(COUNTBLANK('Capacity summary'!$H129:$BG129)&lt;52,IF('Capacity summary'!AB129&lt;&gt;"",IF(LOWER('Capacity summary'!AB129)="x",$BI10*AB10,VALUE('Capacity summary'!AB129)),0),AB10*$BI10),AB10*$BI10),0)</f>
        <v>57.692307692307693</v>
      </c>
      <c r="CF10" s="311">
        <f ca="1">IF($BI10&lt;&gt;"",IF('Capacity summary'!$D$14="Yes",IF(COUNTBLANK('Capacity summary'!$H129:$BG129)&lt;52,IF('Capacity summary'!AC129&lt;&gt;"",IF(LOWER('Capacity summary'!AC129)="x",$BI10*AC10,VALUE('Capacity summary'!AC129)),0),AC10*$BI10),AC10*$BI10),0)</f>
        <v>57.692307692307693</v>
      </c>
      <c r="CG10" s="311">
        <f ca="1">IF($BI10&lt;&gt;"",IF('Capacity summary'!$D$14="Yes",IF(COUNTBLANK('Capacity summary'!$H129:$BG129)&lt;52,IF('Capacity summary'!AD129&lt;&gt;"",IF(LOWER('Capacity summary'!AD129)="x",$BI10*AD10,VALUE('Capacity summary'!AD129)),0),AD10*$BI10),AD10*$BI10),0)</f>
        <v>57.692307692307693</v>
      </c>
      <c r="CH10" s="311">
        <f ca="1">IF($BI10&lt;&gt;"",IF('Capacity summary'!$D$14="Yes",IF(COUNTBLANK('Capacity summary'!$H129:$BG129)&lt;52,IF('Capacity summary'!AE129&lt;&gt;"",IF(LOWER('Capacity summary'!AE129)="x",$BI10*AE10,VALUE('Capacity summary'!AE129)),0),AE10*$BI10),AE10*$BI10),0)</f>
        <v>57.692307692307693</v>
      </c>
      <c r="CI10" s="311">
        <f ca="1">IF($BI10&lt;&gt;"",IF('Capacity summary'!$D$14="Yes",IF(COUNTBLANK('Capacity summary'!$H129:$BG129)&lt;52,IF('Capacity summary'!AF129&lt;&gt;"",IF(LOWER('Capacity summary'!AF129)="x",$BI10*AF10,VALUE('Capacity summary'!AF129)),0),AF10*$BI10),AF10*$BI10),0)</f>
        <v>57.692307692307693</v>
      </c>
      <c r="CJ10" s="311">
        <f ca="1">IF($BI10&lt;&gt;"",IF('Capacity summary'!$D$14="Yes",IF(COUNTBLANK('Capacity summary'!$H129:$BG129)&lt;52,IF('Capacity summary'!AG129&lt;&gt;"",IF(LOWER('Capacity summary'!AG129)="x",$BI10*AG10,VALUE('Capacity summary'!AG129)),0),AG10*$BI10),AG10*$BI10),0)</f>
        <v>57.692307692307693</v>
      </c>
      <c r="CK10" s="311">
        <f ca="1">IF($BI10&lt;&gt;"",IF('Capacity summary'!$D$14="Yes",IF(COUNTBLANK('Capacity summary'!$H129:$BG129)&lt;52,IF('Capacity summary'!AH129&lt;&gt;"",IF(LOWER('Capacity summary'!AH129)="x",$BI10*AH10,VALUE('Capacity summary'!AH129)),0),AH10*$BI10),AH10*$BI10),0)</f>
        <v>57.692307692307693</v>
      </c>
      <c r="CL10" s="311">
        <f ca="1">IF($BI10&lt;&gt;"",IF('Capacity summary'!$D$14="Yes",IF(COUNTBLANK('Capacity summary'!$H129:$BG129)&lt;52,IF('Capacity summary'!AI129&lt;&gt;"",IF(LOWER('Capacity summary'!AI129)="x",$BI10*AI10,VALUE('Capacity summary'!AI129)),0),AI10*$BI10),AI10*$BI10),0)</f>
        <v>57.692307692307693</v>
      </c>
      <c r="CM10" s="311">
        <f ca="1">IF($BI10&lt;&gt;"",IF('Capacity summary'!$D$14="Yes",IF(COUNTBLANK('Capacity summary'!$H129:$BG129)&lt;52,IF('Capacity summary'!AJ129&lt;&gt;"",IF(LOWER('Capacity summary'!AJ129)="x",$BI10*AJ10,VALUE('Capacity summary'!AJ129)),0),AJ10*$BI10),AJ10*$BI10),0)</f>
        <v>57.692307692307693</v>
      </c>
      <c r="CN10" s="311">
        <f ca="1">IF($BI10&lt;&gt;"",IF('Capacity summary'!$D$14="Yes",IF(COUNTBLANK('Capacity summary'!$H129:$BG129)&lt;52,IF('Capacity summary'!AK129&lt;&gt;"",IF(LOWER('Capacity summary'!AK129)="x",$BI10*AK10,VALUE('Capacity summary'!AK129)),0),AK10*$BI10),AK10*$BI10),0)</f>
        <v>57.692307692307693</v>
      </c>
      <c r="CO10" s="311">
        <f ca="1">IF($BI10&lt;&gt;"",IF('Capacity summary'!$D$14="Yes",IF(COUNTBLANK('Capacity summary'!$H129:$BG129)&lt;52,IF('Capacity summary'!AL129&lt;&gt;"",IF(LOWER('Capacity summary'!AL129)="x",$BI10*AL10,VALUE('Capacity summary'!AL129)),0),AL10*$BI10),AL10*$BI10),0)</f>
        <v>57.692307692307693</v>
      </c>
      <c r="CP10" s="311">
        <f ca="1">IF($BI10&lt;&gt;"",IF('Capacity summary'!$D$14="Yes",IF(COUNTBLANK('Capacity summary'!$H129:$BG129)&lt;52,IF('Capacity summary'!AM129&lt;&gt;"",IF(LOWER('Capacity summary'!AM129)="x",$BI10*AM10,VALUE('Capacity summary'!AM129)),0),AM10*$BI10),AM10*$BI10),0)</f>
        <v>57.692307692307693</v>
      </c>
      <c r="CQ10" s="311">
        <f ca="1">IF($BI10&lt;&gt;"",IF('Capacity summary'!$D$14="Yes",IF(COUNTBLANK('Capacity summary'!$H129:$BG129)&lt;52,IF('Capacity summary'!AN129&lt;&gt;"",IF(LOWER('Capacity summary'!AN129)="x",$BI10*AN10,VALUE('Capacity summary'!AN129)),0),AN10*$BI10),AN10*$BI10),0)</f>
        <v>57.692307692307693</v>
      </c>
      <c r="CR10" s="311">
        <f ca="1">IF($BI10&lt;&gt;"",IF('Capacity summary'!$D$14="Yes",IF(COUNTBLANK('Capacity summary'!$H129:$BG129)&lt;52,IF('Capacity summary'!AO129&lt;&gt;"",IF(LOWER('Capacity summary'!AO129)="x",$BI10*AO10,VALUE('Capacity summary'!AO129)),0),AO10*$BI10),AO10*$BI10),0)</f>
        <v>57.692307692307693</v>
      </c>
      <c r="CS10" s="311">
        <f ca="1">IF($BI10&lt;&gt;"",IF('Capacity summary'!$D$14="Yes",IF(COUNTBLANK('Capacity summary'!$H129:$BG129)&lt;52,IF('Capacity summary'!AP129&lt;&gt;"",IF(LOWER('Capacity summary'!AP129)="x",$BI10*AP10,VALUE('Capacity summary'!AP129)),0),AP10*$BI10),AP10*$BI10),0)</f>
        <v>57.692307692307693</v>
      </c>
      <c r="CT10" s="311">
        <f ca="1">IF($BI10&lt;&gt;"",IF('Capacity summary'!$D$14="Yes",IF(COUNTBLANK('Capacity summary'!$H129:$BG129)&lt;52,IF('Capacity summary'!AQ129&lt;&gt;"",IF(LOWER('Capacity summary'!AQ129)="x",$BI10*AQ10,VALUE('Capacity summary'!AQ129)),0),AQ10*$BI10),AQ10*$BI10),0)</f>
        <v>57.692307692307693</v>
      </c>
      <c r="CU10" s="311">
        <f ca="1">IF($BI10&lt;&gt;"",IF('Capacity summary'!$D$14="Yes",IF(COUNTBLANK('Capacity summary'!$H129:$BG129)&lt;52,IF('Capacity summary'!AR129&lt;&gt;"",IF(LOWER('Capacity summary'!AR129)="x",$BI10*AR10,VALUE('Capacity summary'!AR129)),0),AR10*$BI10),AR10*$BI10),0)</f>
        <v>57.692307692307693</v>
      </c>
      <c r="CV10" s="311">
        <f ca="1">IF($BI10&lt;&gt;"",IF('Capacity summary'!$D$14="Yes",IF(COUNTBLANK('Capacity summary'!$H129:$BG129)&lt;52,IF('Capacity summary'!AS129&lt;&gt;"",IF(LOWER('Capacity summary'!AS129)="x",$BI10*AS10,VALUE('Capacity summary'!AS129)),0),AS10*$BI10),AS10*$BI10),0)</f>
        <v>57.692307692307693</v>
      </c>
      <c r="CW10" s="311">
        <f ca="1">IF($BI10&lt;&gt;"",IF('Capacity summary'!$D$14="Yes",IF(COUNTBLANK('Capacity summary'!$H129:$BG129)&lt;52,IF('Capacity summary'!AT129&lt;&gt;"",IF(LOWER('Capacity summary'!AT129)="x",$BI10*AT10,VALUE('Capacity summary'!AT129)),0),AT10*$BI10),AT10*$BI10),0)</f>
        <v>57.692307692307693</v>
      </c>
      <c r="CX10" s="311">
        <f ca="1">IF($BI10&lt;&gt;"",IF('Capacity summary'!$D$14="Yes",IF(COUNTBLANK('Capacity summary'!$H129:$BG129)&lt;52,IF('Capacity summary'!AU129&lt;&gt;"",IF(LOWER('Capacity summary'!AU129)="x",$BI10*AU10,VALUE('Capacity summary'!AU129)),0),AU10*$BI10),AU10*$BI10),0)</f>
        <v>57.692307692307693</v>
      </c>
      <c r="CY10" s="311">
        <f ca="1">IF($BI10&lt;&gt;"",IF('Capacity summary'!$D$14="Yes",IF(COUNTBLANK('Capacity summary'!$H129:$BG129)&lt;52,IF('Capacity summary'!AV129&lt;&gt;"",IF(LOWER('Capacity summary'!AV129)="x",$BI10*AV10,VALUE('Capacity summary'!AV129)),0),AV10*$BI10),AV10*$BI10),0)</f>
        <v>57.692307692307693</v>
      </c>
      <c r="CZ10" s="311">
        <f ca="1">IF($BI10&lt;&gt;"",IF('Capacity summary'!$D$14="Yes",IF(COUNTBLANK('Capacity summary'!$H129:$BG129)&lt;52,IF('Capacity summary'!AW129&lt;&gt;"",IF(LOWER('Capacity summary'!AW129)="x",$BI10*AW10,VALUE('Capacity summary'!AW129)),0),AW10*$BI10),AW10*$BI10),0)</f>
        <v>57.692307692307693</v>
      </c>
      <c r="DA10" s="311">
        <f ca="1">IF($BI10&lt;&gt;"",IF('Capacity summary'!$D$14="Yes",IF(COUNTBLANK('Capacity summary'!$H129:$BG129)&lt;52,IF('Capacity summary'!AX129&lt;&gt;"",IF(LOWER('Capacity summary'!AX129)="x",$BI10*AX10,VALUE('Capacity summary'!AX129)),0),AX10*$BI10),AX10*$BI10),0)</f>
        <v>57.692307692307693</v>
      </c>
      <c r="DB10" s="311">
        <f ca="1">IF($BI10&lt;&gt;"",IF('Capacity summary'!$D$14="Yes",IF(COUNTBLANK('Capacity summary'!$H129:$BG129)&lt;52,IF('Capacity summary'!AY129&lt;&gt;"",IF(LOWER('Capacity summary'!AY129)="x",$BI10*AY10,VALUE('Capacity summary'!AY129)),0),AY10*$BI10),AY10*$BI10),0)</f>
        <v>57.692307692307693</v>
      </c>
      <c r="DC10" s="311">
        <f ca="1">IF($BI10&lt;&gt;"",IF('Capacity summary'!$D$14="Yes",IF(COUNTBLANK('Capacity summary'!$H129:$BG129)&lt;52,IF('Capacity summary'!AZ129&lt;&gt;"",IF(LOWER('Capacity summary'!AZ129)="x",$BI10*AZ10,VALUE('Capacity summary'!AZ129)),0),AZ10*$BI10),AZ10*$BI10),0)</f>
        <v>57.692307692307693</v>
      </c>
      <c r="DD10" s="311">
        <f ca="1">IF($BI10&lt;&gt;"",IF('Capacity summary'!$D$14="Yes",IF(COUNTBLANK('Capacity summary'!$H129:$BG129)&lt;52,IF('Capacity summary'!BA129&lt;&gt;"",IF(LOWER('Capacity summary'!BA129)="x",$BI10*BA10,VALUE('Capacity summary'!BA129)),0),BA10*$BI10),BA10*$BI10),0)</f>
        <v>57.692307692307693</v>
      </c>
      <c r="DE10" s="311">
        <f ca="1">IF($BI10&lt;&gt;"",IF('Capacity summary'!$D$14="Yes",IF(COUNTBLANK('Capacity summary'!$H129:$BG129)&lt;52,IF('Capacity summary'!BB129&lt;&gt;"",IF(LOWER('Capacity summary'!BB129)="x",$BI10*BB10,VALUE('Capacity summary'!BB129)),0),BB10*$BI10),BB10*$BI10),0)</f>
        <v>57.692307692307693</v>
      </c>
      <c r="DF10" s="311">
        <f ca="1">IF($BI10&lt;&gt;"",IF('Capacity summary'!$D$14="Yes",IF(COUNTBLANK('Capacity summary'!$H129:$BG129)&lt;52,IF('Capacity summary'!BC129&lt;&gt;"",IF(LOWER('Capacity summary'!BC129)="x",$BI10*BC10,VALUE('Capacity summary'!BC129)),0),BC10*$BI10),BC10*$BI10),0)</f>
        <v>57.692307692307693</v>
      </c>
      <c r="DG10" s="311">
        <f ca="1">IF($BI10&lt;&gt;"",IF('Capacity summary'!$D$14="Yes",IF(COUNTBLANK('Capacity summary'!$H129:$BG129)&lt;52,IF('Capacity summary'!BD129&lt;&gt;"",IF(LOWER('Capacity summary'!BD129)="x",$BI10*BD10,VALUE('Capacity summary'!BD129)),0),BD10*$BI10),BD10*$BI10),0)</f>
        <v>57.692307692307693</v>
      </c>
      <c r="DH10" s="311">
        <f ca="1">IF($BI10&lt;&gt;"",IF('Capacity summary'!$D$14="Yes",IF(COUNTBLANK('Capacity summary'!$H129:$BG129)&lt;52,IF('Capacity summary'!BE129&lt;&gt;"",IF(LOWER('Capacity summary'!BE129)="x",$BI10*BE10,VALUE('Capacity summary'!BE129)),0),BE10*$BI10),BE10*$BI10),0)</f>
        <v>57.692307692307693</v>
      </c>
      <c r="DI10" s="311">
        <f ca="1">IF($BI10&lt;&gt;"",IF('Capacity summary'!$D$14="Yes",IF(COUNTBLANK('Capacity summary'!$H129:$BG129)&lt;52,IF('Capacity summary'!BF129&lt;&gt;"",IF(LOWER('Capacity summary'!BF129)="x",$BI10*BF10,VALUE('Capacity summary'!BF129)),0),BF10*$BI10),BF10*$BI10),0)</f>
        <v>57.692307692307693</v>
      </c>
      <c r="DJ10" s="311">
        <f ca="1">IF($BI10&lt;&gt;"",IF('Capacity summary'!$D$14="Yes",IF(COUNTBLANK('Capacity summary'!$H129:$BG129)&lt;52,IF('Capacity summary'!BG129&lt;&gt;"",IF(LOWER('Capacity summary'!BG129)="x",$BI10*BG10,VALUE('Capacity summary'!BG129)),0),BG10*$BI10),BG10*$BI10),0)</f>
        <v>57.692307692307693</v>
      </c>
      <c r="DK10" s="388">
        <f t="shared" ca="1" si="2"/>
        <v>57.692307692307693</v>
      </c>
      <c r="DL10" s="136">
        <f t="shared" ca="1" si="3"/>
        <v>2999.9999999999982</v>
      </c>
      <c r="DM10" s="311">
        <f>Capacity!H22</f>
        <v>3000</v>
      </c>
      <c r="DQ10" s="5"/>
    </row>
    <row r="11" spans="1:121" x14ac:dyDescent="0.2">
      <c r="A11" s="67">
        <f>IF(Capacity!L23='Capacity summary'!BI130,1,0)</f>
        <v>1</v>
      </c>
      <c r="B11" s="67">
        <f>IF(Capacity!V23='Capacity summary'!BI30,1,0)</f>
        <v>1</v>
      </c>
      <c r="C11" s="67" t="str">
        <f>ROW(A7)&amp;". "&amp;Capacity!B23</f>
        <v>7. CT Colon</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 ca="1">IF(ROW(C7)&lt;=Capacity!$A$16,IF('Capacity summary'!$D$14="No",SUM(H11:BG11),'Capacity summary'!$E130),0)</f>
        <v>52</v>
      </c>
      <c r="BI11" s="5">
        <f ca="1">IF(BH11&gt;0,IF(BH11&lt;Capacity!E23,Capacity!F23,Capacity!H23/'Capacity calculation (hide)'!BH11),"")</f>
        <v>336.53846153846155</v>
      </c>
      <c r="BK11" s="311">
        <f ca="1">IF($BI11&lt;&gt;"",IF('Capacity summary'!$D$14="Yes",IF(COUNTBLANK('Capacity summary'!$H130:$BG130)&lt;52,IF('Capacity summary'!H130&lt;&gt;"",IF(LOWER('Capacity summary'!H130)="x",$BI11*H11,VALUE('Capacity summary'!H130)),0),H11*$BI11),H11*$BI11),0)</f>
        <v>336.53846153846155</v>
      </c>
      <c r="BL11" s="311">
        <f ca="1">IF($BI11&lt;&gt;"",IF('Capacity summary'!$D$14="Yes",IF(COUNTBLANK('Capacity summary'!$H130:$BG130)&lt;52,IF('Capacity summary'!I130&lt;&gt;"",IF(LOWER('Capacity summary'!I130)="x",$BI11*I11,VALUE('Capacity summary'!I130)),0),I11*$BI11),I11*$BI11),0)</f>
        <v>336.53846153846155</v>
      </c>
      <c r="BM11" s="311">
        <f ca="1">IF($BI11&lt;&gt;"",IF('Capacity summary'!$D$14="Yes",IF(COUNTBLANK('Capacity summary'!$H130:$BG130)&lt;52,IF('Capacity summary'!J130&lt;&gt;"",IF(LOWER('Capacity summary'!J130)="x",$BI11*J11,VALUE('Capacity summary'!J130)),0),J11*$BI11),J11*$BI11),0)</f>
        <v>336.53846153846155</v>
      </c>
      <c r="BN11" s="311">
        <f ca="1">IF($BI11&lt;&gt;"",IF('Capacity summary'!$D$14="Yes",IF(COUNTBLANK('Capacity summary'!$H130:$BG130)&lt;52,IF('Capacity summary'!K130&lt;&gt;"",IF(LOWER('Capacity summary'!K130)="x",$BI11*K11,VALUE('Capacity summary'!K130)),0),K11*$BI11),K11*$BI11),0)</f>
        <v>336.53846153846155</v>
      </c>
      <c r="BO11" s="311">
        <f ca="1">IF($BI11&lt;&gt;"",IF('Capacity summary'!$D$14="Yes",IF(COUNTBLANK('Capacity summary'!$H130:$BG130)&lt;52,IF('Capacity summary'!L130&lt;&gt;"",IF(LOWER('Capacity summary'!L130)="x",$BI11*L11,VALUE('Capacity summary'!L130)),0),L11*$BI11),L11*$BI11),0)</f>
        <v>336.53846153846155</v>
      </c>
      <c r="BP11" s="311">
        <f ca="1">IF($BI11&lt;&gt;"",IF('Capacity summary'!$D$14="Yes",IF(COUNTBLANK('Capacity summary'!$H130:$BG130)&lt;52,IF('Capacity summary'!M130&lt;&gt;"",IF(LOWER('Capacity summary'!M130)="x",$BI11*M11,VALUE('Capacity summary'!M130)),0),M11*$BI11),M11*$BI11),0)</f>
        <v>336.53846153846155</v>
      </c>
      <c r="BQ11" s="311">
        <f ca="1">IF($BI11&lt;&gt;"",IF('Capacity summary'!$D$14="Yes",IF(COUNTBLANK('Capacity summary'!$H130:$BG130)&lt;52,IF('Capacity summary'!N130&lt;&gt;"",IF(LOWER('Capacity summary'!N130)="x",$BI11*N11,VALUE('Capacity summary'!N130)),0),N11*$BI11),N11*$BI11),0)</f>
        <v>336.53846153846155</v>
      </c>
      <c r="BR11" s="311">
        <f ca="1">IF($BI11&lt;&gt;"",IF('Capacity summary'!$D$14="Yes",IF(COUNTBLANK('Capacity summary'!$H130:$BG130)&lt;52,IF('Capacity summary'!O130&lt;&gt;"",IF(LOWER('Capacity summary'!O130)="x",$BI11*O11,VALUE('Capacity summary'!O130)),0),O11*$BI11),O11*$BI11),0)</f>
        <v>336.53846153846155</v>
      </c>
      <c r="BS11" s="311">
        <f ca="1">IF($BI11&lt;&gt;"",IF('Capacity summary'!$D$14="Yes",IF(COUNTBLANK('Capacity summary'!$H130:$BG130)&lt;52,IF('Capacity summary'!P130&lt;&gt;"",IF(LOWER('Capacity summary'!P130)="x",$BI11*P11,VALUE('Capacity summary'!P130)),0),P11*$BI11),P11*$BI11),0)</f>
        <v>336.53846153846155</v>
      </c>
      <c r="BT11" s="311">
        <f ca="1">IF($BI11&lt;&gt;"",IF('Capacity summary'!$D$14="Yes",IF(COUNTBLANK('Capacity summary'!$H130:$BG130)&lt;52,IF('Capacity summary'!Q130&lt;&gt;"",IF(LOWER('Capacity summary'!Q130)="x",$BI11*Q11,VALUE('Capacity summary'!Q130)),0),Q11*$BI11),Q11*$BI11),0)</f>
        <v>336.53846153846155</v>
      </c>
      <c r="BU11" s="311">
        <f ca="1">IF($BI11&lt;&gt;"",IF('Capacity summary'!$D$14="Yes",IF(COUNTBLANK('Capacity summary'!$H130:$BG130)&lt;52,IF('Capacity summary'!R130&lt;&gt;"",IF(LOWER('Capacity summary'!R130)="x",$BI11*R11,VALUE('Capacity summary'!R130)),0),R11*$BI11),R11*$BI11),0)</f>
        <v>336.53846153846155</v>
      </c>
      <c r="BV11" s="311">
        <f ca="1">IF($BI11&lt;&gt;"",IF('Capacity summary'!$D$14="Yes",IF(COUNTBLANK('Capacity summary'!$H130:$BG130)&lt;52,IF('Capacity summary'!S130&lt;&gt;"",IF(LOWER('Capacity summary'!S130)="x",$BI11*S11,VALUE('Capacity summary'!S130)),0),S11*$BI11),S11*$BI11),0)</f>
        <v>336.53846153846155</v>
      </c>
      <c r="BW11" s="311">
        <f ca="1">IF($BI11&lt;&gt;"",IF('Capacity summary'!$D$14="Yes",IF(COUNTBLANK('Capacity summary'!$H130:$BG130)&lt;52,IF('Capacity summary'!T130&lt;&gt;"",IF(LOWER('Capacity summary'!T130)="x",$BI11*T11,VALUE('Capacity summary'!T130)),0),T11*$BI11),T11*$BI11),0)</f>
        <v>336.53846153846155</v>
      </c>
      <c r="BX11" s="311">
        <f ca="1">IF($BI11&lt;&gt;"",IF('Capacity summary'!$D$14="Yes",IF(COUNTBLANK('Capacity summary'!$H130:$BG130)&lt;52,IF('Capacity summary'!U130&lt;&gt;"",IF(LOWER('Capacity summary'!U130)="x",$BI11*U11,VALUE('Capacity summary'!U130)),0),U11*$BI11),U11*$BI11),0)</f>
        <v>336.53846153846155</v>
      </c>
      <c r="BY11" s="311">
        <f ca="1">IF($BI11&lt;&gt;"",IF('Capacity summary'!$D$14="Yes",IF(COUNTBLANK('Capacity summary'!$H130:$BG130)&lt;52,IF('Capacity summary'!V130&lt;&gt;"",IF(LOWER('Capacity summary'!V130)="x",$BI11*V11,VALUE('Capacity summary'!V130)),0),V11*$BI11),V11*$BI11),0)</f>
        <v>336.53846153846155</v>
      </c>
      <c r="BZ11" s="311">
        <f ca="1">IF($BI11&lt;&gt;"",IF('Capacity summary'!$D$14="Yes",IF(COUNTBLANK('Capacity summary'!$H130:$BG130)&lt;52,IF('Capacity summary'!W130&lt;&gt;"",IF(LOWER('Capacity summary'!W130)="x",$BI11*W11,VALUE('Capacity summary'!W130)),0),W11*$BI11),W11*$BI11),0)</f>
        <v>336.53846153846155</v>
      </c>
      <c r="CA11" s="311">
        <f ca="1">IF($BI11&lt;&gt;"",IF('Capacity summary'!$D$14="Yes",IF(COUNTBLANK('Capacity summary'!$H130:$BG130)&lt;52,IF('Capacity summary'!X130&lt;&gt;"",IF(LOWER('Capacity summary'!X130)="x",$BI11*X11,VALUE('Capacity summary'!X130)),0),X11*$BI11),X11*$BI11),0)</f>
        <v>336.53846153846155</v>
      </c>
      <c r="CB11" s="311">
        <f ca="1">IF($BI11&lt;&gt;"",IF('Capacity summary'!$D$14="Yes",IF(COUNTBLANK('Capacity summary'!$H130:$BG130)&lt;52,IF('Capacity summary'!Y130&lt;&gt;"",IF(LOWER('Capacity summary'!Y130)="x",$BI11*Y11,VALUE('Capacity summary'!Y130)),0),Y11*$BI11),Y11*$BI11),0)</f>
        <v>336.53846153846155</v>
      </c>
      <c r="CC11" s="311">
        <f ca="1">IF($BI11&lt;&gt;"",IF('Capacity summary'!$D$14="Yes",IF(COUNTBLANK('Capacity summary'!$H130:$BG130)&lt;52,IF('Capacity summary'!Z130&lt;&gt;"",IF(LOWER('Capacity summary'!Z130)="x",$BI11*Z11,VALUE('Capacity summary'!Z130)),0),Z11*$BI11),Z11*$BI11),0)</f>
        <v>336.53846153846155</v>
      </c>
      <c r="CD11" s="311">
        <f ca="1">IF($BI11&lt;&gt;"",IF('Capacity summary'!$D$14="Yes",IF(COUNTBLANK('Capacity summary'!$H130:$BG130)&lt;52,IF('Capacity summary'!AA130&lt;&gt;"",IF(LOWER('Capacity summary'!AA130)="x",$BI11*AA11,VALUE('Capacity summary'!AA130)),0),AA11*$BI11),AA11*$BI11),0)</f>
        <v>336.53846153846155</v>
      </c>
      <c r="CE11" s="311">
        <f ca="1">IF($BI11&lt;&gt;"",IF('Capacity summary'!$D$14="Yes",IF(COUNTBLANK('Capacity summary'!$H130:$BG130)&lt;52,IF('Capacity summary'!AB130&lt;&gt;"",IF(LOWER('Capacity summary'!AB130)="x",$BI11*AB11,VALUE('Capacity summary'!AB130)),0),AB11*$BI11),AB11*$BI11),0)</f>
        <v>336.53846153846155</v>
      </c>
      <c r="CF11" s="311">
        <f ca="1">IF($BI11&lt;&gt;"",IF('Capacity summary'!$D$14="Yes",IF(COUNTBLANK('Capacity summary'!$H130:$BG130)&lt;52,IF('Capacity summary'!AC130&lt;&gt;"",IF(LOWER('Capacity summary'!AC130)="x",$BI11*AC11,VALUE('Capacity summary'!AC130)),0),AC11*$BI11),AC11*$BI11),0)</f>
        <v>336.53846153846155</v>
      </c>
      <c r="CG11" s="311">
        <f ca="1">IF($BI11&lt;&gt;"",IF('Capacity summary'!$D$14="Yes",IF(COUNTBLANK('Capacity summary'!$H130:$BG130)&lt;52,IF('Capacity summary'!AD130&lt;&gt;"",IF(LOWER('Capacity summary'!AD130)="x",$BI11*AD11,VALUE('Capacity summary'!AD130)),0),AD11*$BI11),AD11*$BI11),0)</f>
        <v>336.53846153846155</v>
      </c>
      <c r="CH11" s="311">
        <f ca="1">IF($BI11&lt;&gt;"",IF('Capacity summary'!$D$14="Yes",IF(COUNTBLANK('Capacity summary'!$H130:$BG130)&lt;52,IF('Capacity summary'!AE130&lt;&gt;"",IF(LOWER('Capacity summary'!AE130)="x",$BI11*AE11,VALUE('Capacity summary'!AE130)),0),AE11*$BI11),AE11*$BI11),0)</f>
        <v>336.53846153846155</v>
      </c>
      <c r="CI11" s="311">
        <f ca="1">IF($BI11&lt;&gt;"",IF('Capacity summary'!$D$14="Yes",IF(COUNTBLANK('Capacity summary'!$H130:$BG130)&lt;52,IF('Capacity summary'!AF130&lt;&gt;"",IF(LOWER('Capacity summary'!AF130)="x",$BI11*AF11,VALUE('Capacity summary'!AF130)),0),AF11*$BI11),AF11*$BI11),0)</f>
        <v>336.53846153846155</v>
      </c>
      <c r="CJ11" s="311">
        <f ca="1">IF($BI11&lt;&gt;"",IF('Capacity summary'!$D$14="Yes",IF(COUNTBLANK('Capacity summary'!$H130:$BG130)&lt;52,IF('Capacity summary'!AG130&lt;&gt;"",IF(LOWER('Capacity summary'!AG130)="x",$BI11*AG11,VALUE('Capacity summary'!AG130)),0),AG11*$BI11),AG11*$BI11),0)</f>
        <v>336.53846153846155</v>
      </c>
      <c r="CK11" s="311">
        <f ca="1">IF($BI11&lt;&gt;"",IF('Capacity summary'!$D$14="Yes",IF(COUNTBLANK('Capacity summary'!$H130:$BG130)&lt;52,IF('Capacity summary'!AH130&lt;&gt;"",IF(LOWER('Capacity summary'!AH130)="x",$BI11*AH11,VALUE('Capacity summary'!AH130)),0),AH11*$BI11),AH11*$BI11),0)</f>
        <v>336.53846153846155</v>
      </c>
      <c r="CL11" s="311">
        <f ca="1">IF($BI11&lt;&gt;"",IF('Capacity summary'!$D$14="Yes",IF(COUNTBLANK('Capacity summary'!$H130:$BG130)&lt;52,IF('Capacity summary'!AI130&lt;&gt;"",IF(LOWER('Capacity summary'!AI130)="x",$BI11*AI11,VALUE('Capacity summary'!AI130)),0),AI11*$BI11),AI11*$BI11),0)</f>
        <v>336.53846153846155</v>
      </c>
      <c r="CM11" s="311">
        <f ca="1">IF($BI11&lt;&gt;"",IF('Capacity summary'!$D$14="Yes",IF(COUNTBLANK('Capacity summary'!$H130:$BG130)&lt;52,IF('Capacity summary'!AJ130&lt;&gt;"",IF(LOWER('Capacity summary'!AJ130)="x",$BI11*AJ11,VALUE('Capacity summary'!AJ130)),0),AJ11*$BI11),AJ11*$BI11),0)</f>
        <v>336.53846153846155</v>
      </c>
      <c r="CN11" s="311">
        <f ca="1">IF($BI11&lt;&gt;"",IF('Capacity summary'!$D$14="Yes",IF(COUNTBLANK('Capacity summary'!$H130:$BG130)&lt;52,IF('Capacity summary'!AK130&lt;&gt;"",IF(LOWER('Capacity summary'!AK130)="x",$BI11*AK11,VALUE('Capacity summary'!AK130)),0),AK11*$BI11),AK11*$BI11),0)</f>
        <v>336.53846153846155</v>
      </c>
      <c r="CO11" s="311">
        <f ca="1">IF($BI11&lt;&gt;"",IF('Capacity summary'!$D$14="Yes",IF(COUNTBLANK('Capacity summary'!$H130:$BG130)&lt;52,IF('Capacity summary'!AL130&lt;&gt;"",IF(LOWER('Capacity summary'!AL130)="x",$BI11*AL11,VALUE('Capacity summary'!AL130)),0),AL11*$BI11),AL11*$BI11),0)</f>
        <v>336.53846153846155</v>
      </c>
      <c r="CP11" s="311">
        <f ca="1">IF($BI11&lt;&gt;"",IF('Capacity summary'!$D$14="Yes",IF(COUNTBLANK('Capacity summary'!$H130:$BG130)&lt;52,IF('Capacity summary'!AM130&lt;&gt;"",IF(LOWER('Capacity summary'!AM130)="x",$BI11*AM11,VALUE('Capacity summary'!AM130)),0),AM11*$BI11),AM11*$BI11),0)</f>
        <v>336.53846153846155</v>
      </c>
      <c r="CQ11" s="311">
        <f ca="1">IF($BI11&lt;&gt;"",IF('Capacity summary'!$D$14="Yes",IF(COUNTBLANK('Capacity summary'!$H130:$BG130)&lt;52,IF('Capacity summary'!AN130&lt;&gt;"",IF(LOWER('Capacity summary'!AN130)="x",$BI11*AN11,VALUE('Capacity summary'!AN130)),0),AN11*$BI11),AN11*$BI11),0)</f>
        <v>336.53846153846155</v>
      </c>
      <c r="CR11" s="311">
        <f ca="1">IF($BI11&lt;&gt;"",IF('Capacity summary'!$D$14="Yes",IF(COUNTBLANK('Capacity summary'!$H130:$BG130)&lt;52,IF('Capacity summary'!AO130&lt;&gt;"",IF(LOWER('Capacity summary'!AO130)="x",$BI11*AO11,VALUE('Capacity summary'!AO130)),0),AO11*$BI11),AO11*$BI11),0)</f>
        <v>336.53846153846155</v>
      </c>
      <c r="CS11" s="311">
        <f ca="1">IF($BI11&lt;&gt;"",IF('Capacity summary'!$D$14="Yes",IF(COUNTBLANK('Capacity summary'!$H130:$BG130)&lt;52,IF('Capacity summary'!AP130&lt;&gt;"",IF(LOWER('Capacity summary'!AP130)="x",$BI11*AP11,VALUE('Capacity summary'!AP130)),0),AP11*$BI11),AP11*$BI11),0)</f>
        <v>336.53846153846155</v>
      </c>
      <c r="CT11" s="311">
        <f ca="1">IF($BI11&lt;&gt;"",IF('Capacity summary'!$D$14="Yes",IF(COUNTBLANK('Capacity summary'!$H130:$BG130)&lt;52,IF('Capacity summary'!AQ130&lt;&gt;"",IF(LOWER('Capacity summary'!AQ130)="x",$BI11*AQ11,VALUE('Capacity summary'!AQ130)),0),AQ11*$BI11),AQ11*$BI11),0)</f>
        <v>336.53846153846155</v>
      </c>
      <c r="CU11" s="311">
        <f ca="1">IF($BI11&lt;&gt;"",IF('Capacity summary'!$D$14="Yes",IF(COUNTBLANK('Capacity summary'!$H130:$BG130)&lt;52,IF('Capacity summary'!AR130&lt;&gt;"",IF(LOWER('Capacity summary'!AR130)="x",$BI11*AR11,VALUE('Capacity summary'!AR130)),0),AR11*$BI11),AR11*$BI11),0)</f>
        <v>336.53846153846155</v>
      </c>
      <c r="CV11" s="311">
        <f ca="1">IF($BI11&lt;&gt;"",IF('Capacity summary'!$D$14="Yes",IF(COUNTBLANK('Capacity summary'!$H130:$BG130)&lt;52,IF('Capacity summary'!AS130&lt;&gt;"",IF(LOWER('Capacity summary'!AS130)="x",$BI11*AS11,VALUE('Capacity summary'!AS130)),0),AS11*$BI11),AS11*$BI11),0)</f>
        <v>336.53846153846155</v>
      </c>
      <c r="CW11" s="311">
        <f ca="1">IF($BI11&lt;&gt;"",IF('Capacity summary'!$D$14="Yes",IF(COUNTBLANK('Capacity summary'!$H130:$BG130)&lt;52,IF('Capacity summary'!AT130&lt;&gt;"",IF(LOWER('Capacity summary'!AT130)="x",$BI11*AT11,VALUE('Capacity summary'!AT130)),0),AT11*$BI11),AT11*$BI11),0)</f>
        <v>336.53846153846155</v>
      </c>
      <c r="CX11" s="311">
        <f ca="1">IF($BI11&lt;&gt;"",IF('Capacity summary'!$D$14="Yes",IF(COUNTBLANK('Capacity summary'!$H130:$BG130)&lt;52,IF('Capacity summary'!AU130&lt;&gt;"",IF(LOWER('Capacity summary'!AU130)="x",$BI11*AU11,VALUE('Capacity summary'!AU130)),0),AU11*$BI11),AU11*$BI11),0)</f>
        <v>336.53846153846155</v>
      </c>
      <c r="CY11" s="311">
        <f ca="1">IF($BI11&lt;&gt;"",IF('Capacity summary'!$D$14="Yes",IF(COUNTBLANK('Capacity summary'!$H130:$BG130)&lt;52,IF('Capacity summary'!AV130&lt;&gt;"",IF(LOWER('Capacity summary'!AV130)="x",$BI11*AV11,VALUE('Capacity summary'!AV130)),0),AV11*$BI11),AV11*$BI11),0)</f>
        <v>336.53846153846155</v>
      </c>
      <c r="CZ11" s="311">
        <f ca="1">IF($BI11&lt;&gt;"",IF('Capacity summary'!$D$14="Yes",IF(COUNTBLANK('Capacity summary'!$H130:$BG130)&lt;52,IF('Capacity summary'!AW130&lt;&gt;"",IF(LOWER('Capacity summary'!AW130)="x",$BI11*AW11,VALUE('Capacity summary'!AW130)),0),AW11*$BI11),AW11*$BI11),0)</f>
        <v>336.53846153846155</v>
      </c>
      <c r="DA11" s="311">
        <f ca="1">IF($BI11&lt;&gt;"",IF('Capacity summary'!$D$14="Yes",IF(COUNTBLANK('Capacity summary'!$H130:$BG130)&lt;52,IF('Capacity summary'!AX130&lt;&gt;"",IF(LOWER('Capacity summary'!AX130)="x",$BI11*AX11,VALUE('Capacity summary'!AX130)),0),AX11*$BI11),AX11*$BI11),0)</f>
        <v>336.53846153846155</v>
      </c>
      <c r="DB11" s="311">
        <f ca="1">IF($BI11&lt;&gt;"",IF('Capacity summary'!$D$14="Yes",IF(COUNTBLANK('Capacity summary'!$H130:$BG130)&lt;52,IF('Capacity summary'!AY130&lt;&gt;"",IF(LOWER('Capacity summary'!AY130)="x",$BI11*AY11,VALUE('Capacity summary'!AY130)),0),AY11*$BI11),AY11*$BI11),0)</f>
        <v>336.53846153846155</v>
      </c>
      <c r="DC11" s="311">
        <f ca="1">IF($BI11&lt;&gt;"",IF('Capacity summary'!$D$14="Yes",IF(COUNTBLANK('Capacity summary'!$H130:$BG130)&lt;52,IF('Capacity summary'!AZ130&lt;&gt;"",IF(LOWER('Capacity summary'!AZ130)="x",$BI11*AZ11,VALUE('Capacity summary'!AZ130)),0),AZ11*$BI11),AZ11*$BI11),0)</f>
        <v>336.53846153846155</v>
      </c>
      <c r="DD11" s="311">
        <f ca="1">IF($BI11&lt;&gt;"",IF('Capacity summary'!$D$14="Yes",IF(COUNTBLANK('Capacity summary'!$H130:$BG130)&lt;52,IF('Capacity summary'!BA130&lt;&gt;"",IF(LOWER('Capacity summary'!BA130)="x",$BI11*BA11,VALUE('Capacity summary'!BA130)),0),BA11*$BI11),BA11*$BI11),0)</f>
        <v>336.53846153846155</v>
      </c>
      <c r="DE11" s="311">
        <f ca="1">IF($BI11&lt;&gt;"",IF('Capacity summary'!$D$14="Yes",IF(COUNTBLANK('Capacity summary'!$H130:$BG130)&lt;52,IF('Capacity summary'!BB130&lt;&gt;"",IF(LOWER('Capacity summary'!BB130)="x",$BI11*BB11,VALUE('Capacity summary'!BB130)),0),BB11*$BI11),BB11*$BI11),0)</f>
        <v>336.53846153846155</v>
      </c>
      <c r="DF11" s="311">
        <f ca="1">IF($BI11&lt;&gt;"",IF('Capacity summary'!$D$14="Yes",IF(COUNTBLANK('Capacity summary'!$H130:$BG130)&lt;52,IF('Capacity summary'!BC130&lt;&gt;"",IF(LOWER('Capacity summary'!BC130)="x",$BI11*BC11,VALUE('Capacity summary'!BC130)),0),BC11*$BI11),BC11*$BI11),0)</f>
        <v>336.53846153846155</v>
      </c>
      <c r="DG11" s="311">
        <f ca="1">IF($BI11&lt;&gt;"",IF('Capacity summary'!$D$14="Yes",IF(COUNTBLANK('Capacity summary'!$H130:$BG130)&lt;52,IF('Capacity summary'!BD130&lt;&gt;"",IF(LOWER('Capacity summary'!BD130)="x",$BI11*BD11,VALUE('Capacity summary'!BD130)),0),BD11*$BI11),BD11*$BI11),0)</f>
        <v>336.53846153846155</v>
      </c>
      <c r="DH11" s="311">
        <f ca="1">IF($BI11&lt;&gt;"",IF('Capacity summary'!$D$14="Yes",IF(COUNTBLANK('Capacity summary'!$H130:$BG130)&lt;52,IF('Capacity summary'!BE130&lt;&gt;"",IF(LOWER('Capacity summary'!BE130)="x",$BI11*BE11,VALUE('Capacity summary'!BE130)),0),BE11*$BI11),BE11*$BI11),0)</f>
        <v>336.53846153846155</v>
      </c>
      <c r="DI11" s="311">
        <f ca="1">IF($BI11&lt;&gt;"",IF('Capacity summary'!$D$14="Yes",IF(COUNTBLANK('Capacity summary'!$H130:$BG130)&lt;52,IF('Capacity summary'!BF130&lt;&gt;"",IF(LOWER('Capacity summary'!BF130)="x",$BI11*BF11,VALUE('Capacity summary'!BF130)),0),BF11*$BI11),BF11*$BI11),0)</f>
        <v>336.53846153846155</v>
      </c>
      <c r="DJ11" s="311">
        <f ca="1">IF($BI11&lt;&gt;"",IF('Capacity summary'!$D$14="Yes",IF(COUNTBLANK('Capacity summary'!$H130:$BG130)&lt;52,IF('Capacity summary'!BG130&lt;&gt;"",IF(LOWER('Capacity summary'!BG130)="x",$BI11*BG11,VALUE('Capacity summary'!BG130)),0),BG11*$BI11),BG11*$BI11),0)</f>
        <v>336.53846153846155</v>
      </c>
      <c r="DK11" s="388">
        <f t="shared" ca="1" si="2"/>
        <v>336.53846153846155</v>
      </c>
      <c r="DL11" s="136">
        <f t="shared" ca="1" si="3"/>
        <v>17499.999999999989</v>
      </c>
      <c r="DM11" s="311">
        <f>Capacity!H23</f>
        <v>17500</v>
      </c>
      <c r="DQ11" s="5"/>
    </row>
    <row r="12" spans="1:121" x14ac:dyDescent="0.2">
      <c r="A12" s="67">
        <f>IF(Capacity!L24='Capacity summary'!BI131,1,0)</f>
        <v>1</v>
      </c>
      <c r="B12" s="67">
        <f>IF(Capacity!V24='Capacity summary'!BI31,1,0)</f>
        <v>1</v>
      </c>
      <c r="C12" s="67" t="str">
        <f>ROW(A8)&amp;". "&amp;Capacity!B24</f>
        <v>8. Slot A</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 ca="1">IF(ROW(C8)&lt;=Capacity!$A$16,IF('Capacity summary'!$D$14="No",SUM(H12:BG12),'Capacity summary'!$E131),0)</f>
        <v>52</v>
      </c>
      <c r="BI12" s="5">
        <f ca="1">IF(BH12&gt;0,IF(BH12&lt;Capacity!E24,Capacity!F24,Capacity!H24/'Capacity calculation (hide)'!BH12),"")</f>
        <v>9.615384615384615</v>
      </c>
      <c r="BK12" s="311">
        <f ca="1">IF($BI12&lt;&gt;"",IF('Capacity summary'!$D$14="Yes",IF(COUNTBLANK('Capacity summary'!$H131:$BG131)&lt;52,IF('Capacity summary'!H131&lt;&gt;"",IF(LOWER('Capacity summary'!H131)="x",$BI12*H12,VALUE('Capacity summary'!H131)),0),H12*$BI12),H12*$BI12),0)</f>
        <v>9.615384615384615</v>
      </c>
      <c r="BL12" s="311">
        <f ca="1">IF($BI12&lt;&gt;"",IF('Capacity summary'!$D$14="Yes",IF(COUNTBLANK('Capacity summary'!$H131:$BG131)&lt;52,IF('Capacity summary'!I131&lt;&gt;"",IF(LOWER('Capacity summary'!I131)="x",$BI12*I12,VALUE('Capacity summary'!I131)),0),I12*$BI12),I12*$BI12),0)</f>
        <v>9.615384615384615</v>
      </c>
      <c r="BM12" s="311">
        <f ca="1">IF($BI12&lt;&gt;"",IF('Capacity summary'!$D$14="Yes",IF(COUNTBLANK('Capacity summary'!$H131:$BG131)&lt;52,IF('Capacity summary'!J131&lt;&gt;"",IF(LOWER('Capacity summary'!J131)="x",$BI12*J12,VALUE('Capacity summary'!J131)),0),J12*$BI12),J12*$BI12),0)</f>
        <v>9.615384615384615</v>
      </c>
      <c r="BN12" s="311">
        <f ca="1">IF($BI12&lt;&gt;"",IF('Capacity summary'!$D$14="Yes",IF(COUNTBLANK('Capacity summary'!$H131:$BG131)&lt;52,IF('Capacity summary'!K131&lt;&gt;"",IF(LOWER('Capacity summary'!K131)="x",$BI12*K12,VALUE('Capacity summary'!K131)),0),K12*$BI12),K12*$BI12),0)</f>
        <v>9.615384615384615</v>
      </c>
      <c r="BO12" s="311">
        <f ca="1">IF($BI12&lt;&gt;"",IF('Capacity summary'!$D$14="Yes",IF(COUNTBLANK('Capacity summary'!$H131:$BG131)&lt;52,IF('Capacity summary'!L131&lt;&gt;"",IF(LOWER('Capacity summary'!L131)="x",$BI12*L12,VALUE('Capacity summary'!L131)),0),L12*$BI12),L12*$BI12),0)</f>
        <v>9.615384615384615</v>
      </c>
      <c r="BP12" s="311">
        <f ca="1">IF($BI12&lt;&gt;"",IF('Capacity summary'!$D$14="Yes",IF(COUNTBLANK('Capacity summary'!$H131:$BG131)&lt;52,IF('Capacity summary'!M131&lt;&gt;"",IF(LOWER('Capacity summary'!M131)="x",$BI12*M12,VALUE('Capacity summary'!M131)),0),M12*$BI12),M12*$BI12),0)</f>
        <v>9.615384615384615</v>
      </c>
      <c r="BQ12" s="311">
        <f ca="1">IF($BI12&lt;&gt;"",IF('Capacity summary'!$D$14="Yes",IF(COUNTBLANK('Capacity summary'!$H131:$BG131)&lt;52,IF('Capacity summary'!N131&lt;&gt;"",IF(LOWER('Capacity summary'!N131)="x",$BI12*N12,VALUE('Capacity summary'!N131)),0),N12*$BI12),N12*$BI12),0)</f>
        <v>9.615384615384615</v>
      </c>
      <c r="BR12" s="311">
        <f ca="1">IF($BI12&lt;&gt;"",IF('Capacity summary'!$D$14="Yes",IF(COUNTBLANK('Capacity summary'!$H131:$BG131)&lt;52,IF('Capacity summary'!O131&lt;&gt;"",IF(LOWER('Capacity summary'!O131)="x",$BI12*O12,VALUE('Capacity summary'!O131)),0),O12*$BI12),O12*$BI12),0)</f>
        <v>9.615384615384615</v>
      </c>
      <c r="BS12" s="311">
        <f ca="1">IF($BI12&lt;&gt;"",IF('Capacity summary'!$D$14="Yes",IF(COUNTBLANK('Capacity summary'!$H131:$BG131)&lt;52,IF('Capacity summary'!P131&lt;&gt;"",IF(LOWER('Capacity summary'!P131)="x",$BI12*P12,VALUE('Capacity summary'!P131)),0),P12*$BI12),P12*$BI12),0)</f>
        <v>9.615384615384615</v>
      </c>
      <c r="BT12" s="311">
        <f ca="1">IF($BI12&lt;&gt;"",IF('Capacity summary'!$D$14="Yes",IF(COUNTBLANK('Capacity summary'!$H131:$BG131)&lt;52,IF('Capacity summary'!Q131&lt;&gt;"",IF(LOWER('Capacity summary'!Q131)="x",$BI12*Q12,VALUE('Capacity summary'!Q131)),0),Q12*$BI12),Q12*$BI12),0)</f>
        <v>9.615384615384615</v>
      </c>
      <c r="BU12" s="311">
        <f ca="1">IF($BI12&lt;&gt;"",IF('Capacity summary'!$D$14="Yes",IF(COUNTBLANK('Capacity summary'!$H131:$BG131)&lt;52,IF('Capacity summary'!R131&lt;&gt;"",IF(LOWER('Capacity summary'!R131)="x",$BI12*R12,VALUE('Capacity summary'!R131)),0),R12*$BI12),R12*$BI12),0)</f>
        <v>9.615384615384615</v>
      </c>
      <c r="BV12" s="311">
        <f ca="1">IF($BI12&lt;&gt;"",IF('Capacity summary'!$D$14="Yes",IF(COUNTBLANK('Capacity summary'!$H131:$BG131)&lt;52,IF('Capacity summary'!S131&lt;&gt;"",IF(LOWER('Capacity summary'!S131)="x",$BI12*S12,VALUE('Capacity summary'!S131)),0),S12*$BI12),S12*$BI12),0)</f>
        <v>9.615384615384615</v>
      </c>
      <c r="BW12" s="311">
        <f ca="1">IF($BI12&lt;&gt;"",IF('Capacity summary'!$D$14="Yes",IF(COUNTBLANK('Capacity summary'!$H131:$BG131)&lt;52,IF('Capacity summary'!T131&lt;&gt;"",IF(LOWER('Capacity summary'!T131)="x",$BI12*T12,VALUE('Capacity summary'!T131)),0),T12*$BI12),T12*$BI12),0)</f>
        <v>9.615384615384615</v>
      </c>
      <c r="BX12" s="311">
        <f ca="1">IF($BI12&lt;&gt;"",IF('Capacity summary'!$D$14="Yes",IF(COUNTBLANK('Capacity summary'!$H131:$BG131)&lt;52,IF('Capacity summary'!U131&lt;&gt;"",IF(LOWER('Capacity summary'!U131)="x",$BI12*U12,VALUE('Capacity summary'!U131)),0),U12*$BI12),U12*$BI12),0)</f>
        <v>9.615384615384615</v>
      </c>
      <c r="BY12" s="311">
        <f ca="1">IF($BI12&lt;&gt;"",IF('Capacity summary'!$D$14="Yes",IF(COUNTBLANK('Capacity summary'!$H131:$BG131)&lt;52,IF('Capacity summary'!V131&lt;&gt;"",IF(LOWER('Capacity summary'!V131)="x",$BI12*V12,VALUE('Capacity summary'!V131)),0),V12*$BI12),V12*$BI12),0)</f>
        <v>9.615384615384615</v>
      </c>
      <c r="BZ12" s="311">
        <f ca="1">IF($BI12&lt;&gt;"",IF('Capacity summary'!$D$14="Yes",IF(COUNTBLANK('Capacity summary'!$H131:$BG131)&lt;52,IF('Capacity summary'!W131&lt;&gt;"",IF(LOWER('Capacity summary'!W131)="x",$BI12*W12,VALUE('Capacity summary'!W131)),0),W12*$BI12),W12*$BI12),0)</f>
        <v>9.615384615384615</v>
      </c>
      <c r="CA12" s="311">
        <f ca="1">IF($BI12&lt;&gt;"",IF('Capacity summary'!$D$14="Yes",IF(COUNTBLANK('Capacity summary'!$H131:$BG131)&lt;52,IF('Capacity summary'!X131&lt;&gt;"",IF(LOWER('Capacity summary'!X131)="x",$BI12*X12,VALUE('Capacity summary'!X131)),0),X12*$BI12),X12*$BI12),0)</f>
        <v>9.615384615384615</v>
      </c>
      <c r="CB12" s="311">
        <f ca="1">IF($BI12&lt;&gt;"",IF('Capacity summary'!$D$14="Yes",IF(COUNTBLANK('Capacity summary'!$H131:$BG131)&lt;52,IF('Capacity summary'!Y131&lt;&gt;"",IF(LOWER('Capacity summary'!Y131)="x",$BI12*Y12,VALUE('Capacity summary'!Y131)),0),Y12*$BI12),Y12*$BI12),0)</f>
        <v>9.615384615384615</v>
      </c>
      <c r="CC12" s="311">
        <f ca="1">IF($BI12&lt;&gt;"",IF('Capacity summary'!$D$14="Yes",IF(COUNTBLANK('Capacity summary'!$H131:$BG131)&lt;52,IF('Capacity summary'!Z131&lt;&gt;"",IF(LOWER('Capacity summary'!Z131)="x",$BI12*Z12,VALUE('Capacity summary'!Z131)),0),Z12*$BI12),Z12*$BI12),0)</f>
        <v>9.615384615384615</v>
      </c>
      <c r="CD12" s="311">
        <f ca="1">IF($BI12&lt;&gt;"",IF('Capacity summary'!$D$14="Yes",IF(COUNTBLANK('Capacity summary'!$H131:$BG131)&lt;52,IF('Capacity summary'!AA131&lt;&gt;"",IF(LOWER('Capacity summary'!AA131)="x",$BI12*AA12,VALUE('Capacity summary'!AA131)),0),AA12*$BI12),AA12*$BI12),0)</f>
        <v>9.615384615384615</v>
      </c>
      <c r="CE12" s="311">
        <f ca="1">IF($BI12&lt;&gt;"",IF('Capacity summary'!$D$14="Yes",IF(COUNTBLANK('Capacity summary'!$H131:$BG131)&lt;52,IF('Capacity summary'!AB131&lt;&gt;"",IF(LOWER('Capacity summary'!AB131)="x",$BI12*AB12,VALUE('Capacity summary'!AB131)),0),AB12*$BI12),AB12*$BI12),0)</f>
        <v>9.615384615384615</v>
      </c>
      <c r="CF12" s="311">
        <f ca="1">IF($BI12&lt;&gt;"",IF('Capacity summary'!$D$14="Yes",IF(COUNTBLANK('Capacity summary'!$H131:$BG131)&lt;52,IF('Capacity summary'!AC131&lt;&gt;"",IF(LOWER('Capacity summary'!AC131)="x",$BI12*AC12,VALUE('Capacity summary'!AC131)),0),AC12*$BI12),AC12*$BI12),0)</f>
        <v>9.615384615384615</v>
      </c>
      <c r="CG12" s="311">
        <f ca="1">IF($BI12&lt;&gt;"",IF('Capacity summary'!$D$14="Yes",IF(COUNTBLANK('Capacity summary'!$H131:$BG131)&lt;52,IF('Capacity summary'!AD131&lt;&gt;"",IF(LOWER('Capacity summary'!AD131)="x",$BI12*AD12,VALUE('Capacity summary'!AD131)),0),AD12*$BI12),AD12*$BI12),0)</f>
        <v>9.615384615384615</v>
      </c>
      <c r="CH12" s="311">
        <f ca="1">IF($BI12&lt;&gt;"",IF('Capacity summary'!$D$14="Yes",IF(COUNTBLANK('Capacity summary'!$H131:$BG131)&lt;52,IF('Capacity summary'!AE131&lt;&gt;"",IF(LOWER('Capacity summary'!AE131)="x",$BI12*AE12,VALUE('Capacity summary'!AE131)),0),AE12*$BI12),AE12*$BI12),0)</f>
        <v>9.615384615384615</v>
      </c>
      <c r="CI12" s="311">
        <f ca="1">IF($BI12&lt;&gt;"",IF('Capacity summary'!$D$14="Yes",IF(COUNTBLANK('Capacity summary'!$H131:$BG131)&lt;52,IF('Capacity summary'!AF131&lt;&gt;"",IF(LOWER('Capacity summary'!AF131)="x",$BI12*AF12,VALUE('Capacity summary'!AF131)),0),AF12*$BI12),AF12*$BI12),0)</f>
        <v>9.615384615384615</v>
      </c>
      <c r="CJ12" s="311">
        <f ca="1">IF($BI12&lt;&gt;"",IF('Capacity summary'!$D$14="Yes",IF(COUNTBLANK('Capacity summary'!$H131:$BG131)&lt;52,IF('Capacity summary'!AG131&lt;&gt;"",IF(LOWER('Capacity summary'!AG131)="x",$BI12*AG12,VALUE('Capacity summary'!AG131)),0),AG12*$BI12),AG12*$BI12),0)</f>
        <v>9.615384615384615</v>
      </c>
      <c r="CK12" s="311">
        <f ca="1">IF($BI12&lt;&gt;"",IF('Capacity summary'!$D$14="Yes",IF(COUNTBLANK('Capacity summary'!$H131:$BG131)&lt;52,IF('Capacity summary'!AH131&lt;&gt;"",IF(LOWER('Capacity summary'!AH131)="x",$BI12*AH12,VALUE('Capacity summary'!AH131)),0),AH12*$BI12),AH12*$BI12),0)</f>
        <v>9.615384615384615</v>
      </c>
      <c r="CL12" s="311">
        <f ca="1">IF($BI12&lt;&gt;"",IF('Capacity summary'!$D$14="Yes",IF(COUNTBLANK('Capacity summary'!$H131:$BG131)&lt;52,IF('Capacity summary'!AI131&lt;&gt;"",IF(LOWER('Capacity summary'!AI131)="x",$BI12*AI12,VALUE('Capacity summary'!AI131)),0),AI12*$BI12),AI12*$BI12),0)</f>
        <v>9.615384615384615</v>
      </c>
      <c r="CM12" s="311">
        <f ca="1">IF($BI12&lt;&gt;"",IF('Capacity summary'!$D$14="Yes",IF(COUNTBLANK('Capacity summary'!$H131:$BG131)&lt;52,IF('Capacity summary'!AJ131&lt;&gt;"",IF(LOWER('Capacity summary'!AJ131)="x",$BI12*AJ12,VALUE('Capacity summary'!AJ131)),0),AJ12*$BI12),AJ12*$BI12),0)</f>
        <v>9.615384615384615</v>
      </c>
      <c r="CN12" s="311">
        <f ca="1">IF($BI12&lt;&gt;"",IF('Capacity summary'!$D$14="Yes",IF(COUNTBLANK('Capacity summary'!$H131:$BG131)&lt;52,IF('Capacity summary'!AK131&lt;&gt;"",IF(LOWER('Capacity summary'!AK131)="x",$BI12*AK12,VALUE('Capacity summary'!AK131)),0),AK12*$BI12),AK12*$BI12),0)</f>
        <v>9.615384615384615</v>
      </c>
      <c r="CO12" s="311">
        <f ca="1">IF($BI12&lt;&gt;"",IF('Capacity summary'!$D$14="Yes",IF(COUNTBLANK('Capacity summary'!$H131:$BG131)&lt;52,IF('Capacity summary'!AL131&lt;&gt;"",IF(LOWER('Capacity summary'!AL131)="x",$BI12*AL12,VALUE('Capacity summary'!AL131)),0),AL12*$BI12),AL12*$BI12),0)</f>
        <v>9.615384615384615</v>
      </c>
      <c r="CP12" s="311">
        <f ca="1">IF($BI12&lt;&gt;"",IF('Capacity summary'!$D$14="Yes",IF(COUNTBLANK('Capacity summary'!$H131:$BG131)&lt;52,IF('Capacity summary'!AM131&lt;&gt;"",IF(LOWER('Capacity summary'!AM131)="x",$BI12*AM12,VALUE('Capacity summary'!AM131)),0),AM12*$BI12),AM12*$BI12),0)</f>
        <v>9.615384615384615</v>
      </c>
      <c r="CQ12" s="311">
        <f ca="1">IF($BI12&lt;&gt;"",IF('Capacity summary'!$D$14="Yes",IF(COUNTBLANK('Capacity summary'!$H131:$BG131)&lt;52,IF('Capacity summary'!AN131&lt;&gt;"",IF(LOWER('Capacity summary'!AN131)="x",$BI12*AN12,VALUE('Capacity summary'!AN131)),0),AN12*$BI12),AN12*$BI12),0)</f>
        <v>9.615384615384615</v>
      </c>
      <c r="CR12" s="311">
        <f ca="1">IF($BI12&lt;&gt;"",IF('Capacity summary'!$D$14="Yes",IF(COUNTBLANK('Capacity summary'!$H131:$BG131)&lt;52,IF('Capacity summary'!AO131&lt;&gt;"",IF(LOWER('Capacity summary'!AO131)="x",$BI12*AO12,VALUE('Capacity summary'!AO131)),0),AO12*$BI12),AO12*$BI12),0)</f>
        <v>9.615384615384615</v>
      </c>
      <c r="CS12" s="311">
        <f ca="1">IF($BI12&lt;&gt;"",IF('Capacity summary'!$D$14="Yes",IF(COUNTBLANK('Capacity summary'!$H131:$BG131)&lt;52,IF('Capacity summary'!AP131&lt;&gt;"",IF(LOWER('Capacity summary'!AP131)="x",$BI12*AP12,VALUE('Capacity summary'!AP131)),0),AP12*$BI12),AP12*$BI12),0)</f>
        <v>9.615384615384615</v>
      </c>
      <c r="CT12" s="311">
        <f ca="1">IF($BI12&lt;&gt;"",IF('Capacity summary'!$D$14="Yes",IF(COUNTBLANK('Capacity summary'!$H131:$BG131)&lt;52,IF('Capacity summary'!AQ131&lt;&gt;"",IF(LOWER('Capacity summary'!AQ131)="x",$BI12*AQ12,VALUE('Capacity summary'!AQ131)),0),AQ12*$BI12),AQ12*$BI12),0)</f>
        <v>9.615384615384615</v>
      </c>
      <c r="CU12" s="311">
        <f ca="1">IF($BI12&lt;&gt;"",IF('Capacity summary'!$D$14="Yes",IF(COUNTBLANK('Capacity summary'!$H131:$BG131)&lt;52,IF('Capacity summary'!AR131&lt;&gt;"",IF(LOWER('Capacity summary'!AR131)="x",$BI12*AR12,VALUE('Capacity summary'!AR131)),0),AR12*$BI12),AR12*$BI12),0)</f>
        <v>9.615384615384615</v>
      </c>
      <c r="CV12" s="311">
        <f ca="1">IF($BI12&lt;&gt;"",IF('Capacity summary'!$D$14="Yes",IF(COUNTBLANK('Capacity summary'!$H131:$BG131)&lt;52,IF('Capacity summary'!AS131&lt;&gt;"",IF(LOWER('Capacity summary'!AS131)="x",$BI12*AS12,VALUE('Capacity summary'!AS131)),0),AS12*$BI12),AS12*$BI12),0)</f>
        <v>9.615384615384615</v>
      </c>
      <c r="CW12" s="311">
        <f ca="1">IF($BI12&lt;&gt;"",IF('Capacity summary'!$D$14="Yes",IF(COUNTBLANK('Capacity summary'!$H131:$BG131)&lt;52,IF('Capacity summary'!AT131&lt;&gt;"",IF(LOWER('Capacity summary'!AT131)="x",$BI12*AT12,VALUE('Capacity summary'!AT131)),0),AT12*$BI12),AT12*$BI12),0)</f>
        <v>9.615384615384615</v>
      </c>
      <c r="CX12" s="311">
        <f ca="1">IF($BI12&lt;&gt;"",IF('Capacity summary'!$D$14="Yes",IF(COUNTBLANK('Capacity summary'!$H131:$BG131)&lt;52,IF('Capacity summary'!AU131&lt;&gt;"",IF(LOWER('Capacity summary'!AU131)="x",$BI12*AU12,VALUE('Capacity summary'!AU131)),0),AU12*$BI12),AU12*$BI12),0)</f>
        <v>9.615384615384615</v>
      </c>
      <c r="CY12" s="311">
        <f ca="1">IF($BI12&lt;&gt;"",IF('Capacity summary'!$D$14="Yes",IF(COUNTBLANK('Capacity summary'!$H131:$BG131)&lt;52,IF('Capacity summary'!AV131&lt;&gt;"",IF(LOWER('Capacity summary'!AV131)="x",$BI12*AV12,VALUE('Capacity summary'!AV131)),0),AV12*$BI12),AV12*$BI12),0)</f>
        <v>9.615384615384615</v>
      </c>
      <c r="CZ12" s="311">
        <f ca="1">IF($BI12&lt;&gt;"",IF('Capacity summary'!$D$14="Yes",IF(COUNTBLANK('Capacity summary'!$H131:$BG131)&lt;52,IF('Capacity summary'!AW131&lt;&gt;"",IF(LOWER('Capacity summary'!AW131)="x",$BI12*AW12,VALUE('Capacity summary'!AW131)),0),AW12*$BI12),AW12*$BI12),0)</f>
        <v>9.615384615384615</v>
      </c>
      <c r="DA12" s="311">
        <f ca="1">IF($BI12&lt;&gt;"",IF('Capacity summary'!$D$14="Yes",IF(COUNTBLANK('Capacity summary'!$H131:$BG131)&lt;52,IF('Capacity summary'!AX131&lt;&gt;"",IF(LOWER('Capacity summary'!AX131)="x",$BI12*AX12,VALUE('Capacity summary'!AX131)),0),AX12*$BI12),AX12*$BI12),0)</f>
        <v>9.615384615384615</v>
      </c>
      <c r="DB12" s="311">
        <f ca="1">IF($BI12&lt;&gt;"",IF('Capacity summary'!$D$14="Yes",IF(COUNTBLANK('Capacity summary'!$H131:$BG131)&lt;52,IF('Capacity summary'!AY131&lt;&gt;"",IF(LOWER('Capacity summary'!AY131)="x",$BI12*AY12,VALUE('Capacity summary'!AY131)),0),AY12*$BI12),AY12*$BI12),0)</f>
        <v>9.615384615384615</v>
      </c>
      <c r="DC12" s="311">
        <f ca="1">IF($BI12&lt;&gt;"",IF('Capacity summary'!$D$14="Yes",IF(COUNTBLANK('Capacity summary'!$H131:$BG131)&lt;52,IF('Capacity summary'!AZ131&lt;&gt;"",IF(LOWER('Capacity summary'!AZ131)="x",$BI12*AZ12,VALUE('Capacity summary'!AZ131)),0),AZ12*$BI12),AZ12*$BI12),0)</f>
        <v>9.615384615384615</v>
      </c>
      <c r="DD12" s="311">
        <f ca="1">IF($BI12&lt;&gt;"",IF('Capacity summary'!$D$14="Yes",IF(COUNTBLANK('Capacity summary'!$H131:$BG131)&lt;52,IF('Capacity summary'!BA131&lt;&gt;"",IF(LOWER('Capacity summary'!BA131)="x",$BI12*BA12,VALUE('Capacity summary'!BA131)),0),BA12*$BI12),BA12*$BI12),0)</f>
        <v>9.615384615384615</v>
      </c>
      <c r="DE12" s="311">
        <f ca="1">IF($BI12&lt;&gt;"",IF('Capacity summary'!$D$14="Yes",IF(COUNTBLANK('Capacity summary'!$H131:$BG131)&lt;52,IF('Capacity summary'!BB131&lt;&gt;"",IF(LOWER('Capacity summary'!BB131)="x",$BI12*BB12,VALUE('Capacity summary'!BB131)),0),BB12*$BI12),BB12*$BI12),0)</f>
        <v>9.615384615384615</v>
      </c>
      <c r="DF12" s="311">
        <f ca="1">IF($BI12&lt;&gt;"",IF('Capacity summary'!$D$14="Yes",IF(COUNTBLANK('Capacity summary'!$H131:$BG131)&lt;52,IF('Capacity summary'!BC131&lt;&gt;"",IF(LOWER('Capacity summary'!BC131)="x",$BI12*BC12,VALUE('Capacity summary'!BC131)),0),BC12*$BI12),BC12*$BI12),0)</f>
        <v>9.615384615384615</v>
      </c>
      <c r="DG12" s="311">
        <f ca="1">IF($BI12&lt;&gt;"",IF('Capacity summary'!$D$14="Yes",IF(COUNTBLANK('Capacity summary'!$H131:$BG131)&lt;52,IF('Capacity summary'!BD131&lt;&gt;"",IF(LOWER('Capacity summary'!BD131)="x",$BI12*BD12,VALUE('Capacity summary'!BD131)),0),BD12*$BI12),BD12*$BI12),0)</f>
        <v>9.615384615384615</v>
      </c>
      <c r="DH12" s="311">
        <f ca="1">IF($BI12&lt;&gt;"",IF('Capacity summary'!$D$14="Yes",IF(COUNTBLANK('Capacity summary'!$H131:$BG131)&lt;52,IF('Capacity summary'!BE131&lt;&gt;"",IF(LOWER('Capacity summary'!BE131)="x",$BI12*BE12,VALUE('Capacity summary'!BE131)),0),BE12*$BI12),BE12*$BI12),0)</f>
        <v>9.615384615384615</v>
      </c>
      <c r="DI12" s="311">
        <f ca="1">IF($BI12&lt;&gt;"",IF('Capacity summary'!$D$14="Yes",IF(COUNTBLANK('Capacity summary'!$H131:$BG131)&lt;52,IF('Capacity summary'!BF131&lt;&gt;"",IF(LOWER('Capacity summary'!BF131)="x",$BI12*BF12,VALUE('Capacity summary'!BF131)),0),BF12*$BI12),BF12*$BI12),0)</f>
        <v>9.615384615384615</v>
      </c>
      <c r="DJ12" s="311">
        <f ca="1">IF($BI12&lt;&gt;"",IF('Capacity summary'!$D$14="Yes",IF(COUNTBLANK('Capacity summary'!$H131:$BG131)&lt;52,IF('Capacity summary'!BG131&lt;&gt;"",IF(LOWER('Capacity summary'!BG131)="x",$BI12*BG12,VALUE('Capacity summary'!BG131)),0),BG12*$BI12),BG12*$BI12),0)</f>
        <v>9.615384615384615</v>
      </c>
      <c r="DK12" s="388">
        <f t="shared" ca="1" si="2"/>
        <v>9.615384615384615</v>
      </c>
      <c r="DL12" s="136">
        <f t="shared" ca="1" si="3"/>
        <v>500.00000000000063</v>
      </c>
      <c r="DM12" s="311">
        <f>Capacity!H24</f>
        <v>500</v>
      </c>
      <c r="DQ12" s="5"/>
    </row>
    <row r="13" spans="1:121" x14ac:dyDescent="0.2">
      <c r="A13" s="67">
        <f>IF(Capacity!L25='Capacity summary'!BI132,1,0)</f>
        <v>1</v>
      </c>
      <c r="B13" s="67">
        <f>IF(Capacity!V25='Capacity summary'!BI32,1,0)</f>
        <v>1</v>
      </c>
      <c r="C13" s="67" t="str">
        <f>ROW(A9)&amp;". "&amp;Capacity!B25</f>
        <v>9. 2 ww</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 ca="1">IF(ROW(C9)&lt;=Capacity!$A$16,IF('Capacity summary'!$D$14="No",SUM(H13:BG13),'Capacity summary'!$E132),0)</f>
        <v>52</v>
      </c>
      <c r="BI13" s="5">
        <f ca="1">IF(BH13&gt;0,IF(BH13&lt;Capacity!E25,Capacity!F25,Capacity!H25/'Capacity calculation (hide)'!BH13),"")</f>
        <v>57.692307692307693</v>
      </c>
      <c r="BK13" s="311">
        <f ca="1">IF($BI13&lt;&gt;"",IF('Capacity summary'!$D$14="Yes",IF(COUNTBLANK('Capacity summary'!$H132:$BG132)&lt;52,IF('Capacity summary'!H132&lt;&gt;"",IF(LOWER('Capacity summary'!H132)="x",$BI13*H13,VALUE('Capacity summary'!H132)),0),H13*$BI13),H13*$BI13),0)</f>
        <v>57.692307692307693</v>
      </c>
      <c r="BL13" s="311">
        <f ca="1">IF($BI13&lt;&gt;"",IF('Capacity summary'!$D$14="Yes",IF(COUNTBLANK('Capacity summary'!$H132:$BG132)&lt;52,IF('Capacity summary'!I132&lt;&gt;"",IF(LOWER('Capacity summary'!I132)="x",$BI13*I13,VALUE('Capacity summary'!I132)),0),I13*$BI13),I13*$BI13),0)</f>
        <v>57.692307692307693</v>
      </c>
      <c r="BM13" s="311">
        <f ca="1">IF($BI13&lt;&gt;"",IF('Capacity summary'!$D$14="Yes",IF(COUNTBLANK('Capacity summary'!$H132:$BG132)&lt;52,IF('Capacity summary'!J132&lt;&gt;"",IF(LOWER('Capacity summary'!J132)="x",$BI13*J13,VALUE('Capacity summary'!J132)),0),J13*$BI13),J13*$BI13),0)</f>
        <v>57.692307692307693</v>
      </c>
      <c r="BN13" s="311">
        <f ca="1">IF($BI13&lt;&gt;"",IF('Capacity summary'!$D$14="Yes",IF(COUNTBLANK('Capacity summary'!$H132:$BG132)&lt;52,IF('Capacity summary'!K132&lt;&gt;"",IF(LOWER('Capacity summary'!K132)="x",$BI13*K13,VALUE('Capacity summary'!K132)),0),K13*$BI13),K13*$BI13),0)</f>
        <v>57.692307692307693</v>
      </c>
      <c r="BO13" s="311">
        <f ca="1">IF($BI13&lt;&gt;"",IF('Capacity summary'!$D$14="Yes",IF(COUNTBLANK('Capacity summary'!$H132:$BG132)&lt;52,IF('Capacity summary'!L132&lt;&gt;"",IF(LOWER('Capacity summary'!L132)="x",$BI13*L13,VALUE('Capacity summary'!L132)),0),L13*$BI13),L13*$BI13),0)</f>
        <v>57.692307692307693</v>
      </c>
      <c r="BP13" s="311">
        <f ca="1">IF($BI13&lt;&gt;"",IF('Capacity summary'!$D$14="Yes",IF(COUNTBLANK('Capacity summary'!$H132:$BG132)&lt;52,IF('Capacity summary'!M132&lt;&gt;"",IF(LOWER('Capacity summary'!M132)="x",$BI13*M13,VALUE('Capacity summary'!M132)),0),M13*$BI13),M13*$BI13),0)</f>
        <v>57.692307692307693</v>
      </c>
      <c r="BQ13" s="311">
        <f ca="1">IF($BI13&lt;&gt;"",IF('Capacity summary'!$D$14="Yes",IF(COUNTBLANK('Capacity summary'!$H132:$BG132)&lt;52,IF('Capacity summary'!N132&lt;&gt;"",IF(LOWER('Capacity summary'!N132)="x",$BI13*N13,VALUE('Capacity summary'!N132)),0),N13*$BI13),N13*$BI13),0)</f>
        <v>57.692307692307693</v>
      </c>
      <c r="BR13" s="311">
        <f ca="1">IF($BI13&lt;&gt;"",IF('Capacity summary'!$D$14="Yes",IF(COUNTBLANK('Capacity summary'!$H132:$BG132)&lt;52,IF('Capacity summary'!O132&lt;&gt;"",IF(LOWER('Capacity summary'!O132)="x",$BI13*O13,VALUE('Capacity summary'!O132)),0),O13*$BI13),O13*$BI13),0)</f>
        <v>57.692307692307693</v>
      </c>
      <c r="BS13" s="311">
        <f ca="1">IF($BI13&lt;&gt;"",IF('Capacity summary'!$D$14="Yes",IF(COUNTBLANK('Capacity summary'!$H132:$BG132)&lt;52,IF('Capacity summary'!P132&lt;&gt;"",IF(LOWER('Capacity summary'!P132)="x",$BI13*P13,VALUE('Capacity summary'!P132)),0),P13*$BI13),P13*$BI13),0)</f>
        <v>57.692307692307693</v>
      </c>
      <c r="BT13" s="311">
        <f ca="1">IF($BI13&lt;&gt;"",IF('Capacity summary'!$D$14="Yes",IF(COUNTBLANK('Capacity summary'!$H132:$BG132)&lt;52,IF('Capacity summary'!Q132&lt;&gt;"",IF(LOWER('Capacity summary'!Q132)="x",$BI13*Q13,VALUE('Capacity summary'!Q132)),0),Q13*$BI13),Q13*$BI13),0)</f>
        <v>57.692307692307693</v>
      </c>
      <c r="BU13" s="311">
        <f ca="1">IF($BI13&lt;&gt;"",IF('Capacity summary'!$D$14="Yes",IF(COUNTBLANK('Capacity summary'!$H132:$BG132)&lt;52,IF('Capacity summary'!R132&lt;&gt;"",IF(LOWER('Capacity summary'!R132)="x",$BI13*R13,VALUE('Capacity summary'!R132)),0),R13*$BI13),R13*$BI13),0)</f>
        <v>57.692307692307693</v>
      </c>
      <c r="BV13" s="311">
        <f ca="1">IF($BI13&lt;&gt;"",IF('Capacity summary'!$D$14="Yes",IF(COUNTBLANK('Capacity summary'!$H132:$BG132)&lt;52,IF('Capacity summary'!S132&lt;&gt;"",IF(LOWER('Capacity summary'!S132)="x",$BI13*S13,VALUE('Capacity summary'!S132)),0),S13*$BI13),S13*$BI13),0)</f>
        <v>57.692307692307693</v>
      </c>
      <c r="BW13" s="311">
        <f ca="1">IF($BI13&lt;&gt;"",IF('Capacity summary'!$D$14="Yes",IF(COUNTBLANK('Capacity summary'!$H132:$BG132)&lt;52,IF('Capacity summary'!T132&lt;&gt;"",IF(LOWER('Capacity summary'!T132)="x",$BI13*T13,VALUE('Capacity summary'!T132)),0),T13*$BI13),T13*$BI13),0)</f>
        <v>57.692307692307693</v>
      </c>
      <c r="BX13" s="311">
        <f ca="1">IF($BI13&lt;&gt;"",IF('Capacity summary'!$D$14="Yes",IF(COUNTBLANK('Capacity summary'!$H132:$BG132)&lt;52,IF('Capacity summary'!U132&lt;&gt;"",IF(LOWER('Capacity summary'!U132)="x",$BI13*U13,VALUE('Capacity summary'!U132)),0),U13*$BI13),U13*$BI13),0)</f>
        <v>57.692307692307693</v>
      </c>
      <c r="BY13" s="311">
        <f ca="1">IF($BI13&lt;&gt;"",IF('Capacity summary'!$D$14="Yes",IF(COUNTBLANK('Capacity summary'!$H132:$BG132)&lt;52,IF('Capacity summary'!V132&lt;&gt;"",IF(LOWER('Capacity summary'!V132)="x",$BI13*V13,VALUE('Capacity summary'!V132)),0),V13*$BI13),V13*$BI13),0)</f>
        <v>57.692307692307693</v>
      </c>
      <c r="BZ13" s="311">
        <f ca="1">IF($BI13&lt;&gt;"",IF('Capacity summary'!$D$14="Yes",IF(COUNTBLANK('Capacity summary'!$H132:$BG132)&lt;52,IF('Capacity summary'!W132&lt;&gt;"",IF(LOWER('Capacity summary'!W132)="x",$BI13*W13,VALUE('Capacity summary'!W132)),0),W13*$BI13),W13*$BI13),0)</f>
        <v>57.692307692307693</v>
      </c>
      <c r="CA13" s="311">
        <f ca="1">IF($BI13&lt;&gt;"",IF('Capacity summary'!$D$14="Yes",IF(COUNTBLANK('Capacity summary'!$H132:$BG132)&lt;52,IF('Capacity summary'!X132&lt;&gt;"",IF(LOWER('Capacity summary'!X132)="x",$BI13*X13,VALUE('Capacity summary'!X132)),0),X13*$BI13),X13*$BI13),0)</f>
        <v>57.692307692307693</v>
      </c>
      <c r="CB13" s="311">
        <f ca="1">IF($BI13&lt;&gt;"",IF('Capacity summary'!$D$14="Yes",IF(COUNTBLANK('Capacity summary'!$H132:$BG132)&lt;52,IF('Capacity summary'!Y132&lt;&gt;"",IF(LOWER('Capacity summary'!Y132)="x",$BI13*Y13,VALUE('Capacity summary'!Y132)),0),Y13*$BI13),Y13*$BI13),0)</f>
        <v>57.692307692307693</v>
      </c>
      <c r="CC13" s="311">
        <f ca="1">IF($BI13&lt;&gt;"",IF('Capacity summary'!$D$14="Yes",IF(COUNTBLANK('Capacity summary'!$H132:$BG132)&lt;52,IF('Capacity summary'!Z132&lt;&gt;"",IF(LOWER('Capacity summary'!Z132)="x",$BI13*Z13,VALUE('Capacity summary'!Z132)),0),Z13*$BI13),Z13*$BI13),0)</f>
        <v>57.692307692307693</v>
      </c>
      <c r="CD13" s="311">
        <f ca="1">IF($BI13&lt;&gt;"",IF('Capacity summary'!$D$14="Yes",IF(COUNTBLANK('Capacity summary'!$H132:$BG132)&lt;52,IF('Capacity summary'!AA132&lt;&gt;"",IF(LOWER('Capacity summary'!AA132)="x",$BI13*AA13,VALUE('Capacity summary'!AA132)),0),AA13*$BI13),AA13*$BI13),0)</f>
        <v>57.692307692307693</v>
      </c>
      <c r="CE13" s="311">
        <f ca="1">IF($BI13&lt;&gt;"",IF('Capacity summary'!$D$14="Yes",IF(COUNTBLANK('Capacity summary'!$H132:$BG132)&lt;52,IF('Capacity summary'!AB132&lt;&gt;"",IF(LOWER('Capacity summary'!AB132)="x",$BI13*AB13,VALUE('Capacity summary'!AB132)),0),AB13*$BI13),AB13*$BI13),0)</f>
        <v>57.692307692307693</v>
      </c>
      <c r="CF13" s="311">
        <f ca="1">IF($BI13&lt;&gt;"",IF('Capacity summary'!$D$14="Yes",IF(COUNTBLANK('Capacity summary'!$H132:$BG132)&lt;52,IF('Capacity summary'!AC132&lt;&gt;"",IF(LOWER('Capacity summary'!AC132)="x",$BI13*AC13,VALUE('Capacity summary'!AC132)),0),AC13*$BI13),AC13*$BI13),0)</f>
        <v>57.692307692307693</v>
      </c>
      <c r="CG13" s="311">
        <f ca="1">IF($BI13&lt;&gt;"",IF('Capacity summary'!$D$14="Yes",IF(COUNTBLANK('Capacity summary'!$H132:$BG132)&lt;52,IF('Capacity summary'!AD132&lt;&gt;"",IF(LOWER('Capacity summary'!AD132)="x",$BI13*AD13,VALUE('Capacity summary'!AD132)),0),AD13*$BI13),AD13*$BI13),0)</f>
        <v>57.692307692307693</v>
      </c>
      <c r="CH13" s="311">
        <f ca="1">IF($BI13&lt;&gt;"",IF('Capacity summary'!$D$14="Yes",IF(COUNTBLANK('Capacity summary'!$H132:$BG132)&lt;52,IF('Capacity summary'!AE132&lt;&gt;"",IF(LOWER('Capacity summary'!AE132)="x",$BI13*AE13,VALUE('Capacity summary'!AE132)),0),AE13*$BI13),AE13*$BI13),0)</f>
        <v>57.692307692307693</v>
      </c>
      <c r="CI13" s="311">
        <f ca="1">IF($BI13&lt;&gt;"",IF('Capacity summary'!$D$14="Yes",IF(COUNTBLANK('Capacity summary'!$H132:$BG132)&lt;52,IF('Capacity summary'!AF132&lt;&gt;"",IF(LOWER('Capacity summary'!AF132)="x",$BI13*AF13,VALUE('Capacity summary'!AF132)),0),AF13*$BI13),AF13*$BI13),0)</f>
        <v>57.692307692307693</v>
      </c>
      <c r="CJ13" s="311">
        <f ca="1">IF($BI13&lt;&gt;"",IF('Capacity summary'!$D$14="Yes",IF(COUNTBLANK('Capacity summary'!$H132:$BG132)&lt;52,IF('Capacity summary'!AG132&lt;&gt;"",IF(LOWER('Capacity summary'!AG132)="x",$BI13*AG13,VALUE('Capacity summary'!AG132)),0),AG13*$BI13),AG13*$BI13),0)</f>
        <v>57.692307692307693</v>
      </c>
      <c r="CK13" s="311">
        <f ca="1">IF($BI13&lt;&gt;"",IF('Capacity summary'!$D$14="Yes",IF(COUNTBLANK('Capacity summary'!$H132:$BG132)&lt;52,IF('Capacity summary'!AH132&lt;&gt;"",IF(LOWER('Capacity summary'!AH132)="x",$BI13*AH13,VALUE('Capacity summary'!AH132)),0),AH13*$BI13),AH13*$BI13),0)</f>
        <v>57.692307692307693</v>
      </c>
      <c r="CL13" s="311">
        <f ca="1">IF($BI13&lt;&gt;"",IF('Capacity summary'!$D$14="Yes",IF(COUNTBLANK('Capacity summary'!$H132:$BG132)&lt;52,IF('Capacity summary'!AI132&lt;&gt;"",IF(LOWER('Capacity summary'!AI132)="x",$BI13*AI13,VALUE('Capacity summary'!AI132)),0),AI13*$BI13),AI13*$BI13),0)</f>
        <v>57.692307692307693</v>
      </c>
      <c r="CM13" s="311">
        <f ca="1">IF($BI13&lt;&gt;"",IF('Capacity summary'!$D$14="Yes",IF(COUNTBLANK('Capacity summary'!$H132:$BG132)&lt;52,IF('Capacity summary'!AJ132&lt;&gt;"",IF(LOWER('Capacity summary'!AJ132)="x",$BI13*AJ13,VALUE('Capacity summary'!AJ132)),0),AJ13*$BI13),AJ13*$BI13),0)</f>
        <v>57.692307692307693</v>
      </c>
      <c r="CN13" s="311">
        <f ca="1">IF($BI13&lt;&gt;"",IF('Capacity summary'!$D$14="Yes",IF(COUNTBLANK('Capacity summary'!$H132:$BG132)&lt;52,IF('Capacity summary'!AK132&lt;&gt;"",IF(LOWER('Capacity summary'!AK132)="x",$BI13*AK13,VALUE('Capacity summary'!AK132)),0),AK13*$BI13),AK13*$BI13),0)</f>
        <v>57.692307692307693</v>
      </c>
      <c r="CO13" s="311">
        <f ca="1">IF($BI13&lt;&gt;"",IF('Capacity summary'!$D$14="Yes",IF(COUNTBLANK('Capacity summary'!$H132:$BG132)&lt;52,IF('Capacity summary'!AL132&lt;&gt;"",IF(LOWER('Capacity summary'!AL132)="x",$BI13*AL13,VALUE('Capacity summary'!AL132)),0),AL13*$BI13),AL13*$BI13),0)</f>
        <v>57.692307692307693</v>
      </c>
      <c r="CP13" s="311">
        <f ca="1">IF($BI13&lt;&gt;"",IF('Capacity summary'!$D$14="Yes",IF(COUNTBLANK('Capacity summary'!$H132:$BG132)&lt;52,IF('Capacity summary'!AM132&lt;&gt;"",IF(LOWER('Capacity summary'!AM132)="x",$BI13*AM13,VALUE('Capacity summary'!AM132)),0),AM13*$BI13),AM13*$BI13),0)</f>
        <v>57.692307692307693</v>
      </c>
      <c r="CQ13" s="311">
        <f ca="1">IF($BI13&lt;&gt;"",IF('Capacity summary'!$D$14="Yes",IF(COUNTBLANK('Capacity summary'!$H132:$BG132)&lt;52,IF('Capacity summary'!AN132&lt;&gt;"",IF(LOWER('Capacity summary'!AN132)="x",$BI13*AN13,VALUE('Capacity summary'!AN132)),0),AN13*$BI13),AN13*$BI13),0)</f>
        <v>57.692307692307693</v>
      </c>
      <c r="CR13" s="311">
        <f ca="1">IF($BI13&lt;&gt;"",IF('Capacity summary'!$D$14="Yes",IF(COUNTBLANK('Capacity summary'!$H132:$BG132)&lt;52,IF('Capacity summary'!AO132&lt;&gt;"",IF(LOWER('Capacity summary'!AO132)="x",$BI13*AO13,VALUE('Capacity summary'!AO132)),0),AO13*$BI13),AO13*$BI13),0)</f>
        <v>57.692307692307693</v>
      </c>
      <c r="CS13" s="311">
        <f ca="1">IF($BI13&lt;&gt;"",IF('Capacity summary'!$D$14="Yes",IF(COUNTBLANK('Capacity summary'!$H132:$BG132)&lt;52,IF('Capacity summary'!AP132&lt;&gt;"",IF(LOWER('Capacity summary'!AP132)="x",$BI13*AP13,VALUE('Capacity summary'!AP132)),0),AP13*$BI13),AP13*$BI13),0)</f>
        <v>57.692307692307693</v>
      </c>
      <c r="CT13" s="311">
        <f ca="1">IF($BI13&lt;&gt;"",IF('Capacity summary'!$D$14="Yes",IF(COUNTBLANK('Capacity summary'!$H132:$BG132)&lt;52,IF('Capacity summary'!AQ132&lt;&gt;"",IF(LOWER('Capacity summary'!AQ132)="x",$BI13*AQ13,VALUE('Capacity summary'!AQ132)),0),AQ13*$BI13),AQ13*$BI13),0)</f>
        <v>57.692307692307693</v>
      </c>
      <c r="CU13" s="311">
        <f ca="1">IF($BI13&lt;&gt;"",IF('Capacity summary'!$D$14="Yes",IF(COUNTBLANK('Capacity summary'!$H132:$BG132)&lt;52,IF('Capacity summary'!AR132&lt;&gt;"",IF(LOWER('Capacity summary'!AR132)="x",$BI13*AR13,VALUE('Capacity summary'!AR132)),0),AR13*$BI13),AR13*$BI13),0)</f>
        <v>57.692307692307693</v>
      </c>
      <c r="CV13" s="311">
        <f ca="1">IF($BI13&lt;&gt;"",IF('Capacity summary'!$D$14="Yes",IF(COUNTBLANK('Capacity summary'!$H132:$BG132)&lt;52,IF('Capacity summary'!AS132&lt;&gt;"",IF(LOWER('Capacity summary'!AS132)="x",$BI13*AS13,VALUE('Capacity summary'!AS132)),0),AS13*$BI13),AS13*$BI13),0)</f>
        <v>57.692307692307693</v>
      </c>
      <c r="CW13" s="311">
        <f ca="1">IF($BI13&lt;&gt;"",IF('Capacity summary'!$D$14="Yes",IF(COUNTBLANK('Capacity summary'!$H132:$BG132)&lt;52,IF('Capacity summary'!AT132&lt;&gt;"",IF(LOWER('Capacity summary'!AT132)="x",$BI13*AT13,VALUE('Capacity summary'!AT132)),0),AT13*$BI13),AT13*$BI13),0)</f>
        <v>57.692307692307693</v>
      </c>
      <c r="CX13" s="311">
        <f ca="1">IF($BI13&lt;&gt;"",IF('Capacity summary'!$D$14="Yes",IF(COUNTBLANK('Capacity summary'!$H132:$BG132)&lt;52,IF('Capacity summary'!AU132&lt;&gt;"",IF(LOWER('Capacity summary'!AU132)="x",$BI13*AU13,VALUE('Capacity summary'!AU132)),0),AU13*$BI13),AU13*$BI13),0)</f>
        <v>57.692307692307693</v>
      </c>
      <c r="CY13" s="311">
        <f ca="1">IF($BI13&lt;&gt;"",IF('Capacity summary'!$D$14="Yes",IF(COUNTBLANK('Capacity summary'!$H132:$BG132)&lt;52,IF('Capacity summary'!AV132&lt;&gt;"",IF(LOWER('Capacity summary'!AV132)="x",$BI13*AV13,VALUE('Capacity summary'!AV132)),0),AV13*$BI13),AV13*$BI13),0)</f>
        <v>57.692307692307693</v>
      </c>
      <c r="CZ13" s="311">
        <f ca="1">IF($BI13&lt;&gt;"",IF('Capacity summary'!$D$14="Yes",IF(COUNTBLANK('Capacity summary'!$H132:$BG132)&lt;52,IF('Capacity summary'!AW132&lt;&gt;"",IF(LOWER('Capacity summary'!AW132)="x",$BI13*AW13,VALUE('Capacity summary'!AW132)),0),AW13*$BI13),AW13*$BI13),0)</f>
        <v>57.692307692307693</v>
      </c>
      <c r="DA13" s="311">
        <f ca="1">IF($BI13&lt;&gt;"",IF('Capacity summary'!$D$14="Yes",IF(COUNTBLANK('Capacity summary'!$H132:$BG132)&lt;52,IF('Capacity summary'!AX132&lt;&gt;"",IF(LOWER('Capacity summary'!AX132)="x",$BI13*AX13,VALUE('Capacity summary'!AX132)),0),AX13*$BI13),AX13*$BI13),0)</f>
        <v>57.692307692307693</v>
      </c>
      <c r="DB13" s="311">
        <f ca="1">IF($BI13&lt;&gt;"",IF('Capacity summary'!$D$14="Yes",IF(COUNTBLANK('Capacity summary'!$H132:$BG132)&lt;52,IF('Capacity summary'!AY132&lt;&gt;"",IF(LOWER('Capacity summary'!AY132)="x",$BI13*AY13,VALUE('Capacity summary'!AY132)),0),AY13*$BI13),AY13*$BI13),0)</f>
        <v>57.692307692307693</v>
      </c>
      <c r="DC13" s="311">
        <f ca="1">IF($BI13&lt;&gt;"",IF('Capacity summary'!$D$14="Yes",IF(COUNTBLANK('Capacity summary'!$H132:$BG132)&lt;52,IF('Capacity summary'!AZ132&lt;&gt;"",IF(LOWER('Capacity summary'!AZ132)="x",$BI13*AZ13,VALUE('Capacity summary'!AZ132)),0),AZ13*$BI13),AZ13*$BI13),0)</f>
        <v>57.692307692307693</v>
      </c>
      <c r="DD13" s="311">
        <f ca="1">IF($BI13&lt;&gt;"",IF('Capacity summary'!$D$14="Yes",IF(COUNTBLANK('Capacity summary'!$H132:$BG132)&lt;52,IF('Capacity summary'!BA132&lt;&gt;"",IF(LOWER('Capacity summary'!BA132)="x",$BI13*BA13,VALUE('Capacity summary'!BA132)),0),BA13*$BI13),BA13*$BI13),0)</f>
        <v>57.692307692307693</v>
      </c>
      <c r="DE13" s="311">
        <f ca="1">IF($BI13&lt;&gt;"",IF('Capacity summary'!$D$14="Yes",IF(COUNTBLANK('Capacity summary'!$H132:$BG132)&lt;52,IF('Capacity summary'!BB132&lt;&gt;"",IF(LOWER('Capacity summary'!BB132)="x",$BI13*BB13,VALUE('Capacity summary'!BB132)),0),BB13*$BI13),BB13*$BI13),0)</f>
        <v>57.692307692307693</v>
      </c>
      <c r="DF13" s="311">
        <f ca="1">IF($BI13&lt;&gt;"",IF('Capacity summary'!$D$14="Yes",IF(COUNTBLANK('Capacity summary'!$H132:$BG132)&lt;52,IF('Capacity summary'!BC132&lt;&gt;"",IF(LOWER('Capacity summary'!BC132)="x",$BI13*BC13,VALUE('Capacity summary'!BC132)),0),BC13*$BI13),BC13*$BI13),0)</f>
        <v>57.692307692307693</v>
      </c>
      <c r="DG13" s="311">
        <f ca="1">IF($BI13&lt;&gt;"",IF('Capacity summary'!$D$14="Yes",IF(COUNTBLANK('Capacity summary'!$H132:$BG132)&lt;52,IF('Capacity summary'!BD132&lt;&gt;"",IF(LOWER('Capacity summary'!BD132)="x",$BI13*BD13,VALUE('Capacity summary'!BD132)),0),BD13*$BI13),BD13*$BI13),0)</f>
        <v>57.692307692307693</v>
      </c>
      <c r="DH13" s="311">
        <f ca="1">IF($BI13&lt;&gt;"",IF('Capacity summary'!$D$14="Yes",IF(COUNTBLANK('Capacity summary'!$H132:$BG132)&lt;52,IF('Capacity summary'!BE132&lt;&gt;"",IF(LOWER('Capacity summary'!BE132)="x",$BI13*BE13,VALUE('Capacity summary'!BE132)),0),BE13*$BI13),BE13*$BI13),0)</f>
        <v>57.692307692307693</v>
      </c>
      <c r="DI13" s="311">
        <f ca="1">IF($BI13&lt;&gt;"",IF('Capacity summary'!$D$14="Yes",IF(COUNTBLANK('Capacity summary'!$H132:$BG132)&lt;52,IF('Capacity summary'!BF132&lt;&gt;"",IF(LOWER('Capacity summary'!BF132)="x",$BI13*BF13,VALUE('Capacity summary'!BF132)),0),BF13*$BI13),BF13*$BI13),0)</f>
        <v>57.692307692307693</v>
      </c>
      <c r="DJ13" s="311">
        <f ca="1">IF($BI13&lt;&gt;"",IF('Capacity summary'!$D$14="Yes",IF(COUNTBLANK('Capacity summary'!$H132:$BG132)&lt;52,IF('Capacity summary'!BG132&lt;&gt;"",IF(LOWER('Capacity summary'!BG132)="x",$BI13*BG13,VALUE('Capacity summary'!BG132)),0),BG13*$BI13),BG13*$BI13),0)</f>
        <v>57.692307692307693</v>
      </c>
      <c r="DK13" s="388">
        <f t="shared" ca="1" si="2"/>
        <v>57.692307692307693</v>
      </c>
      <c r="DL13" s="136">
        <f t="shared" ca="1" si="3"/>
        <v>2999.9999999999982</v>
      </c>
      <c r="DM13" s="311">
        <f>Capacity!H25</f>
        <v>3000</v>
      </c>
      <c r="DQ13" s="5"/>
    </row>
    <row r="14" spans="1:121" x14ac:dyDescent="0.2">
      <c r="A14" s="67">
        <f>IF(Capacity!L26='Capacity summary'!BI133,1,0)</f>
        <v>1</v>
      </c>
      <c r="B14" s="67">
        <f>IF(Capacity!V26='Capacity summary'!BI33,1,0)</f>
        <v>1</v>
      </c>
      <c r="C14" s="67" t="str">
        <f>ROW(A10)&amp;". "&amp;Capacity!B26</f>
        <v>10. CT Colon</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 ca="1">IF(ROW(C10)&lt;=Capacity!$A$16,IF('Capacity summary'!$D$14="No",SUM(H14:BG14),'Capacity summary'!$E133),0)</f>
        <v>52</v>
      </c>
      <c r="BI14" s="5">
        <f ca="1">IF(BH14&gt;0,IF(BH14&lt;Capacity!E26,Capacity!F26,Capacity!H26/'Capacity calculation (hide)'!BH14),"")</f>
        <v>336.53846153846155</v>
      </c>
      <c r="BK14" s="311">
        <f ca="1">IF($BI14&lt;&gt;"",IF('Capacity summary'!$D$14="Yes",IF(COUNTBLANK('Capacity summary'!$H133:$BG133)&lt;52,IF('Capacity summary'!H133&lt;&gt;"",IF(LOWER('Capacity summary'!H133)="x",$BI14*H14,VALUE('Capacity summary'!H133)),0),H14*$BI14),H14*$BI14),0)</f>
        <v>336.53846153846155</v>
      </c>
      <c r="BL14" s="311">
        <f ca="1">IF($BI14&lt;&gt;"",IF('Capacity summary'!$D$14="Yes",IF(COUNTBLANK('Capacity summary'!$H133:$BG133)&lt;52,IF('Capacity summary'!I133&lt;&gt;"",IF(LOWER('Capacity summary'!I133)="x",$BI14*I14,VALUE('Capacity summary'!I133)),0),I14*$BI14),I14*$BI14),0)</f>
        <v>336.53846153846155</v>
      </c>
      <c r="BM14" s="311">
        <f ca="1">IF($BI14&lt;&gt;"",IF('Capacity summary'!$D$14="Yes",IF(COUNTBLANK('Capacity summary'!$H133:$BG133)&lt;52,IF('Capacity summary'!J133&lt;&gt;"",IF(LOWER('Capacity summary'!J133)="x",$BI14*J14,VALUE('Capacity summary'!J133)),0),J14*$BI14),J14*$BI14),0)</f>
        <v>336.53846153846155</v>
      </c>
      <c r="BN14" s="311">
        <f ca="1">IF($BI14&lt;&gt;"",IF('Capacity summary'!$D$14="Yes",IF(COUNTBLANK('Capacity summary'!$H133:$BG133)&lt;52,IF('Capacity summary'!K133&lt;&gt;"",IF(LOWER('Capacity summary'!K133)="x",$BI14*K14,VALUE('Capacity summary'!K133)),0),K14*$BI14),K14*$BI14),0)</f>
        <v>336.53846153846155</v>
      </c>
      <c r="BO14" s="311">
        <f ca="1">IF($BI14&lt;&gt;"",IF('Capacity summary'!$D$14="Yes",IF(COUNTBLANK('Capacity summary'!$H133:$BG133)&lt;52,IF('Capacity summary'!L133&lt;&gt;"",IF(LOWER('Capacity summary'!L133)="x",$BI14*L14,VALUE('Capacity summary'!L133)),0),L14*$BI14),L14*$BI14),0)</f>
        <v>336.53846153846155</v>
      </c>
      <c r="BP14" s="311">
        <f ca="1">IF($BI14&lt;&gt;"",IF('Capacity summary'!$D$14="Yes",IF(COUNTBLANK('Capacity summary'!$H133:$BG133)&lt;52,IF('Capacity summary'!M133&lt;&gt;"",IF(LOWER('Capacity summary'!M133)="x",$BI14*M14,VALUE('Capacity summary'!M133)),0),M14*$BI14),M14*$BI14),0)</f>
        <v>336.53846153846155</v>
      </c>
      <c r="BQ14" s="311">
        <f ca="1">IF($BI14&lt;&gt;"",IF('Capacity summary'!$D$14="Yes",IF(COUNTBLANK('Capacity summary'!$H133:$BG133)&lt;52,IF('Capacity summary'!N133&lt;&gt;"",IF(LOWER('Capacity summary'!N133)="x",$BI14*N14,VALUE('Capacity summary'!N133)),0),N14*$BI14),N14*$BI14),0)</f>
        <v>336.53846153846155</v>
      </c>
      <c r="BR14" s="311">
        <f ca="1">IF($BI14&lt;&gt;"",IF('Capacity summary'!$D$14="Yes",IF(COUNTBLANK('Capacity summary'!$H133:$BG133)&lt;52,IF('Capacity summary'!O133&lt;&gt;"",IF(LOWER('Capacity summary'!O133)="x",$BI14*O14,VALUE('Capacity summary'!O133)),0),O14*$BI14),O14*$BI14),0)</f>
        <v>336.53846153846155</v>
      </c>
      <c r="BS14" s="311">
        <f ca="1">IF($BI14&lt;&gt;"",IF('Capacity summary'!$D$14="Yes",IF(COUNTBLANK('Capacity summary'!$H133:$BG133)&lt;52,IF('Capacity summary'!P133&lt;&gt;"",IF(LOWER('Capacity summary'!P133)="x",$BI14*P14,VALUE('Capacity summary'!P133)),0),P14*$BI14),P14*$BI14),0)</f>
        <v>336.53846153846155</v>
      </c>
      <c r="BT14" s="311">
        <f ca="1">IF($BI14&lt;&gt;"",IF('Capacity summary'!$D$14="Yes",IF(COUNTBLANK('Capacity summary'!$H133:$BG133)&lt;52,IF('Capacity summary'!Q133&lt;&gt;"",IF(LOWER('Capacity summary'!Q133)="x",$BI14*Q14,VALUE('Capacity summary'!Q133)),0),Q14*$BI14),Q14*$BI14),0)</f>
        <v>336.53846153846155</v>
      </c>
      <c r="BU14" s="311">
        <f ca="1">IF($BI14&lt;&gt;"",IF('Capacity summary'!$D$14="Yes",IF(COUNTBLANK('Capacity summary'!$H133:$BG133)&lt;52,IF('Capacity summary'!R133&lt;&gt;"",IF(LOWER('Capacity summary'!R133)="x",$BI14*R14,VALUE('Capacity summary'!R133)),0),R14*$BI14),R14*$BI14),0)</f>
        <v>336.53846153846155</v>
      </c>
      <c r="BV14" s="311">
        <f ca="1">IF($BI14&lt;&gt;"",IF('Capacity summary'!$D$14="Yes",IF(COUNTBLANK('Capacity summary'!$H133:$BG133)&lt;52,IF('Capacity summary'!S133&lt;&gt;"",IF(LOWER('Capacity summary'!S133)="x",$BI14*S14,VALUE('Capacity summary'!S133)),0),S14*$BI14),S14*$BI14),0)</f>
        <v>336.53846153846155</v>
      </c>
      <c r="BW14" s="311">
        <f ca="1">IF($BI14&lt;&gt;"",IF('Capacity summary'!$D$14="Yes",IF(COUNTBLANK('Capacity summary'!$H133:$BG133)&lt;52,IF('Capacity summary'!T133&lt;&gt;"",IF(LOWER('Capacity summary'!T133)="x",$BI14*T14,VALUE('Capacity summary'!T133)),0),T14*$BI14),T14*$BI14),0)</f>
        <v>336.53846153846155</v>
      </c>
      <c r="BX14" s="311">
        <f ca="1">IF($BI14&lt;&gt;"",IF('Capacity summary'!$D$14="Yes",IF(COUNTBLANK('Capacity summary'!$H133:$BG133)&lt;52,IF('Capacity summary'!U133&lt;&gt;"",IF(LOWER('Capacity summary'!U133)="x",$BI14*U14,VALUE('Capacity summary'!U133)),0),U14*$BI14),U14*$BI14),0)</f>
        <v>336.53846153846155</v>
      </c>
      <c r="BY14" s="311">
        <f ca="1">IF($BI14&lt;&gt;"",IF('Capacity summary'!$D$14="Yes",IF(COUNTBLANK('Capacity summary'!$H133:$BG133)&lt;52,IF('Capacity summary'!V133&lt;&gt;"",IF(LOWER('Capacity summary'!V133)="x",$BI14*V14,VALUE('Capacity summary'!V133)),0),V14*$BI14),V14*$BI14),0)</f>
        <v>336.53846153846155</v>
      </c>
      <c r="BZ14" s="311">
        <f ca="1">IF($BI14&lt;&gt;"",IF('Capacity summary'!$D$14="Yes",IF(COUNTBLANK('Capacity summary'!$H133:$BG133)&lt;52,IF('Capacity summary'!W133&lt;&gt;"",IF(LOWER('Capacity summary'!W133)="x",$BI14*W14,VALUE('Capacity summary'!W133)),0),W14*$BI14),W14*$BI14),0)</f>
        <v>336.53846153846155</v>
      </c>
      <c r="CA14" s="311">
        <f ca="1">IF($BI14&lt;&gt;"",IF('Capacity summary'!$D$14="Yes",IF(COUNTBLANK('Capacity summary'!$H133:$BG133)&lt;52,IF('Capacity summary'!X133&lt;&gt;"",IF(LOWER('Capacity summary'!X133)="x",$BI14*X14,VALUE('Capacity summary'!X133)),0),X14*$BI14),X14*$BI14),0)</f>
        <v>336.53846153846155</v>
      </c>
      <c r="CB14" s="311">
        <f ca="1">IF($BI14&lt;&gt;"",IF('Capacity summary'!$D$14="Yes",IF(COUNTBLANK('Capacity summary'!$H133:$BG133)&lt;52,IF('Capacity summary'!Y133&lt;&gt;"",IF(LOWER('Capacity summary'!Y133)="x",$BI14*Y14,VALUE('Capacity summary'!Y133)),0),Y14*$BI14),Y14*$BI14),0)</f>
        <v>336.53846153846155</v>
      </c>
      <c r="CC14" s="311">
        <f ca="1">IF($BI14&lt;&gt;"",IF('Capacity summary'!$D$14="Yes",IF(COUNTBLANK('Capacity summary'!$H133:$BG133)&lt;52,IF('Capacity summary'!Z133&lt;&gt;"",IF(LOWER('Capacity summary'!Z133)="x",$BI14*Z14,VALUE('Capacity summary'!Z133)),0),Z14*$BI14),Z14*$BI14),0)</f>
        <v>336.53846153846155</v>
      </c>
      <c r="CD14" s="311">
        <f ca="1">IF($BI14&lt;&gt;"",IF('Capacity summary'!$D$14="Yes",IF(COUNTBLANK('Capacity summary'!$H133:$BG133)&lt;52,IF('Capacity summary'!AA133&lt;&gt;"",IF(LOWER('Capacity summary'!AA133)="x",$BI14*AA14,VALUE('Capacity summary'!AA133)),0),AA14*$BI14),AA14*$BI14),0)</f>
        <v>336.53846153846155</v>
      </c>
      <c r="CE14" s="311">
        <f ca="1">IF($BI14&lt;&gt;"",IF('Capacity summary'!$D$14="Yes",IF(COUNTBLANK('Capacity summary'!$H133:$BG133)&lt;52,IF('Capacity summary'!AB133&lt;&gt;"",IF(LOWER('Capacity summary'!AB133)="x",$BI14*AB14,VALUE('Capacity summary'!AB133)),0),AB14*$BI14),AB14*$BI14),0)</f>
        <v>336.53846153846155</v>
      </c>
      <c r="CF14" s="311">
        <f ca="1">IF($BI14&lt;&gt;"",IF('Capacity summary'!$D$14="Yes",IF(COUNTBLANK('Capacity summary'!$H133:$BG133)&lt;52,IF('Capacity summary'!AC133&lt;&gt;"",IF(LOWER('Capacity summary'!AC133)="x",$BI14*AC14,VALUE('Capacity summary'!AC133)),0),AC14*$BI14),AC14*$BI14),0)</f>
        <v>336.53846153846155</v>
      </c>
      <c r="CG14" s="311">
        <f ca="1">IF($BI14&lt;&gt;"",IF('Capacity summary'!$D$14="Yes",IF(COUNTBLANK('Capacity summary'!$H133:$BG133)&lt;52,IF('Capacity summary'!AD133&lt;&gt;"",IF(LOWER('Capacity summary'!AD133)="x",$BI14*AD14,VALUE('Capacity summary'!AD133)),0),AD14*$BI14),AD14*$BI14),0)</f>
        <v>336.53846153846155</v>
      </c>
      <c r="CH14" s="311">
        <f ca="1">IF($BI14&lt;&gt;"",IF('Capacity summary'!$D$14="Yes",IF(COUNTBLANK('Capacity summary'!$H133:$BG133)&lt;52,IF('Capacity summary'!AE133&lt;&gt;"",IF(LOWER('Capacity summary'!AE133)="x",$BI14*AE14,VALUE('Capacity summary'!AE133)),0),AE14*$BI14),AE14*$BI14),0)</f>
        <v>336.53846153846155</v>
      </c>
      <c r="CI14" s="311">
        <f ca="1">IF($BI14&lt;&gt;"",IF('Capacity summary'!$D$14="Yes",IF(COUNTBLANK('Capacity summary'!$H133:$BG133)&lt;52,IF('Capacity summary'!AF133&lt;&gt;"",IF(LOWER('Capacity summary'!AF133)="x",$BI14*AF14,VALUE('Capacity summary'!AF133)),0),AF14*$BI14),AF14*$BI14),0)</f>
        <v>336.53846153846155</v>
      </c>
      <c r="CJ14" s="311">
        <f ca="1">IF($BI14&lt;&gt;"",IF('Capacity summary'!$D$14="Yes",IF(COUNTBLANK('Capacity summary'!$H133:$BG133)&lt;52,IF('Capacity summary'!AG133&lt;&gt;"",IF(LOWER('Capacity summary'!AG133)="x",$BI14*AG14,VALUE('Capacity summary'!AG133)),0),AG14*$BI14),AG14*$BI14),0)</f>
        <v>336.53846153846155</v>
      </c>
      <c r="CK14" s="311">
        <f ca="1">IF($BI14&lt;&gt;"",IF('Capacity summary'!$D$14="Yes",IF(COUNTBLANK('Capacity summary'!$H133:$BG133)&lt;52,IF('Capacity summary'!AH133&lt;&gt;"",IF(LOWER('Capacity summary'!AH133)="x",$BI14*AH14,VALUE('Capacity summary'!AH133)),0),AH14*$BI14),AH14*$BI14),0)</f>
        <v>336.53846153846155</v>
      </c>
      <c r="CL14" s="311">
        <f ca="1">IF($BI14&lt;&gt;"",IF('Capacity summary'!$D$14="Yes",IF(COUNTBLANK('Capacity summary'!$H133:$BG133)&lt;52,IF('Capacity summary'!AI133&lt;&gt;"",IF(LOWER('Capacity summary'!AI133)="x",$BI14*AI14,VALUE('Capacity summary'!AI133)),0),AI14*$BI14),AI14*$BI14),0)</f>
        <v>336.53846153846155</v>
      </c>
      <c r="CM14" s="311">
        <f ca="1">IF($BI14&lt;&gt;"",IF('Capacity summary'!$D$14="Yes",IF(COUNTBLANK('Capacity summary'!$H133:$BG133)&lt;52,IF('Capacity summary'!AJ133&lt;&gt;"",IF(LOWER('Capacity summary'!AJ133)="x",$BI14*AJ14,VALUE('Capacity summary'!AJ133)),0),AJ14*$BI14),AJ14*$BI14),0)</f>
        <v>336.53846153846155</v>
      </c>
      <c r="CN14" s="311">
        <f ca="1">IF($BI14&lt;&gt;"",IF('Capacity summary'!$D$14="Yes",IF(COUNTBLANK('Capacity summary'!$H133:$BG133)&lt;52,IF('Capacity summary'!AK133&lt;&gt;"",IF(LOWER('Capacity summary'!AK133)="x",$BI14*AK14,VALUE('Capacity summary'!AK133)),0),AK14*$BI14),AK14*$BI14),0)</f>
        <v>336.53846153846155</v>
      </c>
      <c r="CO14" s="311">
        <f ca="1">IF($BI14&lt;&gt;"",IF('Capacity summary'!$D$14="Yes",IF(COUNTBLANK('Capacity summary'!$H133:$BG133)&lt;52,IF('Capacity summary'!AL133&lt;&gt;"",IF(LOWER('Capacity summary'!AL133)="x",$BI14*AL14,VALUE('Capacity summary'!AL133)),0),AL14*$BI14),AL14*$BI14),0)</f>
        <v>336.53846153846155</v>
      </c>
      <c r="CP14" s="311">
        <f ca="1">IF($BI14&lt;&gt;"",IF('Capacity summary'!$D$14="Yes",IF(COUNTBLANK('Capacity summary'!$H133:$BG133)&lt;52,IF('Capacity summary'!AM133&lt;&gt;"",IF(LOWER('Capacity summary'!AM133)="x",$BI14*AM14,VALUE('Capacity summary'!AM133)),0),AM14*$BI14),AM14*$BI14),0)</f>
        <v>336.53846153846155</v>
      </c>
      <c r="CQ14" s="311">
        <f ca="1">IF($BI14&lt;&gt;"",IF('Capacity summary'!$D$14="Yes",IF(COUNTBLANK('Capacity summary'!$H133:$BG133)&lt;52,IF('Capacity summary'!AN133&lt;&gt;"",IF(LOWER('Capacity summary'!AN133)="x",$BI14*AN14,VALUE('Capacity summary'!AN133)),0),AN14*$BI14),AN14*$BI14),0)</f>
        <v>336.53846153846155</v>
      </c>
      <c r="CR14" s="311">
        <f ca="1">IF($BI14&lt;&gt;"",IF('Capacity summary'!$D$14="Yes",IF(COUNTBLANK('Capacity summary'!$H133:$BG133)&lt;52,IF('Capacity summary'!AO133&lt;&gt;"",IF(LOWER('Capacity summary'!AO133)="x",$BI14*AO14,VALUE('Capacity summary'!AO133)),0),AO14*$BI14),AO14*$BI14),0)</f>
        <v>336.53846153846155</v>
      </c>
      <c r="CS14" s="311">
        <f ca="1">IF($BI14&lt;&gt;"",IF('Capacity summary'!$D$14="Yes",IF(COUNTBLANK('Capacity summary'!$H133:$BG133)&lt;52,IF('Capacity summary'!AP133&lt;&gt;"",IF(LOWER('Capacity summary'!AP133)="x",$BI14*AP14,VALUE('Capacity summary'!AP133)),0),AP14*$BI14),AP14*$BI14),0)</f>
        <v>336.53846153846155</v>
      </c>
      <c r="CT14" s="311">
        <f ca="1">IF($BI14&lt;&gt;"",IF('Capacity summary'!$D$14="Yes",IF(COUNTBLANK('Capacity summary'!$H133:$BG133)&lt;52,IF('Capacity summary'!AQ133&lt;&gt;"",IF(LOWER('Capacity summary'!AQ133)="x",$BI14*AQ14,VALUE('Capacity summary'!AQ133)),0),AQ14*$BI14),AQ14*$BI14),0)</f>
        <v>336.53846153846155</v>
      </c>
      <c r="CU14" s="311">
        <f ca="1">IF($BI14&lt;&gt;"",IF('Capacity summary'!$D$14="Yes",IF(COUNTBLANK('Capacity summary'!$H133:$BG133)&lt;52,IF('Capacity summary'!AR133&lt;&gt;"",IF(LOWER('Capacity summary'!AR133)="x",$BI14*AR14,VALUE('Capacity summary'!AR133)),0),AR14*$BI14),AR14*$BI14),0)</f>
        <v>336.53846153846155</v>
      </c>
      <c r="CV14" s="311">
        <f ca="1">IF($BI14&lt;&gt;"",IF('Capacity summary'!$D$14="Yes",IF(COUNTBLANK('Capacity summary'!$H133:$BG133)&lt;52,IF('Capacity summary'!AS133&lt;&gt;"",IF(LOWER('Capacity summary'!AS133)="x",$BI14*AS14,VALUE('Capacity summary'!AS133)),0),AS14*$BI14),AS14*$BI14),0)</f>
        <v>336.53846153846155</v>
      </c>
      <c r="CW14" s="311">
        <f ca="1">IF($BI14&lt;&gt;"",IF('Capacity summary'!$D$14="Yes",IF(COUNTBLANK('Capacity summary'!$H133:$BG133)&lt;52,IF('Capacity summary'!AT133&lt;&gt;"",IF(LOWER('Capacity summary'!AT133)="x",$BI14*AT14,VALUE('Capacity summary'!AT133)),0),AT14*$BI14),AT14*$BI14),0)</f>
        <v>336.53846153846155</v>
      </c>
      <c r="CX14" s="311">
        <f ca="1">IF($BI14&lt;&gt;"",IF('Capacity summary'!$D$14="Yes",IF(COUNTBLANK('Capacity summary'!$H133:$BG133)&lt;52,IF('Capacity summary'!AU133&lt;&gt;"",IF(LOWER('Capacity summary'!AU133)="x",$BI14*AU14,VALUE('Capacity summary'!AU133)),0),AU14*$BI14),AU14*$BI14),0)</f>
        <v>336.53846153846155</v>
      </c>
      <c r="CY14" s="311">
        <f ca="1">IF($BI14&lt;&gt;"",IF('Capacity summary'!$D$14="Yes",IF(COUNTBLANK('Capacity summary'!$H133:$BG133)&lt;52,IF('Capacity summary'!AV133&lt;&gt;"",IF(LOWER('Capacity summary'!AV133)="x",$BI14*AV14,VALUE('Capacity summary'!AV133)),0),AV14*$BI14),AV14*$BI14),0)</f>
        <v>336.53846153846155</v>
      </c>
      <c r="CZ14" s="311">
        <f ca="1">IF($BI14&lt;&gt;"",IF('Capacity summary'!$D$14="Yes",IF(COUNTBLANK('Capacity summary'!$H133:$BG133)&lt;52,IF('Capacity summary'!AW133&lt;&gt;"",IF(LOWER('Capacity summary'!AW133)="x",$BI14*AW14,VALUE('Capacity summary'!AW133)),0),AW14*$BI14),AW14*$BI14),0)</f>
        <v>336.53846153846155</v>
      </c>
      <c r="DA14" s="311">
        <f ca="1">IF($BI14&lt;&gt;"",IF('Capacity summary'!$D$14="Yes",IF(COUNTBLANK('Capacity summary'!$H133:$BG133)&lt;52,IF('Capacity summary'!AX133&lt;&gt;"",IF(LOWER('Capacity summary'!AX133)="x",$BI14*AX14,VALUE('Capacity summary'!AX133)),0),AX14*$BI14),AX14*$BI14),0)</f>
        <v>336.53846153846155</v>
      </c>
      <c r="DB14" s="311">
        <f ca="1">IF($BI14&lt;&gt;"",IF('Capacity summary'!$D$14="Yes",IF(COUNTBLANK('Capacity summary'!$H133:$BG133)&lt;52,IF('Capacity summary'!AY133&lt;&gt;"",IF(LOWER('Capacity summary'!AY133)="x",$BI14*AY14,VALUE('Capacity summary'!AY133)),0),AY14*$BI14),AY14*$BI14),0)</f>
        <v>336.53846153846155</v>
      </c>
      <c r="DC14" s="311">
        <f ca="1">IF($BI14&lt;&gt;"",IF('Capacity summary'!$D$14="Yes",IF(COUNTBLANK('Capacity summary'!$H133:$BG133)&lt;52,IF('Capacity summary'!AZ133&lt;&gt;"",IF(LOWER('Capacity summary'!AZ133)="x",$BI14*AZ14,VALUE('Capacity summary'!AZ133)),0),AZ14*$BI14),AZ14*$BI14),0)</f>
        <v>336.53846153846155</v>
      </c>
      <c r="DD14" s="311">
        <f ca="1">IF($BI14&lt;&gt;"",IF('Capacity summary'!$D$14="Yes",IF(COUNTBLANK('Capacity summary'!$H133:$BG133)&lt;52,IF('Capacity summary'!BA133&lt;&gt;"",IF(LOWER('Capacity summary'!BA133)="x",$BI14*BA14,VALUE('Capacity summary'!BA133)),0),BA14*$BI14),BA14*$BI14),0)</f>
        <v>336.53846153846155</v>
      </c>
      <c r="DE14" s="311">
        <f ca="1">IF($BI14&lt;&gt;"",IF('Capacity summary'!$D$14="Yes",IF(COUNTBLANK('Capacity summary'!$H133:$BG133)&lt;52,IF('Capacity summary'!BB133&lt;&gt;"",IF(LOWER('Capacity summary'!BB133)="x",$BI14*BB14,VALUE('Capacity summary'!BB133)),0),BB14*$BI14),BB14*$BI14),0)</f>
        <v>336.53846153846155</v>
      </c>
      <c r="DF14" s="311">
        <f ca="1">IF($BI14&lt;&gt;"",IF('Capacity summary'!$D$14="Yes",IF(COUNTBLANK('Capacity summary'!$H133:$BG133)&lt;52,IF('Capacity summary'!BC133&lt;&gt;"",IF(LOWER('Capacity summary'!BC133)="x",$BI14*BC14,VALUE('Capacity summary'!BC133)),0),BC14*$BI14),BC14*$BI14),0)</f>
        <v>336.53846153846155</v>
      </c>
      <c r="DG14" s="311">
        <f ca="1">IF($BI14&lt;&gt;"",IF('Capacity summary'!$D$14="Yes",IF(COUNTBLANK('Capacity summary'!$H133:$BG133)&lt;52,IF('Capacity summary'!BD133&lt;&gt;"",IF(LOWER('Capacity summary'!BD133)="x",$BI14*BD14,VALUE('Capacity summary'!BD133)),0),BD14*$BI14),BD14*$BI14),0)</f>
        <v>336.53846153846155</v>
      </c>
      <c r="DH14" s="311">
        <f ca="1">IF($BI14&lt;&gt;"",IF('Capacity summary'!$D$14="Yes",IF(COUNTBLANK('Capacity summary'!$H133:$BG133)&lt;52,IF('Capacity summary'!BE133&lt;&gt;"",IF(LOWER('Capacity summary'!BE133)="x",$BI14*BE14,VALUE('Capacity summary'!BE133)),0),BE14*$BI14),BE14*$BI14),0)</f>
        <v>336.53846153846155</v>
      </c>
      <c r="DI14" s="311">
        <f ca="1">IF($BI14&lt;&gt;"",IF('Capacity summary'!$D$14="Yes",IF(COUNTBLANK('Capacity summary'!$H133:$BG133)&lt;52,IF('Capacity summary'!BF133&lt;&gt;"",IF(LOWER('Capacity summary'!BF133)="x",$BI14*BF14,VALUE('Capacity summary'!BF133)),0),BF14*$BI14),BF14*$BI14),0)</f>
        <v>336.53846153846155</v>
      </c>
      <c r="DJ14" s="311">
        <f ca="1">IF($BI14&lt;&gt;"",IF('Capacity summary'!$D$14="Yes",IF(COUNTBLANK('Capacity summary'!$H133:$BG133)&lt;52,IF('Capacity summary'!BG133&lt;&gt;"",IF(LOWER('Capacity summary'!BG133)="x",$BI14*BG14,VALUE('Capacity summary'!BG133)),0),BG14*$BI14),BG14*$BI14),0)</f>
        <v>336.53846153846155</v>
      </c>
      <c r="DK14" s="388">
        <f t="shared" ca="1" si="2"/>
        <v>336.53846153846155</v>
      </c>
      <c r="DL14" s="136">
        <f t="shared" ca="1" si="3"/>
        <v>17499.999999999989</v>
      </c>
      <c r="DM14" s="311">
        <f>Capacity!H26</f>
        <v>17500</v>
      </c>
      <c r="DQ14" s="5"/>
    </row>
    <row r="15" spans="1:121" x14ac:dyDescent="0.2">
      <c r="A15" s="67">
        <f>IF(Capacity!L27='Capacity summary'!BI134,1,0)</f>
        <v>1</v>
      </c>
      <c r="B15" s="67">
        <f>IF(Capacity!V27='Capacity summary'!BI34,1,0)</f>
        <v>1</v>
      </c>
      <c r="C15" s="67" t="str">
        <f>ROW(A11)&amp;". "&amp;Capacity!B27</f>
        <v>11. Slot A</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 ca="1">IF(ROW(C11)&lt;=Capacity!$A$16,IF('Capacity summary'!$D$14="No",SUM(H15:BG15),'Capacity summary'!$E134),0)</f>
        <v>52</v>
      </c>
      <c r="BI15" s="5">
        <f ca="1">IF(BH15&gt;0,IF(BH15&lt;Capacity!E27,Capacity!F27,Capacity!H27/'Capacity calculation (hide)'!BH15),"")</f>
        <v>28.846153846153847</v>
      </c>
      <c r="BK15" s="311">
        <f ca="1">IF($BI15&lt;&gt;"",IF('Capacity summary'!$D$14="Yes",IF(COUNTBLANK('Capacity summary'!$H134:$BG134)&lt;52,IF('Capacity summary'!H134&lt;&gt;"",IF(LOWER('Capacity summary'!H134)="x",$BI15*H15,VALUE('Capacity summary'!H134)),0),H15*$BI15),H15*$BI15),0)</f>
        <v>28.846153846153847</v>
      </c>
      <c r="BL15" s="311">
        <f ca="1">IF($BI15&lt;&gt;"",IF('Capacity summary'!$D$14="Yes",IF(COUNTBLANK('Capacity summary'!$H134:$BG134)&lt;52,IF('Capacity summary'!I134&lt;&gt;"",IF(LOWER('Capacity summary'!I134)="x",$BI15*I15,VALUE('Capacity summary'!I134)),0),I15*$BI15),I15*$BI15),0)</f>
        <v>28.846153846153847</v>
      </c>
      <c r="BM15" s="311">
        <f ca="1">IF($BI15&lt;&gt;"",IF('Capacity summary'!$D$14="Yes",IF(COUNTBLANK('Capacity summary'!$H134:$BG134)&lt;52,IF('Capacity summary'!J134&lt;&gt;"",IF(LOWER('Capacity summary'!J134)="x",$BI15*J15,VALUE('Capacity summary'!J134)),0),J15*$BI15),J15*$BI15),0)</f>
        <v>28.846153846153847</v>
      </c>
      <c r="BN15" s="311">
        <f ca="1">IF($BI15&lt;&gt;"",IF('Capacity summary'!$D$14="Yes",IF(COUNTBLANK('Capacity summary'!$H134:$BG134)&lt;52,IF('Capacity summary'!K134&lt;&gt;"",IF(LOWER('Capacity summary'!K134)="x",$BI15*K15,VALUE('Capacity summary'!K134)),0),K15*$BI15),K15*$BI15),0)</f>
        <v>28.846153846153847</v>
      </c>
      <c r="BO15" s="311">
        <f ca="1">IF($BI15&lt;&gt;"",IF('Capacity summary'!$D$14="Yes",IF(COUNTBLANK('Capacity summary'!$H134:$BG134)&lt;52,IF('Capacity summary'!L134&lt;&gt;"",IF(LOWER('Capacity summary'!L134)="x",$BI15*L15,VALUE('Capacity summary'!L134)),0),L15*$BI15),L15*$BI15),0)</f>
        <v>28.846153846153847</v>
      </c>
      <c r="BP15" s="311">
        <f ca="1">IF($BI15&lt;&gt;"",IF('Capacity summary'!$D$14="Yes",IF(COUNTBLANK('Capacity summary'!$H134:$BG134)&lt;52,IF('Capacity summary'!M134&lt;&gt;"",IF(LOWER('Capacity summary'!M134)="x",$BI15*M15,VALUE('Capacity summary'!M134)),0),M15*$BI15),M15*$BI15),0)</f>
        <v>28.846153846153847</v>
      </c>
      <c r="BQ15" s="311">
        <f ca="1">IF($BI15&lt;&gt;"",IF('Capacity summary'!$D$14="Yes",IF(COUNTBLANK('Capacity summary'!$H134:$BG134)&lt;52,IF('Capacity summary'!N134&lt;&gt;"",IF(LOWER('Capacity summary'!N134)="x",$BI15*N15,VALUE('Capacity summary'!N134)),0),N15*$BI15),N15*$BI15),0)</f>
        <v>28.846153846153847</v>
      </c>
      <c r="BR15" s="311">
        <f ca="1">IF($BI15&lt;&gt;"",IF('Capacity summary'!$D$14="Yes",IF(COUNTBLANK('Capacity summary'!$H134:$BG134)&lt;52,IF('Capacity summary'!O134&lt;&gt;"",IF(LOWER('Capacity summary'!O134)="x",$BI15*O15,VALUE('Capacity summary'!O134)),0),O15*$BI15),O15*$BI15),0)</f>
        <v>28.846153846153847</v>
      </c>
      <c r="BS15" s="311">
        <f ca="1">IF($BI15&lt;&gt;"",IF('Capacity summary'!$D$14="Yes",IF(COUNTBLANK('Capacity summary'!$H134:$BG134)&lt;52,IF('Capacity summary'!P134&lt;&gt;"",IF(LOWER('Capacity summary'!P134)="x",$BI15*P15,VALUE('Capacity summary'!P134)),0),P15*$BI15),P15*$BI15),0)</f>
        <v>28.846153846153847</v>
      </c>
      <c r="BT15" s="311">
        <f ca="1">IF($BI15&lt;&gt;"",IF('Capacity summary'!$D$14="Yes",IF(COUNTBLANK('Capacity summary'!$H134:$BG134)&lt;52,IF('Capacity summary'!Q134&lt;&gt;"",IF(LOWER('Capacity summary'!Q134)="x",$BI15*Q15,VALUE('Capacity summary'!Q134)),0),Q15*$BI15),Q15*$BI15),0)</f>
        <v>28.846153846153847</v>
      </c>
      <c r="BU15" s="311">
        <f ca="1">IF($BI15&lt;&gt;"",IF('Capacity summary'!$D$14="Yes",IF(COUNTBLANK('Capacity summary'!$H134:$BG134)&lt;52,IF('Capacity summary'!R134&lt;&gt;"",IF(LOWER('Capacity summary'!R134)="x",$BI15*R15,VALUE('Capacity summary'!R134)),0),R15*$BI15),R15*$BI15),0)</f>
        <v>28.846153846153847</v>
      </c>
      <c r="BV15" s="311">
        <f ca="1">IF($BI15&lt;&gt;"",IF('Capacity summary'!$D$14="Yes",IF(COUNTBLANK('Capacity summary'!$H134:$BG134)&lt;52,IF('Capacity summary'!S134&lt;&gt;"",IF(LOWER('Capacity summary'!S134)="x",$BI15*S15,VALUE('Capacity summary'!S134)),0),S15*$BI15),S15*$BI15),0)</f>
        <v>28.846153846153847</v>
      </c>
      <c r="BW15" s="311">
        <f ca="1">IF($BI15&lt;&gt;"",IF('Capacity summary'!$D$14="Yes",IF(COUNTBLANK('Capacity summary'!$H134:$BG134)&lt;52,IF('Capacity summary'!T134&lt;&gt;"",IF(LOWER('Capacity summary'!T134)="x",$BI15*T15,VALUE('Capacity summary'!T134)),0),T15*$BI15),T15*$BI15),0)</f>
        <v>28.846153846153847</v>
      </c>
      <c r="BX15" s="311">
        <f ca="1">IF($BI15&lt;&gt;"",IF('Capacity summary'!$D$14="Yes",IF(COUNTBLANK('Capacity summary'!$H134:$BG134)&lt;52,IF('Capacity summary'!U134&lt;&gt;"",IF(LOWER('Capacity summary'!U134)="x",$BI15*U15,VALUE('Capacity summary'!U134)),0),U15*$BI15),U15*$BI15),0)</f>
        <v>28.846153846153847</v>
      </c>
      <c r="BY15" s="311">
        <f ca="1">IF($BI15&lt;&gt;"",IF('Capacity summary'!$D$14="Yes",IF(COUNTBLANK('Capacity summary'!$H134:$BG134)&lt;52,IF('Capacity summary'!V134&lt;&gt;"",IF(LOWER('Capacity summary'!V134)="x",$BI15*V15,VALUE('Capacity summary'!V134)),0),V15*$BI15),V15*$BI15),0)</f>
        <v>28.846153846153847</v>
      </c>
      <c r="BZ15" s="311">
        <f ca="1">IF($BI15&lt;&gt;"",IF('Capacity summary'!$D$14="Yes",IF(COUNTBLANK('Capacity summary'!$H134:$BG134)&lt;52,IF('Capacity summary'!W134&lt;&gt;"",IF(LOWER('Capacity summary'!W134)="x",$BI15*W15,VALUE('Capacity summary'!W134)),0),W15*$BI15),W15*$BI15),0)</f>
        <v>28.846153846153847</v>
      </c>
      <c r="CA15" s="311">
        <f ca="1">IF($BI15&lt;&gt;"",IF('Capacity summary'!$D$14="Yes",IF(COUNTBLANK('Capacity summary'!$H134:$BG134)&lt;52,IF('Capacity summary'!X134&lt;&gt;"",IF(LOWER('Capacity summary'!X134)="x",$BI15*X15,VALUE('Capacity summary'!X134)),0),X15*$BI15),X15*$BI15),0)</f>
        <v>28.846153846153847</v>
      </c>
      <c r="CB15" s="311">
        <f ca="1">IF($BI15&lt;&gt;"",IF('Capacity summary'!$D$14="Yes",IF(COUNTBLANK('Capacity summary'!$H134:$BG134)&lt;52,IF('Capacity summary'!Y134&lt;&gt;"",IF(LOWER('Capacity summary'!Y134)="x",$BI15*Y15,VALUE('Capacity summary'!Y134)),0),Y15*$BI15),Y15*$BI15),0)</f>
        <v>28.846153846153847</v>
      </c>
      <c r="CC15" s="311">
        <f ca="1">IF($BI15&lt;&gt;"",IF('Capacity summary'!$D$14="Yes",IF(COUNTBLANK('Capacity summary'!$H134:$BG134)&lt;52,IF('Capacity summary'!Z134&lt;&gt;"",IF(LOWER('Capacity summary'!Z134)="x",$BI15*Z15,VALUE('Capacity summary'!Z134)),0),Z15*$BI15),Z15*$BI15),0)</f>
        <v>28.846153846153847</v>
      </c>
      <c r="CD15" s="311">
        <f ca="1">IF($BI15&lt;&gt;"",IF('Capacity summary'!$D$14="Yes",IF(COUNTBLANK('Capacity summary'!$H134:$BG134)&lt;52,IF('Capacity summary'!AA134&lt;&gt;"",IF(LOWER('Capacity summary'!AA134)="x",$BI15*AA15,VALUE('Capacity summary'!AA134)),0),AA15*$BI15),AA15*$BI15),0)</f>
        <v>28.846153846153847</v>
      </c>
      <c r="CE15" s="311">
        <f ca="1">IF($BI15&lt;&gt;"",IF('Capacity summary'!$D$14="Yes",IF(COUNTBLANK('Capacity summary'!$H134:$BG134)&lt;52,IF('Capacity summary'!AB134&lt;&gt;"",IF(LOWER('Capacity summary'!AB134)="x",$BI15*AB15,VALUE('Capacity summary'!AB134)),0),AB15*$BI15),AB15*$BI15),0)</f>
        <v>28.846153846153847</v>
      </c>
      <c r="CF15" s="311">
        <f ca="1">IF($BI15&lt;&gt;"",IF('Capacity summary'!$D$14="Yes",IF(COUNTBLANK('Capacity summary'!$H134:$BG134)&lt;52,IF('Capacity summary'!AC134&lt;&gt;"",IF(LOWER('Capacity summary'!AC134)="x",$BI15*AC15,VALUE('Capacity summary'!AC134)),0),AC15*$BI15),AC15*$BI15),0)</f>
        <v>28.846153846153847</v>
      </c>
      <c r="CG15" s="311">
        <f ca="1">IF($BI15&lt;&gt;"",IF('Capacity summary'!$D$14="Yes",IF(COUNTBLANK('Capacity summary'!$H134:$BG134)&lt;52,IF('Capacity summary'!AD134&lt;&gt;"",IF(LOWER('Capacity summary'!AD134)="x",$BI15*AD15,VALUE('Capacity summary'!AD134)),0),AD15*$BI15),AD15*$BI15),0)</f>
        <v>28.846153846153847</v>
      </c>
      <c r="CH15" s="311">
        <f ca="1">IF($BI15&lt;&gt;"",IF('Capacity summary'!$D$14="Yes",IF(COUNTBLANK('Capacity summary'!$H134:$BG134)&lt;52,IF('Capacity summary'!AE134&lt;&gt;"",IF(LOWER('Capacity summary'!AE134)="x",$BI15*AE15,VALUE('Capacity summary'!AE134)),0),AE15*$BI15),AE15*$BI15),0)</f>
        <v>28.846153846153847</v>
      </c>
      <c r="CI15" s="311">
        <f ca="1">IF($BI15&lt;&gt;"",IF('Capacity summary'!$D$14="Yes",IF(COUNTBLANK('Capacity summary'!$H134:$BG134)&lt;52,IF('Capacity summary'!AF134&lt;&gt;"",IF(LOWER('Capacity summary'!AF134)="x",$BI15*AF15,VALUE('Capacity summary'!AF134)),0),AF15*$BI15),AF15*$BI15),0)</f>
        <v>28.846153846153847</v>
      </c>
      <c r="CJ15" s="311">
        <f ca="1">IF($BI15&lt;&gt;"",IF('Capacity summary'!$D$14="Yes",IF(COUNTBLANK('Capacity summary'!$H134:$BG134)&lt;52,IF('Capacity summary'!AG134&lt;&gt;"",IF(LOWER('Capacity summary'!AG134)="x",$BI15*AG15,VALUE('Capacity summary'!AG134)),0),AG15*$BI15),AG15*$BI15),0)</f>
        <v>28.846153846153847</v>
      </c>
      <c r="CK15" s="311">
        <f ca="1">IF($BI15&lt;&gt;"",IF('Capacity summary'!$D$14="Yes",IF(COUNTBLANK('Capacity summary'!$H134:$BG134)&lt;52,IF('Capacity summary'!AH134&lt;&gt;"",IF(LOWER('Capacity summary'!AH134)="x",$BI15*AH15,VALUE('Capacity summary'!AH134)),0),AH15*$BI15),AH15*$BI15),0)</f>
        <v>28.846153846153847</v>
      </c>
      <c r="CL15" s="311">
        <f ca="1">IF($BI15&lt;&gt;"",IF('Capacity summary'!$D$14="Yes",IF(COUNTBLANK('Capacity summary'!$H134:$BG134)&lt;52,IF('Capacity summary'!AI134&lt;&gt;"",IF(LOWER('Capacity summary'!AI134)="x",$BI15*AI15,VALUE('Capacity summary'!AI134)),0),AI15*$BI15),AI15*$BI15),0)</f>
        <v>28.846153846153847</v>
      </c>
      <c r="CM15" s="311">
        <f ca="1">IF($BI15&lt;&gt;"",IF('Capacity summary'!$D$14="Yes",IF(COUNTBLANK('Capacity summary'!$H134:$BG134)&lt;52,IF('Capacity summary'!AJ134&lt;&gt;"",IF(LOWER('Capacity summary'!AJ134)="x",$BI15*AJ15,VALUE('Capacity summary'!AJ134)),0),AJ15*$BI15),AJ15*$BI15),0)</f>
        <v>28.846153846153847</v>
      </c>
      <c r="CN15" s="311">
        <f ca="1">IF($BI15&lt;&gt;"",IF('Capacity summary'!$D$14="Yes",IF(COUNTBLANK('Capacity summary'!$H134:$BG134)&lt;52,IF('Capacity summary'!AK134&lt;&gt;"",IF(LOWER('Capacity summary'!AK134)="x",$BI15*AK15,VALUE('Capacity summary'!AK134)),0),AK15*$BI15),AK15*$BI15),0)</f>
        <v>28.846153846153847</v>
      </c>
      <c r="CO15" s="311">
        <f ca="1">IF($BI15&lt;&gt;"",IF('Capacity summary'!$D$14="Yes",IF(COUNTBLANK('Capacity summary'!$H134:$BG134)&lt;52,IF('Capacity summary'!AL134&lt;&gt;"",IF(LOWER('Capacity summary'!AL134)="x",$BI15*AL15,VALUE('Capacity summary'!AL134)),0),AL15*$BI15),AL15*$BI15),0)</f>
        <v>28.846153846153847</v>
      </c>
      <c r="CP15" s="311">
        <f ca="1">IF($BI15&lt;&gt;"",IF('Capacity summary'!$D$14="Yes",IF(COUNTBLANK('Capacity summary'!$H134:$BG134)&lt;52,IF('Capacity summary'!AM134&lt;&gt;"",IF(LOWER('Capacity summary'!AM134)="x",$BI15*AM15,VALUE('Capacity summary'!AM134)),0),AM15*$BI15),AM15*$BI15),0)</f>
        <v>28.846153846153847</v>
      </c>
      <c r="CQ15" s="311">
        <f ca="1">IF($BI15&lt;&gt;"",IF('Capacity summary'!$D$14="Yes",IF(COUNTBLANK('Capacity summary'!$H134:$BG134)&lt;52,IF('Capacity summary'!AN134&lt;&gt;"",IF(LOWER('Capacity summary'!AN134)="x",$BI15*AN15,VALUE('Capacity summary'!AN134)),0),AN15*$BI15),AN15*$BI15),0)</f>
        <v>28.846153846153847</v>
      </c>
      <c r="CR15" s="311">
        <f ca="1">IF($BI15&lt;&gt;"",IF('Capacity summary'!$D$14="Yes",IF(COUNTBLANK('Capacity summary'!$H134:$BG134)&lt;52,IF('Capacity summary'!AO134&lt;&gt;"",IF(LOWER('Capacity summary'!AO134)="x",$BI15*AO15,VALUE('Capacity summary'!AO134)),0),AO15*$BI15),AO15*$BI15),0)</f>
        <v>28.846153846153847</v>
      </c>
      <c r="CS15" s="311">
        <f ca="1">IF($BI15&lt;&gt;"",IF('Capacity summary'!$D$14="Yes",IF(COUNTBLANK('Capacity summary'!$H134:$BG134)&lt;52,IF('Capacity summary'!AP134&lt;&gt;"",IF(LOWER('Capacity summary'!AP134)="x",$BI15*AP15,VALUE('Capacity summary'!AP134)),0),AP15*$BI15),AP15*$BI15),0)</f>
        <v>28.846153846153847</v>
      </c>
      <c r="CT15" s="311">
        <f ca="1">IF($BI15&lt;&gt;"",IF('Capacity summary'!$D$14="Yes",IF(COUNTBLANK('Capacity summary'!$H134:$BG134)&lt;52,IF('Capacity summary'!AQ134&lt;&gt;"",IF(LOWER('Capacity summary'!AQ134)="x",$BI15*AQ15,VALUE('Capacity summary'!AQ134)),0),AQ15*$BI15),AQ15*$BI15),0)</f>
        <v>28.846153846153847</v>
      </c>
      <c r="CU15" s="311">
        <f ca="1">IF($BI15&lt;&gt;"",IF('Capacity summary'!$D$14="Yes",IF(COUNTBLANK('Capacity summary'!$H134:$BG134)&lt;52,IF('Capacity summary'!AR134&lt;&gt;"",IF(LOWER('Capacity summary'!AR134)="x",$BI15*AR15,VALUE('Capacity summary'!AR134)),0),AR15*$BI15),AR15*$BI15),0)</f>
        <v>28.846153846153847</v>
      </c>
      <c r="CV15" s="311">
        <f ca="1">IF($BI15&lt;&gt;"",IF('Capacity summary'!$D$14="Yes",IF(COUNTBLANK('Capacity summary'!$H134:$BG134)&lt;52,IF('Capacity summary'!AS134&lt;&gt;"",IF(LOWER('Capacity summary'!AS134)="x",$BI15*AS15,VALUE('Capacity summary'!AS134)),0),AS15*$BI15),AS15*$BI15),0)</f>
        <v>28.846153846153847</v>
      </c>
      <c r="CW15" s="311">
        <f ca="1">IF($BI15&lt;&gt;"",IF('Capacity summary'!$D$14="Yes",IF(COUNTBLANK('Capacity summary'!$H134:$BG134)&lt;52,IF('Capacity summary'!AT134&lt;&gt;"",IF(LOWER('Capacity summary'!AT134)="x",$BI15*AT15,VALUE('Capacity summary'!AT134)),0),AT15*$BI15),AT15*$BI15),0)</f>
        <v>28.846153846153847</v>
      </c>
      <c r="CX15" s="311">
        <f ca="1">IF($BI15&lt;&gt;"",IF('Capacity summary'!$D$14="Yes",IF(COUNTBLANK('Capacity summary'!$H134:$BG134)&lt;52,IF('Capacity summary'!AU134&lt;&gt;"",IF(LOWER('Capacity summary'!AU134)="x",$BI15*AU15,VALUE('Capacity summary'!AU134)),0),AU15*$BI15),AU15*$BI15),0)</f>
        <v>28.846153846153847</v>
      </c>
      <c r="CY15" s="311">
        <f ca="1">IF($BI15&lt;&gt;"",IF('Capacity summary'!$D$14="Yes",IF(COUNTBLANK('Capacity summary'!$H134:$BG134)&lt;52,IF('Capacity summary'!AV134&lt;&gt;"",IF(LOWER('Capacity summary'!AV134)="x",$BI15*AV15,VALUE('Capacity summary'!AV134)),0),AV15*$BI15),AV15*$BI15),0)</f>
        <v>28.846153846153847</v>
      </c>
      <c r="CZ15" s="311">
        <f ca="1">IF($BI15&lt;&gt;"",IF('Capacity summary'!$D$14="Yes",IF(COUNTBLANK('Capacity summary'!$H134:$BG134)&lt;52,IF('Capacity summary'!AW134&lt;&gt;"",IF(LOWER('Capacity summary'!AW134)="x",$BI15*AW15,VALUE('Capacity summary'!AW134)),0),AW15*$BI15),AW15*$BI15),0)</f>
        <v>28.846153846153847</v>
      </c>
      <c r="DA15" s="311">
        <f ca="1">IF($BI15&lt;&gt;"",IF('Capacity summary'!$D$14="Yes",IF(COUNTBLANK('Capacity summary'!$H134:$BG134)&lt;52,IF('Capacity summary'!AX134&lt;&gt;"",IF(LOWER('Capacity summary'!AX134)="x",$BI15*AX15,VALUE('Capacity summary'!AX134)),0),AX15*$BI15),AX15*$BI15),0)</f>
        <v>28.846153846153847</v>
      </c>
      <c r="DB15" s="311">
        <f ca="1">IF($BI15&lt;&gt;"",IF('Capacity summary'!$D$14="Yes",IF(COUNTBLANK('Capacity summary'!$H134:$BG134)&lt;52,IF('Capacity summary'!AY134&lt;&gt;"",IF(LOWER('Capacity summary'!AY134)="x",$BI15*AY15,VALUE('Capacity summary'!AY134)),0),AY15*$BI15),AY15*$BI15),0)</f>
        <v>28.846153846153847</v>
      </c>
      <c r="DC15" s="311">
        <f ca="1">IF($BI15&lt;&gt;"",IF('Capacity summary'!$D$14="Yes",IF(COUNTBLANK('Capacity summary'!$H134:$BG134)&lt;52,IF('Capacity summary'!AZ134&lt;&gt;"",IF(LOWER('Capacity summary'!AZ134)="x",$BI15*AZ15,VALUE('Capacity summary'!AZ134)),0),AZ15*$BI15),AZ15*$BI15),0)</f>
        <v>28.846153846153847</v>
      </c>
      <c r="DD15" s="311">
        <f ca="1">IF($BI15&lt;&gt;"",IF('Capacity summary'!$D$14="Yes",IF(COUNTBLANK('Capacity summary'!$H134:$BG134)&lt;52,IF('Capacity summary'!BA134&lt;&gt;"",IF(LOWER('Capacity summary'!BA134)="x",$BI15*BA15,VALUE('Capacity summary'!BA134)),0),BA15*$BI15),BA15*$BI15),0)</f>
        <v>28.846153846153847</v>
      </c>
      <c r="DE15" s="311">
        <f ca="1">IF($BI15&lt;&gt;"",IF('Capacity summary'!$D$14="Yes",IF(COUNTBLANK('Capacity summary'!$H134:$BG134)&lt;52,IF('Capacity summary'!BB134&lt;&gt;"",IF(LOWER('Capacity summary'!BB134)="x",$BI15*BB15,VALUE('Capacity summary'!BB134)),0),BB15*$BI15),BB15*$BI15),0)</f>
        <v>28.846153846153847</v>
      </c>
      <c r="DF15" s="311">
        <f ca="1">IF($BI15&lt;&gt;"",IF('Capacity summary'!$D$14="Yes",IF(COUNTBLANK('Capacity summary'!$H134:$BG134)&lt;52,IF('Capacity summary'!BC134&lt;&gt;"",IF(LOWER('Capacity summary'!BC134)="x",$BI15*BC15,VALUE('Capacity summary'!BC134)),0),BC15*$BI15),BC15*$BI15),0)</f>
        <v>28.846153846153847</v>
      </c>
      <c r="DG15" s="311">
        <f ca="1">IF($BI15&lt;&gt;"",IF('Capacity summary'!$D$14="Yes",IF(COUNTBLANK('Capacity summary'!$H134:$BG134)&lt;52,IF('Capacity summary'!BD134&lt;&gt;"",IF(LOWER('Capacity summary'!BD134)="x",$BI15*BD15,VALUE('Capacity summary'!BD134)),0),BD15*$BI15),BD15*$BI15),0)</f>
        <v>28.846153846153847</v>
      </c>
      <c r="DH15" s="311">
        <f ca="1">IF($BI15&lt;&gt;"",IF('Capacity summary'!$D$14="Yes",IF(COUNTBLANK('Capacity summary'!$H134:$BG134)&lt;52,IF('Capacity summary'!BE134&lt;&gt;"",IF(LOWER('Capacity summary'!BE134)="x",$BI15*BE15,VALUE('Capacity summary'!BE134)),0),BE15*$BI15),BE15*$BI15),0)</f>
        <v>28.846153846153847</v>
      </c>
      <c r="DI15" s="311">
        <f ca="1">IF($BI15&lt;&gt;"",IF('Capacity summary'!$D$14="Yes",IF(COUNTBLANK('Capacity summary'!$H134:$BG134)&lt;52,IF('Capacity summary'!BF134&lt;&gt;"",IF(LOWER('Capacity summary'!BF134)="x",$BI15*BF15,VALUE('Capacity summary'!BF134)),0),BF15*$BI15),BF15*$BI15),0)</f>
        <v>28.846153846153847</v>
      </c>
      <c r="DJ15" s="311">
        <f ca="1">IF($BI15&lt;&gt;"",IF('Capacity summary'!$D$14="Yes",IF(COUNTBLANK('Capacity summary'!$H134:$BG134)&lt;52,IF('Capacity summary'!BG134&lt;&gt;"",IF(LOWER('Capacity summary'!BG134)="x",$BI15*BG15,VALUE('Capacity summary'!BG134)),0),BG15*$BI15),BG15*$BI15),0)</f>
        <v>28.846153846153847</v>
      </c>
      <c r="DK15" s="388">
        <f t="shared" ca="1" si="2"/>
        <v>28.846153846153847</v>
      </c>
      <c r="DL15" s="136">
        <f t="shared" ca="1" si="3"/>
        <v>1499.9999999999991</v>
      </c>
      <c r="DM15" s="311">
        <f>Capacity!H27</f>
        <v>1500</v>
      </c>
      <c r="DQ15" s="5"/>
    </row>
    <row r="16" spans="1:121" x14ac:dyDescent="0.2">
      <c r="A16" s="67">
        <f>IF(Capacity!L28='Capacity summary'!BI135,1,0)</f>
        <v>1</v>
      </c>
      <c r="B16" s="67">
        <f>IF(Capacity!V28='Capacity summary'!BI35,1,0)</f>
        <v>1</v>
      </c>
      <c r="C16" s="67" t="str">
        <f>ROW(A12)&amp;". "&amp;Capacity!B28</f>
        <v>12. 2 ww</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 ca="1">IF(ROW(C12)&lt;=Capacity!$A$16,IF('Capacity summary'!$D$14="No",SUM(H16:BG16),'Capacity summary'!$E135),0)</f>
        <v>52</v>
      </c>
      <c r="BI16" s="5">
        <f ca="1">IF(BH16&gt;0,IF(BH16&lt;Capacity!E28,Capacity!F28,Capacity!H28/'Capacity calculation (hide)'!BH16),"")</f>
        <v>86.538461538461533</v>
      </c>
      <c r="BK16" s="311">
        <f ca="1">IF($BI16&lt;&gt;"",IF('Capacity summary'!$D$14="Yes",IF(COUNTBLANK('Capacity summary'!$H135:$BG135)&lt;52,IF('Capacity summary'!H135&lt;&gt;"",IF(LOWER('Capacity summary'!H135)="x",$BI16*H16,VALUE('Capacity summary'!H135)),0),H16*$BI16),H16*$BI16),0)</f>
        <v>86.538461538461533</v>
      </c>
      <c r="BL16" s="311">
        <f ca="1">IF($BI16&lt;&gt;"",IF('Capacity summary'!$D$14="Yes",IF(COUNTBLANK('Capacity summary'!$H135:$BG135)&lt;52,IF('Capacity summary'!I135&lt;&gt;"",IF(LOWER('Capacity summary'!I135)="x",$BI16*I16,VALUE('Capacity summary'!I135)),0),I16*$BI16),I16*$BI16),0)</f>
        <v>86.538461538461533</v>
      </c>
      <c r="BM16" s="311">
        <f ca="1">IF($BI16&lt;&gt;"",IF('Capacity summary'!$D$14="Yes",IF(COUNTBLANK('Capacity summary'!$H135:$BG135)&lt;52,IF('Capacity summary'!J135&lt;&gt;"",IF(LOWER('Capacity summary'!J135)="x",$BI16*J16,VALUE('Capacity summary'!J135)),0),J16*$BI16),J16*$BI16),0)</f>
        <v>86.538461538461533</v>
      </c>
      <c r="BN16" s="311">
        <f ca="1">IF($BI16&lt;&gt;"",IF('Capacity summary'!$D$14="Yes",IF(COUNTBLANK('Capacity summary'!$H135:$BG135)&lt;52,IF('Capacity summary'!K135&lt;&gt;"",IF(LOWER('Capacity summary'!K135)="x",$BI16*K16,VALUE('Capacity summary'!K135)),0),K16*$BI16),K16*$BI16),0)</f>
        <v>86.538461538461533</v>
      </c>
      <c r="BO16" s="311">
        <f ca="1">IF($BI16&lt;&gt;"",IF('Capacity summary'!$D$14="Yes",IF(COUNTBLANK('Capacity summary'!$H135:$BG135)&lt;52,IF('Capacity summary'!L135&lt;&gt;"",IF(LOWER('Capacity summary'!L135)="x",$BI16*L16,VALUE('Capacity summary'!L135)),0),L16*$BI16),L16*$BI16),0)</f>
        <v>86.538461538461533</v>
      </c>
      <c r="BP16" s="311">
        <f ca="1">IF($BI16&lt;&gt;"",IF('Capacity summary'!$D$14="Yes",IF(COUNTBLANK('Capacity summary'!$H135:$BG135)&lt;52,IF('Capacity summary'!M135&lt;&gt;"",IF(LOWER('Capacity summary'!M135)="x",$BI16*M16,VALUE('Capacity summary'!M135)),0),M16*$BI16),M16*$BI16),0)</f>
        <v>86.538461538461533</v>
      </c>
      <c r="BQ16" s="311">
        <f ca="1">IF($BI16&lt;&gt;"",IF('Capacity summary'!$D$14="Yes",IF(COUNTBLANK('Capacity summary'!$H135:$BG135)&lt;52,IF('Capacity summary'!N135&lt;&gt;"",IF(LOWER('Capacity summary'!N135)="x",$BI16*N16,VALUE('Capacity summary'!N135)),0),N16*$BI16),N16*$BI16),0)</f>
        <v>86.538461538461533</v>
      </c>
      <c r="BR16" s="311">
        <f ca="1">IF($BI16&lt;&gt;"",IF('Capacity summary'!$D$14="Yes",IF(COUNTBLANK('Capacity summary'!$H135:$BG135)&lt;52,IF('Capacity summary'!O135&lt;&gt;"",IF(LOWER('Capacity summary'!O135)="x",$BI16*O16,VALUE('Capacity summary'!O135)),0),O16*$BI16),O16*$BI16),0)</f>
        <v>86.538461538461533</v>
      </c>
      <c r="BS16" s="311">
        <f ca="1">IF($BI16&lt;&gt;"",IF('Capacity summary'!$D$14="Yes",IF(COUNTBLANK('Capacity summary'!$H135:$BG135)&lt;52,IF('Capacity summary'!P135&lt;&gt;"",IF(LOWER('Capacity summary'!P135)="x",$BI16*P16,VALUE('Capacity summary'!P135)),0),P16*$BI16),P16*$BI16),0)</f>
        <v>86.538461538461533</v>
      </c>
      <c r="BT16" s="311">
        <f ca="1">IF($BI16&lt;&gt;"",IF('Capacity summary'!$D$14="Yes",IF(COUNTBLANK('Capacity summary'!$H135:$BG135)&lt;52,IF('Capacity summary'!Q135&lt;&gt;"",IF(LOWER('Capacity summary'!Q135)="x",$BI16*Q16,VALUE('Capacity summary'!Q135)),0),Q16*$BI16),Q16*$BI16),0)</f>
        <v>86.538461538461533</v>
      </c>
      <c r="BU16" s="311">
        <f ca="1">IF($BI16&lt;&gt;"",IF('Capacity summary'!$D$14="Yes",IF(COUNTBLANK('Capacity summary'!$H135:$BG135)&lt;52,IF('Capacity summary'!R135&lt;&gt;"",IF(LOWER('Capacity summary'!R135)="x",$BI16*R16,VALUE('Capacity summary'!R135)),0),R16*$BI16),R16*$BI16),0)</f>
        <v>86.538461538461533</v>
      </c>
      <c r="BV16" s="311">
        <f ca="1">IF($BI16&lt;&gt;"",IF('Capacity summary'!$D$14="Yes",IF(COUNTBLANK('Capacity summary'!$H135:$BG135)&lt;52,IF('Capacity summary'!S135&lt;&gt;"",IF(LOWER('Capacity summary'!S135)="x",$BI16*S16,VALUE('Capacity summary'!S135)),0),S16*$BI16),S16*$BI16),0)</f>
        <v>86.538461538461533</v>
      </c>
      <c r="BW16" s="311">
        <f ca="1">IF($BI16&lt;&gt;"",IF('Capacity summary'!$D$14="Yes",IF(COUNTBLANK('Capacity summary'!$H135:$BG135)&lt;52,IF('Capacity summary'!T135&lt;&gt;"",IF(LOWER('Capacity summary'!T135)="x",$BI16*T16,VALUE('Capacity summary'!T135)),0),T16*$BI16),T16*$BI16),0)</f>
        <v>86.538461538461533</v>
      </c>
      <c r="BX16" s="311">
        <f ca="1">IF($BI16&lt;&gt;"",IF('Capacity summary'!$D$14="Yes",IF(COUNTBLANK('Capacity summary'!$H135:$BG135)&lt;52,IF('Capacity summary'!U135&lt;&gt;"",IF(LOWER('Capacity summary'!U135)="x",$BI16*U16,VALUE('Capacity summary'!U135)),0),U16*$BI16),U16*$BI16),0)</f>
        <v>86.538461538461533</v>
      </c>
      <c r="BY16" s="311">
        <f ca="1">IF($BI16&lt;&gt;"",IF('Capacity summary'!$D$14="Yes",IF(COUNTBLANK('Capacity summary'!$H135:$BG135)&lt;52,IF('Capacity summary'!V135&lt;&gt;"",IF(LOWER('Capacity summary'!V135)="x",$BI16*V16,VALUE('Capacity summary'!V135)),0),V16*$BI16),V16*$BI16),0)</f>
        <v>86.538461538461533</v>
      </c>
      <c r="BZ16" s="311">
        <f ca="1">IF($BI16&lt;&gt;"",IF('Capacity summary'!$D$14="Yes",IF(COUNTBLANK('Capacity summary'!$H135:$BG135)&lt;52,IF('Capacity summary'!W135&lt;&gt;"",IF(LOWER('Capacity summary'!W135)="x",$BI16*W16,VALUE('Capacity summary'!W135)),0),W16*$BI16),W16*$BI16),0)</f>
        <v>86.538461538461533</v>
      </c>
      <c r="CA16" s="311">
        <f ca="1">IF($BI16&lt;&gt;"",IF('Capacity summary'!$D$14="Yes",IF(COUNTBLANK('Capacity summary'!$H135:$BG135)&lt;52,IF('Capacity summary'!X135&lt;&gt;"",IF(LOWER('Capacity summary'!X135)="x",$BI16*X16,VALUE('Capacity summary'!X135)),0),X16*$BI16),X16*$BI16),0)</f>
        <v>86.538461538461533</v>
      </c>
      <c r="CB16" s="311">
        <f ca="1">IF($BI16&lt;&gt;"",IF('Capacity summary'!$D$14="Yes",IF(COUNTBLANK('Capacity summary'!$H135:$BG135)&lt;52,IF('Capacity summary'!Y135&lt;&gt;"",IF(LOWER('Capacity summary'!Y135)="x",$BI16*Y16,VALUE('Capacity summary'!Y135)),0),Y16*$BI16),Y16*$BI16),0)</f>
        <v>86.538461538461533</v>
      </c>
      <c r="CC16" s="311">
        <f ca="1">IF($BI16&lt;&gt;"",IF('Capacity summary'!$D$14="Yes",IF(COUNTBLANK('Capacity summary'!$H135:$BG135)&lt;52,IF('Capacity summary'!Z135&lt;&gt;"",IF(LOWER('Capacity summary'!Z135)="x",$BI16*Z16,VALUE('Capacity summary'!Z135)),0),Z16*$BI16),Z16*$BI16),0)</f>
        <v>86.538461538461533</v>
      </c>
      <c r="CD16" s="311">
        <f ca="1">IF($BI16&lt;&gt;"",IF('Capacity summary'!$D$14="Yes",IF(COUNTBLANK('Capacity summary'!$H135:$BG135)&lt;52,IF('Capacity summary'!AA135&lt;&gt;"",IF(LOWER('Capacity summary'!AA135)="x",$BI16*AA16,VALUE('Capacity summary'!AA135)),0),AA16*$BI16),AA16*$BI16),0)</f>
        <v>86.538461538461533</v>
      </c>
      <c r="CE16" s="311">
        <f ca="1">IF($BI16&lt;&gt;"",IF('Capacity summary'!$D$14="Yes",IF(COUNTBLANK('Capacity summary'!$H135:$BG135)&lt;52,IF('Capacity summary'!AB135&lt;&gt;"",IF(LOWER('Capacity summary'!AB135)="x",$BI16*AB16,VALUE('Capacity summary'!AB135)),0),AB16*$BI16),AB16*$BI16),0)</f>
        <v>86.538461538461533</v>
      </c>
      <c r="CF16" s="311">
        <f ca="1">IF($BI16&lt;&gt;"",IF('Capacity summary'!$D$14="Yes",IF(COUNTBLANK('Capacity summary'!$H135:$BG135)&lt;52,IF('Capacity summary'!AC135&lt;&gt;"",IF(LOWER('Capacity summary'!AC135)="x",$BI16*AC16,VALUE('Capacity summary'!AC135)),0),AC16*$BI16),AC16*$BI16),0)</f>
        <v>86.538461538461533</v>
      </c>
      <c r="CG16" s="311">
        <f ca="1">IF($BI16&lt;&gt;"",IF('Capacity summary'!$D$14="Yes",IF(COUNTBLANK('Capacity summary'!$H135:$BG135)&lt;52,IF('Capacity summary'!AD135&lt;&gt;"",IF(LOWER('Capacity summary'!AD135)="x",$BI16*AD16,VALUE('Capacity summary'!AD135)),0),AD16*$BI16),AD16*$BI16),0)</f>
        <v>86.538461538461533</v>
      </c>
      <c r="CH16" s="311">
        <f ca="1">IF($BI16&lt;&gt;"",IF('Capacity summary'!$D$14="Yes",IF(COUNTBLANK('Capacity summary'!$H135:$BG135)&lt;52,IF('Capacity summary'!AE135&lt;&gt;"",IF(LOWER('Capacity summary'!AE135)="x",$BI16*AE16,VALUE('Capacity summary'!AE135)),0),AE16*$BI16),AE16*$BI16),0)</f>
        <v>86.538461538461533</v>
      </c>
      <c r="CI16" s="311">
        <f ca="1">IF($BI16&lt;&gt;"",IF('Capacity summary'!$D$14="Yes",IF(COUNTBLANK('Capacity summary'!$H135:$BG135)&lt;52,IF('Capacity summary'!AF135&lt;&gt;"",IF(LOWER('Capacity summary'!AF135)="x",$BI16*AF16,VALUE('Capacity summary'!AF135)),0),AF16*$BI16),AF16*$BI16),0)</f>
        <v>86.538461538461533</v>
      </c>
      <c r="CJ16" s="311">
        <f ca="1">IF($BI16&lt;&gt;"",IF('Capacity summary'!$D$14="Yes",IF(COUNTBLANK('Capacity summary'!$H135:$BG135)&lt;52,IF('Capacity summary'!AG135&lt;&gt;"",IF(LOWER('Capacity summary'!AG135)="x",$BI16*AG16,VALUE('Capacity summary'!AG135)),0),AG16*$BI16),AG16*$BI16),0)</f>
        <v>86.538461538461533</v>
      </c>
      <c r="CK16" s="311">
        <f ca="1">IF($BI16&lt;&gt;"",IF('Capacity summary'!$D$14="Yes",IF(COUNTBLANK('Capacity summary'!$H135:$BG135)&lt;52,IF('Capacity summary'!AH135&lt;&gt;"",IF(LOWER('Capacity summary'!AH135)="x",$BI16*AH16,VALUE('Capacity summary'!AH135)),0),AH16*$BI16),AH16*$BI16),0)</f>
        <v>86.538461538461533</v>
      </c>
      <c r="CL16" s="311">
        <f ca="1">IF($BI16&lt;&gt;"",IF('Capacity summary'!$D$14="Yes",IF(COUNTBLANK('Capacity summary'!$H135:$BG135)&lt;52,IF('Capacity summary'!AI135&lt;&gt;"",IF(LOWER('Capacity summary'!AI135)="x",$BI16*AI16,VALUE('Capacity summary'!AI135)),0),AI16*$BI16),AI16*$BI16),0)</f>
        <v>86.538461538461533</v>
      </c>
      <c r="CM16" s="311">
        <f ca="1">IF($BI16&lt;&gt;"",IF('Capacity summary'!$D$14="Yes",IF(COUNTBLANK('Capacity summary'!$H135:$BG135)&lt;52,IF('Capacity summary'!AJ135&lt;&gt;"",IF(LOWER('Capacity summary'!AJ135)="x",$BI16*AJ16,VALUE('Capacity summary'!AJ135)),0),AJ16*$BI16),AJ16*$BI16),0)</f>
        <v>86.538461538461533</v>
      </c>
      <c r="CN16" s="311">
        <f ca="1">IF($BI16&lt;&gt;"",IF('Capacity summary'!$D$14="Yes",IF(COUNTBLANK('Capacity summary'!$H135:$BG135)&lt;52,IF('Capacity summary'!AK135&lt;&gt;"",IF(LOWER('Capacity summary'!AK135)="x",$BI16*AK16,VALUE('Capacity summary'!AK135)),0),AK16*$BI16),AK16*$BI16),0)</f>
        <v>86.538461538461533</v>
      </c>
      <c r="CO16" s="311">
        <f ca="1">IF($BI16&lt;&gt;"",IF('Capacity summary'!$D$14="Yes",IF(COUNTBLANK('Capacity summary'!$H135:$BG135)&lt;52,IF('Capacity summary'!AL135&lt;&gt;"",IF(LOWER('Capacity summary'!AL135)="x",$BI16*AL16,VALUE('Capacity summary'!AL135)),0),AL16*$BI16),AL16*$BI16),0)</f>
        <v>86.538461538461533</v>
      </c>
      <c r="CP16" s="311">
        <f ca="1">IF($BI16&lt;&gt;"",IF('Capacity summary'!$D$14="Yes",IF(COUNTBLANK('Capacity summary'!$H135:$BG135)&lt;52,IF('Capacity summary'!AM135&lt;&gt;"",IF(LOWER('Capacity summary'!AM135)="x",$BI16*AM16,VALUE('Capacity summary'!AM135)),0),AM16*$BI16),AM16*$BI16),0)</f>
        <v>86.538461538461533</v>
      </c>
      <c r="CQ16" s="311">
        <f ca="1">IF($BI16&lt;&gt;"",IF('Capacity summary'!$D$14="Yes",IF(COUNTBLANK('Capacity summary'!$H135:$BG135)&lt;52,IF('Capacity summary'!AN135&lt;&gt;"",IF(LOWER('Capacity summary'!AN135)="x",$BI16*AN16,VALUE('Capacity summary'!AN135)),0),AN16*$BI16),AN16*$BI16),0)</f>
        <v>86.538461538461533</v>
      </c>
      <c r="CR16" s="311">
        <f ca="1">IF($BI16&lt;&gt;"",IF('Capacity summary'!$D$14="Yes",IF(COUNTBLANK('Capacity summary'!$H135:$BG135)&lt;52,IF('Capacity summary'!AO135&lt;&gt;"",IF(LOWER('Capacity summary'!AO135)="x",$BI16*AO16,VALUE('Capacity summary'!AO135)),0),AO16*$BI16),AO16*$BI16),0)</f>
        <v>86.538461538461533</v>
      </c>
      <c r="CS16" s="311">
        <f ca="1">IF($BI16&lt;&gt;"",IF('Capacity summary'!$D$14="Yes",IF(COUNTBLANK('Capacity summary'!$H135:$BG135)&lt;52,IF('Capacity summary'!AP135&lt;&gt;"",IF(LOWER('Capacity summary'!AP135)="x",$BI16*AP16,VALUE('Capacity summary'!AP135)),0),AP16*$BI16),AP16*$BI16),0)</f>
        <v>86.538461538461533</v>
      </c>
      <c r="CT16" s="311">
        <f ca="1">IF($BI16&lt;&gt;"",IF('Capacity summary'!$D$14="Yes",IF(COUNTBLANK('Capacity summary'!$H135:$BG135)&lt;52,IF('Capacity summary'!AQ135&lt;&gt;"",IF(LOWER('Capacity summary'!AQ135)="x",$BI16*AQ16,VALUE('Capacity summary'!AQ135)),0),AQ16*$BI16),AQ16*$BI16),0)</f>
        <v>86.538461538461533</v>
      </c>
      <c r="CU16" s="311">
        <f ca="1">IF($BI16&lt;&gt;"",IF('Capacity summary'!$D$14="Yes",IF(COUNTBLANK('Capacity summary'!$H135:$BG135)&lt;52,IF('Capacity summary'!AR135&lt;&gt;"",IF(LOWER('Capacity summary'!AR135)="x",$BI16*AR16,VALUE('Capacity summary'!AR135)),0),AR16*$BI16),AR16*$BI16),0)</f>
        <v>86.538461538461533</v>
      </c>
      <c r="CV16" s="311">
        <f ca="1">IF($BI16&lt;&gt;"",IF('Capacity summary'!$D$14="Yes",IF(COUNTBLANK('Capacity summary'!$H135:$BG135)&lt;52,IF('Capacity summary'!AS135&lt;&gt;"",IF(LOWER('Capacity summary'!AS135)="x",$BI16*AS16,VALUE('Capacity summary'!AS135)),0),AS16*$BI16),AS16*$BI16),0)</f>
        <v>86.538461538461533</v>
      </c>
      <c r="CW16" s="311">
        <f ca="1">IF($BI16&lt;&gt;"",IF('Capacity summary'!$D$14="Yes",IF(COUNTBLANK('Capacity summary'!$H135:$BG135)&lt;52,IF('Capacity summary'!AT135&lt;&gt;"",IF(LOWER('Capacity summary'!AT135)="x",$BI16*AT16,VALUE('Capacity summary'!AT135)),0),AT16*$BI16),AT16*$BI16),0)</f>
        <v>86.538461538461533</v>
      </c>
      <c r="CX16" s="311">
        <f ca="1">IF($BI16&lt;&gt;"",IF('Capacity summary'!$D$14="Yes",IF(COUNTBLANK('Capacity summary'!$H135:$BG135)&lt;52,IF('Capacity summary'!AU135&lt;&gt;"",IF(LOWER('Capacity summary'!AU135)="x",$BI16*AU16,VALUE('Capacity summary'!AU135)),0),AU16*$BI16),AU16*$BI16),0)</f>
        <v>86.538461538461533</v>
      </c>
      <c r="CY16" s="311">
        <f ca="1">IF($BI16&lt;&gt;"",IF('Capacity summary'!$D$14="Yes",IF(COUNTBLANK('Capacity summary'!$H135:$BG135)&lt;52,IF('Capacity summary'!AV135&lt;&gt;"",IF(LOWER('Capacity summary'!AV135)="x",$BI16*AV16,VALUE('Capacity summary'!AV135)),0),AV16*$BI16),AV16*$BI16),0)</f>
        <v>86.538461538461533</v>
      </c>
      <c r="CZ16" s="311">
        <f ca="1">IF($BI16&lt;&gt;"",IF('Capacity summary'!$D$14="Yes",IF(COUNTBLANK('Capacity summary'!$H135:$BG135)&lt;52,IF('Capacity summary'!AW135&lt;&gt;"",IF(LOWER('Capacity summary'!AW135)="x",$BI16*AW16,VALUE('Capacity summary'!AW135)),0),AW16*$BI16),AW16*$BI16),0)</f>
        <v>86.538461538461533</v>
      </c>
      <c r="DA16" s="311">
        <f ca="1">IF($BI16&lt;&gt;"",IF('Capacity summary'!$D$14="Yes",IF(COUNTBLANK('Capacity summary'!$H135:$BG135)&lt;52,IF('Capacity summary'!AX135&lt;&gt;"",IF(LOWER('Capacity summary'!AX135)="x",$BI16*AX16,VALUE('Capacity summary'!AX135)),0),AX16*$BI16),AX16*$BI16),0)</f>
        <v>86.538461538461533</v>
      </c>
      <c r="DB16" s="311">
        <f ca="1">IF($BI16&lt;&gt;"",IF('Capacity summary'!$D$14="Yes",IF(COUNTBLANK('Capacity summary'!$H135:$BG135)&lt;52,IF('Capacity summary'!AY135&lt;&gt;"",IF(LOWER('Capacity summary'!AY135)="x",$BI16*AY16,VALUE('Capacity summary'!AY135)),0),AY16*$BI16),AY16*$BI16),0)</f>
        <v>86.538461538461533</v>
      </c>
      <c r="DC16" s="311">
        <f ca="1">IF($BI16&lt;&gt;"",IF('Capacity summary'!$D$14="Yes",IF(COUNTBLANK('Capacity summary'!$H135:$BG135)&lt;52,IF('Capacity summary'!AZ135&lt;&gt;"",IF(LOWER('Capacity summary'!AZ135)="x",$BI16*AZ16,VALUE('Capacity summary'!AZ135)),0),AZ16*$BI16),AZ16*$BI16),0)</f>
        <v>86.538461538461533</v>
      </c>
      <c r="DD16" s="311">
        <f ca="1">IF($BI16&lt;&gt;"",IF('Capacity summary'!$D$14="Yes",IF(COUNTBLANK('Capacity summary'!$H135:$BG135)&lt;52,IF('Capacity summary'!BA135&lt;&gt;"",IF(LOWER('Capacity summary'!BA135)="x",$BI16*BA16,VALUE('Capacity summary'!BA135)),0),BA16*$BI16),BA16*$BI16),0)</f>
        <v>86.538461538461533</v>
      </c>
      <c r="DE16" s="311">
        <f ca="1">IF($BI16&lt;&gt;"",IF('Capacity summary'!$D$14="Yes",IF(COUNTBLANK('Capacity summary'!$H135:$BG135)&lt;52,IF('Capacity summary'!BB135&lt;&gt;"",IF(LOWER('Capacity summary'!BB135)="x",$BI16*BB16,VALUE('Capacity summary'!BB135)),0),BB16*$BI16),BB16*$BI16),0)</f>
        <v>86.538461538461533</v>
      </c>
      <c r="DF16" s="311">
        <f ca="1">IF($BI16&lt;&gt;"",IF('Capacity summary'!$D$14="Yes",IF(COUNTBLANK('Capacity summary'!$H135:$BG135)&lt;52,IF('Capacity summary'!BC135&lt;&gt;"",IF(LOWER('Capacity summary'!BC135)="x",$BI16*BC16,VALUE('Capacity summary'!BC135)),0),BC16*$BI16),BC16*$BI16),0)</f>
        <v>86.538461538461533</v>
      </c>
      <c r="DG16" s="311">
        <f ca="1">IF($BI16&lt;&gt;"",IF('Capacity summary'!$D$14="Yes",IF(COUNTBLANK('Capacity summary'!$H135:$BG135)&lt;52,IF('Capacity summary'!BD135&lt;&gt;"",IF(LOWER('Capacity summary'!BD135)="x",$BI16*BD16,VALUE('Capacity summary'!BD135)),0),BD16*$BI16),BD16*$BI16),0)</f>
        <v>86.538461538461533</v>
      </c>
      <c r="DH16" s="311">
        <f ca="1">IF($BI16&lt;&gt;"",IF('Capacity summary'!$D$14="Yes",IF(COUNTBLANK('Capacity summary'!$H135:$BG135)&lt;52,IF('Capacity summary'!BE135&lt;&gt;"",IF(LOWER('Capacity summary'!BE135)="x",$BI16*BE16,VALUE('Capacity summary'!BE135)),0),BE16*$BI16),BE16*$BI16),0)</f>
        <v>86.538461538461533</v>
      </c>
      <c r="DI16" s="311">
        <f ca="1">IF($BI16&lt;&gt;"",IF('Capacity summary'!$D$14="Yes",IF(COUNTBLANK('Capacity summary'!$H135:$BG135)&lt;52,IF('Capacity summary'!BF135&lt;&gt;"",IF(LOWER('Capacity summary'!BF135)="x",$BI16*BF16,VALUE('Capacity summary'!BF135)),0),BF16*$BI16),BF16*$BI16),0)</f>
        <v>86.538461538461533</v>
      </c>
      <c r="DJ16" s="311">
        <f ca="1">IF($BI16&lt;&gt;"",IF('Capacity summary'!$D$14="Yes",IF(COUNTBLANK('Capacity summary'!$H135:$BG135)&lt;52,IF('Capacity summary'!BG135&lt;&gt;"",IF(LOWER('Capacity summary'!BG135)="x",$BI16*BG16,VALUE('Capacity summary'!BG135)),0),BG16*$BI16),BG16*$BI16),0)</f>
        <v>86.538461538461533</v>
      </c>
      <c r="DK16" s="388">
        <f t="shared" ca="1" si="2"/>
        <v>86.538461538461533</v>
      </c>
      <c r="DL16" s="136">
        <f t="shared" ca="1" si="3"/>
        <v>4499.9999999999982</v>
      </c>
      <c r="DM16" s="311">
        <f>Capacity!H28</f>
        <v>4500</v>
      </c>
      <c r="DQ16" s="5"/>
    </row>
    <row r="17" spans="1:121" x14ac:dyDescent="0.2">
      <c r="A17" s="67">
        <f>IF(Capacity!L29='Capacity summary'!BI136,1,0)</f>
        <v>1</v>
      </c>
      <c r="B17" s="67">
        <f>IF(Capacity!V29='Capacity summary'!BI36,1,0)</f>
        <v>1</v>
      </c>
      <c r="C17" s="67" t="str">
        <f>ROW(A13)&amp;". "&amp;Capacity!B29</f>
        <v>13. Cardiac</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 ca="1">IF(ROW(C13)&lt;=Capacity!$A$16,IF('Capacity summary'!$D$14="No",SUM(H17:BG17),'Capacity summary'!$E136),0)</f>
        <v>52</v>
      </c>
      <c r="BI17" s="5">
        <f ca="1">IF(BH17&gt;0,IF(BH17&lt;Capacity!E29,Capacity!F29,Capacity!H29/'Capacity calculation (hide)'!BH17),"")</f>
        <v>201.92307692307693</v>
      </c>
      <c r="BK17" s="311">
        <f ca="1">IF($BI17&lt;&gt;"",IF('Capacity summary'!$D$14="Yes",IF(COUNTBLANK('Capacity summary'!$H136:$BG136)&lt;52,IF('Capacity summary'!H136&lt;&gt;"",IF(LOWER('Capacity summary'!H136)="x",$BI17*H17,VALUE('Capacity summary'!H136)),0),H17*$BI17),H17*$BI17),0)</f>
        <v>201.92307692307693</v>
      </c>
      <c r="BL17" s="311">
        <f ca="1">IF($BI17&lt;&gt;"",IF('Capacity summary'!$D$14="Yes",IF(COUNTBLANK('Capacity summary'!$H136:$BG136)&lt;52,IF('Capacity summary'!I136&lt;&gt;"",IF(LOWER('Capacity summary'!I136)="x",$BI17*I17,VALUE('Capacity summary'!I136)),0),I17*$BI17),I17*$BI17),0)</f>
        <v>201.92307692307693</v>
      </c>
      <c r="BM17" s="311">
        <f ca="1">IF($BI17&lt;&gt;"",IF('Capacity summary'!$D$14="Yes",IF(COUNTBLANK('Capacity summary'!$H136:$BG136)&lt;52,IF('Capacity summary'!J136&lt;&gt;"",IF(LOWER('Capacity summary'!J136)="x",$BI17*J17,VALUE('Capacity summary'!J136)),0),J17*$BI17),J17*$BI17),0)</f>
        <v>201.92307692307693</v>
      </c>
      <c r="BN17" s="311">
        <f ca="1">IF($BI17&lt;&gt;"",IF('Capacity summary'!$D$14="Yes",IF(COUNTBLANK('Capacity summary'!$H136:$BG136)&lt;52,IF('Capacity summary'!K136&lt;&gt;"",IF(LOWER('Capacity summary'!K136)="x",$BI17*K17,VALUE('Capacity summary'!K136)),0),K17*$BI17),K17*$BI17),0)</f>
        <v>201.92307692307693</v>
      </c>
      <c r="BO17" s="311">
        <f ca="1">IF($BI17&lt;&gt;"",IF('Capacity summary'!$D$14="Yes",IF(COUNTBLANK('Capacity summary'!$H136:$BG136)&lt;52,IF('Capacity summary'!L136&lt;&gt;"",IF(LOWER('Capacity summary'!L136)="x",$BI17*L17,VALUE('Capacity summary'!L136)),0),L17*$BI17),L17*$BI17),0)</f>
        <v>201.92307692307693</v>
      </c>
      <c r="BP17" s="311">
        <f ca="1">IF($BI17&lt;&gt;"",IF('Capacity summary'!$D$14="Yes",IF(COUNTBLANK('Capacity summary'!$H136:$BG136)&lt;52,IF('Capacity summary'!M136&lt;&gt;"",IF(LOWER('Capacity summary'!M136)="x",$BI17*M17,VALUE('Capacity summary'!M136)),0),M17*$BI17),M17*$BI17),0)</f>
        <v>201.92307692307693</v>
      </c>
      <c r="BQ17" s="311">
        <f ca="1">IF($BI17&lt;&gt;"",IF('Capacity summary'!$D$14="Yes",IF(COUNTBLANK('Capacity summary'!$H136:$BG136)&lt;52,IF('Capacity summary'!N136&lt;&gt;"",IF(LOWER('Capacity summary'!N136)="x",$BI17*N17,VALUE('Capacity summary'!N136)),0),N17*$BI17),N17*$BI17),0)</f>
        <v>201.92307692307693</v>
      </c>
      <c r="BR17" s="311">
        <f ca="1">IF($BI17&lt;&gt;"",IF('Capacity summary'!$D$14="Yes",IF(COUNTBLANK('Capacity summary'!$H136:$BG136)&lt;52,IF('Capacity summary'!O136&lt;&gt;"",IF(LOWER('Capacity summary'!O136)="x",$BI17*O17,VALUE('Capacity summary'!O136)),0),O17*$BI17),O17*$BI17),0)</f>
        <v>201.92307692307693</v>
      </c>
      <c r="BS17" s="311">
        <f ca="1">IF($BI17&lt;&gt;"",IF('Capacity summary'!$D$14="Yes",IF(COUNTBLANK('Capacity summary'!$H136:$BG136)&lt;52,IF('Capacity summary'!P136&lt;&gt;"",IF(LOWER('Capacity summary'!P136)="x",$BI17*P17,VALUE('Capacity summary'!P136)),0),P17*$BI17),P17*$BI17),0)</f>
        <v>201.92307692307693</v>
      </c>
      <c r="BT17" s="311">
        <f ca="1">IF($BI17&lt;&gt;"",IF('Capacity summary'!$D$14="Yes",IF(COUNTBLANK('Capacity summary'!$H136:$BG136)&lt;52,IF('Capacity summary'!Q136&lt;&gt;"",IF(LOWER('Capacity summary'!Q136)="x",$BI17*Q17,VALUE('Capacity summary'!Q136)),0),Q17*$BI17),Q17*$BI17),0)</f>
        <v>201.92307692307693</v>
      </c>
      <c r="BU17" s="311">
        <f ca="1">IF($BI17&lt;&gt;"",IF('Capacity summary'!$D$14="Yes",IF(COUNTBLANK('Capacity summary'!$H136:$BG136)&lt;52,IF('Capacity summary'!R136&lt;&gt;"",IF(LOWER('Capacity summary'!R136)="x",$BI17*R17,VALUE('Capacity summary'!R136)),0),R17*$BI17),R17*$BI17),0)</f>
        <v>201.92307692307693</v>
      </c>
      <c r="BV17" s="311">
        <f ca="1">IF($BI17&lt;&gt;"",IF('Capacity summary'!$D$14="Yes",IF(COUNTBLANK('Capacity summary'!$H136:$BG136)&lt;52,IF('Capacity summary'!S136&lt;&gt;"",IF(LOWER('Capacity summary'!S136)="x",$BI17*S17,VALUE('Capacity summary'!S136)),0),S17*$BI17),S17*$BI17),0)</f>
        <v>201.92307692307693</v>
      </c>
      <c r="BW17" s="311">
        <f ca="1">IF($BI17&lt;&gt;"",IF('Capacity summary'!$D$14="Yes",IF(COUNTBLANK('Capacity summary'!$H136:$BG136)&lt;52,IF('Capacity summary'!T136&lt;&gt;"",IF(LOWER('Capacity summary'!T136)="x",$BI17*T17,VALUE('Capacity summary'!T136)),0),T17*$BI17),T17*$BI17),0)</f>
        <v>201.92307692307693</v>
      </c>
      <c r="BX17" s="311">
        <f ca="1">IF($BI17&lt;&gt;"",IF('Capacity summary'!$D$14="Yes",IF(COUNTBLANK('Capacity summary'!$H136:$BG136)&lt;52,IF('Capacity summary'!U136&lt;&gt;"",IF(LOWER('Capacity summary'!U136)="x",$BI17*U17,VALUE('Capacity summary'!U136)),0),U17*$BI17),U17*$BI17),0)</f>
        <v>201.92307692307693</v>
      </c>
      <c r="BY17" s="311">
        <f ca="1">IF($BI17&lt;&gt;"",IF('Capacity summary'!$D$14="Yes",IF(COUNTBLANK('Capacity summary'!$H136:$BG136)&lt;52,IF('Capacity summary'!V136&lt;&gt;"",IF(LOWER('Capacity summary'!V136)="x",$BI17*V17,VALUE('Capacity summary'!V136)),0),V17*$BI17),V17*$BI17),0)</f>
        <v>201.92307692307693</v>
      </c>
      <c r="BZ17" s="311">
        <f ca="1">IF($BI17&lt;&gt;"",IF('Capacity summary'!$D$14="Yes",IF(COUNTBLANK('Capacity summary'!$H136:$BG136)&lt;52,IF('Capacity summary'!W136&lt;&gt;"",IF(LOWER('Capacity summary'!W136)="x",$BI17*W17,VALUE('Capacity summary'!W136)),0),W17*$BI17),W17*$BI17),0)</f>
        <v>201.92307692307693</v>
      </c>
      <c r="CA17" s="311">
        <f ca="1">IF($BI17&lt;&gt;"",IF('Capacity summary'!$D$14="Yes",IF(COUNTBLANK('Capacity summary'!$H136:$BG136)&lt;52,IF('Capacity summary'!X136&lt;&gt;"",IF(LOWER('Capacity summary'!X136)="x",$BI17*X17,VALUE('Capacity summary'!X136)),0),X17*$BI17),X17*$BI17),0)</f>
        <v>201.92307692307693</v>
      </c>
      <c r="CB17" s="311">
        <f ca="1">IF($BI17&lt;&gt;"",IF('Capacity summary'!$D$14="Yes",IF(COUNTBLANK('Capacity summary'!$H136:$BG136)&lt;52,IF('Capacity summary'!Y136&lt;&gt;"",IF(LOWER('Capacity summary'!Y136)="x",$BI17*Y17,VALUE('Capacity summary'!Y136)),0),Y17*$BI17),Y17*$BI17),0)</f>
        <v>201.92307692307693</v>
      </c>
      <c r="CC17" s="311">
        <f ca="1">IF($BI17&lt;&gt;"",IF('Capacity summary'!$D$14="Yes",IF(COUNTBLANK('Capacity summary'!$H136:$BG136)&lt;52,IF('Capacity summary'!Z136&lt;&gt;"",IF(LOWER('Capacity summary'!Z136)="x",$BI17*Z17,VALUE('Capacity summary'!Z136)),0),Z17*$BI17),Z17*$BI17),0)</f>
        <v>201.92307692307693</v>
      </c>
      <c r="CD17" s="311">
        <f ca="1">IF($BI17&lt;&gt;"",IF('Capacity summary'!$D$14="Yes",IF(COUNTBLANK('Capacity summary'!$H136:$BG136)&lt;52,IF('Capacity summary'!AA136&lt;&gt;"",IF(LOWER('Capacity summary'!AA136)="x",$BI17*AA17,VALUE('Capacity summary'!AA136)),0),AA17*$BI17),AA17*$BI17),0)</f>
        <v>201.92307692307693</v>
      </c>
      <c r="CE17" s="311">
        <f ca="1">IF($BI17&lt;&gt;"",IF('Capacity summary'!$D$14="Yes",IF(COUNTBLANK('Capacity summary'!$H136:$BG136)&lt;52,IF('Capacity summary'!AB136&lt;&gt;"",IF(LOWER('Capacity summary'!AB136)="x",$BI17*AB17,VALUE('Capacity summary'!AB136)),0),AB17*$BI17),AB17*$BI17),0)</f>
        <v>201.92307692307693</v>
      </c>
      <c r="CF17" s="311">
        <f ca="1">IF($BI17&lt;&gt;"",IF('Capacity summary'!$D$14="Yes",IF(COUNTBLANK('Capacity summary'!$H136:$BG136)&lt;52,IF('Capacity summary'!AC136&lt;&gt;"",IF(LOWER('Capacity summary'!AC136)="x",$BI17*AC17,VALUE('Capacity summary'!AC136)),0),AC17*$BI17),AC17*$BI17),0)</f>
        <v>201.92307692307693</v>
      </c>
      <c r="CG17" s="311">
        <f ca="1">IF($BI17&lt;&gt;"",IF('Capacity summary'!$D$14="Yes",IF(COUNTBLANK('Capacity summary'!$H136:$BG136)&lt;52,IF('Capacity summary'!AD136&lt;&gt;"",IF(LOWER('Capacity summary'!AD136)="x",$BI17*AD17,VALUE('Capacity summary'!AD136)),0),AD17*$BI17),AD17*$BI17),0)</f>
        <v>201.92307692307693</v>
      </c>
      <c r="CH17" s="311">
        <f ca="1">IF($BI17&lt;&gt;"",IF('Capacity summary'!$D$14="Yes",IF(COUNTBLANK('Capacity summary'!$H136:$BG136)&lt;52,IF('Capacity summary'!AE136&lt;&gt;"",IF(LOWER('Capacity summary'!AE136)="x",$BI17*AE17,VALUE('Capacity summary'!AE136)),0),AE17*$BI17),AE17*$BI17),0)</f>
        <v>201.92307692307693</v>
      </c>
      <c r="CI17" s="311">
        <f ca="1">IF($BI17&lt;&gt;"",IF('Capacity summary'!$D$14="Yes",IF(COUNTBLANK('Capacity summary'!$H136:$BG136)&lt;52,IF('Capacity summary'!AF136&lt;&gt;"",IF(LOWER('Capacity summary'!AF136)="x",$BI17*AF17,VALUE('Capacity summary'!AF136)),0),AF17*$BI17),AF17*$BI17),0)</f>
        <v>201.92307692307693</v>
      </c>
      <c r="CJ17" s="311">
        <f ca="1">IF($BI17&lt;&gt;"",IF('Capacity summary'!$D$14="Yes",IF(COUNTBLANK('Capacity summary'!$H136:$BG136)&lt;52,IF('Capacity summary'!AG136&lt;&gt;"",IF(LOWER('Capacity summary'!AG136)="x",$BI17*AG17,VALUE('Capacity summary'!AG136)),0),AG17*$BI17),AG17*$BI17),0)</f>
        <v>201.92307692307693</v>
      </c>
      <c r="CK17" s="311">
        <f ca="1">IF($BI17&lt;&gt;"",IF('Capacity summary'!$D$14="Yes",IF(COUNTBLANK('Capacity summary'!$H136:$BG136)&lt;52,IF('Capacity summary'!AH136&lt;&gt;"",IF(LOWER('Capacity summary'!AH136)="x",$BI17*AH17,VALUE('Capacity summary'!AH136)),0),AH17*$BI17),AH17*$BI17),0)</f>
        <v>201.92307692307693</v>
      </c>
      <c r="CL17" s="311">
        <f ca="1">IF($BI17&lt;&gt;"",IF('Capacity summary'!$D$14="Yes",IF(COUNTBLANK('Capacity summary'!$H136:$BG136)&lt;52,IF('Capacity summary'!AI136&lt;&gt;"",IF(LOWER('Capacity summary'!AI136)="x",$BI17*AI17,VALUE('Capacity summary'!AI136)),0),AI17*$BI17),AI17*$BI17),0)</f>
        <v>201.92307692307693</v>
      </c>
      <c r="CM17" s="311">
        <f ca="1">IF($BI17&lt;&gt;"",IF('Capacity summary'!$D$14="Yes",IF(COUNTBLANK('Capacity summary'!$H136:$BG136)&lt;52,IF('Capacity summary'!AJ136&lt;&gt;"",IF(LOWER('Capacity summary'!AJ136)="x",$BI17*AJ17,VALUE('Capacity summary'!AJ136)),0),AJ17*$BI17),AJ17*$BI17),0)</f>
        <v>201.92307692307693</v>
      </c>
      <c r="CN17" s="311">
        <f ca="1">IF($BI17&lt;&gt;"",IF('Capacity summary'!$D$14="Yes",IF(COUNTBLANK('Capacity summary'!$H136:$BG136)&lt;52,IF('Capacity summary'!AK136&lt;&gt;"",IF(LOWER('Capacity summary'!AK136)="x",$BI17*AK17,VALUE('Capacity summary'!AK136)),0),AK17*$BI17),AK17*$BI17),0)</f>
        <v>201.92307692307693</v>
      </c>
      <c r="CO17" s="311">
        <f ca="1">IF($BI17&lt;&gt;"",IF('Capacity summary'!$D$14="Yes",IF(COUNTBLANK('Capacity summary'!$H136:$BG136)&lt;52,IF('Capacity summary'!AL136&lt;&gt;"",IF(LOWER('Capacity summary'!AL136)="x",$BI17*AL17,VALUE('Capacity summary'!AL136)),0),AL17*$BI17),AL17*$BI17),0)</f>
        <v>201.92307692307693</v>
      </c>
      <c r="CP17" s="311">
        <f ca="1">IF($BI17&lt;&gt;"",IF('Capacity summary'!$D$14="Yes",IF(COUNTBLANK('Capacity summary'!$H136:$BG136)&lt;52,IF('Capacity summary'!AM136&lt;&gt;"",IF(LOWER('Capacity summary'!AM136)="x",$BI17*AM17,VALUE('Capacity summary'!AM136)),0),AM17*$BI17),AM17*$BI17),0)</f>
        <v>201.92307692307693</v>
      </c>
      <c r="CQ17" s="311">
        <f ca="1">IF($BI17&lt;&gt;"",IF('Capacity summary'!$D$14="Yes",IF(COUNTBLANK('Capacity summary'!$H136:$BG136)&lt;52,IF('Capacity summary'!AN136&lt;&gt;"",IF(LOWER('Capacity summary'!AN136)="x",$BI17*AN17,VALUE('Capacity summary'!AN136)),0),AN17*$BI17),AN17*$BI17),0)</f>
        <v>201.92307692307693</v>
      </c>
      <c r="CR17" s="311">
        <f ca="1">IF($BI17&lt;&gt;"",IF('Capacity summary'!$D$14="Yes",IF(COUNTBLANK('Capacity summary'!$H136:$BG136)&lt;52,IF('Capacity summary'!AO136&lt;&gt;"",IF(LOWER('Capacity summary'!AO136)="x",$BI17*AO17,VALUE('Capacity summary'!AO136)),0),AO17*$BI17),AO17*$BI17),0)</f>
        <v>201.92307692307693</v>
      </c>
      <c r="CS17" s="311">
        <f ca="1">IF($BI17&lt;&gt;"",IF('Capacity summary'!$D$14="Yes",IF(COUNTBLANK('Capacity summary'!$H136:$BG136)&lt;52,IF('Capacity summary'!AP136&lt;&gt;"",IF(LOWER('Capacity summary'!AP136)="x",$BI17*AP17,VALUE('Capacity summary'!AP136)),0),AP17*$BI17),AP17*$BI17),0)</f>
        <v>201.92307692307693</v>
      </c>
      <c r="CT17" s="311">
        <f ca="1">IF($BI17&lt;&gt;"",IF('Capacity summary'!$D$14="Yes",IF(COUNTBLANK('Capacity summary'!$H136:$BG136)&lt;52,IF('Capacity summary'!AQ136&lt;&gt;"",IF(LOWER('Capacity summary'!AQ136)="x",$BI17*AQ17,VALUE('Capacity summary'!AQ136)),0),AQ17*$BI17),AQ17*$BI17),0)</f>
        <v>201.92307692307693</v>
      </c>
      <c r="CU17" s="311">
        <f ca="1">IF($BI17&lt;&gt;"",IF('Capacity summary'!$D$14="Yes",IF(COUNTBLANK('Capacity summary'!$H136:$BG136)&lt;52,IF('Capacity summary'!AR136&lt;&gt;"",IF(LOWER('Capacity summary'!AR136)="x",$BI17*AR17,VALUE('Capacity summary'!AR136)),0),AR17*$BI17),AR17*$BI17),0)</f>
        <v>201.92307692307693</v>
      </c>
      <c r="CV17" s="311">
        <f ca="1">IF($BI17&lt;&gt;"",IF('Capacity summary'!$D$14="Yes",IF(COUNTBLANK('Capacity summary'!$H136:$BG136)&lt;52,IF('Capacity summary'!AS136&lt;&gt;"",IF(LOWER('Capacity summary'!AS136)="x",$BI17*AS17,VALUE('Capacity summary'!AS136)),0),AS17*$BI17),AS17*$BI17),0)</f>
        <v>201.92307692307693</v>
      </c>
      <c r="CW17" s="311">
        <f ca="1">IF($BI17&lt;&gt;"",IF('Capacity summary'!$D$14="Yes",IF(COUNTBLANK('Capacity summary'!$H136:$BG136)&lt;52,IF('Capacity summary'!AT136&lt;&gt;"",IF(LOWER('Capacity summary'!AT136)="x",$BI17*AT17,VALUE('Capacity summary'!AT136)),0),AT17*$BI17),AT17*$BI17),0)</f>
        <v>201.92307692307693</v>
      </c>
      <c r="CX17" s="311">
        <f ca="1">IF($BI17&lt;&gt;"",IF('Capacity summary'!$D$14="Yes",IF(COUNTBLANK('Capacity summary'!$H136:$BG136)&lt;52,IF('Capacity summary'!AU136&lt;&gt;"",IF(LOWER('Capacity summary'!AU136)="x",$BI17*AU17,VALUE('Capacity summary'!AU136)),0),AU17*$BI17),AU17*$BI17),0)</f>
        <v>201.92307692307693</v>
      </c>
      <c r="CY17" s="311">
        <f ca="1">IF($BI17&lt;&gt;"",IF('Capacity summary'!$D$14="Yes",IF(COUNTBLANK('Capacity summary'!$H136:$BG136)&lt;52,IF('Capacity summary'!AV136&lt;&gt;"",IF(LOWER('Capacity summary'!AV136)="x",$BI17*AV17,VALUE('Capacity summary'!AV136)),0),AV17*$BI17),AV17*$BI17),0)</f>
        <v>201.92307692307693</v>
      </c>
      <c r="CZ17" s="311">
        <f ca="1">IF($BI17&lt;&gt;"",IF('Capacity summary'!$D$14="Yes",IF(COUNTBLANK('Capacity summary'!$H136:$BG136)&lt;52,IF('Capacity summary'!AW136&lt;&gt;"",IF(LOWER('Capacity summary'!AW136)="x",$BI17*AW17,VALUE('Capacity summary'!AW136)),0),AW17*$BI17),AW17*$BI17),0)</f>
        <v>201.92307692307693</v>
      </c>
      <c r="DA17" s="311">
        <f ca="1">IF($BI17&lt;&gt;"",IF('Capacity summary'!$D$14="Yes",IF(COUNTBLANK('Capacity summary'!$H136:$BG136)&lt;52,IF('Capacity summary'!AX136&lt;&gt;"",IF(LOWER('Capacity summary'!AX136)="x",$BI17*AX17,VALUE('Capacity summary'!AX136)),0),AX17*$BI17),AX17*$BI17),0)</f>
        <v>201.92307692307693</v>
      </c>
      <c r="DB17" s="311">
        <f ca="1">IF($BI17&lt;&gt;"",IF('Capacity summary'!$D$14="Yes",IF(COUNTBLANK('Capacity summary'!$H136:$BG136)&lt;52,IF('Capacity summary'!AY136&lt;&gt;"",IF(LOWER('Capacity summary'!AY136)="x",$BI17*AY17,VALUE('Capacity summary'!AY136)),0),AY17*$BI17),AY17*$BI17),0)</f>
        <v>201.92307692307693</v>
      </c>
      <c r="DC17" s="311">
        <f ca="1">IF($BI17&lt;&gt;"",IF('Capacity summary'!$D$14="Yes",IF(COUNTBLANK('Capacity summary'!$H136:$BG136)&lt;52,IF('Capacity summary'!AZ136&lt;&gt;"",IF(LOWER('Capacity summary'!AZ136)="x",$BI17*AZ17,VALUE('Capacity summary'!AZ136)),0),AZ17*$BI17),AZ17*$BI17),0)</f>
        <v>201.92307692307693</v>
      </c>
      <c r="DD17" s="311">
        <f ca="1">IF($BI17&lt;&gt;"",IF('Capacity summary'!$D$14="Yes",IF(COUNTBLANK('Capacity summary'!$H136:$BG136)&lt;52,IF('Capacity summary'!BA136&lt;&gt;"",IF(LOWER('Capacity summary'!BA136)="x",$BI17*BA17,VALUE('Capacity summary'!BA136)),0),BA17*$BI17),BA17*$BI17),0)</f>
        <v>201.92307692307693</v>
      </c>
      <c r="DE17" s="311">
        <f ca="1">IF($BI17&lt;&gt;"",IF('Capacity summary'!$D$14="Yes",IF(COUNTBLANK('Capacity summary'!$H136:$BG136)&lt;52,IF('Capacity summary'!BB136&lt;&gt;"",IF(LOWER('Capacity summary'!BB136)="x",$BI17*BB17,VALUE('Capacity summary'!BB136)),0),BB17*$BI17),BB17*$BI17),0)</f>
        <v>201.92307692307693</v>
      </c>
      <c r="DF17" s="311">
        <f ca="1">IF($BI17&lt;&gt;"",IF('Capacity summary'!$D$14="Yes",IF(COUNTBLANK('Capacity summary'!$H136:$BG136)&lt;52,IF('Capacity summary'!BC136&lt;&gt;"",IF(LOWER('Capacity summary'!BC136)="x",$BI17*BC17,VALUE('Capacity summary'!BC136)),0),BC17*$BI17),BC17*$BI17),0)</f>
        <v>201.92307692307693</v>
      </c>
      <c r="DG17" s="311">
        <f ca="1">IF($BI17&lt;&gt;"",IF('Capacity summary'!$D$14="Yes",IF(COUNTBLANK('Capacity summary'!$H136:$BG136)&lt;52,IF('Capacity summary'!BD136&lt;&gt;"",IF(LOWER('Capacity summary'!BD136)="x",$BI17*BD17,VALUE('Capacity summary'!BD136)),0),BD17*$BI17),BD17*$BI17),0)</f>
        <v>201.92307692307693</v>
      </c>
      <c r="DH17" s="311">
        <f ca="1">IF($BI17&lt;&gt;"",IF('Capacity summary'!$D$14="Yes",IF(COUNTBLANK('Capacity summary'!$H136:$BG136)&lt;52,IF('Capacity summary'!BE136&lt;&gt;"",IF(LOWER('Capacity summary'!BE136)="x",$BI17*BE17,VALUE('Capacity summary'!BE136)),0),BE17*$BI17),BE17*$BI17),0)</f>
        <v>201.92307692307693</v>
      </c>
      <c r="DI17" s="311">
        <f ca="1">IF($BI17&lt;&gt;"",IF('Capacity summary'!$D$14="Yes",IF(COUNTBLANK('Capacity summary'!$H136:$BG136)&lt;52,IF('Capacity summary'!BF136&lt;&gt;"",IF(LOWER('Capacity summary'!BF136)="x",$BI17*BF17,VALUE('Capacity summary'!BF136)),0),BF17*$BI17),BF17*$BI17),0)</f>
        <v>201.92307692307693</v>
      </c>
      <c r="DJ17" s="311">
        <f ca="1">IF($BI17&lt;&gt;"",IF('Capacity summary'!$D$14="Yes",IF(COUNTBLANK('Capacity summary'!$H136:$BG136)&lt;52,IF('Capacity summary'!BG136&lt;&gt;"",IF(LOWER('Capacity summary'!BG136)="x",$BI17*BG17,VALUE('Capacity summary'!BG136)),0),BG17*$BI17),BG17*$BI17),0)</f>
        <v>201.92307692307693</v>
      </c>
      <c r="DK17" s="388">
        <f t="shared" ca="1" si="2"/>
        <v>201.92307692307693</v>
      </c>
      <c r="DL17" s="136">
        <f t="shared" ca="1" si="3"/>
        <v>10499.999999999998</v>
      </c>
      <c r="DM17" s="311">
        <f>Capacity!H29</f>
        <v>10500</v>
      </c>
      <c r="DQ17" s="5"/>
    </row>
    <row r="18" spans="1:121" x14ac:dyDescent="0.2">
      <c r="A18" s="67">
        <f>IF(Capacity!L30='Capacity summary'!BI137,1,0)</f>
        <v>1</v>
      </c>
      <c r="B18" s="67">
        <f>IF(Capacity!V30='Capacity summary'!BI37,1,0)</f>
        <v>1</v>
      </c>
      <c r="C18" s="67" t="str">
        <f>ROW(A14)&amp;". "&amp;Capacity!B30</f>
        <v>14. Slot B</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 ca="1">IF(ROW(C14)&lt;=Capacity!$A$16,IF('Capacity summary'!$D$14="No",SUM(H18:BG18),'Capacity summary'!$E137),0)</f>
        <v>52</v>
      </c>
      <c r="BI18" s="5">
        <f ca="1">IF(BH18&gt;0,IF(BH18&lt;Capacity!E30,Capacity!F30,Capacity!H30/'Capacity calculation (hide)'!BH18),"")</f>
        <v>57.692307692307693</v>
      </c>
      <c r="BK18" s="311">
        <f ca="1">IF($BI18&lt;&gt;"",IF('Capacity summary'!$D$14="Yes",IF(COUNTBLANK('Capacity summary'!$H137:$BG137)&lt;52,IF('Capacity summary'!H137&lt;&gt;"",IF(LOWER('Capacity summary'!H137)="x",$BI18*H18,VALUE('Capacity summary'!H137)),0),H18*$BI18),H18*$BI18),0)</f>
        <v>57.692307692307693</v>
      </c>
      <c r="BL18" s="311">
        <f ca="1">IF($BI18&lt;&gt;"",IF('Capacity summary'!$D$14="Yes",IF(COUNTBLANK('Capacity summary'!$H137:$BG137)&lt;52,IF('Capacity summary'!I137&lt;&gt;"",IF(LOWER('Capacity summary'!I137)="x",$BI18*I18,VALUE('Capacity summary'!I137)),0),I18*$BI18),I18*$BI18),0)</f>
        <v>57.692307692307693</v>
      </c>
      <c r="BM18" s="311">
        <f ca="1">IF($BI18&lt;&gt;"",IF('Capacity summary'!$D$14="Yes",IF(COUNTBLANK('Capacity summary'!$H137:$BG137)&lt;52,IF('Capacity summary'!J137&lt;&gt;"",IF(LOWER('Capacity summary'!J137)="x",$BI18*J18,VALUE('Capacity summary'!J137)),0),J18*$BI18),J18*$BI18),0)</f>
        <v>57.692307692307693</v>
      </c>
      <c r="BN18" s="311">
        <f ca="1">IF($BI18&lt;&gt;"",IF('Capacity summary'!$D$14="Yes",IF(COUNTBLANK('Capacity summary'!$H137:$BG137)&lt;52,IF('Capacity summary'!K137&lt;&gt;"",IF(LOWER('Capacity summary'!K137)="x",$BI18*K18,VALUE('Capacity summary'!K137)),0),K18*$BI18),K18*$BI18),0)</f>
        <v>57.692307692307693</v>
      </c>
      <c r="BO18" s="311">
        <f ca="1">IF($BI18&lt;&gt;"",IF('Capacity summary'!$D$14="Yes",IF(COUNTBLANK('Capacity summary'!$H137:$BG137)&lt;52,IF('Capacity summary'!L137&lt;&gt;"",IF(LOWER('Capacity summary'!L137)="x",$BI18*L18,VALUE('Capacity summary'!L137)),0),L18*$BI18),L18*$BI18),0)</f>
        <v>57.692307692307693</v>
      </c>
      <c r="BP18" s="311">
        <f ca="1">IF($BI18&lt;&gt;"",IF('Capacity summary'!$D$14="Yes",IF(COUNTBLANK('Capacity summary'!$H137:$BG137)&lt;52,IF('Capacity summary'!M137&lt;&gt;"",IF(LOWER('Capacity summary'!M137)="x",$BI18*M18,VALUE('Capacity summary'!M137)),0),M18*$BI18),M18*$BI18),0)</f>
        <v>57.692307692307693</v>
      </c>
      <c r="BQ18" s="311">
        <f ca="1">IF($BI18&lt;&gt;"",IF('Capacity summary'!$D$14="Yes",IF(COUNTBLANK('Capacity summary'!$H137:$BG137)&lt;52,IF('Capacity summary'!N137&lt;&gt;"",IF(LOWER('Capacity summary'!N137)="x",$BI18*N18,VALUE('Capacity summary'!N137)),0),N18*$BI18),N18*$BI18),0)</f>
        <v>57.692307692307693</v>
      </c>
      <c r="BR18" s="311">
        <f ca="1">IF($BI18&lt;&gt;"",IF('Capacity summary'!$D$14="Yes",IF(COUNTBLANK('Capacity summary'!$H137:$BG137)&lt;52,IF('Capacity summary'!O137&lt;&gt;"",IF(LOWER('Capacity summary'!O137)="x",$BI18*O18,VALUE('Capacity summary'!O137)),0),O18*$BI18),O18*$BI18),0)</f>
        <v>57.692307692307693</v>
      </c>
      <c r="BS18" s="311">
        <f ca="1">IF($BI18&lt;&gt;"",IF('Capacity summary'!$D$14="Yes",IF(COUNTBLANK('Capacity summary'!$H137:$BG137)&lt;52,IF('Capacity summary'!P137&lt;&gt;"",IF(LOWER('Capacity summary'!P137)="x",$BI18*P18,VALUE('Capacity summary'!P137)),0),P18*$BI18),P18*$BI18),0)</f>
        <v>57.692307692307693</v>
      </c>
      <c r="BT18" s="311">
        <f ca="1">IF($BI18&lt;&gt;"",IF('Capacity summary'!$D$14="Yes",IF(COUNTBLANK('Capacity summary'!$H137:$BG137)&lt;52,IF('Capacity summary'!Q137&lt;&gt;"",IF(LOWER('Capacity summary'!Q137)="x",$BI18*Q18,VALUE('Capacity summary'!Q137)),0),Q18*$BI18),Q18*$BI18),0)</f>
        <v>57.692307692307693</v>
      </c>
      <c r="BU18" s="311">
        <f ca="1">IF($BI18&lt;&gt;"",IF('Capacity summary'!$D$14="Yes",IF(COUNTBLANK('Capacity summary'!$H137:$BG137)&lt;52,IF('Capacity summary'!R137&lt;&gt;"",IF(LOWER('Capacity summary'!R137)="x",$BI18*R18,VALUE('Capacity summary'!R137)),0),R18*$BI18),R18*$BI18),0)</f>
        <v>57.692307692307693</v>
      </c>
      <c r="BV18" s="311">
        <f ca="1">IF($BI18&lt;&gt;"",IF('Capacity summary'!$D$14="Yes",IF(COUNTBLANK('Capacity summary'!$H137:$BG137)&lt;52,IF('Capacity summary'!S137&lt;&gt;"",IF(LOWER('Capacity summary'!S137)="x",$BI18*S18,VALUE('Capacity summary'!S137)),0),S18*$BI18),S18*$BI18),0)</f>
        <v>57.692307692307693</v>
      </c>
      <c r="BW18" s="311">
        <f ca="1">IF($BI18&lt;&gt;"",IF('Capacity summary'!$D$14="Yes",IF(COUNTBLANK('Capacity summary'!$H137:$BG137)&lt;52,IF('Capacity summary'!T137&lt;&gt;"",IF(LOWER('Capacity summary'!T137)="x",$BI18*T18,VALUE('Capacity summary'!T137)),0),T18*$BI18),T18*$BI18),0)</f>
        <v>57.692307692307693</v>
      </c>
      <c r="BX18" s="311">
        <f ca="1">IF($BI18&lt;&gt;"",IF('Capacity summary'!$D$14="Yes",IF(COUNTBLANK('Capacity summary'!$H137:$BG137)&lt;52,IF('Capacity summary'!U137&lt;&gt;"",IF(LOWER('Capacity summary'!U137)="x",$BI18*U18,VALUE('Capacity summary'!U137)),0),U18*$BI18),U18*$BI18),0)</f>
        <v>57.692307692307693</v>
      </c>
      <c r="BY18" s="311">
        <f ca="1">IF($BI18&lt;&gt;"",IF('Capacity summary'!$D$14="Yes",IF(COUNTBLANK('Capacity summary'!$H137:$BG137)&lt;52,IF('Capacity summary'!V137&lt;&gt;"",IF(LOWER('Capacity summary'!V137)="x",$BI18*V18,VALUE('Capacity summary'!V137)),0),V18*$BI18),V18*$BI18),0)</f>
        <v>57.692307692307693</v>
      </c>
      <c r="BZ18" s="311">
        <f ca="1">IF($BI18&lt;&gt;"",IF('Capacity summary'!$D$14="Yes",IF(COUNTBLANK('Capacity summary'!$H137:$BG137)&lt;52,IF('Capacity summary'!W137&lt;&gt;"",IF(LOWER('Capacity summary'!W137)="x",$BI18*W18,VALUE('Capacity summary'!W137)),0),W18*$BI18),W18*$BI18),0)</f>
        <v>57.692307692307693</v>
      </c>
      <c r="CA18" s="311">
        <f ca="1">IF($BI18&lt;&gt;"",IF('Capacity summary'!$D$14="Yes",IF(COUNTBLANK('Capacity summary'!$H137:$BG137)&lt;52,IF('Capacity summary'!X137&lt;&gt;"",IF(LOWER('Capacity summary'!X137)="x",$BI18*X18,VALUE('Capacity summary'!X137)),0),X18*$BI18),X18*$BI18),0)</f>
        <v>57.692307692307693</v>
      </c>
      <c r="CB18" s="311">
        <f ca="1">IF($BI18&lt;&gt;"",IF('Capacity summary'!$D$14="Yes",IF(COUNTBLANK('Capacity summary'!$H137:$BG137)&lt;52,IF('Capacity summary'!Y137&lt;&gt;"",IF(LOWER('Capacity summary'!Y137)="x",$BI18*Y18,VALUE('Capacity summary'!Y137)),0),Y18*$BI18),Y18*$BI18),0)</f>
        <v>57.692307692307693</v>
      </c>
      <c r="CC18" s="311">
        <f ca="1">IF($BI18&lt;&gt;"",IF('Capacity summary'!$D$14="Yes",IF(COUNTBLANK('Capacity summary'!$H137:$BG137)&lt;52,IF('Capacity summary'!Z137&lt;&gt;"",IF(LOWER('Capacity summary'!Z137)="x",$BI18*Z18,VALUE('Capacity summary'!Z137)),0),Z18*$BI18),Z18*$BI18),0)</f>
        <v>57.692307692307693</v>
      </c>
      <c r="CD18" s="311">
        <f ca="1">IF($BI18&lt;&gt;"",IF('Capacity summary'!$D$14="Yes",IF(COUNTBLANK('Capacity summary'!$H137:$BG137)&lt;52,IF('Capacity summary'!AA137&lt;&gt;"",IF(LOWER('Capacity summary'!AA137)="x",$BI18*AA18,VALUE('Capacity summary'!AA137)),0),AA18*$BI18),AA18*$BI18),0)</f>
        <v>57.692307692307693</v>
      </c>
      <c r="CE18" s="311">
        <f ca="1">IF($BI18&lt;&gt;"",IF('Capacity summary'!$D$14="Yes",IF(COUNTBLANK('Capacity summary'!$H137:$BG137)&lt;52,IF('Capacity summary'!AB137&lt;&gt;"",IF(LOWER('Capacity summary'!AB137)="x",$BI18*AB18,VALUE('Capacity summary'!AB137)),0),AB18*$BI18),AB18*$BI18),0)</f>
        <v>57.692307692307693</v>
      </c>
      <c r="CF18" s="311">
        <f ca="1">IF($BI18&lt;&gt;"",IF('Capacity summary'!$D$14="Yes",IF(COUNTBLANK('Capacity summary'!$H137:$BG137)&lt;52,IF('Capacity summary'!AC137&lt;&gt;"",IF(LOWER('Capacity summary'!AC137)="x",$BI18*AC18,VALUE('Capacity summary'!AC137)),0),AC18*$BI18),AC18*$BI18),0)</f>
        <v>57.692307692307693</v>
      </c>
      <c r="CG18" s="311">
        <f ca="1">IF($BI18&lt;&gt;"",IF('Capacity summary'!$D$14="Yes",IF(COUNTBLANK('Capacity summary'!$H137:$BG137)&lt;52,IF('Capacity summary'!AD137&lt;&gt;"",IF(LOWER('Capacity summary'!AD137)="x",$BI18*AD18,VALUE('Capacity summary'!AD137)),0),AD18*$BI18),AD18*$BI18),0)</f>
        <v>57.692307692307693</v>
      </c>
      <c r="CH18" s="311">
        <f ca="1">IF($BI18&lt;&gt;"",IF('Capacity summary'!$D$14="Yes",IF(COUNTBLANK('Capacity summary'!$H137:$BG137)&lt;52,IF('Capacity summary'!AE137&lt;&gt;"",IF(LOWER('Capacity summary'!AE137)="x",$BI18*AE18,VALUE('Capacity summary'!AE137)),0),AE18*$BI18),AE18*$BI18),0)</f>
        <v>57.692307692307693</v>
      </c>
      <c r="CI18" s="311">
        <f ca="1">IF($BI18&lt;&gt;"",IF('Capacity summary'!$D$14="Yes",IF(COUNTBLANK('Capacity summary'!$H137:$BG137)&lt;52,IF('Capacity summary'!AF137&lt;&gt;"",IF(LOWER('Capacity summary'!AF137)="x",$BI18*AF18,VALUE('Capacity summary'!AF137)),0),AF18*$BI18),AF18*$BI18),0)</f>
        <v>57.692307692307693</v>
      </c>
      <c r="CJ18" s="311">
        <f ca="1">IF($BI18&lt;&gt;"",IF('Capacity summary'!$D$14="Yes",IF(COUNTBLANK('Capacity summary'!$H137:$BG137)&lt;52,IF('Capacity summary'!AG137&lt;&gt;"",IF(LOWER('Capacity summary'!AG137)="x",$BI18*AG18,VALUE('Capacity summary'!AG137)),0),AG18*$BI18),AG18*$BI18),0)</f>
        <v>57.692307692307693</v>
      </c>
      <c r="CK18" s="311">
        <f ca="1">IF($BI18&lt;&gt;"",IF('Capacity summary'!$D$14="Yes",IF(COUNTBLANK('Capacity summary'!$H137:$BG137)&lt;52,IF('Capacity summary'!AH137&lt;&gt;"",IF(LOWER('Capacity summary'!AH137)="x",$BI18*AH18,VALUE('Capacity summary'!AH137)),0),AH18*$BI18),AH18*$BI18),0)</f>
        <v>57.692307692307693</v>
      </c>
      <c r="CL18" s="311">
        <f ca="1">IF($BI18&lt;&gt;"",IF('Capacity summary'!$D$14="Yes",IF(COUNTBLANK('Capacity summary'!$H137:$BG137)&lt;52,IF('Capacity summary'!AI137&lt;&gt;"",IF(LOWER('Capacity summary'!AI137)="x",$BI18*AI18,VALUE('Capacity summary'!AI137)),0),AI18*$BI18),AI18*$BI18),0)</f>
        <v>57.692307692307693</v>
      </c>
      <c r="CM18" s="311">
        <f ca="1">IF($BI18&lt;&gt;"",IF('Capacity summary'!$D$14="Yes",IF(COUNTBLANK('Capacity summary'!$H137:$BG137)&lt;52,IF('Capacity summary'!AJ137&lt;&gt;"",IF(LOWER('Capacity summary'!AJ137)="x",$BI18*AJ18,VALUE('Capacity summary'!AJ137)),0),AJ18*$BI18),AJ18*$BI18),0)</f>
        <v>57.692307692307693</v>
      </c>
      <c r="CN18" s="311">
        <f ca="1">IF($BI18&lt;&gt;"",IF('Capacity summary'!$D$14="Yes",IF(COUNTBLANK('Capacity summary'!$H137:$BG137)&lt;52,IF('Capacity summary'!AK137&lt;&gt;"",IF(LOWER('Capacity summary'!AK137)="x",$BI18*AK18,VALUE('Capacity summary'!AK137)),0),AK18*$BI18),AK18*$BI18),0)</f>
        <v>57.692307692307693</v>
      </c>
      <c r="CO18" s="311">
        <f ca="1">IF($BI18&lt;&gt;"",IF('Capacity summary'!$D$14="Yes",IF(COUNTBLANK('Capacity summary'!$H137:$BG137)&lt;52,IF('Capacity summary'!AL137&lt;&gt;"",IF(LOWER('Capacity summary'!AL137)="x",$BI18*AL18,VALUE('Capacity summary'!AL137)),0),AL18*$BI18),AL18*$BI18),0)</f>
        <v>57.692307692307693</v>
      </c>
      <c r="CP18" s="311">
        <f ca="1">IF($BI18&lt;&gt;"",IF('Capacity summary'!$D$14="Yes",IF(COUNTBLANK('Capacity summary'!$H137:$BG137)&lt;52,IF('Capacity summary'!AM137&lt;&gt;"",IF(LOWER('Capacity summary'!AM137)="x",$BI18*AM18,VALUE('Capacity summary'!AM137)),0),AM18*$BI18),AM18*$BI18),0)</f>
        <v>57.692307692307693</v>
      </c>
      <c r="CQ18" s="311">
        <f ca="1">IF($BI18&lt;&gt;"",IF('Capacity summary'!$D$14="Yes",IF(COUNTBLANK('Capacity summary'!$H137:$BG137)&lt;52,IF('Capacity summary'!AN137&lt;&gt;"",IF(LOWER('Capacity summary'!AN137)="x",$BI18*AN18,VALUE('Capacity summary'!AN137)),0),AN18*$BI18),AN18*$BI18),0)</f>
        <v>57.692307692307693</v>
      </c>
      <c r="CR18" s="311">
        <f ca="1">IF($BI18&lt;&gt;"",IF('Capacity summary'!$D$14="Yes",IF(COUNTBLANK('Capacity summary'!$H137:$BG137)&lt;52,IF('Capacity summary'!AO137&lt;&gt;"",IF(LOWER('Capacity summary'!AO137)="x",$BI18*AO18,VALUE('Capacity summary'!AO137)),0),AO18*$BI18),AO18*$BI18),0)</f>
        <v>57.692307692307693</v>
      </c>
      <c r="CS18" s="311">
        <f ca="1">IF($BI18&lt;&gt;"",IF('Capacity summary'!$D$14="Yes",IF(COUNTBLANK('Capacity summary'!$H137:$BG137)&lt;52,IF('Capacity summary'!AP137&lt;&gt;"",IF(LOWER('Capacity summary'!AP137)="x",$BI18*AP18,VALUE('Capacity summary'!AP137)),0),AP18*$BI18),AP18*$BI18),0)</f>
        <v>57.692307692307693</v>
      </c>
      <c r="CT18" s="311">
        <f ca="1">IF($BI18&lt;&gt;"",IF('Capacity summary'!$D$14="Yes",IF(COUNTBLANK('Capacity summary'!$H137:$BG137)&lt;52,IF('Capacity summary'!AQ137&lt;&gt;"",IF(LOWER('Capacity summary'!AQ137)="x",$BI18*AQ18,VALUE('Capacity summary'!AQ137)),0),AQ18*$BI18),AQ18*$BI18),0)</f>
        <v>57.692307692307693</v>
      </c>
      <c r="CU18" s="311">
        <f ca="1">IF($BI18&lt;&gt;"",IF('Capacity summary'!$D$14="Yes",IF(COUNTBLANK('Capacity summary'!$H137:$BG137)&lt;52,IF('Capacity summary'!AR137&lt;&gt;"",IF(LOWER('Capacity summary'!AR137)="x",$BI18*AR18,VALUE('Capacity summary'!AR137)),0),AR18*$BI18),AR18*$BI18),0)</f>
        <v>57.692307692307693</v>
      </c>
      <c r="CV18" s="311">
        <f ca="1">IF($BI18&lt;&gt;"",IF('Capacity summary'!$D$14="Yes",IF(COUNTBLANK('Capacity summary'!$H137:$BG137)&lt;52,IF('Capacity summary'!AS137&lt;&gt;"",IF(LOWER('Capacity summary'!AS137)="x",$BI18*AS18,VALUE('Capacity summary'!AS137)),0),AS18*$BI18),AS18*$BI18),0)</f>
        <v>57.692307692307693</v>
      </c>
      <c r="CW18" s="311">
        <f ca="1">IF($BI18&lt;&gt;"",IF('Capacity summary'!$D$14="Yes",IF(COUNTBLANK('Capacity summary'!$H137:$BG137)&lt;52,IF('Capacity summary'!AT137&lt;&gt;"",IF(LOWER('Capacity summary'!AT137)="x",$BI18*AT18,VALUE('Capacity summary'!AT137)),0),AT18*$BI18),AT18*$BI18),0)</f>
        <v>57.692307692307693</v>
      </c>
      <c r="CX18" s="311">
        <f ca="1">IF($BI18&lt;&gt;"",IF('Capacity summary'!$D$14="Yes",IF(COUNTBLANK('Capacity summary'!$H137:$BG137)&lt;52,IF('Capacity summary'!AU137&lt;&gt;"",IF(LOWER('Capacity summary'!AU137)="x",$BI18*AU18,VALUE('Capacity summary'!AU137)),0),AU18*$BI18),AU18*$BI18),0)</f>
        <v>57.692307692307693</v>
      </c>
      <c r="CY18" s="311">
        <f ca="1">IF($BI18&lt;&gt;"",IF('Capacity summary'!$D$14="Yes",IF(COUNTBLANK('Capacity summary'!$H137:$BG137)&lt;52,IF('Capacity summary'!AV137&lt;&gt;"",IF(LOWER('Capacity summary'!AV137)="x",$BI18*AV18,VALUE('Capacity summary'!AV137)),0),AV18*$BI18),AV18*$BI18),0)</f>
        <v>57.692307692307693</v>
      </c>
      <c r="CZ18" s="311">
        <f ca="1">IF($BI18&lt;&gt;"",IF('Capacity summary'!$D$14="Yes",IF(COUNTBLANK('Capacity summary'!$H137:$BG137)&lt;52,IF('Capacity summary'!AW137&lt;&gt;"",IF(LOWER('Capacity summary'!AW137)="x",$BI18*AW18,VALUE('Capacity summary'!AW137)),0),AW18*$BI18),AW18*$BI18),0)</f>
        <v>57.692307692307693</v>
      </c>
      <c r="DA18" s="311">
        <f ca="1">IF($BI18&lt;&gt;"",IF('Capacity summary'!$D$14="Yes",IF(COUNTBLANK('Capacity summary'!$H137:$BG137)&lt;52,IF('Capacity summary'!AX137&lt;&gt;"",IF(LOWER('Capacity summary'!AX137)="x",$BI18*AX18,VALUE('Capacity summary'!AX137)),0),AX18*$BI18),AX18*$BI18),0)</f>
        <v>57.692307692307693</v>
      </c>
      <c r="DB18" s="311">
        <f ca="1">IF($BI18&lt;&gt;"",IF('Capacity summary'!$D$14="Yes",IF(COUNTBLANK('Capacity summary'!$H137:$BG137)&lt;52,IF('Capacity summary'!AY137&lt;&gt;"",IF(LOWER('Capacity summary'!AY137)="x",$BI18*AY18,VALUE('Capacity summary'!AY137)),0),AY18*$BI18),AY18*$BI18),0)</f>
        <v>57.692307692307693</v>
      </c>
      <c r="DC18" s="311">
        <f ca="1">IF($BI18&lt;&gt;"",IF('Capacity summary'!$D$14="Yes",IF(COUNTBLANK('Capacity summary'!$H137:$BG137)&lt;52,IF('Capacity summary'!AZ137&lt;&gt;"",IF(LOWER('Capacity summary'!AZ137)="x",$BI18*AZ18,VALUE('Capacity summary'!AZ137)),0),AZ18*$BI18),AZ18*$BI18),0)</f>
        <v>57.692307692307693</v>
      </c>
      <c r="DD18" s="311">
        <f ca="1">IF($BI18&lt;&gt;"",IF('Capacity summary'!$D$14="Yes",IF(COUNTBLANK('Capacity summary'!$H137:$BG137)&lt;52,IF('Capacity summary'!BA137&lt;&gt;"",IF(LOWER('Capacity summary'!BA137)="x",$BI18*BA18,VALUE('Capacity summary'!BA137)),0),BA18*$BI18),BA18*$BI18),0)</f>
        <v>57.692307692307693</v>
      </c>
      <c r="DE18" s="311">
        <f ca="1">IF($BI18&lt;&gt;"",IF('Capacity summary'!$D$14="Yes",IF(COUNTBLANK('Capacity summary'!$H137:$BG137)&lt;52,IF('Capacity summary'!BB137&lt;&gt;"",IF(LOWER('Capacity summary'!BB137)="x",$BI18*BB18,VALUE('Capacity summary'!BB137)),0),BB18*$BI18),BB18*$BI18),0)</f>
        <v>57.692307692307693</v>
      </c>
      <c r="DF18" s="311">
        <f ca="1">IF($BI18&lt;&gt;"",IF('Capacity summary'!$D$14="Yes",IF(COUNTBLANK('Capacity summary'!$H137:$BG137)&lt;52,IF('Capacity summary'!BC137&lt;&gt;"",IF(LOWER('Capacity summary'!BC137)="x",$BI18*BC18,VALUE('Capacity summary'!BC137)),0),BC18*$BI18),BC18*$BI18),0)</f>
        <v>57.692307692307693</v>
      </c>
      <c r="DG18" s="311">
        <f ca="1">IF($BI18&lt;&gt;"",IF('Capacity summary'!$D$14="Yes",IF(COUNTBLANK('Capacity summary'!$H137:$BG137)&lt;52,IF('Capacity summary'!BD137&lt;&gt;"",IF(LOWER('Capacity summary'!BD137)="x",$BI18*BD18,VALUE('Capacity summary'!BD137)),0),BD18*$BI18),BD18*$BI18),0)</f>
        <v>57.692307692307693</v>
      </c>
      <c r="DH18" s="311">
        <f ca="1">IF($BI18&lt;&gt;"",IF('Capacity summary'!$D$14="Yes",IF(COUNTBLANK('Capacity summary'!$H137:$BG137)&lt;52,IF('Capacity summary'!BE137&lt;&gt;"",IF(LOWER('Capacity summary'!BE137)="x",$BI18*BE18,VALUE('Capacity summary'!BE137)),0),BE18*$BI18),BE18*$BI18),0)</f>
        <v>57.692307692307693</v>
      </c>
      <c r="DI18" s="311">
        <f ca="1">IF($BI18&lt;&gt;"",IF('Capacity summary'!$D$14="Yes",IF(COUNTBLANK('Capacity summary'!$H137:$BG137)&lt;52,IF('Capacity summary'!BF137&lt;&gt;"",IF(LOWER('Capacity summary'!BF137)="x",$BI18*BF18,VALUE('Capacity summary'!BF137)),0),BF18*$BI18),BF18*$BI18),0)</f>
        <v>57.692307692307693</v>
      </c>
      <c r="DJ18" s="311">
        <f ca="1">IF($BI18&lt;&gt;"",IF('Capacity summary'!$D$14="Yes",IF(COUNTBLANK('Capacity summary'!$H137:$BG137)&lt;52,IF('Capacity summary'!BG137&lt;&gt;"",IF(LOWER('Capacity summary'!BG137)="x",$BI18*BG18,VALUE('Capacity summary'!BG137)),0),BG18*$BI18),BG18*$BI18),0)</f>
        <v>57.692307692307693</v>
      </c>
      <c r="DK18" s="388">
        <f t="shared" ca="1" si="2"/>
        <v>57.692307692307693</v>
      </c>
      <c r="DL18" s="136">
        <f t="shared" ca="1" si="3"/>
        <v>2999.9999999999982</v>
      </c>
      <c r="DM18" s="311">
        <f>Capacity!H30</f>
        <v>3000</v>
      </c>
      <c r="DQ18" s="5"/>
    </row>
    <row r="19" spans="1:121" x14ac:dyDescent="0.2">
      <c r="A19" s="67">
        <f>IF(Capacity!L31='Capacity summary'!BI138,1,0)</f>
        <v>1</v>
      </c>
      <c r="B19" s="67">
        <f>IF(Capacity!V31='Capacity summary'!BI38,1,0)</f>
        <v>1</v>
      </c>
      <c r="C19" s="67" t="str">
        <f>ROW(A15)&amp;". "&amp;Capacity!B31</f>
        <v>15. PP</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 ca="1">IF(ROW(C15)&lt;=Capacity!$A$16,IF('Capacity summary'!$D$14="No",SUM(H19:BG19),'Capacity summary'!$E138),0)</f>
        <v>52</v>
      </c>
      <c r="BI19" s="5">
        <f ca="1">IF(BH19&gt;0,IF(BH19&lt;Capacity!E31,Capacity!F31,Capacity!H31/'Capacity calculation (hide)'!BH19),"")</f>
        <v>19.23076923076923</v>
      </c>
      <c r="BK19" s="311">
        <f ca="1">IF($BI19&lt;&gt;"",IF('Capacity summary'!$D$14="Yes",IF(COUNTBLANK('Capacity summary'!$H138:$BG138)&lt;52,IF('Capacity summary'!H138&lt;&gt;"",IF(LOWER('Capacity summary'!H138)="x",$BI19*H19,VALUE('Capacity summary'!H138)),0),H19*$BI19),H19*$BI19),0)</f>
        <v>19.23076923076923</v>
      </c>
      <c r="BL19" s="311">
        <f ca="1">IF($BI19&lt;&gt;"",IF('Capacity summary'!$D$14="Yes",IF(COUNTBLANK('Capacity summary'!$H138:$BG138)&lt;52,IF('Capacity summary'!I138&lt;&gt;"",IF(LOWER('Capacity summary'!I138)="x",$BI19*I19,VALUE('Capacity summary'!I138)),0),I19*$BI19),I19*$BI19),0)</f>
        <v>19.23076923076923</v>
      </c>
      <c r="BM19" s="311">
        <f ca="1">IF($BI19&lt;&gt;"",IF('Capacity summary'!$D$14="Yes",IF(COUNTBLANK('Capacity summary'!$H138:$BG138)&lt;52,IF('Capacity summary'!J138&lt;&gt;"",IF(LOWER('Capacity summary'!J138)="x",$BI19*J19,VALUE('Capacity summary'!J138)),0),J19*$BI19),J19*$BI19),0)</f>
        <v>19.23076923076923</v>
      </c>
      <c r="BN19" s="311">
        <f ca="1">IF($BI19&lt;&gt;"",IF('Capacity summary'!$D$14="Yes",IF(COUNTBLANK('Capacity summary'!$H138:$BG138)&lt;52,IF('Capacity summary'!K138&lt;&gt;"",IF(LOWER('Capacity summary'!K138)="x",$BI19*K19,VALUE('Capacity summary'!K138)),0),K19*$BI19),K19*$BI19),0)</f>
        <v>19.23076923076923</v>
      </c>
      <c r="BO19" s="311">
        <f ca="1">IF($BI19&lt;&gt;"",IF('Capacity summary'!$D$14="Yes",IF(COUNTBLANK('Capacity summary'!$H138:$BG138)&lt;52,IF('Capacity summary'!L138&lt;&gt;"",IF(LOWER('Capacity summary'!L138)="x",$BI19*L19,VALUE('Capacity summary'!L138)),0),L19*$BI19),L19*$BI19),0)</f>
        <v>19.23076923076923</v>
      </c>
      <c r="BP19" s="311">
        <f ca="1">IF($BI19&lt;&gt;"",IF('Capacity summary'!$D$14="Yes",IF(COUNTBLANK('Capacity summary'!$H138:$BG138)&lt;52,IF('Capacity summary'!M138&lt;&gt;"",IF(LOWER('Capacity summary'!M138)="x",$BI19*M19,VALUE('Capacity summary'!M138)),0),M19*$BI19),M19*$BI19),0)</f>
        <v>19.23076923076923</v>
      </c>
      <c r="BQ19" s="311">
        <f ca="1">IF($BI19&lt;&gt;"",IF('Capacity summary'!$D$14="Yes",IF(COUNTBLANK('Capacity summary'!$H138:$BG138)&lt;52,IF('Capacity summary'!N138&lt;&gt;"",IF(LOWER('Capacity summary'!N138)="x",$BI19*N19,VALUE('Capacity summary'!N138)),0),N19*$BI19),N19*$BI19),0)</f>
        <v>19.23076923076923</v>
      </c>
      <c r="BR19" s="311">
        <f ca="1">IF($BI19&lt;&gt;"",IF('Capacity summary'!$D$14="Yes",IF(COUNTBLANK('Capacity summary'!$H138:$BG138)&lt;52,IF('Capacity summary'!O138&lt;&gt;"",IF(LOWER('Capacity summary'!O138)="x",$BI19*O19,VALUE('Capacity summary'!O138)),0),O19*$BI19),O19*$BI19),0)</f>
        <v>19.23076923076923</v>
      </c>
      <c r="BS19" s="311">
        <f ca="1">IF($BI19&lt;&gt;"",IF('Capacity summary'!$D$14="Yes",IF(COUNTBLANK('Capacity summary'!$H138:$BG138)&lt;52,IF('Capacity summary'!P138&lt;&gt;"",IF(LOWER('Capacity summary'!P138)="x",$BI19*P19,VALUE('Capacity summary'!P138)),0),P19*$BI19),P19*$BI19),0)</f>
        <v>19.23076923076923</v>
      </c>
      <c r="BT19" s="311">
        <f ca="1">IF($BI19&lt;&gt;"",IF('Capacity summary'!$D$14="Yes",IF(COUNTBLANK('Capacity summary'!$H138:$BG138)&lt;52,IF('Capacity summary'!Q138&lt;&gt;"",IF(LOWER('Capacity summary'!Q138)="x",$BI19*Q19,VALUE('Capacity summary'!Q138)),0),Q19*$BI19),Q19*$BI19),0)</f>
        <v>19.23076923076923</v>
      </c>
      <c r="BU19" s="311">
        <f ca="1">IF($BI19&lt;&gt;"",IF('Capacity summary'!$D$14="Yes",IF(COUNTBLANK('Capacity summary'!$H138:$BG138)&lt;52,IF('Capacity summary'!R138&lt;&gt;"",IF(LOWER('Capacity summary'!R138)="x",$BI19*R19,VALUE('Capacity summary'!R138)),0),R19*$BI19),R19*$BI19),0)</f>
        <v>19.23076923076923</v>
      </c>
      <c r="BV19" s="311">
        <f ca="1">IF($BI19&lt;&gt;"",IF('Capacity summary'!$D$14="Yes",IF(COUNTBLANK('Capacity summary'!$H138:$BG138)&lt;52,IF('Capacity summary'!S138&lt;&gt;"",IF(LOWER('Capacity summary'!S138)="x",$BI19*S19,VALUE('Capacity summary'!S138)),0),S19*$BI19),S19*$BI19),0)</f>
        <v>19.23076923076923</v>
      </c>
      <c r="BW19" s="311">
        <f ca="1">IF($BI19&lt;&gt;"",IF('Capacity summary'!$D$14="Yes",IF(COUNTBLANK('Capacity summary'!$H138:$BG138)&lt;52,IF('Capacity summary'!T138&lt;&gt;"",IF(LOWER('Capacity summary'!T138)="x",$BI19*T19,VALUE('Capacity summary'!T138)),0),T19*$BI19),T19*$BI19),0)</f>
        <v>19.23076923076923</v>
      </c>
      <c r="BX19" s="311">
        <f ca="1">IF($BI19&lt;&gt;"",IF('Capacity summary'!$D$14="Yes",IF(COUNTBLANK('Capacity summary'!$H138:$BG138)&lt;52,IF('Capacity summary'!U138&lt;&gt;"",IF(LOWER('Capacity summary'!U138)="x",$BI19*U19,VALUE('Capacity summary'!U138)),0),U19*$BI19),U19*$BI19),0)</f>
        <v>19.23076923076923</v>
      </c>
      <c r="BY19" s="311">
        <f ca="1">IF($BI19&lt;&gt;"",IF('Capacity summary'!$D$14="Yes",IF(COUNTBLANK('Capacity summary'!$H138:$BG138)&lt;52,IF('Capacity summary'!V138&lt;&gt;"",IF(LOWER('Capacity summary'!V138)="x",$BI19*V19,VALUE('Capacity summary'!V138)),0),V19*$BI19),V19*$BI19),0)</f>
        <v>19.23076923076923</v>
      </c>
      <c r="BZ19" s="311">
        <f ca="1">IF($BI19&lt;&gt;"",IF('Capacity summary'!$D$14="Yes",IF(COUNTBLANK('Capacity summary'!$H138:$BG138)&lt;52,IF('Capacity summary'!W138&lt;&gt;"",IF(LOWER('Capacity summary'!W138)="x",$BI19*W19,VALUE('Capacity summary'!W138)),0),W19*$BI19),W19*$BI19),0)</f>
        <v>19.23076923076923</v>
      </c>
      <c r="CA19" s="311">
        <f ca="1">IF($BI19&lt;&gt;"",IF('Capacity summary'!$D$14="Yes",IF(COUNTBLANK('Capacity summary'!$H138:$BG138)&lt;52,IF('Capacity summary'!X138&lt;&gt;"",IF(LOWER('Capacity summary'!X138)="x",$BI19*X19,VALUE('Capacity summary'!X138)),0),X19*$BI19),X19*$BI19),0)</f>
        <v>19.23076923076923</v>
      </c>
      <c r="CB19" s="311">
        <f ca="1">IF($BI19&lt;&gt;"",IF('Capacity summary'!$D$14="Yes",IF(COUNTBLANK('Capacity summary'!$H138:$BG138)&lt;52,IF('Capacity summary'!Y138&lt;&gt;"",IF(LOWER('Capacity summary'!Y138)="x",$BI19*Y19,VALUE('Capacity summary'!Y138)),0),Y19*$BI19),Y19*$BI19),0)</f>
        <v>19.23076923076923</v>
      </c>
      <c r="CC19" s="311">
        <f ca="1">IF($BI19&lt;&gt;"",IF('Capacity summary'!$D$14="Yes",IF(COUNTBLANK('Capacity summary'!$H138:$BG138)&lt;52,IF('Capacity summary'!Z138&lt;&gt;"",IF(LOWER('Capacity summary'!Z138)="x",$BI19*Z19,VALUE('Capacity summary'!Z138)),0),Z19*$BI19),Z19*$BI19),0)</f>
        <v>19.23076923076923</v>
      </c>
      <c r="CD19" s="311">
        <f ca="1">IF($BI19&lt;&gt;"",IF('Capacity summary'!$D$14="Yes",IF(COUNTBLANK('Capacity summary'!$H138:$BG138)&lt;52,IF('Capacity summary'!AA138&lt;&gt;"",IF(LOWER('Capacity summary'!AA138)="x",$BI19*AA19,VALUE('Capacity summary'!AA138)),0),AA19*$BI19),AA19*$BI19),0)</f>
        <v>19.23076923076923</v>
      </c>
      <c r="CE19" s="311">
        <f ca="1">IF($BI19&lt;&gt;"",IF('Capacity summary'!$D$14="Yes",IF(COUNTBLANK('Capacity summary'!$H138:$BG138)&lt;52,IF('Capacity summary'!AB138&lt;&gt;"",IF(LOWER('Capacity summary'!AB138)="x",$BI19*AB19,VALUE('Capacity summary'!AB138)),0),AB19*$BI19),AB19*$BI19),0)</f>
        <v>19.23076923076923</v>
      </c>
      <c r="CF19" s="311">
        <f ca="1">IF($BI19&lt;&gt;"",IF('Capacity summary'!$D$14="Yes",IF(COUNTBLANK('Capacity summary'!$H138:$BG138)&lt;52,IF('Capacity summary'!AC138&lt;&gt;"",IF(LOWER('Capacity summary'!AC138)="x",$BI19*AC19,VALUE('Capacity summary'!AC138)),0),AC19*$BI19),AC19*$BI19),0)</f>
        <v>19.23076923076923</v>
      </c>
      <c r="CG19" s="311">
        <f ca="1">IF($BI19&lt;&gt;"",IF('Capacity summary'!$D$14="Yes",IF(COUNTBLANK('Capacity summary'!$H138:$BG138)&lt;52,IF('Capacity summary'!AD138&lt;&gt;"",IF(LOWER('Capacity summary'!AD138)="x",$BI19*AD19,VALUE('Capacity summary'!AD138)),0),AD19*$BI19),AD19*$BI19),0)</f>
        <v>19.23076923076923</v>
      </c>
      <c r="CH19" s="311">
        <f ca="1">IF($BI19&lt;&gt;"",IF('Capacity summary'!$D$14="Yes",IF(COUNTBLANK('Capacity summary'!$H138:$BG138)&lt;52,IF('Capacity summary'!AE138&lt;&gt;"",IF(LOWER('Capacity summary'!AE138)="x",$BI19*AE19,VALUE('Capacity summary'!AE138)),0),AE19*$BI19),AE19*$BI19),0)</f>
        <v>19.23076923076923</v>
      </c>
      <c r="CI19" s="311">
        <f ca="1">IF($BI19&lt;&gt;"",IF('Capacity summary'!$D$14="Yes",IF(COUNTBLANK('Capacity summary'!$H138:$BG138)&lt;52,IF('Capacity summary'!AF138&lt;&gt;"",IF(LOWER('Capacity summary'!AF138)="x",$BI19*AF19,VALUE('Capacity summary'!AF138)),0),AF19*$BI19),AF19*$BI19),0)</f>
        <v>19.23076923076923</v>
      </c>
      <c r="CJ19" s="311">
        <f ca="1">IF($BI19&lt;&gt;"",IF('Capacity summary'!$D$14="Yes",IF(COUNTBLANK('Capacity summary'!$H138:$BG138)&lt;52,IF('Capacity summary'!AG138&lt;&gt;"",IF(LOWER('Capacity summary'!AG138)="x",$BI19*AG19,VALUE('Capacity summary'!AG138)),0),AG19*$BI19),AG19*$BI19),0)</f>
        <v>19.23076923076923</v>
      </c>
      <c r="CK19" s="311">
        <f ca="1">IF($BI19&lt;&gt;"",IF('Capacity summary'!$D$14="Yes",IF(COUNTBLANK('Capacity summary'!$H138:$BG138)&lt;52,IF('Capacity summary'!AH138&lt;&gt;"",IF(LOWER('Capacity summary'!AH138)="x",$BI19*AH19,VALUE('Capacity summary'!AH138)),0),AH19*$BI19),AH19*$BI19),0)</f>
        <v>19.23076923076923</v>
      </c>
      <c r="CL19" s="311">
        <f ca="1">IF($BI19&lt;&gt;"",IF('Capacity summary'!$D$14="Yes",IF(COUNTBLANK('Capacity summary'!$H138:$BG138)&lt;52,IF('Capacity summary'!AI138&lt;&gt;"",IF(LOWER('Capacity summary'!AI138)="x",$BI19*AI19,VALUE('Capacity summary'!AI138)),0),AI19*$BI19),AI19*$BI19),0)</f>
        <v>19.23076923076923</v>
      </c>
      <c r="CM19" s="311">
        <f ca="1">IF($BI19&lt;&gt;"",IF('Capacity summary'!$D$14="Yes",IF(COUNTBLANK('Capacity summary'!$H138:$BG138)&lt;52,IF('Capacity summary'!AJ138&lt;&gt;"",IF(LOWER('Capacity summary'!AJ138)="x",$BI19*AJ19,VALUE('Capacity summary'!AJ138)),0),AJ19*$BI19),AJ19*$BI19),0)</f>
        <v>19.23076923076923</v>
      </c>
      <c r="CN19" s="311">
        <f ca="1">IF($BI19&lt;&gt;"",IF('Capacity summary'!$D$14="Yes",IF(COUNTBLANK('Capacity summary'!$H138:$BG138)&lt;52,IF('Capacity summary'!AK138&lt;&gt;"",IF(LOWER('Capacity summary'!AK138)="x",$BI19*AK19,VALUE('Capacity summary'!AK138)),0),AK19*$BI19),AK19*$BI19),0)</f>
        <v>19.23076923076923</v>
      </c>
      <c r="CO19" s="311">
        <f ca="1">IF($BI19&lt;&gt;"",IF('Capacity summary'!$D$14="Yes",IF(COUNTBLANK('Capacity summary'!$H138:$BG138)&lt;52,IF('Capacity summary'!AL138&lt;&gt;"",IF(LOWER('Capacity summary'!AL138)="x",$BI19*AL19,VALUE('Capacity summary'!AL138)),0),AL19*$BI19),AL19*$BI19),0)</f>
        <v>19.23076923076923</v>
      </c>
      <c r="CP19" s="311">
        <f ca="1">IF($BI19&lt;&gt;"",IF('Capacity summary'!$D$14="Yes",IF(COUNTBLANK('Capacity summary'!$H138:$BG138)&lt;52,IF('Capacity summary'!AM138&lt;&gt;"",IF(LOWER('Capacity summary'!AM138)="x",$BI19*AM19,VALUE('Capacity summary'!AM138)),0),AM19*$BI19),AM19*$BI19),0)</f>
        <v>19.23076923076923</v>
      </c>
      <c r="CQ19" s="311">
        <f ca="1">IF($BI19&lt;&gt;"",IF('Capacity summary'!$D$14="Yes",IF(COUNTBLANK('Capacity summary'!$H138:$BG138)&lt;52,IF('Capacity summary'!AN138&lt;&gt;"",IF(LOWER('Capacity summary'!AN138)="x",$BI19*AN19,VALUE('Capacity summary'!AN138)),0),AN19*$BI19),AN19*$BI19),0)</f>
        <v>19.23076923076923</v>
      </c>
      <c r="CR19" s="311">
        <f ca="1">IF($BI19&lt;&gt;"",IF('Capacity summary'!$D$14="Yes",IF(COUNTBLANK('Capacity summary'!$H138:$BG138)&lt;52,IF('Capacity summary'!AO138&lt;&gt;"",IF(LOWER('Capacity summary'!AO138)="x",$BI19*AO19,VALUE('Capacity summary'!AO138)),0),AO19*$BI19),AO19*$BI19),0)</f>
        <v>19.23076923076923</v>
      </c>
      <c r="CS19" s="311">
        <f ca="1">IF($BI19&lt;&gt;"",IF('Capacity summary'!$D$14="Yes",IF(COUNTBLANK('Capacity summary'!$H138:$BG138)&lt;52,IF('Capacity summary'!AP138&lt;&gt;"",IF(LOWER('Capacity summary'!AP138)="x",$BI19*AP19,VALUE('Capacity summary'!AP138)),0),AP19*$BI19),AP19*$BI19),0)</f>
        <v>19.23076923076923</v>
      </c>
      <c r="CT19" s="311">
        <f ca="1">IF($BI19&lt;&gt;"",IF('Capacity summary'!$D$14="Yes",IF(COUNTBLANK('Capacity summary'!$H138:$BG138)&lt;52,IF('Capacity summary'!AQ138&lt;&gt;"",IF(LOWER('Capacity summary'!AQ138)="x",$BI19*AQ19,VALUE('Capacity summary'!AQ138)),0),AQ19*$BI19),AQ19*$BI19),0)</f>
        <v>19.23076923076923</v>
      </c>
      <c r="CU19" s="311">
        <f ca="1">IF($BI19&lt;&gt;"",IF('Capacity summary'!$D$14="Yes",IF(COUNTBLANK('Capacity summary'!$H138:$BG138)&lt;52,IF('Capacity summary'!AR138&lt;&gt;"",IF(LOWER('Capacity summary'!AR138)="x",$BI19*AR19,VALUE('Capacity summary'!AR138)),0),AR19*$BI19),AR19*$BI19),0)</f>
        <v>19.23076923076923</v>
      </c>
      <c r="CV19" s="311">
        <f ca="1">IF($BI19&lt;&gt;"",IF('Capacity summary'!$D$14="Yes",IF(COUNTBLANK('Capacity summary'!$H138:$BG138)&lt;52,IF('Capacity summary'!AS138&lt;&gt;"",IF(LOWER('Capacity summary'!AS138)="x",$BI19*AS19,VALUE('Capacity summary'!AS138)),0),AS19*$BI19),AS19*$BI19),0)</f>
        <v>19.23076923076923</v>
      </c>
      <c r="CW19" s="311">
        <f ca="1">IF($BI19&lt;&gt;"",IF('Capacity summary'!$D$14="Yes",IF(COUNTBLANK('Capacity summary'!$H138:$BG138)&lt;52,IF('Capacity summary'!AT138&lt;&gt;"",IF(LOWER('Capacity summary'!AT138)="x",$BI19*AT19,VALUE('Capacity summary'!AT138)),0),AT19*$BI19),AT19*$BI19),0)</f>
        <v>19.23076923076923</v>
      </c>
      <c r="CX19" s="311">
        <f ca="1">IF($BI19&lt;&gt;"",IF('Capacity summary'!$D$14="Yes",IF(COUNTBLANK('Capacity summary'!$H138:$BG138)&lt;52,IF('Capacity summary'!AU138&lt;&gt;"",IF(LOWER('Capacity summary'!AU138)="x",$BI19*AU19,VALUE('Capacity summary'!AU138)),0),AU19*$BI19),AU19*$BI19),0)</f>
        <v>19.23076923076923</v>
      </c>
      <c r="CY19" s="311">
        <f ca="1">IF($BI19&lt;&gt;"",IF('Capacity summary'!$D$14="Yes",IF(COUNTBLANK('Capacity summary'!$H138:$BG138)&lt;52,IF('Capacity summary'!AV138&lt;&gt;"",IF(LOWER('Capacity summary'!AV138)="x",$BI19*AV19,VALUE('Capacity summary'!AV138)),0),AV19*$BI19),AV19*$BI19),0)</f>
        <v>19.23076923076923</v>
      </c>
      <c r="CZ19" s="311">
        <f ca="1">IF($BI19&lt;&gt;"",IF('Capacity summary'!$D$14="Yes",IF(COUNTBLANK('Capacity summary'!$H138:$BG138)&lt;52,IF('Capacity summary'!AW138&lt;&gt;"",IF(LOWER('Capacity summary'!AW138)="x",$BI19*AW19,VALUE('Capacity summary'!AW138)),0),AW19*$BI19),AW19*$BI19),0)</f>
        <v>19.23076923076923</v>
      </c>
      <c r="DA19" s="311">
        <f ca="1">IF($BI19&lt;&gt;"",IF('Capacity summary'!$D$14="Yes",IF(COUNTBLANK('Capacity summary'!$H138:$BG138)&lt;52,IF('Capacity summary'!AX138&lt;&gt;"",IF(LOWER('Capacity summary'!AX138)="x",$BI19*AX19,VALUE('Capacity summary'!AX138)),0),AX19*$BI19),AX19*$BI19),0)</f>
        <v>19.23076923076923</v>
      </c>
      <c r="DB19" s="311">
        <f ca="1">IF($BI19&lt;&gt;"",IF('Capacity summary'!$D$14="Yes",IF(COUNTBLANK('Capacity summary'!$H138:$BG138)&lt;52,IF('Capacity summary'!AY138&lt;&gt;"",IF(LOWER('Capacity summary'!AY138)="x",$BI19*AY19,VALUE('Capacity summary'!AY138)),0),AY19*$BI19),AY19*$BI19),0)</f>
        <v>19.23076923076923</v>
      </c>
      <c r="DC19" s="311">
        <f ca="1">IF($BI19&lt;&gt;"",IF('Capacity summary'!$D$14="Yes",IF(COUNTBLANK('Capacity summary'!$H138:$BG138)&lt;52,IF('Capacity summary'!AZ138&lt;&gt;"",IF(LOWER('Capacity summary'!AZ138)="x",$BI19*AZ19,VALUE('Capacity summary'!AZ138)),0),AZ19*$BI19),AZ19*$BI19),0)</f>
        <v>19.23076923076923</v>
      </c>
      <c r="DD19" s="311">
        <f ca="1">IF($BI19&lt;&gt;"",IF('Capacity summary'!$D$14="Yes",IF(COUNTBLANK('Capacity summary'!$H138:$BG138)&lt;52,IF('Capacity summary'!BA138&lt;&gt;"",IF(LOWER('Capacity summary'!BA138)="x",$BI19*BA19,VALUE('Capacity summary'!BA138)),0),BA19*$BI19),BA19*$BI19),0)</f>
        <v>19.23076923076923</v>
      </c>
      <c r="DE19" s="311">
        <f ca="1">IF($BI19&lt;&gt;"",IF('Capacity summary'!$D$14="Yes",IF(COUNTBLANK('Capacity summary'!$H138:$BG138)&lt;52,IF('Capacity summary'!BB138&lt;&gt;"",IF(LOWER('Capacity summary'!BB138)="x",$BI19*BB19,VALUE('Capacity summary'!BB138)),0),BB19*$BI19),BB19*$BI19),0)</f>
        <v>19.23076923076923</v>
      </c>
      <c r="DF19" s="311">
        <f ca="1">IF($BI19&lt;&gt;"",IF('Capacity summary'!$D$14="Yes",IF(COUNTBLANK('Capacity summary'!$H138:$BG138)&lt;52,IF('Capacity summary'!BC138&lt;&gt;"",IF(LOWER('Capacity summary'!BC138)="x",$BI19*BC19,VALUE('Capacity summary'!BC138)),0),BC19*$BI19),BC19*$BI19),0)</f>
        <v>19.23076923076923</v>
      </c>
      <c r="DG19" s="311">
        <f ca="1">IF($BI19&lt;&gt;"",IF('Capacity summary'!$D$14="Yes",IF(COUNTBLANK('Capacity summary'!$H138:$BG138)&lt;52,IF('Capacity summary'!BD138&lt;&gt;"",IF(LOWER('Capacity summary'!BD138)="x",$BI19*BD19,VALUE('Capacity summary'!BD138)),0),BD19*$BI19),BD19*$BI19),0)</f>
        <v>19.23076923076923</v>
      </c>
      <c r="DH19" s="311">
        <f ca="1">IF($BI19&lt;&gt;"",IF('Capacity summary'!$D$14="Yes",IF(COUNTBLANK('Capacity summary'!$H138:$BG138)&lt;52,IF('Capacity summary'!BE138&lt;&gt;"",IF(LOWER('Capacity summary'!BE138)="x",$BI19*BE19,VALUE('Capacity summary'!BE138)),0),BE19*$BI19),BE19*$BI19),0)</f>
        <v>19.23076923076923</v>
      </c>
      <c r="DI19" s="311">
        <f ca="1">IF($BI19&lt;&gt;"",IF('Capacity summary'!$D$14="Yes",IF(COUNTBLANK('Capacity summary'!$H138:$BG138)&lt;52,IF('Capacity summary'!BF138&lt;&gt;"",IF(LOWER('Capacity summary'!BF138)="x",$BI19*BF19,VALUE('Capacity summary'!BF138)),0),BF19*$BI19),BF19*$BI19),0)</f>
        <v>19.23076923076923</v>
      </c>
      <c r="DJ19" s="311">
        <f ca="1">IF($BI19&lt;&gt;"",IF('Capacity summary'!$D$14="Yes",IF(COUNTBLANK('Capacity summary'!$H138:$BG138)&lt;52,IF('Capacity summary'!BG138&lt;&gt;"",IF(LOWER('Capacity summary'!BG138)="x",$BI19*BG19,VALUE('Capacity summary'!BG138)),0),BG19*$BI19),BG19*$BI19),0)</f>
        <v>19.23076923076923</v>
      </c>
      <c r="DK19" s="388">
        <f t="shared" ca="1" si="2"/>
        <v>19.23076923076923</v>
      </c>
      <c r="DL19" s="136">
        <f t="shared" ca="1" si="3"/>
        <v>1000.0000000000013</v>
      </c>
      <c r="DM19" s="311">
        <f>Capacity!H31</f>
        <v>1000</v>
      </c>
      <c r="DQ19" s="5"/>
    </row>
    <row r="20" spans="1:121" x14ac:dyDescent="0.2">
      <c r="A20" s="67">
        <f>IF(Capacity!L32='Capacity summary'!BI139,1,0)</f>
        <v>1</v>
      </c>
      <c r="B20" s="67">
        <f>IF(Capacity!V32='Capacity summary'!BI39,1,0)</f>
        <v>1</v>
      </c>
      <c r="C20" s="67" t="str">
        <f>ROW(A16)&amp;". "&amp;Capacity!B32</f>
        <v>16. Slot A</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 ca="1">IF(ROW(C16)&lt;=Capacity!$A$16,IF('Capacity summary'!$D$14="No",SUM(H20:BG20),'Capacity summary'!$E139),0)</f>
        <v>52</v>
      </c>
      <c r="BI20" s="5">
        <f ca="1">IF(BH20&gt;0,IF(BH20&lt;Capacity!E32,Capacity!F32,Capacity!H32/'Capacity calculation (hide)'!BH20),"")</f>
        <v>47.115384615384613</v>
      </c>
      <c r="BK20" s="311">
        <f ca="1">IF($BI20&lt;&gt;"",IF('Capacity summary'!$D$14="Yes",IF(COUNTBLANK('Capacity summary'!$H139:$BG139)&lt;52,IF('Capacity summary'!H139&lt;&gt;"",IF(LOWER('Capacity summary'!H139)="x",$BI20*H20,VALUE('Capacity summary'!H139)),0),H20*$BI20),H20*$BI20),0)</f>
        <v>47.115384615384613</v>
      </c>
      <c r="BL20" s="311">
        <f ca="1">IF($BI20&lt;&gt;"",IF('Capacity summary'!$D$14="Yes",IF(COUNTBLANK('Capacity summary'!$H139:$BG139)&lt;52,IF('Capacity summary'!I139&lt;&gt;"",IF(LOWER('Capacity summary'!I139)="x",$BI20*I20,VALUE('Capacity summary'!I139)),0),I20*$BI20),I20*$BI20),0)</f>
        <v>47.115384615384613</v>
      </c>
      <c r="BM20" s="311">
        <f ca="1">IF($BI20&lt;&gt;"",IF('Capacity summary'!$D$14="Yes",IF(COUNTBLANK('Capacity summary'!$H139:$BG139)&lt;52,IF('Capacity summary'!J139&lt;&gt;"",IF(LOWER('Capacity summary'!J139)="x",$BI20*J20,VALUE('Capacity summary'!J139)),0),J20*$BI20),J20*$BI20),0)</f>
        <v>47.115384615384613</v>
      </c>
      <c r="BN20" s="311">
        <f ca="1">IF($BI20&lt;&gt;"",IF('Capacity summary'!$D$14="Yes",IF(COUNTBLANK('Capacity summary'!$H139:$BG139)&lt;52,IF('Capacity summary'!K139&lt;&gt;"",IF(LOWER('Capacity summary'!K139)="x",$BI20*K20,VALUE('Capacity summary'!K139)),0),K20*$BI20),K20*$BI20),0)</f>
        <v>47.115384615384613</v>
      </c>
      <c r="BO20" s="311">
        <f ca="1">IF($BI20&lt;&gt;"",IF('Capacity summary'!$D$14="Yes",IF(COUNTBLANK('Capacity summary'!$H139:$BG139)&lt;52,IF('Capacity summary'!L139&lt;&gt;"",IF(LOWER('Capacity summary'!L139)="x",$BI20*L20,VALUE('Capacity summary'!L139)),0),L20*$BI20),L20*$BI20),0)</f>
        <v>47.115384615384613</v>
      </c>
      <c r="BP20" s="311">
        <f ca="1">IF($BI20&lt;&gt;"",IF('Capacity summary'!$D$14="Yes",IF(COUNTBLANK('Capacity summary'!$H139:$BG139)&lt;52,IF('Capacity summary'!M139&lt;&gt;"",IF(LOWER('Capacity summary'!M139)="x",$BI20*M20,VALUE('Capacity summary'!M139)),0),M20*$BI20),M20*$BI20),0)</f>
        <v>47.115384615384613</v>
      </c>
      <c r="BQ20" s="311">
        <f ca="1">IF($BI20&lt;&gt;"",IF('Capacity summary'!$D$14="Yes",IF(COUNTBLANK('Capacity summary'!$H139:$BG139)&lt;52,IF('Capacity summary'!N139&lt;&gt;"",IF(LOWER('Capacity summary'!N139)="x",$BI20*N20,VALUE('Capacity summary'!N139)),0),N20*$BI20),N20*$BI20),0)</f>
        <v>47.115384615384613</v>
      </c>
      <c r="BR20" s="311">
        <f ca="1">IF($BI20&lt;&gt;"",IF('Capacity summary'!$D$14="Yes",IF(COUNTBLANK('Capacity summary'!$H139:$BG139)&lt;52,IF('Capacity summary'!O139&lt;&gt;"",IF(LOWER('Capacity summary'!O139)="x",$BI20*O20,VALUE('Capacity summary'!O139)),0),O20*$BI20),O20*$BI20),0)</f>
        <v>47.115384615384613</v>
      </c>
      <c r="BS20" s="311">
        <f ca="1">IF($BI20&lt;&gt;"",IF('Capacity summary'!$D$14="Yes",IF(COUNTBLANK('Capacity summary'!$H139:$BG139)&lt;52,IF('Capacity summary'!P139&lt;&gt;"",IF(LOWER('Capacity summary'!P139)="x",$BI20*P20,VALUE('Capacity summary'!P139)),0),P20*$BI20),P20*$BI20),0)</f>
        <v>47.115384615384613</v>
      </c>
      <c r="BT20" s="311">
        <f ca="1">IF($BI20&lt;&gt;"",IF('Capacity summary'!$D$14="Yes",IF(COUNTBLANK('Capacity summary'!$H139:$BG139)&lt;52,IF('Capacity summary'!Q139&lt;&gt;"",IF(LOWER('Capacity summary'!Q139)="x",$BI20*Q20,VALUE('Capacity summary'!Q139)),0),Q20*$BI20),Q20*$BI20),0)</f>
        <v>47.115384615384613</v>
      </c>
      <c r="BU20" s="311">
        <f ca="1">IF($BI20&lt;&gt;"",IF('Capacity summary'!$D$14="Yes",IF(COUNTBLANK('Capacity summary'!$H139:$BG139)&lt;52,IF('Capacity summary'!R139&lt;&gt;"",IF(LOWER('Capacity summary'!R139)="x",$BI20*R20,VALUE('Capacity summary'!R139)),0),R20*$BI20),R20*$BI20),0)</f>
        <v>47.115384615384613</v>
      </c>
      <c r="BV20" s="311">
        <f ca="1">IF($BI20&lt;&gt;"",IF('Capacity summary'!$D$14="Yes",IF(COUNTBLANK('Capacity summary'!$H139:$BG139)&lt;52,IF('Capacity summary'!S139&lt;&gt;"",IF(LOWER('Capacity summary'!S139)="x",$BI20*S20,VALUE('Capacity summary'!S139)),0),S20*$BI20),S20*$BI20),0)</f>
        <v>47.115384615384613</v>
      </c>
      <c r="BW20" s="311">
        <f ca="1">IF($BI20&lt;&gt;"",IF('Capacity summary'!$D$14="Yes",IF(COUNTBLANK('Capacity summary'!$H139:$BG139)&lt;52,IF('Capacity summary'!T139&lt;&gt;"",IF(LOWER('Capacity summary'!T139)="x",$BI20*T20,VALUE('Capacity summary'!T139)),0),T20*$BI20),T20*$BI20),0)</f>
        <v>47.115384615384613</v>
      </c>
      <c r="BX20" s="311">
        <f ca="1">IF($BI20&lt;&gt;"",IF('Capacity summary'!$D$14="Yes",IF(COUNTBLANK('Capacity summary'!$H139:$BG139)&lt;52,IF('Capacity summary'!U139&lt;&gt;"",IF(LOWER('Capacity summary'!U139)="x",$BI20*U20,VALUE('Capacity summary'!U139)),0),U20*$BI20),U20*$BI20),0)</f>
        <v>47.115384615384613</v>
      </c>
      <c r="BY20" s="311">
        <f ca="1">IF($BI20&lt;&gt;"",IF('Capacity summary'!$D$14="Yes",IF(COUNTBLANK('Capacity summary'!$H139:$BG139)&lt;52,IF('Capacity summary'!V139&lt;&gt;"",IF(LOWER('Capacity summary'!V139)="x",$BI20*V20,VALUE('Capacity summary'!V139)),0),V20*$BI20),V20*$BI20),0)</f>
        <v>47.115384615384613</v>
      </c>
      <c r="BZ20" s="311">
        <f ca="1">IF($BI20&lt;&gt;"",IF('Capacity summary'!$D$14="Yes",IF(COUNTBLANK('Capacity summary'!$H139:$BG139)&lt;52,IF('Capacity summary'!W139&lt;&gt;"",IF(LOWER('Capacity summary'!W139)="x",$BI20*W20,VALUE('Capacity summary'!W139)),0),W20*$BI20),W20*$BI20),0)</f>
        <v>47.115384615384613</v>
      </c>
      <c r="CA20" s="311">
        <f ca="1">IF($BI20&lt;&gt;"",IF('Capacity summary'!$D$14="Yes",IF(COUNTBLANK('Capacity summary'!$H139:$BG139)&lt;52,IF('Capacity summary'!X139&lt;&gt;"",IF(LOWER('Capacity summary'!X139)="x",$BI20*X20,VALUE('Capacity summary'!X139)),0),X20*$BI20),X20*$BI20),0)</f>
        <v>47.115384615384613</v>
      </c>
      <c r="CB20" s="311">
        <f ca="1">IF($BI20&lt;&gt;"",IF('Capacity summary'!$D$14="Yes",IF(COUNTBLANK('Capacity summary'!$H139:$BG139)&lt;52,IF('Capacity summary'!Y139&lt;&gt;"",IF(LOWER('Capacity summary'!Y139)="x",$BI20*Y20,VALUE('Capacity summary'!Y139)),0),Y20*$BI20),Y20*$BI20),0)</f>
        <v>47.115384615384613</v>
      </c>
      <c r="CC20" s="311">
        <f ca="1">IF($BI20&lt;&gt;"",IF('Capacity summary'!$D$14="Yes",IF(COUNTBLANK('Capacity summary'!$H139:$BG139)&lt;52,IF('Capacity summary'!Z139&lt;&gt;"",IF(LOWER('Capacity summary'!Z139)="x",$BI20*Z20,VALUE('Capacity summary'!Z139)),0),Z20*$BI20),Z20*$BI20),0)</f>
        <v>47.115384615384613</v>
      </c>
      <c r="CD20" s="311">
        <f ca="1">IF($BI20&lt;&gt;"",IF('Capacity summary'!$D$14="Yes",IF(COUNTBLANK('Capacity summary'!$H139:$BG139)&lt;52,IF('Capacity summary'!AA139&lt;&gt;"",IF(LOWER('Capacity summary'!AA139)="x",$BI20*AA20,VALUE('Capacity summary'!AA139)),0),AA20*$BI20),AA20*$BI20),0)</f>
        <v>47.115384615384613</v>
      </c>
      <c r="CE20" s="311">
        <f ca="1">IF($BI20&lt;&gt;"",IF('Capacity summary'!$D$14="Yes",IF(COUNTBLANK('Capacity summary'!$H139:$BG139)&lt;52,IF('Capacity summary'!AB139&lt;&gt;"",IF(LOWER('Capacity summary'!AB139)="x",$BI20*AB20,VALUE('Capacity summary'!AB139)),0),AB20*$BI20),AB20*$BI20),0)</f>
        <v>47.115384615384613</v>
      </c>
      <c r="CF20" s="311">
        <f ca="1">IF($BI20&lt;&gt;"",IF('Capacity summary'!$D$14="Yes",IF(COUNTBLANK('Capacity summary'!$H139:$BG139)&lt;52,IF('Capacity summary'!AC139&lt;&gt;"",IF(LOWER('Capacity summary'!AC139)="x",$BI20*AC20,VALUE('Capacity summary'!AC139)),0),AC20*$BI20),AC20*$BI20),0)</f>
        <v>47.115384615384613</v>
      </c>
      <c r="CG20" s="311">
        <f ca="1">IF($BI20&lt;&gt;"",IF('Capacity summary'!$D$14="Yes",IF(COUNTBLANK('Capacity summary'!$H139:$BG139)&lt;52,IF('Capacity summary'!AD139&lt;&gt;"",IF(LOWER('Capacity summary'!AD139)="x",$BI20*AD20,VALUE('Capacity summary'!AD139)),0),AD20*$BI20),AD20*$BI20),0)</f>
        <v>47.115384615384613</v>
      </c>
      <c r="CH20" s="311">
        <f ca="1">IF($BI20&lt;&gt;"",IF('Capacity summary'!$D$14="Yes",IF(COUNTBLANK('Capacity summary'!$H139:$BG139)&lt;52,IF('Capacity summary'!AE139&lt;&gt;"",IF(LOWER('Capacity summary'!AE139)="x",$BI20*AE20,VALUE('Capacity summary'!AE139)),0),AE20*$BI20),AE20*$BI20),0)</f>
        <v>47.115384615384613</v>
      </c>
      <c r="CI20" s="311">
        <f ca="1">IF($BI20&lt;&gt;"",IF('Capacity summary'!$D$14="Yes",IF(COUNTBLANK('Capacity summary'!$H139:$BG139)&lt;52,IF('Capacity summary'!AF139&lt;&gt;"",IF(LOWER('Capacity summary'!AF139)="x",$BI20*AF20,VALUE('Capacity summary'!AF139)),0),AF20*$BI20),AF20*$BI20),0)</f>
        <v>47.115384615384613</v>
      </c>
      <c r="CJ20" s="311">
        <f ca="1">IF($BI20&lt;&gt;"",IF('Capacity summary'!$D$14="Yes",IF(COUNTBLANK('Capacity summary'!$H139:$BG139)&lt;52,IF('Capacity summary'!AG139&lt;&gt;"",IF(LOWER('Capacity summary'!AG139)="x",$BI20*AG20,VALUE('Capacity summary'!AG139)),0),AG20*$BI20),AG20*$BI20),0)</f>
        <v>47.115384615384613</v>
      </c>
      <c r="CK20" s="311">
        <f ca="1">IF($BI20&lt;&gt;"",IF('Capacity summary'!$D$14="Yes",IF(COUNTBLANK('Capacity summary'!$H139:$BG139)&lt;52,IF('Capacity summary'!AH139&lt;&gt;"",IF(LOWER('Capacity summary'!AH139)="x",$BI20*AH20,VALUE('Capacity summary'!AH139)),0),AH20*$BI20),AH20*$BI20),0)</f>
        <v>47.115384615384613</v>
      </c>
      <c r="CL20" s="311">
        <f ca="1">IF($BI20&lt;&gt;"",IF('Capacity summary'!$D$14="Yes",IF(COUNTBLANK('Capacity summary'!$H139:$BG139)&lt;52,IF('Capacity summary'!AI139&lt;&gt;"",IF(LOWER('Capacity summary'!AI139)="x",$BI20*AI20,VALUE('Capacity summary'!AI139)),0),AI20*$BI20),AI20*$BI20),0)</f>
        <v>47.115384615384613</v>
      </c>
      <c r="CM20" s="311">
        <f ca="1">IF($BI20&lt;&gt;"",IF('Capacity summary'!$D$14="Yes",IF(COUNTBLANK('Capacity summary'!$H139:$BG139)&lt;52,IF('Capacity summary'!AJ139&lt;&gt;"",IF(LOWER('Capacity summary'!AJ139)="x",$BI20*AJ20,VALUE('Capacity summary'!AJ139)),0),AJ20*$BI20),AJ20*$BI20),0)</f>
        <v>47.115384615384613</v>
      </c>
      <c r="CN20" s="311">
        <f ca="1">IF($BI20&lt;&gt;"",IF('Capacity summary'!$D$14="Yes",IF(COUNTBLANK('Capacity summary'!$H139:$BG139)&lt;52,IF('Capacity summary'!AK139&lt;&gt;"",IF(LOWER('Capacity summary'!AK139)="x",$BI20*AK20,VALUE('Capacity summary'!AK139)),0),AK20*$BI20),AK20*$BI20),0)</f>
        <v>47.115384615384613</v>
      </c>
      <c r="CO20" s="311">
        <f ca="1">IF($BI20&lt;&gt;"",IF('Capacity summary'!$D$14="Yes",IF(COUNTBLANK('Capacity summary'!$H139:$BG139)&lt;52,IF('Capacity summary'!AL139&lt;&gt;"",IF(LOWER('Capacity summary'!AL139)="x",$BI20*AL20,VALUE('Capacity summary'!AL139)),0),AL20*$BI20),AL20*$BI20),0)</f>
        <v>47.115384615384613</v>
      </c>
      <c r="CP20" s="311">
        <f ca="1">IF($BI20&lt;&gt;"",IF('Capacity summary'!$D$14="Yes",IF(COUNTBLANK('Capacity summary'!$H139:$BG139)&lt;52,IF('Capacity summary'!AM139&lt;&gt;"",IF(LOWER('Capacity summary'!AM139)="x",$BI20*AM20,VALUE('Capacity summary'!AM139)),0),AM20*$BI20),AM20*$BI20),0)</f>
        <v>47.115384615384613</v>
      </c>
      <c r="CQ20" s="311">
        <f ca="1">IF($BI20&lt;&gt;"",IF('Capacity summary'!$D$14="Yes",IF(COUNTBLANK('Capacity summary'!$H139:$BG139)&lt;52,IF('Capacity summary'!AN139&lt;&gt;"",IF(LOWER('Capacity summary'!AN139)="x",$BI20*AN20,VALUE('Capacity summary'!AN139)),0),AN20*$BI20),AN20*$BI20),0)</f>
        <v>47.115384615384613</v>
      </c>
      <c r="CR20" s="311">
        <f ca="1">IF($BI20&lt;&gt;"",IF('Capacity summary'!$D$14="Yes",IF(COUNTBLANK('Capacity summary'!$H139:$BG139)&lt;52,IF('Capacity summary'!AO139&lt;&gt;"",IF(LOWER('Capacity summary'!AO139)="x",$BI20*AO20,VALUE('Capacity summary'!AO139)),0),AO20*$BI20),AO20*$BI20),0)</f>
        <v>47.115384615384613</v>
      </c>
      <c r="CS20" s="311">
        <f ca="1">IF($BI20&lt;&gt;"",IF('Capacity summary'!$D$14="Yes",IF(COUNTBLANK('Capacity summary'!$H139:$BG139)&lt;52,IF('Capacity summary'!AP139&lt;&gt;"",IF(LOWER('Capacity summary'!AP139)="x",$BI20*AP20,VALUE('Capacity summary'!AP139)),0),AP20*$BI20),AP20*$BI20),0)</f>
        <v>47.115384615384613</v>
      </c>
      <c r="CT20" s="311">
        <f ca="1">IF($BI20&lt;&gt;"",IF('Capacity summary'!$D$14="Yes",IF(COUNTBLANK('Capacity summary'!$H139:$BG139)&lt;52,IF('Capacity summary'!AQ139&lt;&gt;"",IF(LOWER('Capacity summary'!AQ139)="x",$BI20*AQ20,VALUE('Capacity summary'!AQ139)),0),AQ20*$BI20),AQ20*$BI20),0)</f>
        <v>47.115384615384613</v>
      </c>
      <c r="CU20" s="311">
        <f ca="1">IF($BI20&lt;&gt;"",IF('Capacity summary'!$D$14="Yes",IF(COUNTBLANK('Capacity summary'!$H139:$BG139)&lt;52,IF('Capacity summary'!AR139&lt;&gt;"",IF(LOWER('Capacity summary'!AR139)="x",$BI20*AR20,VALUE('Capacity summary'!AR139)),0),AR20*$BI20),AR20*$BI20),0)</f>
        <v>47.115384615384613</v>
      </c>
      <c r="CV20" s="311">
        <f ca="1">IF($BI20&lt;&gt;"",IF('Capacity summary'!$D$14="Yes",IF(COUNTBLANK('Capacity summary'!$H139:$BG139)&lt;52,IF('Capacity summary'!AS139&lt;&gt;"",IF(LOWER('Capacity summary'!AS139)="x",$BI20*AS20,VALUE('Capacity summary'!AS139)),0),AS20*$BI20),AS20*$BI20),0)</f>
        <v>47.115384615384613</v>
      </c>
      <c r="CW20" s="311">
        <f ca="1">IF($BI20&lt;&gt;"",IF('Capacity summary'!$D$14="Yes",IF(COUNTBLANK('Capacity summary'!$H139:$BG139)&lt;52,IF('Capacity summary'!AT139&lt;&gt;"",IF(LOWER('Capacity summary'!AT139)="x",$BI20*AT20,VALUE('Capacity summary'!AT139)),0),AT20*$BI20),AT20*$BI20),0)</f>
        <v>47.115384615384613</v>
      </c>
      <c r="CX20" s="311">
        <f ca="1">IF($BI20&lt;&gt;"",IF('Capacity summary'!$D$14="Yes",IF(COUNTBLANK('Capacity summary'!$H139:$BG139)&lt;52,IF('Capacity summary'!AU139&lt;&gt;"",IF(LOWER('Capacity summary'!AU139)="x",$BI20*AU20,VALUE('Capacity summary'!AU139)),0),AU20*$BI20),AU20*$BI20),0)</f>
        <v>47.115384615384613</v>
      </c>
      <c r="CY20" s="311">
        <f ca="1">IF($BI20&lt;&gt;"",IF('Capacity summary'!$D$14="Yes",IF(COUNTBLANK('Capacity summary'!$H139:$BG139)&lt;52,IF('Capacity summary'!AV139&lt;&gt;"",IF(LOWER('Capacity summary'!AV139)="x",$BI20*AV20,VALUE('Capacity summary'!AV139)),0),AV20*$BI20),AV20*$BI20),0)</f>
        <v>47.115384615384613</v>
      </c>
      <c r="CZ20" s="311">
        <f ca="1">IF($BI20&lt;&gt;"",IF('Capacity summary'!$D$14="Yes",IF(COUNTBLANK('Capacity summary'!$H139:$BG139)&lt;52,IF('Capacity summary'!AW139&lt;&gt;"",IF(LOWER('Capacity summary'!AW139)="x",$BI20*AW20,VALUE('Capacity summary'!AW139)),0),AW20*$BI20),AW20*$BI20),0)</f>
        <v>47.115384615384613</v>
      </c>
      <c r="DA20" s="311">
        <f ca="1">IF($BI20&lt;&gt;"",IF('Capacity summary'!$D$14="Yes",IF(COUNTBLANK('Capacity summary'!$H139:$BG139)&lt;52,IF('Capacity summary'!AX139&lt;&gt;"",IF(LOWER('Capacity summary'!AX139)="x",$BI20*AX20,VALUE('Capacity summary'!AX139)),0),AX20*$BI20),AX20*$BI20),0)</f>
        <v>47.115384615384613</v>
      </c>
      <c r="DB20" s="311">
        <f ca="1">IF($BI20&lt;&gt;"",IF('Capacity summary'!$D$14="Yes",IF(COUNTBLANK('Capacity summary'!$H139:$BG139)&lt;52,IF('Capacity summary'!AY139&lt;&gt;"",IF(LOWER('Capacity summary'!AY139)="x",$BI20*AY20,VALUE('Capacity summary'!AY139)),0),AY20*$BI20),AY20*$BI20),0)</f>
        <v>47.115384615384613</v>
      </c>
      <c r="DC20" s="311">
        <f ca="1">IF($BI20&lt;&gt;"",IF('Capacity summary'!$D$14="Yes",IF(COUNTBLANK('Capacity summary'!$H139:$BG139)&lt;52,IF('Capacity summary'!AZ139&lt;&gt;"",IF(LOWER('Capacity summary'!AZ139)="x",$BI20*AZ20,VALUE('Capacity summary'!AZ139)),0),AZ20*$BI20),AZ20*$BI20),0)</f>
        <v>47.115384615384613</v>
      </c>
      <c r="DD20" s="311">
        <f ca="1">IF($BI20&lt;&gt;"",IF('Capacity summary'!$D$14="Yes",IF(COUNTBLANK('Capacity summary'!$H139:$BG139)&lt;52,IF('Capacity summary'!BA139&lt;&gt;"",IF(LOWER('Capacity summary'!BA139)="x",$BI20*BA20,VALUE('Capacity summary'!BA139)),0),BA20*$BI20),BA20*$BI20),0)</f>
        <v>47.115384615384613</v>
      </c>
      <c r="DE20" s="311">
        <f ca="1">IF($BI20&lt;&gt;"",IF('Capacity summary'!$D$14="Yes",IF(COUNTBLANK('Capacity summary'!$H139:$BG139)&lt;52,IF('Capacity summary'!BB139&lt;&gt;"",IF(LOWER('Capacity summary'!BB139)="x",$BI20*BB20,VALUE('Capacity summary'!BB139)),0),BB20*$BI20),BB20*$BI20),0)</f>
        <v>47.115384615384613</v>
      </c>
      <c r="DF20" s="311">
        <f ca="1">IF($BI20&lt;&gt;"",IF('Capacity summary'!$D$14="Yes",IF(COUNTBLANK('Capacity summary'!$H139:$BG139)&lt;52,IF('Capacity summary'!BC139&lt;&gt;"",IF(LOWER('Capacity summary'!BC139)="x",$BI20*BC20,VALUE('Capacity summary'!BC139)),0),BC20*$BI20),BC20*$BI20),0)</f>
        <v>47.115384615384613</v>
      </c>
      <c r="DG20" s="311">
        <f ca="1">IF($BI20&lt;&gt;"",IF('Capacity summary'!$D$14="Yes",IF(COUNTBLANK('Capacity summary'!$H139:$BG139)&lt;52,IF('Capacity summary'!BD139&lt;&gt;"",IF(LOWER('Capacity summary'!BD139)="x",$BI20*BD20,VALUE('Capacity summary'!BD139)),0),BD20*$BI20),BD20*$BI20),0)</f>
        <v>47.115384615384613</v>
      </c>
      <c r="DH20" s="311">
        <f ca="1">IF($BI20&lt;&gt;"",IF('Capacity summary'!$D$14="Yes",IF(COUNTBLANK('Capacity summary'!$H139:$BG139)&lt;52,IF('Capacity summary'!BE139&lt;&gt;"",IF(LOWER('Capacity summary'!BE139)="x",$BI20*BE20,VALUE('Capacity summary'!BE139)),0),BE20*$BI20),BE20*$BI20),0)</f>
        <v>47.115384615384613</v>
      </c>
      <c r="DI20" s="311">
        <f ca="1">IF($BI20&lt;&gt;"",IF('Capacity summary'!$D$14="Yes",IF(COUNTBLANK('Capacity summary'!$H139:$BG139)&lt;52,IF('Capacity summary'!BF139&lt;&gt;"",IF(LOWER('Capacity summary'!BF139)="x",$BI20*BF20,VALUE('Capacity summary'!BF139)),0),BF20*$BI20),BF20*$BI20),0)</f>
        <v>47.115384615384613</v>
      </c>
      <c r="DJ20" s="311">
        <f ca="1">IF($BI20&lt;&gt;"",IF('Capacity summary'!$D$14="Yes",IF(COUNTBLANK('Capacity summary'!$H139:$BG139)&lt;52,IF('Capacity summary'!BG139&lt;&gt;"",IF(LOWER('Capacity summary'!BG139)="x",$BI20*BG20,VALUE('Capacity summary'!BG139)),0),BG20*$BI20),BG20*$BI20),0)</f>
        <v>47.115384615384613</v>
      </c>
      <c r="DK20" s="388">
        <f t="shared" ca="1" si="2"/>
        <v>47.115384615384613</v>
      </c>
      <c r="DL20" s="136">
        <f t="shared" ca="1" si="3"/>
        <v>2449.9999999999995</v>
      </c>
      <c r="DM20" s="311">
        <f>Capacity!H32</f>
        <v>2450</v>
      </c>
      <c r="DQ20" s="5"/>
    </row>
    <row r="21" spans="1:121" x14ac:dyDescent="0.2">
      <c r="A21" s="67">
        <f>IF(Capacity!L33='Capacity summary'!BI140,1,0)</f>
        <v>1</v>
      </c>
      <c r="B21" s="67">
        <f>IF(Capacity!V33='Capacity summary'!BI40,1,0)</f>
        <v>1</v>
      </c>
      <c r="C21" s="67" t="str">
        <f>ROW(A17)&amp;". "&amp;Capacity!B33</f>
        <v>17. 2 ww</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 ca="1">IF(ROW(C17)&lt;=Capacity!$A$16,IF('Capacity summary'!$D$14="No",SUM(H21:BG21),'Capacity summary'!$E140),0)</f>
        <v>52</v>
      </c>
      <c r="BI21" s="5">
        <f ca="1">IF(BH21&gt;0,IF(BH21&lt;Capacity!E33,Capacity!F33,Capacity!H33/'Capacity calculation (hide)'!BH21),"")</f>
        <v>169.61538461538461</v>
      </c>
      <c r="BK21" s="311">
        <f ca="1">IF($BI21&lt;&gt;"",IF('Capacity summary'!$D$14="Yes",IF(COUNTBLANK('Capacity summary'!$H140:$BG140)&lt;52,IF('Capacity summary'!H140&lt;&gt;"",IF(LOWER('Capacity summary'!H140)="x",$BI21*H21,VALUE('Capacity summary'!H140)),0),H21*$BI21),H21*$BI21),0)</f>
        <v>169.61538461538461</v>
      </c>
      <c r="BL21" s="311">
        <f ca="1">IF($BI21&lt;&gt;"",IF('Capacity summary'!$D$14="Yes",IF(COUNTBLANK('Capacity summary'!$H140:$BG140)&lt;52,IF('Capacity summary'!I140&lt;&gt;"",IF(LOWER('Capacity summary'!I140)="x",$BI21*I21,VALUE('Capacity summary'!I140)),0),I21*$BI21),I21*$BI21),0)</f>
        <v>169.61538461538461</v>
      </c>
      <c r="BM21" s="311">
        <f ca="1">IF($BI21&lt;&gt;"",IF('Capacity summary'!$D$14="Yes",IF(COUNTBLANK('Capacity summary'!$H140:$BG140)&lt;52,IF('Capacity summary'!J140&lt;&gt;"",IF(LOWER('Capacity summary'!J140)="x",$BI21*J21,VALUE('Capacity summary'!J140)),0),J21*$BI21),J21*$BI21),0)</f>
        <v>169.61538461538461</v>
      </c>
      <c r="BN21" s="311">
        <f ca="1">IF($BI21&lt;&gt;"",IF('Capacity summary'!$D$14="Yes",IF(COUNTBLANK('Capacity summary'!$H140:$BG140)&lt;52,IF('Capacity summary'!K140&lt;&gt;"",IF(LOWER('Capacity summary'!K140)="x",$BI21*K21,VALUE('Capacity summary'!K140)),0),K21*$BI21),K21*$BI21),0)</f>
        <v>169.61538461538461</v>
      </c>
      <c r="BO21" s="311">
        <f ca="1">IF($BI21&lt;&gt;"",IF('Capacity summary'!$D$14="Yes",IF(COUNTBLANK('Capacity summary'!$H140:$BG140)&lt;52,IF('Capacity summary'!L140&lt;&gt;"",IF(LOWER('Capacity summary'!L140)="x",$BI21*L21,VALUE('Capacity summary'!L140)),0),L21*$BI21),L21*$BI21),0)</f>
        <v>169.61538461538461</v>
      </c>
      <c r="BP21" s="311">
        <f ca="1">IF($BI21&lt;&gt;"",IF('Capacity summary'!$D$14="Yes",IF(COUNTBLANK('Capacity summary'!$H140:$BG140)&lt;52,IF('Capacity summary'!M140&lt;&gt;"",IF(LOWER('Capacity summary'!M140)="x",$BI21*M21,VALUE('Capacity summary'!M140)),0),M21*$BI21),M21*$BI21),0)</f>
        <v>169.61538461538461</v>
      </c>
      <c r="BQ21" s="311">
        <f ca="1">IF($BI21&lt;&gt;"",IF('Capacity summary'!$D$14="Yes",IF(COUNTBLANK('Capacity summary'!$H140:$BG140)&lt;52,IF('Capacity summary'!N140&lt;&gt;"",IF(LOWER('Capacity summary'!N140)="x",$BI21*N21,VALUE('Capacity summary'!N140)),0),N21*$BI21),N21*$BI21),0)</f>
        <v>169.61538461538461</v>
      </c>
      <c r="BR21" s="311">
        <f ca="1">IF($BI21&lt;&gt;"",IF('Capacity summary'!$D$14="Yes",IF(COUNTBLANK('Capacity summary'!$H140:$BG140)&lt;52,IF('Capacity summary'!O140&lt;&gt;"",IF(LOWER('Capacity summary'!O140)="x",$BI21*O21,VALUE('Capacity summary'!O140)),0),O21*$BI21),O21*$BI21),0)</f>
        <v>169.61538461538461</v>
      </c>
      <c r="BS21" s="311">
        <f ca="1">IF($BI21&lt;&gt;"",IF('Capacity summary'!$D$14="Yes",IF(COUNTBLANK('Capacity summary'!$H140:$BG140)&lt;52,IF('Capacity summary'!P140&lt;&gt;"",IF(LOWER('Capacity summary'!P140)="x",$BI21*P21,VALUE('Capacity summary'!P140)),0),P21*$BI21),P21*$BI21),0)</f>
        <v>169.61538461538461</v>
      </c>
      <c r="BT21" s="311">
        <f ca="1">IF($BI21&lt;&gt;"",IF('Capacity summary'!$D$14="Yes",IF(COUNTBLANK('Capacity summary'!$H140:$BG140)&lt;52,IF('Capacity summary'!Q140&lt;&gt;"",IF(LOWER('Capacity summary'!Q140)="x",$BI21*Q21,VALUE('Capacity summary'!Q140)),0),Q21*$BI21),Q21*$BI21),0)</f>
        <v>169.61538461538461</v>
      </c>
      <c r="BU21" s="311">
        <f ca="1">IF($BI21&lt;&gt;"",IF('Capacity summary'!$D$14="Yes",IF(COUNTBLANK('Capacity summary'!$H140:$BG140)&lt;52,IF('Capacity summary'!R140&lt;&gt;"",IF(LOWER('Capacity summary'!R140)="x",$BI21*R21,VALUE('Capacity summary'!R140)),0),R21*$BI21),R21*$BI21),0)</f>
        <v>169.61538461538461</v>
      </c>
      <c r="BV21" s="311">
        <f ca="1">IF($BI21&lt;&gt;"",IF('Capacity summary'!$D$14="Yes",IF(COUNTBLANK('Capacity summary'!$H140:$BG140)&lt;52,IF('Capacity summary'!S140&lt;&gt;"",IF(LOWER('Capacity summary'!S140)="x",$BI21*S21,VALUE('Capacity summary'!S140)),0),S21*$BI21),S21*$BI21),0)</f>
        <v>169.61538461538461</v>
      </c>
      <c r="BW21" s="311">
        <f ca="1">IF($BI21&lt;&gt;"",IF('Capacity summary'!$D$14="Yes",IF(COUNTBLANK('Capacity summary'!$H140:$BG140)&lt;52,IF('Capacity summary'!T140&lt;&gt;"",IF(LOWER('Capacity summary'!T140)="x",$BI21*T21,VALUE('Capacity summary'!T140)),0),T21*$BI21),T21*$BI21),0)</f>
        <v>169.61538461538461</v>
      </c>
      <c r="BX21" s="311">
        <f ca="1">IF($BI21&lt;&gt;"",IF('Capacity summary'!$D$14="Yes",IF(COUNTBLANK('Capacity summary'!$H140:$BG140)&lt;52,IF('Capacity summary'!U140&lt;&gt;"",IF(LOWER('Capacity summary'!U140)="x",$BI21*U21,VALUE('Capacity summary'!U140)),0),U21*$BI21),U21*$BI21),0)</f>
        <v>169.61538461538461</v>
      </c>
      <c r="BY21" s="311">
        <f ca="1">IF($BI21&lt;&gt;"",IF('Capacity summary'!$D$14="Yes",IF(COUNTBLANK('Capacity summary'!$H140:$BG140)&lt;52,IF('Capacity summary'!V140&lt;&gt;"",IF(LOWER('Capacity summary'!V140)="x",$BI21*V21,VALUE('Capacity summary'!V140)),0),V21*$BI21),V21*$BI21),0)</f>
        <v>169.61538461538461</v>
      </c>
      <c r="BZ21" s="311">
        <f ca="1">IF($BI21&lt;&gt;"",IF('Capacity summary'!$D$14="Yes",IF(COUNTBLANK('Capacity summary'!$H140:$BG140)&lt;52,IF('Capacity summary'!W140&lt;&gt;"",IF(LOWER('Capacity summary'!W140)="x",$BI21*W21,VALUE('Capacity summary'!W140)),0),W21*$BI21),W21*$BI21),0)</f>
        <v>169.61538461538461</v>
      </c>
      <c r="CA21" s="311">
        <f ca="1">IF($BI21&lt;&gt;"",IF('Capacity summary'!$D$14="Yes",IF(COUNTBLANK('Capacity summary'!$H140:$BG140)&lt;52,IF('Capacity summary'!X140&lt;&gt;"",IF(LOWER('Capacity summary'!X140)="x",$BI21*X21,VALUE('Capacity summary'!X140)),0),X21*$BI21),X21*$BI21),0)</f>
        <v>169.61538461538461</v>
      </c>
      <c r="CB21" s="311">
        <f ca="1">IF($BI21&lt;&gt;"",IF('Capacity summary'!$D$14="Yes",IF(COUNTBLANK('Capacity summary'!$H140:$BG140)&lt;52,IF('Capacity summary'!Y140&lt;&gt;"",IF(LOWER('Capacity summary'!Y140)="x",$BI21*Y21,VALUE('Capacity summary'!Y140)),0),Y21*$BI21),Y21*$BI21),0)</f>
        <v>169.61538461538461</v>
      </c>
      <c r="CC21" s="311">
        <f ca="1">IF($BI21&lt;&gt;"",IF('Capacity summary'!$D$14="Yes",IF(COUNTBLANK('Capacity summary'!$H140:$BG140)&lt;52,IF('Capacity summary'!Z140&lt;&gt;"",IF(LOWER('Capacity summary'!Z140)="x",$BI21*Z21,VALUE('Capacity summary'!Z140)),0),Z21*$BI21),Z21*$BI21),0)</f>
        <v>169.61538461538461</v>
      </c>
      <c r="CD21" s="311">
        <f ca="1">IF($BI21&lt;&gt;"",IF('Capacity summary'!$D$14="Yes",IF(COUNTBLANK('Capacity summary'!$H140:$BG140)&lt;52,IF('Capacity summary'!AA140&lt;&gt;"",IF(LOWER('Capacity summary'!AA140)="x",$BI21*AA21,VALUE('Capacity summary'!AA140)),0),AA21*$BI21),AA21*$BI21),0)</f>
        <v>169.61538461538461</v>
      </c>
      <c r="CE21" s="311">
        <f ca="1">IF($BI21&lt;&gt;"",IF('Capacity summary'!$D$14="Yes",IF(COUNTBLANK('Capacity summary'!$H140:$BG140)&lt;52,IF('Capacity summary'!AB140&lt;&gt;"",IF(LOWER('Capacity summary'!AB140)="x",$BI21*AB21,VALUE('Capacity summary'!AB140)),0),AB21*$BI21),AB21*$BI21),0)</f>
        <v>169.61538461538461</v>
      </c>
      <c r="CF21" s="311">
        <f ca="1">IF($BI21&lt;&gt;"",IF('Capacity summary'!$D$14="Yes",IF(COUNTBLANK('Capacity summary'!$H140:$BG140)&lt;52,IF('Capacity summary'!AC140&lt;&gt;"",IF(LOWER('Capacity summary'!AC140)="x",$BI21*AC21,VALUE('Capacity summary'!AC140)),0),AC21*$BI21),AC21*$BI21),0)</f>
        <v>169.61538461538461</v>
      </c>
      <c r="CG21" s="311">
        <f ca="1">IF($BI21&lt;&gt;"",IF('Capacity summary'!$D$14="Yes",IF(COUNTBLANK('Capacity summary'!$H140:$BG140)&lt;52,IF('Capacity summary'!AD140&lt;&gt;"",IF(LOWER('Capacity summary'!AD140)="x",$BI21*AD21,VALUE('Capacity summary'!AD140)),0),AD21*$BI21),AD21*$BI21),0)</f>
        <v>169.61538461538461</v>
      </c>
      <c r="CH21" s="311">
        <f ca="1">IF($BI21&lt;&gt;"",IF('Capacity summary'!$D$14="Yes",IF(COUNTBLANK('Capacity summary'!$H140:$BG140)&lt;52,IF('Capacity summary'!AE140&lt;&gt;"",IF(LOWER('Capacity summary'!AE140)="x",$BI21*AE21,VALUE('Capacity summary'!AE140)),0),AE21*$BI21),AE21*$BI21),0)</f>
        <v>169.61538461538461</v>
      </c>
      <c r="CI21" s="311">
        <f ca="1">IF($BI21&lt;&gt;"",IF('Capacity summary'!$D$14="Yes",IF(COUNTBLANK('Capacity summary'!$H140:$BG140)&lt;52,IF('Capacity summary'!AF140&lt;&gt;"",IF(LOWER('Capacity summary'!AF140)="x",$BI21*AF21,VALUE('Capacity summary'!AF140)),0),AF21*$BI21),AF21*$BI21),0)</f>
        <v>169.61538461538461</v>
      </c>
      <c r="CJ21" s="311">
        <f ca="1">IF($BI21&lt;&gt;"",IF('Capacity summary'!$D$14="Yes",IF(COUNTBLANK('Capacity summary'!$H140:$BG140)&lt;52,IF('Capacity summary'!AG140&lt;&gt;"",IF(LOWER('Capacity summary'!AG140)="x",$BI21*AG21,VALUE('Capacity summary'!AG140)),0),AG21*$BI21),AG21*$BI21),0)</f>
        <v>169.61538461538461</v>
      </c>
      <c r="CK21" s="311">
        <f ca="1">IF($BI21&lt;&gt;"",IF('Capacity summary'!$D$14="Yes",IF(COUNTBLANK('Capacity summary'!$H140:$BG140)&lt;52,IF('Capacity summary'!AH140&lt;&gt;"",IF(LOWER('Capacity summary'!AH140)="x",$BI21*AH21,VALUE('Capacity summary'!AH140)),0),AH21*$BI21),AH21*$BI21),0)</f>
        <v>169.61538461538461</v>
      </c>
      <c r="CL21" s="311">
        <f ca="1">IF($BI21&lt;&gt;"",IF('Capacity summary'!$D$14="Yes",IF(COUNTBLANK('Capacity summary'!$H140:$BG140)&lt;52,IF('Capacity summary'!AI140&lt;&gt;"",IF(LOWER('Capacity summary'!AI140)="x",$BI21*AI21,VALUE('Capacity summary'!AI140)),0),AI21*$BI21),AI21*$BI21),0)</f>
        <v>169.61538461538461</v>
      </c>
      <c r="CM21" s="311">
        <f ca="1">IF($BI21&lt;&gt;"",IF('Capacity summary'!$D$14="Yes",IF(COUNTBLANK('Capacity summary'!$H140:$BG140)&lt;52,IF('Capacity summary'!AJ140&lt;&gt;"",IF(LOWER('Capacity summary'!AJ140)="x",$BI21*AJ21,VALUE('Capacity summary'!AJ140)),0),AJ21*$BI21),AJ21*$BI21),0)</f>
        <v>169.61538461538461</v>
      </c>
      <c r="CN21" s="311">
        <f ca="1">IF($BI21&lt;&gt;"",IF('Capacity summary'!$D$14="Yes",IF(COUNTBLANK('Capacity summary'!$H140:$BG140)&lt;52,IF('Capacity summary'!AK140&lt;&gt;"",IF(LOWER('Capacity summary'!AK140)="x",$BI21*AK21,VALUE('Capacity summary'!AK140)),0),AK21*$BI21),AK21*$BI21),0)</f>
        <v>169.61538461538461</v>
      </c>
      <c r="CO21" s="311">
        <f ca="1">IF($BI21&lt;&gt;"",IF('Capacity summary'!$D$14="Yes",IF(COUNTBLANK('Capacity summary'!$H140:$BG140)&lt;52,IF('Capacity summary'!AL140&lt;&gt;"",IF(LOWER('Capacity summary'!AL140)="x",$BI21*AL21,VALUE('Capacity summary'!AL140)),0),AL21*$BI21),AL21*$BI21),0)</f>
        <v>169.61538461538461</v>
      </c>
      <c r="CP21" s="311">
        <f ca="1">IF($BI21&lt;&gt;"",IF('Capacity summary'!$D$14="Yes",IF(COUNTBLANK('Capacity summary'!$H140:$BG140)&lt;52,IF('Capacity summary'!AM140&lt;&gt;"",IF(LOWER('Capacity summary'!AM140)="x",$BI21*AM21,VALUE('Capacity summary'!AM140)),0),AM21*$BI21),AM21*$BI21),0)</f>
        <v>169.61538461538461</v>
      </c>
      <c r="CQ21" s="311">
        <f ca="1">IF($BI21&lt;&gt;"",IF('Capacity summary'!$D$14="Yes",IF(COUNTBLANK('Capacity summary'!$H140:$BG140)&lt;52,IF('Capacity summary'!AN140&lt;&gt;"",IF(LOWER('Capacity summary'!AN140)="x",$BI21*AN21,VALUE('Capacity summary'!AN140)),0),AN21*$BI21),AN21*$BI21),0)</f>
        <v>169.61538461538461</v>
      </c>
      <c r="CR21" s="311">
        <f ca="1">IF($BI21&lt;&gt;"",IF('Capacity summary'!$D$14="Yes",IF(COUNTBLANK('Capacity summary'!$H140:$BG140)&lt;52,IF('Capacity summary'!AO140&lt;&gt;"",IF(LOWER('Capacity summary'!AO140)="x",$BI21*AO21,VALUE('Capacity summary'!AO140)),0),AO21*$BI21),AO21*$BI21),0)</f>
        <v>169.61538461538461</v>
      </c>
      <c r="CS21" s="311">
        <f ca="1">IF($BI21&lt;&gt;"",IF('Capacity summary'!$D$14="Yes",IF(COUNTBLANK('Capacity summary'!$H140:$BG140)&lt;52,IF('Capacity summary'!AP140&lt;&gt;"",IF(LOWER('Capacity summary'!AP140)="x",$BI21*AP21,VALUE('Capacity summary'!AP140)),0),AP21*$BI21),AP21*$BI21),0)</f>
        <v>169.61538461538461</v>
      </c>
      <c r="CT21" s="311">
        <f ca="1">IF($BI21&lt;&gt;"",IF('Capacity summary'!$D$14="Yes",IF(COUNTBLANK('Capacity summary'!$H140:$BG140)&lt;52,IF('Capacity summary'!AQ140&lt;&gt;"",IF(LOWER('Capacity summary'!AQ140)="x",$BI21*AQ21,VALUE('Capacity summary'!AQ140)),0),AQ21*$BI21),AQ21*$BI21),0)</f>
        <v>169.61538461538461</v>
      </c>
      <c r="CU21" s="311">
        <f ca="1">IF($BI21&lt;&gt;"",IF('Capacity summary'!$D$14="Yes",IF(COUNTBLANK('Capacity summary'!$H140:$BG140)&lt;52,IF('Capacity summary'!AR140&lt;&gt;"",IF(LOWER('Capacity summary'!AR140)="x",$BI21*AR21,VALUE('Capacity summary'!AR140)),0),AR21*$BI21),AR21*$BI21),0)</f>
        <v>169.61538461538461</v>
      </c>
      <c r="CV21" s="311">
        <f ca="1">IF($BI21&lt;&gt;"",IF('Capacity summary'!$D$14="Yes",IF(COUNTBLANK('Capacity summary'!$H140:$BG140)&lt;52,IF('Capacity summary'!AS140&lt;&gt;"",IF(LOWER('Capacity summary'!AS140)="x",$BI21*AS21,VALUE('Capacity summary'!AS140)),0),AS21*$BI21),AS21*$BI21),0)</f>
        <v>169.61538461538461</v>
      </c>
      <c r="CW21" s="311">
        <f ca="1">IF($BI21&lt;&gt;"",IF('Capacity summary'!$D$14="Yes",IF(COUNTBLANK('Capacity summary'!$H140:$BG140)&lt;52,IF('Capacity summary'!AT140&lt;&gt;"",IF(LOWER('Capacity summary'!AT140)="x",$BI21*AT21,VALUE('Capacity summary'!AT140)),0),AT21*$BI21),AT21*$BI21),0)</f>
        <v>169.61538461538461</v>
      </c>
      <c r="CX21" s="311">
        <f ca="1">IF($BI21&lt;&gt;"",IF('Capacity summary'!$D$14="Yes",IF(COUNTBLANK('Capacity summary'!$H140:$BG140)&lt;52,IF('Capacity summary'!AU140&lt;&gt;"",IF(LOWER('Capacity summary'!AU140)="x",$BI21*AU21,VALUE('Capacity summary'!AU140)),0),AU21*$BI21),AU21*$BI21),0)</f>
        <v>169.61538461538461</v>
      </c>
      <c r="CY21" s="311">
        <f ca="1">IF($BI21&lt;&gt;"",IF('Capacity summary'!$D$14="Yes",IF(COUNTBLANK('Capacity summary'!$H140:$BG140)&lt;52,IF('Capacity summary'!AV140&lt;&gt;"",IF(LOWER('Capacity summary'!AV140)="x",$BI21*AV21,VALUE('Capacity summary'!AV140)),0),AV21*$BI21),AV21*$BI21),0)</f>
        <v>169.61538461538461</v>
      </c>
      <c r="CZ21" s="311">
        <f ca="1">IF($BI21&lt;&gt;"",IF('Capacity summary'!$D$14="Yes",IF(COUNTBLANK('Capacity summary'!$H140:$BG140)&lt;52,IF('Capacity summary'!AW140&lt;&gt;"",IF(LOWER('Capacity summary'!AW140)="x",$BI21*AW21,VALUE('Capacity summary'!AW140)),0),AW21*$BI21),AW21*$BI21),0)</f>
        <v>169.61538461538461</v>
      </c>
      <c r="DA21" s="311">
        <f ca="1">IF($BI21&lt;&gt;"",IF('Capacity summary'!$D$14="Yes",IF(COUNTBLANK('Capacity summary'!$H140:$BG140)&lt;52,IF('Capacity summary'!AX140&lt;&gt;"",IF(LOWER('Capacity summary'!AX140)="x",$BI21*AX21,VALUE('Capacity summary'!AX140)),0),AX21*$BI21),AX21*$BI21),0)</f>
        <v>169.61538461538461</v>
      </c>
      <c r="DB21" s="311">
        <f ca="1">IF($BI21&lt;&gt;"",IF('Capacity summary'!$D$14="Yes",IF(COUNTBLANK('Capacity summary'!$H140:$BG140)&lt;52,IF('Capacity summary'!AY140&lt;&gt;"",IF(LOWER('Capacity summary'!AY140)="x",$BI21*AY21,VALUE('Capacity summary'!AY140)),0),AY21*$BI21),AY21*$BI21),0)</f>
        <v>169.61538461538461</v>
      </c>
      <c r="DC21" s="311">
        <f ca="1">IF($BI21&lt;&gt;"",IF('Capacity summary'!$D$14="Yes",IF(COUNTBLANK('Capacity summary'!$H140:$BG140)&lt;52,IF('Capacity summary'!AZ140&lt;&gt;"",IF(LOWER('Capacity summary'!AZ140)="x",$BI21*AZ21,VALUE('Capacity summary'!AZ140)),0),AZ21*$BI21),AZ21*$BI21),0)</f>
        <v>169.61538461538461</v>
      </c>
      <c r="DD21" s="311">
        <f ca="1">IF($BI21&lt;&gt;"",IF('Capacity summary'!$D$14="Yes",IF(COUNTBLANK('Capacity summary'!$H140:$BG140)&lt;52,IF('Capacity summary'!BA140&lt;&gt;"",IF(LOWER('Capacity summary'!BA140)="x",$BI21*BA21,VALUE('Capacity summary'!BA140)),0),BA21*$BI21),BA21*$BI21),0)</f>
        <v>169.61538461538461</v>
      </c>
      <c r="DE21" s="311">
        <f ca="1">IF($BI21&lt;&gt;"",IF('Capacity summary'!$D$14="Yes",IF(COUNTBLANK('Capacity summary'!$H140:$BG140)&lt;52,IF('Capacity summary'!BB140&lt;&gt;"",IF(LOWER('Capacity summary'!BB140)="x",$BI21*BB21,VALUE('Capacity summary'!BB140)),0),BB21*$BI21),BB21*$BI21),0)</f>
        <v>169.61538461538461</v>
      </c>
      <c r="DF21" s="311">
        <f ca="1">IF($BI21&lt;&gt;"",IF('Capacity summary'!$D$14="Yes",IF(COUNTBLANK('Capacity summary'!$H140:$BG140)&lt;52,IF('Capacity summary'!BC140&lt;&gt;"",IF(LOWER('Capacity summary'!BC140)="x",$BI21*BC21,VALUE('Capacity summary'!BC140)),0),BC21*$BI21),BC21*$BI21),0)</f>
        <v>169.61538461538461</v>
      </c>
      <c r="DG21" s="311">
        <f ca="1">IF($BI21&lt;&gt;"",IF('Capacity summary'!$D$14="Yes",IF(COUNTBLANK('Capacity summary'!$H140:$BG140)&lt;52,IF('Capacity summary'!BD140&lt;&gt;"",IF(LOWER('Capacity summary'!BD140)="x",$BI21*BD21,VALUE('Capacity summary'!BD140)),0),BD21*$BI21),BD21*$BI21),0)</f>
        <v>169.61538461538461</v>
      </c>
      <c r="DH21" s="311">
        <f ca="1">IF($BI21&lt;&gt;"",IF('Capacity summary'!$D$14="Yes",IF(COUNTBLANK('Capacity summary'!$H140:$BG140)&lt;52,IF('Capacity summary'!BE140&lt;&gt;"",IF(LOWER('Capacity summary'!BE140)="x",$BI21*BE21,VALUE('Capacity summary'!BE140)),0),BE21*$BI21),BE21*$BI21),0)</f>
        <v>169.61538461538461</v>
      </c>
      <c r="DI21" s="311">
        <f ca="1">IF($BI21&lt;&gt;"",IF('Capacity summary'!$D$14="Yes",IF(COUNTBLANK('Capacity summary'!$H140:$BG140)&lt;52,IF('Capacity summary'!BF140&lt;&gt;"",IF(LOWER('Capacity summary'!BF140)="x",$BI21*BF21,VALUE('Capacity summary'!BF140)),0),BF21*$BI21),BF21*$BI21),0)</f>
        <v>169.61538461538461</v>
      </c>
      <c r="DJ21" s="311">
        <f ca="1">IF($BI21&lt;&gt;"",IF('Capacity summary'!$D$14="Yes",IF(COUNTBLANK('Capacity summary'!$H140:$BG140)&lt;52,IF('Capacity summary'!BG140&lt;&gt;"",IF(LOWER('Capacity summary'!BG140)="x",$BI21*BG21,VALUE('Capacity summary'!BG140)),0),BG21*$BI21),BG21*$BI21),0)</f>
        <v>169.61538461538461</v>
      </c>
      <c r="DK21" s="388">
        <f t="shared" ca="1" si="2"/>
        <v>169.61538461538461</v>
      </c>
      <c r="DL21" s="136">
        <f t="shared" ca="1" si="3"/>
        <v>8820.0000000000036</v>
      </c>
      <c r="DM21" s="311">
        <f>Capacity!H33</f>
        <v>8820</v>
      </c>
      <c r="DQ21" s="5"/>
    </row>
    <row r="22" spans="1:121" x14ac:dyDescent="0.2">
      <c r="A22" s="67">
        <f>IF(Capacity!L34='Capacity summary'!BI141,1,0)</f>
        <v>1</v>
      </c>
      <c r="B22" s="67">
        <f>IF(Capacity!V34='Capacity summary'!BI41,1,0)</f>
        <v>1</v>
      </c>
      <c r="C22" s="67" t="str">
        <f>ROW(A18)&amp;". "&amp;Capacity!B34</f>
        <v>18. Biopsy</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 ca="1">IF(ROW(C18)&lt;=Capacity!$A$16,IF('Capacity summary'!$D$14="No",SUM(H22:BG22),'Capacity summary'!$E141),0)</f>
        <v>52</v>
      </c>
      <c r="BI22" s="5">
        <f ca="1">IF(BH22&gt;0,IF(BH22&lt;Capacity!E34,Capacity!F34,Capacity!H34/'Capacity calculation (hide)'!BH22),"")</f>
        <v>64.615384615384613</v>
      </c>
      <c r="BK22" s="311">
        <f ca="1">IF($BI22&lt;&gt;"",IF('Capacity summary'!$D$14="Yes",IF(COUNTBLANK('Capacity summary'!$H141:$BG141)&lt;52,IF('Capacity summary'!H141&lt;&gt;"",IF(LOWER('Capacity summary'!H141)="x",$BI22*H22,VALUE('Capacity summary'!H141)),0),H22*$BI22),H22*$BI22),0)</f>
        <v>64.615384615384613</v>
      </c>
      <c r="BL22" s="311">
        <f ca="1">IF($BI22&lt;&gt;"",IF('Capacity summary'!$D$14="Yes",IF(COUNTBLANK('Capacity summary'!$H141:$BG141)&lt;52,IF('Capacity summary'!I141&lt;&gt;"",IF(LOWER('Capacity summary'!I141)="x",$BI22*I22,VALUE('Capacity summary'!I141)),0),I22*$BI22),I22*$BI22),0)</f>
        <v>64.615384615384613</v>
      </c>
      <c r="BM22" s="311">
        <f ca="1">IF($BI22&lt;&gt;"",IF('Capacity summary'!$D$14="Yes",IF(COUNTBLANK('Capacity summary'!$H141:$BG141)&lt;52,IF('Capacity summary'!J141&lt;&gt;"",IF(LOWER('Capacity summary'!J141)="x",$BI22*J22,VALUE('Capacity summary'!J141)),0),J22*$BI22),J22*$BI22),0)</f>
        <v>64.615384615384613</v>
      </c>
      <c r="BN22" s="311">
        <f ca="1">IF($BI22&lt;&gt;"",IF('Capacity summary'!$D$14="Yes",IF(COUNTBLANK('Capacity summary'!$H141:$BG141)&lt;52,IF('Capacity summary'!K141&lt;&gt;"",IF(LOWER('Capacity summary'!K141)="x",$BI22*K22,VALUE('Capacity summary'!K141)),0),K22*$BI22),K22*$BI22),0)</f>
        <v>64.615384615384613</v>
      </c>
      <c r="BO22" s="311">
        <f ca="1">IF($BI22&lt;&gt;"",IF('Capacity summary'!$D$14="Yes",IF(COUNTBLANK('Capacity summary'!$H141:$BG141)&lt;52,IF('Capacity summary'!L141&lt;&gt;"",IF(LOWER('Capacity summary'!L141)="x",$BI22*L22,VALUE('Capacity summary'!L141)),0),L22*$BI22),L22*$BI22),0)</f>
        <v>64.615384615384613</v>
      </c>
      <c r="BP22" s="311">
        <f ca="1">IF($BI22&lt;&gt;"",IF('Capacity summary'!$D$14="Yes",IF(COUNTBLANK('Capacity summary'!$H141:$BG141)&lt;52,IF('Capacity summary'!M141&lt;&gt;"",IF(LOWER('Capacity summary'!M141)="x",$BI22*M22,VALUE('Capacity summary'!M141)),0),M22*$BI22),M22*$BI22),0)</f>
        <v>64.615384615384613</v>
      </c>
      <c r="BQ22" s="311">
        <f ca="1">IF($BI22&lt;&gt;"",IF('Capacity summary'!$D$14="Yes",IF(COUNTBLANK('Capacity summary'!$H141:$BG141)&lt;52,IF('Capacity summary'!N141&lt;&gt;"",IF(LOWER('Capacity summary'!N141)="x",$BI22*N22,VALUE('Capacity summary'!N141)),0),N22*$BI22),N22*$BI22),0)</f>
        <v>64.615384615384613</v>
      </c>
      <c r="BR22" s="311">
        <f ca="1">IF($BI22&lt;&gt;"",IF('Capacity summary'!$D$14="Yes",IF(COUNTBLANK('Capacity summary'!$H141:$BG141)&lt;52,IF('Capacity summary'!O141&lt;&gt;"",IF(LOWER('Capacity summary'!O141)="x",$BI22*O22,VALUE('Capacity summary'!O141)),0),O22*$BI22),O22*$BI22),0)</f>
        <v>64.615384615384613</v>
      </c>
      <c r="BS22" s="311">
        <f ca="1">IF($BI22&lt;&gt;"",IF('Capacity summary'!$D$14="Yes",IF(COUNTBLANK('Capacity summary'!$H141:$BG141)&lt;52,IF('Capacity summary'!P141&lt;&gt;"",IF(LOWER('Capacity summary'!P141)="x",$BI22*P22,VALUE('Capacity summary'!P141)),0),P22*$BI22),P22*$BI22),0)</f>
        <v>64.615384615384613</v>
      </c>
      <c r="BT22" s="311">
        <f ca="1">IF($BI22&lt;&gt;"",IF('Capacity summary'!$D$14="Yes",IF(COUNTBLANK('Capacity summary'!$H141:$BG141)&lt;52,IF('Capacity summary'!Q141&lt;&gt;"",IF(LOWER('Capacity summary'!Q141)="x",$BI22*Q22,VALUE('Capacity summary'!Q141)),0),Q22*$BI22),Q22*$BI22),0)</f>
        <v>64.615384615384613</v>
      </c>
      <c r="BU22" s="311">
        <f ca="1">IF($BI22&lt;&gt;"",IF('Capacity summary'!$D$14="Yes",IF(COUNTBLANK('Capacity summary'!$H141:$BG141)&lt;52,IF('Capacity summary'!R141&lt;&gt;"",IF(LOWER('Capacity summary'!R141)="x",$BI22*R22,VALUE('Capacity summary'!R141)),0),R22*$BI22),R22*$BI22),0)</f>
        <v>64.615384615384613</v>
      </c>
      <c r="BV22" s="311">
        <f ca="1">IF($BI22&lt;&gt;"",IF('Capacity summary'!$D$14="Yes",IF(COUNTBLANK('Capacity summary'!$H141:$BG141)&lt;52,IF('Capacity summary'!S141&lt;&gt;"",IF(LOWER('Capacity summary'!S141)="x",$BI22*S22,VALUE('Capacity summary'!S141)),0),S22*$BI22),S22*$BI22),0)</f>
        <v>64.615384615384613</v>
      </c>
      <c r="BW22" s="311">
        <f ca="1">IF($BI22&lt;&gt;"",IF('Capacity summary'!$D$14="Yes",IF(COUNTBLANK('Capacity summary'!$H141:$BG141)&lt;52,IF('Capacity summary'!T141&lt;&gt;"",IF(LOWER('Capacity summary'!T141)="x",$BI22*T22,VALUE('Capacity summary'!T141)),0),T22*$BI22),T22*$BI22),0)</f>
        <v>64.615384615384613</v>
      </c>
      <c r="BX22" s="311">
        <f ca="1">IF($BI22&lt;&gt;"",IF('Capacity summary'!$D$14="Yes",IF(COUNTBLANK('Capacity summary'!$H141:$BG141)&lt;52,IF('Capacity summary'!U141&lt;&gt;"",IF(LOWER('Capacity summary'!U141)="x",$BI22*U22,VALUE('Capacity summary'!U141)),0),U22*$BI22),U22*$BI22),0)</f>
        <v>64.615384615384613</v>
      </c>
      <c r="BY22" s="311">
        <f ca="1">IF($BI22&lt;&gt;"",IF('Capacity summary'!$D$14="Yes",IF(COUNTBLANK('Capacity summary'!$H141:$BG141)&lt;52,IF('Capacity summary'!V141&lt;&gt;"",IF(LOWER('Capacity summary'!V141)="x",$BI22*V22,VALUE('Capacity summary'!V141)),0),V22*$BI22),V22*$BI22),0)</f>
        <v>64.615384615384613</v>
      </c>
      <c r="BZ22" s="311">
        <f ca="1">IF($BI22&lt;&gt;"",IF('Capacity summary'!$D$14="Yes",IF(COUNTBLANK('Capacity summary'!$H141:$BG141)&lt;52,IF('Capacity summary'!W141&lt;&gt;"",IF(LOWER('Capacity summary'!W141)="x",$BI22*W22,VALUE('Capacity summary'!W141)),0),W22*$BI22),W22*$BI22),0)</f>
        <v>64.615384615384613</v>
      </c>
      <c r="CA22" s="311">
        <f ca="1">IF($BI22&lt;&gt;"",IF('Capacity summary'!$D$14="Yes",IF(COUNTBLANK('Capacity summary'!$H141:$BG141)&lt;52,IF('Capacity summary'!X141&lt;&gt;"",IF(LOWER('Capacity summary'!X141)="x",$BI22*X22,VALUE('Capacity summary'!X141)),0),X22*$BI22),X22*$BI22),0)</f>
        <v>64.615384615384613</v>
      </c>
      <c r="CB22" s="311">
        <f ca="1">IF($BI22&lt;&gt;"",IF('Capacity summary'!$D$14="Yes",IF(COUNTBLANK('Capacity summary'!$H141:$BG141)&lt;52,IF('Capacity summary'!Y141&lt;&gt;"",IF(LOWER('Capacity summary'!Y141)="x",$BI22*Y22,VALUE('Capacity summary'!Y141)),0),Y22*$BI22),Y22*$BI22),0)</f>
        <v>64.615384615384613</v>
      </c>
      <c r="CC22" s="311">
        <f ca="1">IF($BI22&lt;&gt;"",IF('Capacity summary'!$D$14="Yes",IF(COUNTBLANK('Capacity summary'!$H141:$BG141)&lt;52,IF('Capacity summary'!Z141&lt;&gt;"",IF(LOWER('Capacity summary'!Z141)="x",$BI22*Z22,VALUE('Capacity summary'!Z141)),0),Z22*$BI22),Z22*$BI22),0)</f>
        <v>64.615384615384613</v>
      </c>
      <c r="CD22" s="311">
        <f ca="1">IF($BI22&lt;&gt;"",IF('Capacity summary'!$D$14="Yes",IF(COUNTBLANK('Capacity summary'!$H141:$BG141)&lt;52,IF('Capacity summary'!AA141&lt;&gt;"",IF(LOWER('Capacity summary'!AA141)="x",$BI22*AA22,VALUE('Capacity summary'!AA141)),0),AA22*$BI22),AA22*$BI22),0)</f>
        <v>64.615384615384613</v>
      </c>
      <c r="CE22" s="311">
        <f ca="1">IF($BI22&lt;&gt;"",IF('Capacity summary'!$D$14="Yes",IF(COUNTBLANK('Capacity summary'!$H141:$BG141)&lt;52,IF('Capacity summary'!AB141&lt;&gt;"",IF(LOWER('Capacity summary'!AB141)="x",$BI22*AB22,VALUE('Capacity summary'!AB141)),0),AB22*$BI22),AB22*$BI22),0)</f>
        <v>64.615384615384613</v>
      </c>
      <c r="CF22" s="311">
        <f ca="1">IF($BI22&lt;&gt;"",IF('Capacity summary'!$D$14="Yes",IF(COUNTBLANK('Capacity summary'!$H141:$BG141)&lt;52,IF('Capacity summary'!AC141&lt;&gt;"",IF(LOWER('Capacity summary'!AC141)="x",$BI22*AC22,VALUE('Capacity summary'!AC141)),0),AC22*$BI22),AC22*$BI22),0)</f>
        <v>64.615384615384613</v>
      </c>
      <c r="CG22" s="311">
        <f ca="1">IF($BI22&lt;&gt;"",IF('Capacity summary'!$D$14="Yes",IF(COUNTBLANK('Capacity summary'!$H141:$BG141)&lt;52,IF('Capacity summary'!AD141&lt;&gt;"",IF(LOWER('Capacity summary'!AD141)="x",$BI22*AD22,VALUE('Capacity summary'!AD141)),0),AD22*$BI22),AD22*$BI22),0)</f>
        <v>64.615384615384613</v>
      </c>
      <c r="CH22" s="311">
        <f ca="1">IF($BI22&lt;&gt;"",IF('Capacity summary'!$D$14="Yes",IF(COUNTBLANK('Capacity summary'!$H141:$BG141)&lt;52,IF('Capacity summary'!AE141&lt;&gt;"",IF(LOWER('Capacity summary'!AE141)="x",$BI22*AE22,VALUE('Capacity summary'!AE141)),0),AE22*$BI22),AE22*$BI22),0)</f>
        <v>64.615384615384613</v>
      </c>
      <c r="CI22" s="311">
        <f ca="1">IF($BI22&lt;&gt;"",IF('Capacity summary'!$D$14="Yes",IF(COUNTBLANK('Capacity summary'!$H141:$BG141)&lt;52,IF('Capacity summary'!AF141&lt;&gt;"",IF(LOWER('Capacity summary'!AF141)="x",$BI22*AF22,VALUE('Capacity summary'!AF141)),0),AF22*$BI22),AF22*$BI22),0)</f>
        <v>64.615384615384613</v>
      </c>
      <c r="CJ22" s="311">
        <f ca="1">IF($BI22&lt;&gt;"",IF('Capacity summary'!$D$14="Yes",IF(COUNTBLANK('Capacity summary'!$H141:$BG141)&lt;52,IF('Capacity summary'!AG141&lt;&gt;"",IF(LOWER('Capacity summary'!AG141)="x",$BI22*AG22,VALUE('Capacity summary'!AG141)),0),AG22*$BI22),AG22*$BI22),0)</f>
        <v>64.615384615384613</v>
      </c>
      <c r="CK22" s="311">
        <f ca="1">IF($BI22&lt;&gt;"",IF('Capacity summary'!$D$14="Yes",IF(COUNTBLANK('Capacity summary'!$H141:$BG141)&lt;52,IF('Capacity summary'!AH141&lt;&gt;"",IF(LOWER('Capacity summary'!AH141)="x",$BI22*AH22,VALUE('Capacity summary'!AH141)),0),AH22*$BI22),AH22*$BI22),0)</f>
        <v>64.615384615384613</v>
      </c>
      <c r="CL22" s="311">
        <f ca="1">IF($BI22&lt;&gt;"",IF('Capacity summary'!$D$14="Yes",IF(COUNTBLANK('Capacity summary'!$H141:$BG141)&lt;52,IF('Capacity summary'!AI141&lt;&gt;"",IF(LOWER('Capacity summary'!AI141)="x",$BI22*AI22,VALUE('Capacity summary'!AI141)),0),AI22*$BI22),AI22*$BI22),0)</f>
        <v>64.615384615384613</v>
      </c>
      <c r="CM22" s="311">
        <f ca="1">IF($BI22&lt;&gt;"",IF('Capacity summary'!$D$14="Yes",IF(COUNTBLANK('Capacity summary'!$H141:$BG141)&lt;52,IF('Capacity summary'!AJ141&lt;&gt;"",IF(LOWER('Capacity summary'!AJ141)="x",$BI22*AJ22,VALUE('Capacity summary'!AJ141)),0),AJ22*$BI22),AJ22*$BI22),0)</f>
        <v>64.615384615384613</v>
      </c>
      <c r="CN22" s="311">
        <f ca="1">IF($BI22&lt;&gt;"",IF('Capacity summary'!$D$14="Yes",IF(COUNTBLANK('Capacity summary'!$H141:$BG141)&lt;52,IF('Capacity summary'!AK141&lt;&gt;"",IF(LOWER('Capacity summary'!AK141)="x",$BI22*AK22,VALUE('Capacity summary'!AK141)),0),AK22*$BI22),AK22*$BI22),0)</f>
        <v>64.615384615384613</v>
      </c>
      <c r="CO22" s="311">
        <f ca="1">IF($BI22&lt;&gt;"",IF('Capacity summary'!$D$14="Yes",IF(COUNTBLANK('Capacity summary'!$H141:$BG141)&lt;52,IF('Capacity summary'!AL141&lt;&gt;"",IF(LOWER('Capacity summary'!AL141)="x",$BI22*AL22,VALUE('Capacity summary'!AL141)),0),AL22*$BI22),AL22*$BI22),0)</f>
        <v>64.615384615384613</v>
      </c>
      <c r="CP22" s="311">
        <f ca="1">IF($BI22&lt;&gt;"",IF('Capacity summary'!$D$14="Yes",IF(COUNTBLANK('Capacity summary'!$H141:$BG141)&lt;52,IF('Capacity summary'!AM141&lt;&gt;"",IF(LOWER('Capacity summary'!AM141)="x",$BI22*AM22,VALUE('Capacity summary'!AM141)),0),AM22*$BI22),AM22*$BI22),0)</f>
        <v>64.615384615384613</v>
      </c>
      <c r="CQ22" s="311">
        <f ca="1">IF($BI22&lt;&gt;"",IF('Capacity summary'!$D$14="Yes",IF(COUNTBLANK('Capacity summary'!$H141:$BG141)&lt;52,IF('Capacity summary'!AN141&lt;&gt;"",IF(LOWER('Capacity summary'!AN141)="x",$BI22*AN22,VALUE('Capacity summary'!AN141)),0),AN22*$BI22),AN22*$BI22),0)</f>
        <v>64.615384615384613</v>
      </c>
      <c r="CR22" s="311">
        <f ca="1">IF($BI22&lt;&gt;"",IF('Capacity summary'!$D$14="Yes",IF(COUNTBLANK('Capacity summary'!$H141:$BG141)&lt;52,IF('Capacity summary'!AO141&lt;&gt;"",IF(LOWER('Capacity summary'!AO141)="x",$BI22*AO22,VALUE('Capacity summary'!AO141)),0),AO22*$BI22),AO22*$BI22),0)</f>
        <v>64.615384615384613</v>
      </c>
      <c r="CS22" s="311">
        <f ca="1">IF($BI22&lt;&gt;"",IF('Capacity summary'!$D$14="Yes",IF(COUNTBLANK('Capacity summary'!$H141:$BG141)&lt;52,IF('Capacity summary'!AP141&lt;&gt;"",IF(LOWER('Capacity summary'!AP141)="x",$BI22*AP22,VALUE('Capacity summary'!AP141)),0),AP22*$BI22),AP22*$BI22),0)</f>
        <v>64.615384615384613</v>
      </c>
      <c r="CT22" s="311">
        <f ca="1">IF($BI22&lt;&gt;"",IF('Capacity summary'!$D$14="Yes",IF(COUNTBLANK('Capacity summary'!$H141:$BG141)&lt;52,IF('Capacity summary'!AQ141&lt;&gt;"",IF(LOWER('Capacity summary'!AQ141)="x",$BI22*AQ22,VALUE('Capacity summary'!AQ141)),0),AQ22*$BI22),AQ22*$BI22),0)</f>
        <v>64.615384615384613</v>
      </c>
      <c r="CU22" s="311">
        <f ca="1">IF($BI22&lt;&gt;"",IF('Capacity summary'!$D$14="Yes",IF(COUNTBLANK('Capacity summary'!$H141:$BG141)&lt;52,IF('Capacity summary'!AR141&lt;&gt;"",IF(LOWER('Capacity summary'!AR141)="x",$BI22*AR22,VALUE('Capacity summary'!AR141)),0),AR22*$BI22),AR22*$BI22),0)</f>
        <v>64.615384615384613</v>
      </c>
      <c r="CV22" s="311">
        <f ca="1">IF($BI22&lt;&gt;"",IF('Capacity summary'!$D$14="Yes",IF(COUNTBLANK('Capacity summary'!$H141:$BG141)&lt;52,IF('Capacity summary'!AS141&lt;&gt;"",IF(LOWER('Capacity summary'!AS141)="x",$BI22*AS22,VALUE('Capacity summary'!AS141)),0),AS22*$BI22),AS22*$BI22),0)</f>
        <v>64.615384615384613</v>
      </c>
      <c r="CW22" s="311">
        <f ca="1">IF($BI22&lt;&gt;"",IF('Capacity summary'!$D$14="Yes",IF(COUNTBLANK('Capacity summary'!$H141:$BG141)&lt;52,IF('Capacity summary'!AT141&lt;&gt;"",IF(LOWER('Capacity summary'!AT141)="x",$BI22*AT22,VALUE('Capacity summary'!AT141)),0),AT22*$BI22),AT22*$BI22),0)</f>
        <v>64.615384615384613</v>
      </c>
      <c r="CX22" s="311">
        <f ca="1">IF($BI22&lt;&gt;"",IF('Capacity summary'!$D$14="Yes",IF(COUNTBLANK('Capacity summary'!$H141:$BG141)&lt;52,IF('Capacity summary'!AU141&lt;&gt;"",IF(LOWER('Capacity summary'!AU141)="x",$BI22*AU22,VALUE('Capacity summary'!AU141)),0),AU22*$BI22),AU22*$BI22),0)</f>
        <v>64.615384615384613</v>
      </c>
      <c r="CY22" s="311">
        <f ca="1">IF($BI22&lt;&gt;"",IF('Capacity summary'!$D$14="Yes",IF(COUNTBLANK('Capacity summary'!$H141:$BG141)&lt;52,IF('Capacity summary'!AV141&lt;&gt;"",IF(LOWER('Capacity summary'!AV141)="x",$BI22*AV22,VALUE('Capacity summary'!AV141)),0),AV22*$BI22),AV22*$BI22),0)</f>
        <v>64.615384615384613</v>
      </c>
      <c r="CZ22" s="311">
        <f ca="1">IF($BI22&lt;&gt;"",IF('Capacity summary'!$D$14="Yes",IF(COUNTBLANK('Capacity summary'!$H141:$BG141)&lt;52,IF('Capacity summary'!AW141&lt;&gt;"",IF(LOWER('Capacity summary'!AW141)="x",$BI22*AW22,VALUE('Capacity summary'!AW141)),0),AW22*$BI22),AW22*$BI22),0)</f>
        <v>64.615384615384613</v>
      </c>
      <c r="DA22" s="311">
        <f ca="1">IF($BI22&lt;&gt;"",IF('Capacity summary'!$D$14="Yes",IF(COUNTBLANK('Capacity summary'!$H141:$BG141)&lt;52,IF('Capacity summary'!AX141&lt;&gt;"",IF(LOWER('Capacity summary'!AX141)="x",$BI22*AX22,VALUE('Capacity summary'!AX141)),0),AX22*$BI22),AX22*$BI22),0)</f>
        <v>64.615384615384613</v>
      </c>
      <c r="DB22" s="311">
        <f ca="1">IF($BI22&lt;&gt;"",IF('Capacity summary'!$D$14="Yes",IF(COUNTBLANK('Capacity summary'!$H141:$BG141)&lt;52,IF('Capacity summary'!AY141&lt;&gt;"",IF(LOWER('Capacity summary'!AY141)="x",$BI22*AY22,VALUE('Capacity summary'!AY141)),0),AY22*$BI22),AY22*$BI22),0)</f>
        <v>64.615384615384613</v>
      </c>
      <c r="DC22" s="311">
        <f ca="1">IF($BI22&lt;&gt;"",IF('Capacity summary'!$D$14="Yes",IF(COUNTBLANK('Capacity summary'!$H141:$BG141)&lt;52,IF('Capacity summary'!AZ141&lt;&gt;"",IF(LOWER('Capacity summary'!AZ141)="x",$BI22*AZ22,VALUE('Capacity summary'!AZ141)),0),AZ22*$BI22),AZ22*$BI22),0)</f>
        <v>64.615384615384613</v>
      </c>
      <c r="DD22" s="311">
        <f ca="1">IF($BI22&lt;&gt;"",IF('Capacity summary'!$D$14="Yes",IF(COUNTBLANK('Capacity summary'!$H141:$BG141)&lt;52,IF('Capacity summary'!BA141&lt;&gt;"",IF(LOWER('Capacity summary'!BA141)="x",$BI22*BA22,VALUE('Capacity summary'!BA141)),0),BA22*$BI22),BA22*$BI22),0)</f>
        <v>64.615384615384613</v>
      </c>
      <c r="DE22" s="311">
        <f ca="1">IF($BI22&lt;&gt;"",IF('Capacity summary'!$D$14="Yes",IF(COUNTBLANK('Capacity summary'!$H141:$BG141)&lt;52,IF('Capacity summary'!BB141&lt;&gt;"",IF(LOWER('Capacity summary'!BB141)="x",$BI22*BB22,VALUE('Capacity summary'!BB141)),0),BB22*$BI22),BB22*$BI22),0)</f>
        <v>64.615384615384613</v>
      </c>
      <c r="DF22" s="311">
        <f ca="1">IF($BI22&lt;&gt;"",IF('Capacity summary'!$D$14="Yes",IF(COUNTBLANK('Capacity summary'!$H141:$BG141)&lt;52,IF('Capacity summary'!BC141&lt;&gt;"",IF(LOWER('Capacity summary'!BC141)="x",$BI22*BC22,VALUE('Capacity summary'!BC141)),0),BC22*$BI22),BC22*$BI22),0)</f>
        <v>64.615384615384613</v>
      </c>
      <c r="DG22" s="311">
        <f ca="1">IF($BI22&lt;&gt;"",IF('Capacity summary'!$D$14="Yes",IF(COUNTBLANK('Capacity summary'!$H141:$BG141)&lt;52,IF('Capacity summary'!BD141&lt;&gt;"",IF(LOWER('Capacity summary'!BD141)="x",$BI22*BD22,VALUE('Capacity summary'!BD141)),0),BD22*$BI22),BD22*$BI22),0)</f>
        <v>64.615384615384613</v>
      </c>
      <c r="DH22" s="311">
        <f ca="1">IF($BI22&lt;&gt;"",IF('Capacity summary'!$D$14="Yes",IF(COUNTBLANK('Capacity summary'!$H141:$BG141)&lt;52,IF('Capacity summary'!BE141&lt;&gt;"",IF(LOWER('Capacity summary'!BE141)="x",$BI22*BE22,VALUE('Capacity summary'!BE141)),0),BE22*$BI22),BE22*$BI22),0)</f>
        <v>64.615384615384613</v>
      </c>
      <c r="DI22" s="311">
        <f ca="1">IF($BI22&lt;&gt;"",IF('Capacity summary'!$D$14="Yes",IF(COUNTBLANK('Capacity summary'!$H141:$BG141)&lt;52,IF('Capacity summary'!BF141&lt;&gt;"",IF(LOWER('Capacity summary'!BF141)="x",$BI22*BF22,VALUE('Capacity summary'!BF141)),0),BF22*$BI22),BF22*$BI22),0)</f>
        <v>64.615384615384613</v>
      </c>
      <c r="DJ22" s="311">
        <f ca="1">IF($BI22&lt;&gt;"",IF('Capacity summary'!$D$14="Yes",IF(COUNTBLANK('Capacity summary'!$H141:$BG141)&lt;52,IF('Capacity summary'!BG141&lt;&gt;"",IF(LOWER('Capacity summary'!BG141)="x",$BI22*BG22,VALUE('Capacity summary'!BG141)),0),BG22*$BI22),BG22*$BI22),0)</f>
        <v>64.615384615384613</v>
      </c>
      <c r="DK22" s="388">
        <f t="shared" ca="1" si="2"/>
        <v>64.615384615384613</v>
      </c>
      <c r="DL22" s="136">
        <f t="shared" ca="1" si="3"/>
        <v>3360.0000000000018</v>
      </c>
      <c r="DM22" s="311">
        <f>Capacity!H34</f>
        <v>3360</v>
      </c>
      <c r="DQ22" s="5"/>
    </row>
    <row r="23" spans="1:121" x14ac:dyDescent="0.2">
      <c r="A23" s="67">
        <f>IF(Capacity!L35='Capacity summary'!BI142,1,0)</f>
        <v>1</v>
      </c>
      <c r="B23" s="67">
        <f>IF(Capacity!V35='Capacity summary'!BI42,1,0)</f>
        <v>1</v>
      </c>
      <c r="C23" s="67" t="str">
        <f>ROW(A19)&amp;". "&amp;Capacity!B35</f>
        <v>19. Slot B</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 ca="1">IF(ROW(C19)&lt;=Capacity!$A$16,IF('Capacity summary'!$D$14="No",SUM(H23:BG23),'Capacity summary'!$E142),0)</f>
        <v>52</v>
      </c>
      <c r="BI23" s="5">
        <f ca="1">IF(BH23&gt;0,IF(BH23&lt;Capacity!E35,Capacity!F35,Capacity!H35/'Capacity calculation (hide)'!BH23),"")</f>
        <v>131.92307692307693</v>
      </c>
      <c r="BK23" s="311">
        <f ca="1">IF($BI23&lt;&gt;"",IF('Capacity summary'!$D$14="Yes",IF(COUNTBLANK('Capacity summary'!$H142:$BG142)&lt;52,IF('Capacity summary'!H142&lt;&gt;"",IF(LOWER('Capacity summary'!H142)="x",$BI23*H23,VALUE('Capacity summary'!H142)),0),H23*$BI23),H23*$BI23),0)</f>
        <v>131.92307692307693</v>
      </c>
      <c r="BL23" s="311">
        <f ca="1">IF($BI23&lt;&gt;"",IF('Capacity summary'!$D$14="Yes",IF(COUNTBLANK('Capacity summary'!$H142:$BG142)&lt;52,IF('Capacity summary'!I142&lt;&gt;"",IF(LOWER('Capacity summary'!I142)="x",$BI23*I23,VALUE('Capacity summary'!I142)),0),I23*$BI23),I23*$BI23),0)</f>
        <v>131.92307692307693</v>
      </c>
      <c r="BM23" s="311">
        <f ca="1">IF($BI23&lt;&gt;"",IF('Capacity summary'!$D$14="Yes",IF(COUNTBLANK('Capacity summary'!$H142:$BG142)&lt;52,IF('Capacity summary'!J142&lt;&gt;"",IF(LOWER('Capacity summary'!J142)="x",$BI23*J23,VALUE('Capacity summary'!J142)),0),J23*$BI23),J23*$BI23),0)</f>
        <v>131.92307692307693</v>
      </c>
      <c r="BN23" s="311">
        <f ca="1">IF($BI23&lt;&gt;"",IF('Capacity summary'!$D$14="Yes",IF(COUNTBLANK('Capacity summary'!$H142:$BG142)&lt;52,IF('Capacity summary'!K142&lt;&gt;"",IF(LOWER('Capacity summary'!K142)="x",$BI23*K23,VALUE('Capacity summary'!K142)),0),K23*$BI23),K23*$BI23),0)</f>
        <v>131.92307692307693</v>
      </c>
      <c r="BO23" s="311">
        <f ca="1">IF($BI23&lt;&gt;"",IF('Capacity summary'!$D$14="Yes",IF(COUNTBLANK('Capacity summary'!$H142:$BG142)&lt;52,IF('Capacity summary'!L142&lt;&gt;"",IF(LOWER('Capacity summary'!L142)="x",$BI23*L23,VALUE('Capacity summary'!L142)),0),L23*$BI23),L23*$BI23),0)</f>
        <v>131.92307692307693</v>
      </c>
      <c r="BP23" s="311">
        <f ca="1">IF($BI23&lt;&gt;"",IF('Capacity summary'!$D$14="Yes",IF(COUNTBLANK('Capacity summary'!$H142:$BG142)&lt;52,IF('Capacity summary'!M142&lt;&gt;"",IF(LOWER('Capacity summary'!M142)="x",$BI23*M23,VALUE('Capacity summary'!M142)),0),M23*$BI23),M23*$BI23),0)</f>
        <v>131.92307692307693</v>
      </c>
      <c r="BQ23" s="311">
        <f ca="1">IF($BI23&lt;&gt;"",IF('Capacity summary'!$D$14="Yes",IF(COUNTBLANK('Capacity summary'!$H142:$BG142)&lt;52,IF('Capacity summary'!N142&lt;&gt;"",IF(LOWER('Capacity summary'!N142)="x",$BI23*N23,VALUE('Capacity summary'!N142)),0),N23*$BI23),N23*$BI23),0)</f>
        <v>131.92307692307693</v>
      </c>
      <c r="BR23" s="311">
        <f ca="1">IF($BI23&lt;&gt;"",IF('Capacity summary'!$D$14="Yes",IF(COUNTBLANK('Capacity summary'!$H142:$BG142)&lt;52,IF('Capacity summary'!O142&lt;&gt;"",IF(LOWER('Capacity summary'!O142)="x",$BI23*O23,VALUE('Capacity summary'!O142)),0),O23*$BI23),O23*$BI23),0)</f>
        <v>131.92307692307693</v>
      </c>
      <c r="BS23" s="311">
        <f ca="1">IF($BI23&lt;&gt;"",IF('Capacity summary'!$D$14="Yes",IF(COUNTBLANK('Capacity summary'!$H142:$BG142)&lt;52,IF('Capacity summary'!P142&lt;&gt;"",IF(LOWER('Capacity summary'!P142)="x",$BI23*P23,VALUE('Capacity summary'!P142)),0),P23*$BI23),P23*$BI23),0)</f>
        <v>131.92307692307693</v>
      </c>
      <c r="BT23" s="311">
        <f ca="1">IF($BI23&lt;&gt;"",IF('Capacity summary'!$D$14="Yes",IF(COUNTBLANK('Capacity summary'!$H142:$BG142)&lt;52,IF('Capacity summary'!Q142&lt;&gt;"",IF(LOWER('Capacity summary'!Q142)="x",$BI23*Q23,VALUE('Capacity summary'!Q142)),0),Q23*$BI23),Q23*$BI23),0)</f>
        <v>131.92307692307693</v>
      </c>
      <c r="BU23" s="311">
        <f ca="1">IF($BI23&lt;&gt;"",IF('Capacity summary'!$D$14="Yes",IF(COUNTBLANK('Capacity summary'!$H142:$BG142)&lt;52,IF('Capacity summary'!R142&lt;&gt;"",IF(LOWER('Capacity summary'!R142)="x",$BI23*R23,VALUE('Capacity summary'!R142)),0),R23*$BI23),R23*$BI23),0)</f>
        <v>131.92307692307693</v>
      </c>
      <c r="BV23" s="311">
        <f ca="1">IF($BI23&lt;&gt;"",IF('Capacity summary'!$D$14="Yes",IF(COUNTBLANK('Capacity summary'!$H142:$BG142)&lt;52,IF('Capacity summary'!S142&lt;&gt;"",IF(LOWER('Capacity summary'!S142)="x",$BI23*S23,VALUE('Capacity summary'!S142)),0),S23*$BI23),S23*$BI23),0)</f>
        <v>131.92307692307693</v>
      </c>
      <c r="BW23" s="311">
        <f ca="1">IF($BI23&lt;&gt;"",IF('Capacity summary'!$D$14="Yes",IF(COUNTBLANK('Capacity summary'!$H142:$BG142)&lt;52,IF('Capacity summary'!T142&lt;&gt;"",IF(LOWER('Capacity summary'!T142)="x",$BI23*T23,VALUE('Capacity summary'!T142)),0),T23*$BI23),T23*$BI23),0)</f>
        <v>131.92307692307693</v>
      </c>
      <c r="BX23" s="311">
        <f ca="1">IF($BI23&lt;&gt;"",IF('Capacity summary'!$D$14="Yes",IF(COUNTBLANK('Capacity summary'!$H142:$BG142)&lt;52,IF('Capacity summary'!U142&lt;&gt;"",IF(LOWER('Capacity summary'!U142)="x",$BI23*U23,VALUE('Capacity summary'!U142)),0),U23*$BI23),U23*$BI23),0)</f>
        <v>131.92307692307693</v>
      </c>
      <c r="BY23" s="311">
        <f ca="1">IF($BI23&lt;&gt;"",IF('Capacity summary'!$D$14="Yes",IF(COUNTBLANK('Capacity summary'!$H142:$BG142)&lt;52,IF('Capacity summary'!V142&lt;&gt;"",IF(LOWER('Capacity summary'!V142)="x",$BI23*V23,VALUE('Capacity summary'!V142)),0),V23*$BI23),V23*$BI23),0)</f>
        <v>131.92307692307693</v>
      </c>
      <c r="BZ23" s="311">
        <f ca="1">IF($BI23&lt;&gt;"",IF('Capacity summary'!$D$14="Yes",IF(COUNTBLANK('Capacity summary'!$H142:$BG142)&lt;52,IF('Capacity summary'!W142&lt;&gt;"",IF(LOWER('Capacity summary'!W142)="x",$BI23*W23,VALUE('Capacity summary'!W142)),0),W23*$BI23),W23*$BI23),0)</f>
        <v>131.92307692307693</v>
      </c>
      <c r="CA23" s="311">
        <f ca="1">IF($BI23&lt;&gt;"",IF('Capacity summary'!$D$14="Yes",IF(COUNTBLANK('Capacity summary'!$H142:$BG142)&lt;52,IF('Capacity summary'!X142&lt;&gt;"",IF(LOWER('Capacity summary'!X142)="x",$BI23*X23,VALUE('Capacity summary'!X142)),0),X23*$BI23),X23*$BI23),0)</f>
        <v>131.92307692307693</v>
      </c>
      <c r="CB23" s="311">
        <f ca="1">IF($BI23&lt;&gt;"",IF('Capacity summary'!$D$14="Yes",IF(COUNTBLANK('Capacity summary'!$H142:$BG142)&lt;52,IF('Capacity summary'!Y142&lt;&gt;"",IF(LOWER('Capacity summary'!Y142)="x",$BI23*Y23,VALUE('Capacity summary'!Y142)),0),Y23*$BI23),Y23*$BI23),0)</f>
        <v>131.92307692307693</v>
      </c>
      <c r="CC23" s="311">
        <f ca="1">IF($BI23&lt;&gt;"",IF('Capacity summary'!$D$14="Yes",IF(COUNTBLANK('Capacity summary'!$H142:$BG142)&lt;52,IF('Capacity summary'!Z142&lt;&gt;"",IF(LOWER('Capacity summary'!Z142)="x",$BI23*Z23,VALUE('Capacity summary'!Z142)),0),Z23*$BI23),Z23*$BI23),0)</f>
        <v>131.92307692307693</v>
      </c>
      <c r="CD23" s="311">
        <f ca="1">IF($BI23&lt;&gt;"",IF('Capacity summary'!$D$14="Yes",IF(COUNTBLANK('Capacity summary'!$H142:$BG142)&lt;52,IF('Capacity summary'!AA142&lt;&gt;"",IF(LOWER('Capacity summary'!AA142)="x",$BI23*AA23,VALUE('Capacity summary'!AA142)),0),AA23*$BI23),AA23*$BI23),0)</f>
        <v>131.92307692307693</v>
      </c>
      <c r="CE23" s="311">
        <f ca="1">IF($BI23&lt;&gt;"",IF('Capacity summary'!$D$14="Yes",IF(COUNTBLANK('Capacity summary'!$H142:$BG142)&lt;52,IF('Capacity summary'!AB142&lt;&gt;"",IF(LOWER('Capacity summary'!AB142)="x",$BI23*AB23,VALUE('Capacity summary'!AB142)),0),AB23*$BI23),AB23*$BI23),0)</f>
        <v>131.92307692307693</v>
      </c>
      <c r="CF23" s="311">
        <f ca="1">IF($BI23&lt;&gt;"",IF('Capacity summary'!$D$14="Yes",IF(COUNTBLANK('Capacity summary'!$H142:$BG142)&lt;52,IF('Capacity summary'!AC142&lt;&gt;"",IF(LOWER('Capacity summary'!AC142)="x",$BI23*AC23,VALUE('Capacity summary'!AC142)),0),AC23*$BI23),AC23*$BI23),0)</f>
        <v>131.92307692307693</v>
      </c>
      <c r="CG23" s="311">
        <f ca="1">IF($BI23&lt;&gt;"",IF('Capacity summary'!$D$14="Yes",IF(COUNTBLANK('Capacity summary'!$H142:$BG142)&lt;52,IF('Capacity summary'!AD142&lt;&gt;"",IF(LOWER('Capacity summary'!AD142)="x",$BI23*AD23,VALUE('Capacity summary'!AD142)),0),AD23*$BI23),AD23*$BI23),0)</f>
        <v>131.92307692307693</v>
      </c>
      <c r="CH23" s="311">
        <f ca="1">IF($BI23&lt;&gt;"",IF('Capacity summary'!$D$14="Yes",IF(COUNTBLANK('Capacity summary'!$H142:$BG142)&lt;52,IF('Capacity summary'!AE142&lt;&gt;"",IF(LOWER('Capacity summary'!AE142)="x",$BI23*AE23,VALUE('Capacity summary'!AE142)),0),AE23*$BI23),AE23*$BI23),0)</f>
        <v>131.92307692307693</v>
      </c>
      <c r="CI23" s="311">
        <f ca="1">IF($BI23&lt;&gt;"",IF('Capacity summary'!$D$14="Yes",IF(COUNTBLANK('Capacity summary'!$H142:$BG142)&lt;52,IF('Capacity summary'!AF142&lt;&gt;"",IF(LOWER('Capacity summary'!AF142)="x",$BI23*AF23,VALUE('Capacity summary'!AF142)),0),AF23*$BI23),AF23*$BI23),0)</f>
        <v>131.92307692307693</v>
      </c>
      <c r="CJ23" s="311">
        <f ca="1">IF($BI23&lt;&gt;"",IF('Capacity summary'!$D$14="Yes",IF(COUNTBLANK('Capacity summary'!$H142:$BG142)&lt;52,IF('Capacity summary'!AG142&lt;&gt;"",IF(LOWER('Capacity summary'!AG142)="x",$BI23*AG23,VALUE('Capacity summary'!AG142)),0),AG23*$BI23),AG23*$BI23),0)</f>
        <v>131.92307692307693</v>
      </c>
      <c r="CK23" s="311">
        <f ca="1">IF($BI23&lt;&gt;"",IF('Capacity summary'!$D$14="Yes",IF(COUNTBLANK('Capacity summary'!$H142:$BG142)&lt;52,IF('Capacity summary'!AH142&lt;&gt;"",IF(LOWER('Capacity summary'!AH142)="x",$BI23*AH23,VALUE('Capacity summary'!AH142)),0),AH23*$BI23),AH23*$BI23),0)</f>
        <v>131.92307692307693</v>
      </c>
      <c r="CL23" s="311">
        <f ca="1">IF($BI23&lt;&gt;"",IF('Capacity summary'!$D$14="Yes",IF(COUNTBLANK('Capacity summary'!$H142:$BG142)&lt;52,IF('Capacity summary'!AI142&lt;&gt;"",IF(LOWER('Capacity summary'!AI142)="x",$BI23*AI23,VALUE('Capacity summary'!AI142)),0),AI23*$BI23),AI23*$BI23),0)</f>
        <v>131.92307692307693</v>
      </c>
      <c r="CM23" s="311">
        <f ca="1">IF($BI23&lt;&gt;"",IF('Capacity summary'!$D$14="Yes",IF(COUNTBLANK('Capacity summary'!$H142:$BG142)&lt;52,IF('Capacity summary'!AJ142&lt;&gt;"",IF(LOWER('Capacity summary'!AJ142)="x",$BI23*AJ23,VALUE('Capacity summary'!AJ142)),0),AJ23*$BI23),AJ23*$BI23),0)</f>
        <v>131.92307692307693</v>
      </c>
      <c r="CN23" s="311">
        <f ca="1">IF($BI23&lt;&gt;"",IF('Capacity summary'!$D$14="Yes",IF(COUNTBLANK('Capacity summary'!$H142:$BG142)&lt;52,IF('Capacity summary'!AK142&lt;&gt;"",IF(LOWER('Capacity summary'!AK142)="x",$BI23*AK23,VALUE('Capacity summary'!AK142)),0),AK23*$BI23),AK23*$BI23),0)</f>
        <v>131.92307692307693</v>
      </c>
      <c r="CO23" s="311">
        <f ca="1">IF($BI23&lt;&gt;"",IF('Capacity summary'!$D$14="Yes",IF(COUNTBLANK('Capacity summary'!$H142:$BG142)&lt;52,IF('Capacity summary'!AL142&lt;&gt;"",IF(LOWER('Capacity summary'!AL142)="x",$BI23*AL23,VALUE('Capacity summary'!AL142)),0),AL23*$BI23),AL23*$BI23),0)</f>
        <v>131.92307692307693</v>
      </c>
      <c r="CP23" s="311">
        <f ca="1">IF($BI23&lt;&gt;"",IF('Capacity summary'!$D$14="Yes",IF(COUNTBLANK('Capacity summary'!$H142:$BG142)&lt;52,IF('Capacity summary'!AM142&lt;&gt;"",IF(LOWER('Capacity summary'!AM142)="x",$BI23*AM23,VALUE('Capacity summary'!AM142)),0),AM23*$BI23),AM23*$BI23),0)</f>
        <v>131.92307692307693</v>
      </c>
      <c r="CQ23" s="311">
        <f ca="1">IF($BI23&lt;&gt;"",IF('Capacity summary'!$D$14="Yes",IF(COUNTBLANK('Capacity summary'!$H142:$BG142)&lt;52,IF('Capacity summary'!AN142&lt;&gt;"",IF(LOWER('Capacity summary'!AN142)="x",$BI23*AN23,VALUE('Capacity summary'!AN142)),0),AN23*$BI23),AN23*$BI23),0)</f>
        <v>131.92307692307693</v>
      </c>
      <c r="CR23" s="311">
        <f ca="1">IF($BI23&lt;&gt;"",IF('Capacity summary'!$D$14="Yes",IF(COUNTBLANK('Capacity summary'!$H142:$BG142)&lt;52,IF('Capacity summary'!AO142&lt;&gt;"",IF(LOWER('Capacity summary'!AO142)="x",$BI23*AO23,VALUE('Capacity summary'!AO142)),0),AO23*$BI23),AO23*$BI23),0)</f>
        <v>131.92307692307693</v>
      </c>
      <c r="CS23" s="311">
        <f ca="1">IF($BI23&lt;&gt;"",IF('Capacity summary'!$D$14="Yes",IF(COUNTBLANK('Capacity summary'!$H142:$BG142)&lt;52,IF('Capacity summary'!AP142&lt;&gt;"",IF(LOWER('Capacity summary'!AP142)="x",$BI23*AP23,VALUE('Capacity summary'!AP142)),0),AP23*$BI23),AP23*$BI23),0)</f>
        <v>131.92307692307693</v>
      </c>
      <c r="CT23" s="311">
        <f ca="1">IF($BI23&lt;&gt;"",IF('Capacity summary'!$D$14="Yes",IF(COUNTBLANK('Capacity summary'!$H142:$BG142)&lt;52,IF('Capacity summary'!AQ142&lt;&gt;"",IF(LOWER('Capacity summary'!AQ142)="x",$BI23*AQ23,VALUE('Capacity summary'!AQ142)),0),AQ23*$BI23),AQ23*$BI23),0)</f>
        <v>131.92307692307693</v>
      </c>
      <c r="CU23" s="311">
        <f ca="1">IF($BI23&lt;&gt;"",IF('Capacity summary'!$D$14="Yes",IF(COUNTBLANK('Capacity summary'!$H142:$BG142)&lt;52,IF('Capacity summary'!AR142&lt;&gt;"",IF(LOWER('Capacity summary'!AR142)="x",$BI23*AR23,VALUE('Capacity summary'!AR142)),0),AR23*$BI23),AR23*$BI23),0)</f>
        <v>131.92307692307693</v>
      </c>
      <c r="CV23" s="311">
        <f ca="1">IF($BI23&lt;&gt;"",IF('Capacity summary'!$D$14="Yes",IF(COUNTBLANK('Capacity summary'!$H142:$BG142)&lt;52,IF('Capacity summary'!AS142&lt;&gt;"",IF(LOWER('Capacity summary'!AS142)="x",$BI23*AS23,VALUE('Capacity summary'!AS142)),0),AS23*$BI23),AS23*$BI23),0)</f>
        <v>131.92307692307693</v>
      </c>
      <c r="CW23" s="311">
        <f ca="1">IF($BI23&lt;&gt;"",IF('Capacity summary'!$D$14="Yes",IF(COUNTBLANK('Capacity summary'!$H142:$BG142)&lt;52,IF('Capacity summary'!AT142&lt;&gt;"",IF(LOWER('Capacity summary'!AT142)="x",$BI23*AT23,VALUE('Capacity summary'!AT142)),0),AT23*$BI23),AT23*$BI23),0)</f>
        <v>131.92307692307693</v>
      </c>
      <c r="CX23" s="311">
        <f ca="1">IF($BI23&lt;&gt;"",IF('Capacity summary'!$D$14="Yes",IF(COUNTBLANK('Capacity summary'!$H142:$BG142)&lt;52,IF('Capacity summary'!AU142&lt;&gt;"",IF(LOWER('Capacity summary'!AU142)="x",$BI23*AU23,VALUE('Capacity summary'!AU142)),0),AU23*$BI23),AU23*$BI23),0)</f>
        <v>131.92307692307693</v>
      </c>
      <c r="CY23" s="311">
        <f ca="1">IF($BI23&lt;&gt;"",IF('Capacity summary'!$D$14="Yes",IF(COUNTBLANK('Capacity summary'!$H142:$BG142)&lt;52,IF('Capacity summary'!AV142&lt;&gt;"",IF(LOWER('Capacity summary'!AV142)="x",$BI23*AV23,VALUE('Capacity summary'!AV142)),0),AV23*$BI23),AV23*$BI23),0)</f>
        <v>131.92307692307693</v>
      </c>
      <c r="CZ23" s="311">
        <f ca="1">IF($BI23&lt;&gt;"",IF('Capacity summary'!$D$14="Yes",IF(COUNTBLANK('Capacity summary'!$H142:$BG142)&lt;52,IF('Capacity summary'!AW142&lt;&gt;"",IF(LOWER('Capacity summary'!AW142)="x",$BI23*AW23,VALUE('Capacity summary'!AW142)),0),AW23*$BI23),AW23*$BI23),0)</f>
        <v>131.92307692307693</v>
      </c>
      <c r="DA23" s="311">
        <f ca="1">IF($BI23&lt;&gt;"",IF('Capacity summary'!$D$14="Yes",IF(COUNTBLANK('Capacity summary'!$H142:$BG142)&lt;52,IF('Capacity summary'!AX142&lt;&gt;"",IF(LOWER('Capacity summary'!AX142)="x",$BI23*AX23,VALUE('Capacity summary'!AX142)),0),AX23*$BI23),AX23*$BI23),0)</f>
        <v>131.92307692307693</v>
      </c>
      <c r="DB23" s="311">
        <f ca="1">IF($BI23&lt;&gt;"",IF('Capacity summary'!$D$14="Yes",IF(COUNTBLANK('Capacity summary'!$H142:$BG142)&lt;52,IF('Capacity summary'!AY142&lt;&gt;"",IF(LOWER('Capacity summary'!AY142)="x",$BI23*AY23,VALUE('Capacity summary'!AY142)),0),AY23*$BI23),AY23*$BI23),0)</f>
        <v>131.92307692307693</v>
      </c>
      <c r="DC23" s="311">
        <f ca="1">IF($BI23&lt;&gt;"",IF('Capacity summary'!$D$14="Yes",IF(COUNTBLANK('Capacity summary'!$H142:$BG142)&lt;52,IF('Capacity summary'!AZ142&lt;&gt;"",IF(LOWER('Capacity summary'!AZ142)="x",$BI23*AZ23,VALUE('Capacity summary'!AZ142)),0),AZ23*$BI23),AZ23*$BI23),0)</f>
        <v>131.92307692307693</v>
      </c>
      <c r="DD23" s="311">
        <f ca="1">IF($BI23&lt;&gt;"",IF('Capacity summary'!$D$14="Yes",IF(COUNTBLANK('Capacity summary'!$H142:$BG142)&lt;52,IF('Capacity summary'!BA142&lt;&gt;"",IF(LOWER('Capacity summary'!BA142)="x",$BI23*BA23,VALUE('Capacity summary'!BA142)),0),BA23*$BI23),BA23*$BI23),0)</f>
        <v>131.92307692307693</v>
      </c>
      <c r="DE23" s="311">
        <f ca="1">IF($BI23&lt;&gt;"",IF('Capacity summary'!$D$14="Yes",IF(COUNTBLANK('Capacity summary'!$H142:$BG142)&lt;52,IF('Capacity summary'!BB142&lt;&gt;"",IF(LOWER('Capacity summary'!BB142)="x",$BI23*BB23,VALUE('Capacity summary'!BB142)),0),BB23*$BI23),BB23*$BI23),0)</f>
        <v>131.92307692307693</v>
      </c>
      <c r="DF23" s="311">
        <f ca="1">IF($BI23&lt;&gt;"",IF('Capacity summary'!$D$14="Yes",IF(COUNTBLANK('Capacity summary'!$H142:$BG142)&lt;52,IF('Capacity summary'!BC142&lt;&gt;"",IF(LOWER('Capacity summary'!BC142)="x",$BI23*BC23,VALUE('Capacity summary'!BC142)),0),BC23*$BI23),BC23*$BI23),0)</f>
        <v>131.92307692307693</v>
      </c>
      <c r="DG23" s="311">
        <f ca="1">IF($BI23&lt;&gt;"",IF('Capacity summary'!$D$14="Yes",IF(COUNTBLANK('Capacity summary'!$H142:$BG142)&lt;52,IF('Capacity summary'!BD142&lt;&gt;"",IF(LOWER('Capacity summary'!BD142)="x",$BI23*BD23,VALUE('Capacity summary'!BD142)),0),BD23*$BI23),BD23*$BI23),0)</f>
        <v>131.92307692307693</v>
      </c>
      <c r="DH23" s="311">
        <f ca="1">IF($BI23&lt;&gt;"",IF('Capacity summary'!$D$14="Yes",IF(COUNTBLANK('Capacity summary'!$H142:$BG142)&lt;52,IF('Capacity summary'!BE142&lt;&gt;"",IF(LOWER('Capacity summary'!BE142)="x",$BI23*BE23,VALUE('Capacity summary'!BE142)),0),BE23*$BI23),BE23*$BI23),0)</f>
        <v>131.92307692307693</v>
      </c>
      <c r="DI23" s="311">
        <f ca="1">IF($BI23&lt;&gt;"",IF('Capacity summary'!$D$14="Yes",IF(COUNTBLANK('Capacity summary'!$H142:$BG142)&lt;52,IF('Capacity summary'!BF142&lt;&gt;"",IF(LOWER('Capacity summary'!BF142)="x",$BI23*BF23,VALUE('Capacity summary'!BF142)),0),BF23*$BI23),BF23*$BI23),0)</f>
        <v>131.92307692307693</v>
      </c>
      <c r="DJ23" s="311">
        <f ca="1">IF($BI23&lt;&gt;"",IF('Capacity summary'!$D$14="Yes",IF(COUNTBLANK('Capacity summary'!$H142:$BG142)&lt;52,IF('Capacity summary'!BG142&lt;&gt;"",IF(LOWER('Capacity summary'!BG142)="x",$BI23*BG23,VALUE('Capacity summary'!BG142)),0),BG23*$BI23),BG23*$BI23),0)</f>
        <v>131.92307692307693</v>
      </c>
      <c r="DK23" s="388">
        <f t="shared" ca="1" si="2"/>
        <v>131.92307692307693</v>
      </c>
      <c r="DL23" s="136">
        <f t="shared" ca="1" si="3"/>
        <v>6860.0000000000073</v>
      </c>
      <c r="DM23" s="311">
        <f>Capacity!H35</f>
        <v>6860</v>
      </c>
      <c r="DQ23" s="5"/>
    </row>
    <row r="24" spans="1:121" x14ac:dyDescent="0.2">
      <c r="A24" s="67">
        <f>IF(Capacity!L36='Capacity summary'!BI143,1,0)</f>
        <v>1</v>
      </c>
      <c r="B24" s="67">
        <f>IF(Capacity!V36='Capacity summary'!BI43,1,0)</f>
        <v>1</v>
      </c>
      <c r="C24" s="67" t="str">
        <f>ROW(A20)&amp;". "&amp;Capacity!B36</f>
        <v>20. Slot A</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 ca="1">IF(ROW(C20)&lt;=Capacity!$A$16,IF('Capacity summary'!$D$14="No",SUM(H24:BG24),'Capacity summary'!$E143),0)</f>
        <v>52</v>
      </c>
      <c r="BI24" s="5">
        <f ca="1">IF(BH24&gt;0,IF(BH24&lt;Capacity!E36,Capacity!F36,Capacity!H36/'Capacity calculation (hide)'!BH24),"")</f>
        <v>17.307692307692307</v>
      </c>
      <c r="BK24" s="311">
        <f ca="1">IF($BI24&lt;&gt;"",IF('Capacity summary'!$D$14="Yes",IF(COUNTBLANK('Capacity summary'!$H143:$BG143)&lt;52,IF('Capacity summary'!H143&lt;&gt;"",IF(LOWER('Capacity summary'!H143)="x",$BI24*H24,VALUE('Capacity summary'!H143)),0),H24*$BI24),H24*$BI24),0)</f>
        <v>17.307692307692307</v>
      </c>
      <c r="BL24" s="311">
        <f ca="1">IF($BI24&lt;&gt;"",IF('Capacity summary'!$D$14="Yes",IF(COUNTBLANK('Capacity summary'!$H143:$BG143)&lt;52,IF('Capacity summary'!I143&lt;&gt;"",IF(LOWER('Capacity summary'!I143)="x",$BI24*I24,VALUE('Capacity summary'!I143)),0),I24*$BI24),I24*$BI24),0)</f>
        <v>17.307692307692307</v>
      </c>
      <c r="BM24" s="311">
        <f ca="1">IF($BI24&lt;&gt;"",IF('Capacity summary'!$D$14="Yes",IF(COUNTBLANK('Capacity summary'!$H143:$BG143)&lt;52,IF('Capacity summary'!J143&lt;&gt;"",IF(LOWER('Capacity summary'!J143)="x",$BI24*J24,VALUE('Capacity summary'!J143)),0),J24*$BI24),J24*$BI24),0)</f>
        <v>17.307692307692307</v>
      </c>
      <c r="BN24" s="311">
        <f ca="1">IF($BI24&lt;&gt;"",IF('Capacity summary'!$D$14="Yes",IF(COUNTBLANK('Capacity summary'!$H143:$BG143)&lt;52,IF('Capacity summary'!K143&lt;&gt;"",IF(LOWER('Capacity summary'!K143)="x",$BI24*K24,VALUE('Capacity summary'!K143)),0),K24*$BI24),K24*$BI24),0)</f>
        <v>17.307692307692307</v>
      </c>
      <c r="BO24" s="311">
        <f ca="1">IF($BI24&lt;&gt;"",IF('Capacity summary'!$D$14="Yes",IF(COUNTBLANK('Capacity summary'!$H143:$BG143)&lt;52,IF('Capacity summary'!L143&lt;&gt;"",IF(LOWER('Capacity summary'!L143)="x",$BI24*L24,VALUE('Capacity summary'!L143)),0),L24*$BI24),L24*$BI24),0)</f>
        <v>17.307692307692307</v>
      </c>
      <c r="BP24" s="311">
        <f ca="1">IF($BI24&lt;&gt;"",IF('Capacity summary'!$D$14="Yes",IF(COUNTBLANK('Capacity summary'!$H143:$BG143)&lt;52,IF('Capacity summary'!M143&lt;&gt;"",IF(LOWER('Capacity summary'!M143)="x",$BI24*M24,VALUE('Capacity summary'!M143)),0),M24*$BI24),M24*$BI24),0)</f>
        <v>17.307692307692307</v>
      </c>
      <c r="BQ24" s="311">
        <f ca="1">IF($BI24&lt;&gt;"",IF('Capacity summary'!$D$14="Yes",IF(COUNTBLANK('Capacity summary'!$H143:$BG143)&lt;52,IF('Capacity summary'!N143&lt;&gt;"",IF(LOWER('Capacity summary'!N143)="x",$BI24*N24,VALUE('Capacity summary'!N143)),0),N24*$BI24),N24*$BI24),0)</f>
        <v>17.307692307692307</v>
      </c>
      <c r="BR24" s="311">
        <f ca="1">IF($BI24&lt;&gt;"",IF('Capacity summary'!$D$14="Yes",IF(COUNTBLANK('Capacity summary'!$H143:$BG143)&lt;52,IF('Capacity summary'!O143&lt;&gt;"",IF(LOWER('Capacity summary'!O143)="x",$BI24*O24,VALUE('Capacity summary'!O143)),0),O24*$BI24),O24*$BI24),0)</f>
        <v>17.307692307692307</v>
      </c>
      <c r="BS24" s="311">
        <f ca="1">IF($BI24&lt;&gt;"",IF('Capacity summary'!$D$14="Yes",IF(COUNTBLANK('Capacity summary'!$H143:$BG143)&lt;52,IF('Capacity summary'!P143&lt;&gt;"",IF(LOWER('Capacity summary'!P143)="x",$BI24*P24,VALUE('Capacity summary'!P143)),0),P24*$BI24),P24*$BI24),0)</f>
        <v>17.307692307692307</v>
      </c>
      <c r="BT24" s="311">
        <f ca="1">IF($BI24&lt;&gt;"",IF('Capacity summary'!$D$14="Yes",IF(COUNTBLANK('Capacity summary'!$H143:$BG143)&lt;52,IF('Capacity summary'!Q143&lt;&gt;"",IF(LOWER('Capacity summary'!Q143)="x",$BI24*Q24,VALUE('Capacity summary'!Q143)),0),Q24*$BI24),Q24*$BI24),0)</f>
        <v>17.307692307692307</v>
      </c>
      <c r="BU24" s="311">
        <f ca="1">IF($BI24&lt;&gt;"",IF('Capacity summary'!$D$14="Yes",IF(COUNTBLANK('Capacity summary'!$H143:$BG143)&lt;52,IF('Capacity summary'!R143&lt;&gt;"",IF(LOWER('Capacity summary'!R143)="x",$BI24*R24,VALUE('Capacity summary'!R143)),0),R24*$BI24),R24*$BI24),0)</f>
        <v>17.307692307692307</v>
      </c>
      <c r="BV24" s="311">
        <f ca="1">IF($BI24&lt;&gt;"",IF('Capacity summary'!$D$14="Yes",IF(COUNTBLANK('Capacity summary'!$H143:$BG143)&lt;52,IF('Capacity summary'!S143&lt;&gt;"",IF(LOWER('Capacity summary'!S143)="x",$BI24*S24,VALUE('Capacity summary'!S143)),0),S24*$BI24),S24*$BI24),0)</f>
        <v>17.307692307692307</v>
      </c>
      <c r="BW24" s="311">
        <f ca="1">IF($BI24&lt;&gt;"",IF('Capacity summary'!$D$14="Yes",IF(COUNTBLANK('Capacity summary'!$H143:$BG143)&lt;52,IF('Capacity summary'!T143&lt;&gt;"",IF(LOWER('Capacity summary'!T143)="x",$BI24*T24,VALUE('Capacity summary'!T143)),0),T24*$BI24),T24*$BI24),0)</f>
        <v>17.307692307692307</v>
      </c>
      <c r="BX24" s="311">
        <f ca="1">IF($BI24&lt;&gt;"",IF('Capacity summary'!$D$14="Yes",IF(COUNTBLANK('Capacity summary'!$H143:$BG143)&lt;52,IF('Capacity summary'!U143&lt;&gt;"",IF(LOWER('Capacity summary'!U143)="x",$BI24*U24,VALUE('Capacity summary'!U143)),0),U24*$BI24),U24*$BI24),0)</f>
        <v>17.307692307692307</v>
      </c>
      <c r="BY24" s="311">
        <f ca="1">IF($BI24&lt;&gt;"",IF('Capacity summary'!$D$14="Yes",IF(COUNTBLANK('Capacity summary'!$H143:$BG143)&lt;52,IF('Capacity summary'!V143&lt;&gt;"",IF(LOWER('Capacity summary'!V143)="x",$BI24*V24,VALUE('Capacity summary'!V143)),0),V24*$BI24),V24*$BI24),0)</f>
        <v>17.307692307692307</v>
      </c>
      <c r="BZ24" s="311">
        <f ca="1">IF($BI24&lt;&gt;"",IF('Capacity summary'!$D$14="Yes",IF(COUNTBLANK('Capacity summary'!$H143:$BG143)&lt;52,IF('Capacity summary'!W143&lt;&gt;"",IF(LOWER('Capacity summary'!W143)="x",$BI24*W24,VALUE('Capacity summary'!W143)),0),W24*$BI24),W24*$BI24),0)</f>
        <v>17.307692307692307</v>
      </c>
      <c r="CA24" s="311">
        <f ca="1">IF($BI24&lt;&gt;"",IF('Capacity summary'!$D$14="Yes",IF(COUNTBLANK('Capacity summary'!$H143:$BG143)&lt;52,IF('Capacity summary'!X143&lt;&gt;"",IF(LOWER('Capacity summary'!X143)="x",$BI24*X24,VALUE('Capacity summary'!X143)),0),X24*$BI24),X24*$BI24),0)</f>
        <v>17.307692307692307</v>
      </c>
      <c r="CB24" s="311">
        <f ca="1">IF($BI24&lt;&gt;"",IF('Capacity summary'!$D$14="Yes",IF(COUNTBLANK('Capacity summary'!$H143:$BG143)&lt;52,IF('Capacity summary'!Y143&lt;&gt;"",IF(LOWER('Capacity summary'!Y143)="x",$BI24*Y24,VALUE('Capacity summary'!Y143)),0),Y24*$BI24),Y24*$BI24),0)</f>
        <v>17.307692307692307</v>
      </c>
      <c r="CC24" s="311">
        <f ca="1">IF($BI24&lt;&gt;"",IF('Capacity summary'!$D$14="Yes",IF(COUNTBLANK('Capacity summary'!$H143:$BG143)&lt;52,IF('Capacity summary'!Z143&lt;&gt;"",IF(LOWER('Capacity summary'!Z143)="x",$BI24*Z24,VALUE('Capacity summary'!Z143)),0),Z24*$BI24),Z24*$BI24),0)</f>
        <v>17.307692307692307</v>
      </c>
      <c r="CD24" s="311">
        <f ca="1">IF($BI24&lt;&gt;"",IF('Capacity summary'!$D$14="Yes",IF(COUNTBLANK('Capacity summary'!$H143:$BG143)&lt;52,IF('Capacity summary'!AA143&lt;&gt;"",IF(LOWER('Capacity summary'!AA143)="x",$BI24*AA24,VALUE('Capacity summary'!AA143)),0),AA24*$BI24),AA24*$BI24),0)</f>
        <v>17.307692307692307</v>
      </c>
      <c r="CE24" s="311">
        <f ca="1">IF($BI24&lt;&gt;"",IF('Capacity summary'!$D$14="Yes",IF(COUNTBLANK('Capacity summary'!$H143:$BG143)&lt;52,IF('Capacity summary'!AB143&lt;&gt;"",IF(LOWER('Capacity summary'!AB143)="x",$BI24*AB24,VALUE('Capacity summary'!AB143)),0),AB24*$BI24),AB24*$BI24),0)</f>
        <v>17.307692307692307</v>
      </c>
      <c r="CF24" s="311">
        <f ca="1">IF($BI24&lt;&gt;"",IF('Capacity summary'!$D$14="Yes",IF(COUNTBLANK('Capacity summary'!$H143:$BG143)&lt;52,IF('Capacity summary'!AC143&lt;&gt;"",IF(LOWER('Capacity summary'!AC143)="x",$BI24*AC24,VALUE('Capacity summary'!AC143)),0),AC24*$BI24),AC24*$BI24),0)</f>
        <v>17.307692307692307</v>
      </c>
      <c r="CG24" s="311">
        <f ca="1">IF($BI24&lt;&gt;"",IF('Capacity summary'!$D$14="Yes",IF(COUNTBLANK('Capacity summary'!$H143:$BG143)&lt;52,IF('Capacity summary'!AD143&lt;&gt;"",IF(LOWER('Capacity summary'!AD143)="x",$BI24*AD24,VALUE('Capacity summary'!AD143)),0),AD24*$BI24),AD24*$BI24),0)</f>
        <v>17.307692307692307</v>
      </c>
      <c r="CH24" s="311">
        <f ca="1">IF($BI24&lt;&gt;"",IF('Capacity summary'!$D$14="Yes",IF(COUNTBLANK('Capacity summary'!$H143:$BG143)&lt;52,IF('Capacity summary'!AE143&lt;&gt;"",IF(LOWER('Capacity summary'!AE143)="x",$BI24*AE24,VALUE('Capacity summary'!AE143)),0),AE24*$BI24),AE24*$BI24),0)</f>
        <v>17.307692307692307</v>
      </c>
      <c r="CI24" s="311">
        <f ca="1">IF($BI24&lt;&gt;"",IF('Capacity summary'!$D$14="Yes",IF(COUNTBLANK('Capacity summary'!$H143:$BG143)&lt;52,IF('Capacity summary'!AF143&lt;&gt;"",IF(LOWER('Capacity summary'!AF143)="x",$BI24*AF24,VALUE('Capacity summary'!AF143)),0),AF24*$BI24),AF24*$BI24),0)</f>
        <v>17.307692307692307</v>
      </c>
      <c r="CJ24" s="311">
        <f ca="1">IF($BI24&lt;&gt;"",IF('Capacity summary'!$D$14="Yes",IF(COUNTBLANK('Capacity summary'!$H143:$BG143)&lt;52,IF('Capacity summary'!AG143&lt;&gt;"",IF(LOWER('Capacity summary'!AG143)="x",$BI24*AG24,VALUE('Capacity summary'!AG143)),0),AG24*$BI24),AG24*$BI24),0)</f>
        <v>17.307692307692307</v>
      </c>
      <c r="CK24" s="311">
        <f ca="1">IF($BI24&lt;&gt;"",IF('Capacity summary'!$D$14="Yes",IF(COUNTBLANK('Capacity summary'!$H143:$BG143)&lt;52,IF('Capacity summary'!AH143&lt;&gt;"",IF(LOWER('Capacity summary'!AH143)="x",$BI24*AH24,VALUE('Capacity summary'!AH143)),0),AH24*$BI24),AH24*$BI24),0)</f>
        <v>17.307692307692307</v>
      </c>
      <c r="CL24" s="311">
        <f ca="1">IF($BI24&lt;&gt;"",IF('Capacity summary'!$D$14="Yes",IF(COUNTBLANK('Capacity summary'!$H143:$BG143)&lt;52,IF('Capacity summary'!AI143&lt;&gt;"",IF(LOWER('Capacity summary'!AI143)="x",$BI24*AI24,VALUE('Capacity summary'!AI143)),0),AI24*$BI24),AI24*$BI24),0)</f>
        <v>17.307692307692307</v>
      </c>
      <c r="CM24" s="311">
        <f ca="1">IF($BI24&lt;&gt;"",IF('Capacity summary'!$D$14="Yes",IF(COUNTBLANK('Capacity summary'!$H143:$BG143)&lt;52,IF('Capacity summary'!AJ143&lt;&gt;"",IF(LOWER('Capacity summary'!AJ143)="x",$BI24*AJ24,VALUE('Capacity summary'!AJ143)),0),AJ24*$BI24),AJ24*$BI24),0)</f>
        <v>17.307692307692307</v>
      </c>
      <c r="CN24" s="311">
        <f ca="1">IF($BI24&lt;&gt;"",IF('Capacity summary'!$D$14="Yes",IF(COUNTBLANK('Capacity summary'!$H143:$BG143)&lt;52,IF('Capacity summary'!AK143&lt;&gt;"",IF(LOWER('Capacity summary'!AK143)="x",$BI24*AK24,VALUE('Capacity summary'!AK143)),0),AK24*$BI24),AK24*$BI24),0)</f>
        <v>17.307692307692307</v>
      </c>
      <c r="CO24" s="311">
        <f ca="1">IF($BI24&lt;&gt;"",IF('Capacity summary'!$D$14="Yes",IF(COUNTBLANK('Capacity summary'!$H143:$BG143)&lt;52,IF('Capacity summary'!AL143&lt;&gt;"",IF(LOWER('Capacity summary'!AL143)="x",$BI24*AL24,VALUE('Capacity summary'!AL143)),0),AL24*$BI24),AL24*$BI24),0)</f>
        <v>17.307692307692307</v>
      </c>
      <c r="CP24" s="311">
        <f ca="1">IF($BI24&lt;&gt;"",IF('Capacity summary'!$D$14="Yes",IF(COUNTBLANK('Capacity summary'!$H143:$BG143)&lt;52,IF('Capacity summary'!AM143&lt;&gt;"",IF(LOWER('Capacity summary'!AM143)="x",$BI24*AM24,VALUE('Capacity summary'!AM143)),0),AM24*$BI24),AM24*$BI24),0)</f>
        <v>17.307692307692307</v>
      </c>
      <c r="CQ24" s="311">
        <f ca="1">IF($BI24&lt;&gt;"",IF('Capacity summary'!$D$14="Yes",IF(COUNTBLANK('Capacity summary'!$H143:$BG143)&lt;52,IF('Capacity summary'!AN143&lt;&gt;"",IF(LOWER('Capacity summary'!AN143)="x",$BI24*AN24,VALUE('Capacity summary'!AN143)),0),AN24*$BI24),AN24*$BI24),0)</f>
        <v>17.307692307692307</v>
      </c>
      <c r="CR24" s="311">
        <f ca="1">IF($BI24&lt;&gt;"",IF('Capacity summary'!$D$14="Yes",IF(COUNTBLANK('Capacity summary'!$H143:$BG143)&lt;52,IF('Capacity summary'!AO143&lt;&gt;"",IF(LOWER('Capacity summary'!AO143)="x",$BI24*AO24,VALUE('Capacity summary'!AO143)),0),AO24*$BI24),AO24*$BI24),0)</f>
        <v>17.307692307692307</v>
      </c>
      <c r="CS24" s="311">
        <f ca="1">IF($BI24&lt;&gt;"",IF('Capacity summary'!$D$14="Yes",IF(COUNTBLANK('Capacity summary'!$H143:$BG143)&lt;52,IF('Capacity summary'!AP143&lt;&gt;"",IF(LOWER('Capacity summary'!AP143)="x",$BI24*AP24,VALUE('Capacity summary'!AP143)),0),AP24*$BI24),AP24*$BI24),0)</f>
        <v>17.307692307692307</v>
      </c>
      <c r="CT24" s="311">
        <f ca="1">IF($BI24&lt;&gt;"",IF('Capacity summary'!$D$14="Yes",IF(COUNTBLANK('Capacity summary'!$H143:$BG143)&lt;52,IF('Capacity summary'!AQ143&lt;&gt;"",IF(LOWER('Capacity summary'!AQ143)="x",$BI24*AQ24,VALUE('Capacity summary'!AQ143)),0),AQ24*$BI24),AQ24*$BI24),0)</f>
        <v>17.307692307692307</v>
      </c>
      <c r="CU24" s="311">
        <f ca="1">IF($BI24&lt;&gt;"",IF('Capacity summary'!$D$14="Yes",IF(COUNTBLANK('Capacity summary'!$H143:$BG143)&lt;52,IF('Capacity summary'!AR143&lt;&gt;"",IF(LOWER('Capacity summary'!AR143)="x",$BI24*AR24,VALUE('Capacity summary'!AR143)),0),AR24*$BI24),AR24*$BI24),0)</f>
        <v>17.307692307692307</v>
      </c>
      <c r="CV24" s="311">
        <f ca="1">IF($BI24&lt;&gt;"",IF('Capacity summary'!$D$14="Yes",IF(COUNTBLANK('Capacity summary'!$H143:$BG143)&lt;52,IF('Capacity summary'!AS143&lt;&gt;"",IF(LOWER('Capacity summary'!AS143)="x",$BI24*AS24,VALUE('Capacity summary'!AS143)),0),AS24*$BI24),AS24*$BI24),0)</f>
        <v>17.307692307692307</v>
      </c>
      <c r="CW24" s="311">
        <f ca="1">IF($BI24&lt;&gt;"",IF('Capacity summary'!$D$14="Yes",IF(COUNTBLANK('Capacity summary'!$H143:$BG143)&lt;52,IF('Capacity summary'!AT143&lt;&gt;"",IF(LOWER('Capacity summary'!AT143)="x",$BI24*AT24,VALUE('Capacity summary'!AT143)),0),AT24*$BI24),AT24*$BI24),0)</f>
        <v>17.307692307692307</v>
      </c>
      <c r="CX24" s="311">
        <f ca="1">IF($BI24&lt;&gt;"",IF('Capacity summary'!$D$14="Yes",IF(COUNTBLANK('Capacity summary'!$H143:$BG143)&lt;52,IF('Capacity summary'!AU143&lt;&gt;"",IF(LOWER('Capacity summary'!AU143)="x",$BI24*AU24,VALUE('Capacity summary'!AU143)),0),AU24*$BI24),AU24*$BI24),0)</f>
        <v>17.307692307692307</v>
      </c>
      <c r="CY24" s="311">
        <f ca="1">IF($BI24&lt;&gt;"",IF('Capacity summary'!$D$14="Yes",IF(COUNTBLANK('Capacity summary'!$H143:$BG143)&lt;52,IF('Capacity summary'!AV143&lt;&gt;"",IF(LOWER('Capacity summary'!AV143)="x",$BI24*AV24,VALUE('Capacity summary'!AV143)),0),AV24*$BI24),AV24*$BI24),0)</f>
        <v>17.307692307692307</v>
      </c>
      <c r="CZ24" s="311">
        <f ca="1">IF($BI24&lt;&gt;"",IF('Capacity summary'!$D$14="Yes",IF(COUNTBLANK('Capacity summary'!$H143:$BG143)&lt;52,IF('Capacity summary'!AW143&lt;&gt;"",IF(LOWER('Capacity summary'!AW143)="x",$BI24*AW24,VALUE('Capacity summary'!AW143)),0),AW24*$BI24),AW24*$BI24),0)</f>
        <v>17.307692307692307</v>
      </c>
      <c r="DA24" s="311">
        <f ca="1">IF($BI24&lt;&gt;"",IF('Capacity summary'!$D$14="Yes",IF(COUNTBLANK('Capacity summary'!$H143:$BG143)&lt;52,IF('Capacity summary'!AX143&lt;&gt;"",IF(LOWER('Capacity summary'!AX143)="x",$BI24*AX24,VALUE('Capacity summary'!AX143)),0),AX24*$BI24),AX24*$BI24),0)</f>
        <v>17.307692307692307</v>
      </c>
      <c r="DB24" s="311">
        <f ca="1">IF($BI24&lt;&gt;"",IF('Capacity summary'!$D$14="Yes",IF(COUNTBLANK('Capacity summary'!$H143:$BG143)&lt;52,IF('Capacity summary'!AY143&lt;&gt;"",IF(LOWER('Capacity summary'!AY143)="x",$BI24*AY24,VALUE('Capacity summary'!AY143)),0),AY24*$BI24),AY24*$BI24),0)</f>
        <v>17.307692307692307</v>
      </c>
      <c r="DC24" s="311">
        <f ca="1">IF($BI24&lt;&gt;"",IF('Capacity summary'!$D$14="Yes",IF(COUNTBLANK('Capacity summary'!$H143:$BG143)&lt;52,IF('Capacity summary'!AZ143&lt;&gt;"",IF(LOWER('Capacity summary'!AZ143)="x",$BI24*AZ24,VALUE('Capacity summary'!AZ143)),0),AZ24*$BI24),AZ24*$BI24),0)</f>
        <v>17.307692307692307</v>
      </c>
      <c r="DD24" s="311">
        <f ca="1">IF($BI24&lt;&gt;"",IF('Capacity summary'!$D$14="Yes",IF(COUNTBLANK('Capacity summary'!$H143:$BG143)&lt;52,IF('Capacity summary'!BA143&lt;&gt;"",IF(LOWER('Capacity summary'!BA143)="x",$BI24*BA24,VALUE('Capacity summary'!BA143)),0),BA24*$BI24),BA24*$BI24),0)</f>
        <v>17.307692307692307</v>
      </c>
      <c r="DE24" s="311">
        <f ca="1">IF($BI24&lt;&gt;"",IF('Capacity summary'!$D$14="Yes",IF(COUNTBLANK('Capacity summary'!$H143:$BG143)&lt;52,IF('Capacity summary'!BB143&lt;&gt;"",IF(LOWER('Capacity summary'!BB143)="x",$BI24*BB24,VALUE('Capacity summary'!BB143)),0),BB24*$BI24),BB24*$BI24),0)</f>
        <v>17.307692307692307</v>
      </c>
      <c r="DF24" s="311">
        <f ca="1">IF($BI24&lt;&gt;"",IF('Capacity summary'!$D$14="Yes",IF(COUNTBLANK('Capacity summary'!$H143:$BG143)&lt;52,IF('Capacity summary'!BC143&lt;&gt;"",IF(LOWER('Capacity summary'!BC143)="x",$BI24*BC24,VALUE('Capacity summary'!BC143)),0),BC24*$BI24),BC24*$BI24),0)</f>
        <v>17.307692307692307</v>
      </c>
      <c r="DG24" s="311">
        <f ca="1">IF($BI24&lt;&gt;"",IF('Capacity summary'!$D$14="Yes",IF(COUNTBLANK('Capacity summary'!$H143:$BG143)&lt;52,IF('Capacity summary'!BD143&lt;&gt;"",IF(LOWER('Capacity summary'!BD143)="x",$BI24*BD24,VALUE('Capacity summary'!BD143)),0),BD24*$BI24),BD24*$BI24),0)</f>
        <v>17.307692307692307</v>
      </c>
      <c r="DH24" s="311">
        <f ca="1">IF($BI24&lt;&gt;"",IF('Capacity summary'!$D$14="Yes",IF(COUNTBLANK('Capacity summary'!$H143:$BG143)&lt;52,IF('Capacity summary'!BE143&lt;&gt;"",IF(LOWER('Capacity summary'!BE143)="x",$BI24*BE24,VALUE('Capacity summary'!BE143)),0),BE24*$BI24),BE24*$BI24),0)</f>
        <v>17.307692307692307</v>
      </c>
      <c r="DI24" s="311">
        <f ca="1">IF($BI24&lt;&gt;"",IF('Capacity summary'!$D$14="Yes",IF(COUNTBLANK('Capacity summary'!$H143:$BG143)&lt;52,IF('Capacity summary'!BF143&lt;&gt;"",IF(LOWER('Capacity summary'!BF143)="x",$BI24*BF24,VALUE('Capacity summary'!BF143)),0),BF24*$BI24),BF24*$BI24),0)</f>
        <v>17.307692307692307</v>
      </c>
      <c r="DJ24" s="311">
        <f ca="1">IF($BI24&lt;&gt;"",IF('Capacity summary'!$D$14="Yes",IF(COUNTBLANK('Capacity summary'!$H143:$BG143)&lt;52,IF('Capacity summary'!BG143&lt;&gt;"",IF(LOWER('Capacity summary'!BG143)="x",$BI24*BG24,VALUE('Capacity summary'!BG143)),0),BG24*$BI24),BG24*$BI24),0)</f>
        <v>17.307692307692307</v>
      </c>
      <c r="DK24" s="388">
        <f t="shared" ca="1" si="2"/>
        <v>17.307692307692307</v>
      </c>
      <c r="DL24" s="136">
        <f t="shared" ca="1" si="3"/>
        <v>899.99999999999932</v>
      </c>
      <c r="DM24" s="311">
        <f>Capacity!H36</f>
        <v>900</v>
      </c>
      <c r="DQ24" s="5"/>
    </row>
    <row r="25" spans="1:121" x14ac:dyDescent="0.2">
      <c r="A25" s="67">
        <f>IF(Capacity!L37='Capacity summary'!BI144,1,0)</f>
        <v>1</v>
      </c>
      <c r="B25" s="67">
        <f>IF(Capacity!V37='Capacity summary'!BI44,1,0)</f>
        <v>1</v>
      </c>
      <c r="C25" s="67" t="str">
        <f>ROW(A21)&amp;". "&amp;Capacity!B37</f>
        <v>21. 2 ww</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 ca="1">IF(ROW(C21)&lt;=Capacity!$A$16,IF('Capacity summary'!$D$14="No",SUM(H25:BG25),'Capacity summary'!$E144),0)</f>
        <v>52</v>
      </c>
      <c r="BI25" s="5">
        <f ca="1">IF(BH25&gt;0,IF(BH25&lt;Capacity!E37,Capacity!F37,Capacity!H37/'Capacity calculation (hide)'!BH25),"")</f>
        <v>34.615384615384613</v>
      </c>
      <c r="BK25" s="311">
        <f ca="1">IF($BI25&lt;&gt;"",IF('Capacity summary'!$D$14="Yes",IF(COUNTBLANK('Capacity summary'!$H144:$BG144)&lt;52,IF('Capacity summary'!H144&lt;&gt;"",IF(LOWER('Capacity summary'!H144)="x",$BI25*H25,VALUE('Capacity summary'!H144)),0),H25*$BI25),H25*$BI25),0)</f>
        <v>34.615384615384613</v>
      </c>
      <c r="BL25" s="311">
        <f ca="1">IF($BI25&lt;&gt;"",IF('Capacity summary'!$D$14="Yes",IF(COUNTBLANK('Capacity summary'!$H144:$BG144)&lt;52,IF('Capacity summary'!I144&lt;&gt;"",IF(LOWER('Capacity summary'!I144)="x",$BI25*I25,VALUE('Capacity summary'!I144)),0),I25*$BI25),I25*$BI25),0)</f>
        <v>34.615384615384613</v>
      </c>
      <c r="BM25" s="311">
        <f ca="1">IF($BI25&lt;&gt;"",IF('Capacity summary'!$D$14="Yes",IF(COUNTBLANK('Capacity summary'!$H144:$BG144)&lt;52,IF('Capacity summary'!J144&lt;&gt;"",IF(LOWER('Capacity summary'!J144)="x",$BI25*J25,VALUE('Capacity summary'!J144)),0),J25*$BI25),J25*$BI25),0)</f>
        <v>34.615384615384613</v>
      </c>
      <c r="BN25" s="311">
        <f ca="1">IF($BI25&lt;&gt;"",IF('Capacity summary'!$D$14="Yes",IF(COUNTBLANK('Capacity summary'!$H144:$BG144)&lt;52,IF('Capacity summary'!K144&lt;&gt;"",IF(LOWER('Capacity summary'!K144)="x",$BI25*K25,VALUE('Capacity summary'!K144)),0),K25*$BI25),K25*$BI25),0)</f>
        <v>34.615384615384613</v>
      </c>
      <c r="BO25" s="311">
        <f ca="1">IF($BI25&lt;&gt;"",IF('Capacity summary'!$D$14="Yes",IF(COUNTBLANK('Capacity summary'!$H144:$BG144)&lt;52,IF('Capacity summary'!L144&lt;&gt;"",IF(LOWER('Capacity summary'!L144)="x",$BI25*L25,VALUE('Capacity summary'!L144)),0),L25*$BI25),L25*$BI25),0)</f>
        <v>34.615384615384613</v>
      </c>
      <c r="BP25" s="311">
        <f ca="1">IF($BI25&lt;&gt;"",IF('Capacity summary'!$D$14="Yes",IF(COUNTBLANK('Capacity summary'!$H144:$BG144)&lt;52,IF('Capacity summary'!M144&lt;&gt;"",IF(LOWER('Capacity summary'!M144)="x",$BI25*M25,VALUE('Capacity summary'!M144)),0),M25*$BI25),M25*$BI25),0)</f>
        <v>34.615384615384613</v>
      </c>
      <c r="BQ25" s="311">
        <f ca="1">IF($BI25&lt;&gt;"",IF('Capacity summary'!$D$14="Yes",IF(COUNTBLANK('Capacity summary'!$H144:$BG144)&lt;52,IF('Capacity summary'!N144&lt;&gt;"",IF(LOWER('Capacity summary'!N144)="x",$BI25*N25,VALUE('Capacity summary'!N144)),0),N25*$BI25),N25*$BI25),0)</f>
        <v>34.615384615384613</v>
      </c>
      <c r="BR25" s="311">
        <f ca="1">IF($BI25&lt;&gt;"",IF('Capacity summary'!$D$14="Yes",IF(COUNTBLANK('Capacity summary'!$H144:$BG144)&lt;52,IF('Capacity summary'!O144&lt;&gt;"",IF(LOWER('Capacity summary'!O144)="x",$BI25*O25,VALUE('Capacity summary'!O144)),0),O25*$BI25),O25*$BI25),0)</f>
        <v>34.615384615384613</v>
      </c>
      <c r="BS25" s="311">
        <f ca="1">IF($BI25&lt;&gt;"",IF('Capacity summary'!$D$14="Yes",IF(COUNTBLANK('Capacity summary'!$H144:$BG144)&lt;52,IF('Capacity summary'!P144&lt;&gt;"",IF(LOWER('Capacity summary'!P144)="x",$BI25*P25,VALUE('Capacity summary'!P144)),0),P25*$BI25),P25*$BI25),0)</f>
        <v>34.615384615384613</v>
      </c>
      <c r="BT25" s="311">
        <f ca="1">IF($BI25&lt;&gt;"",IF('Capacity summary'!$D$14="Yes",IF(COUNTBLANK('Capacity summary'!$H144:$BG144)&lt;52,IF('Capacity summary'!Q144&lt;&gt;"",IF(LOWER('Capacity summary'!Q144)="x",$BI25*Q25,VALUE('Capacity summary'!Q144)),0),Q25*$BI25),Q25*$BI25),0)</f>
        <v>34.615384615384613</v>
      </c>
      <c r="BU25" s="311">
        <f ca="1">IF($BI25&lt;&gt;"",IF('Capacity summary'!$D$14="Yes",IF(COUNTBLANK('Capacity summary'!$H144:$BG144)&lt;52,IF('Capacity summary'!R144&lt;&gt;"",IF(LOWER('Capacity summary'!R144)="x",$BI25*R25,VALUE('Capacity summary'!R144)),0),R25*$BI25),R25*$BI25),0)</f>
        <v>34.615384615384613</v>
      </c>
      <c r="BV25" s="311">
        <f ca="1">IF($BI25&lt;&gt;"",IF('Capacity summary'!$D$14="Yes",IF(COUNTBLANK('Capacity summary'!$H144:$BG144)&lt;52,IF('Capacity summary'!S144&lt;&gt;"",IF(LOWER('Capacity summary'!S144)="x",$BI25*S25,VALUE('Capacity summary'!S144)),0),S25*$BI25),S25*$BI25),0)</f>
        <v>34.615384615384613</v>
      </c>
      <c r="BW25" s="311">
        <f ca="1">IF($BI25&lt;&gt;"",IF('Capacity summary'!$D$14="Yes",IF(COUNTBLANK('Capacity summary'!$H144:$BG144)&lt;52,IF('Capacity summary'!T144&lt;&gt;"",IF(LOWER('Capacity summary'!T144)="x",$BI25*T25,VALUE('Capacity summary'!T144)),0),T25*$BI25),T25*$BI25),0)</f>
        <v>34.615384615384613</v>
      </c>
      <c r="BX25" s="311">
        <f ca="1">IF($BI25&lt;&gt;"",IF('Capacity summary'!$D$14="Yes",IF(COUNTBLANK('Capacity summary'!$H144:$BG144)&lt;52,IF('Capacity summary'!U144&lt;&gt;"",IF(LOWER('Capacity summary'!U144)="x",$BI25*U25,VALUE('Capacity summary'!U144)),0),U25*$BI25),U25*$BI25),0)</f>
        <v>34.615384615384613</v>
      </c>
      <c r="BY25" s="311">
        <f ca="1">IF($BI25&lt;&gt;"",IF('Capacity summary'!$D$14="Yes",IF(COUNTBLANK('Capacity summary'!$H144:$BG144)&lt;52,IF('Capacity summary'!V144&lt;&gt;"",IF(LOWER('Capacity summary'!V144)="x",$BI25*V25,VALUE('Capacity summary'!V144)),0),V25*$BI25),V25*$BI25),0)</f>
        <v>34.615384615384613</v>
      </c>
      <c r="BZ25" s="311">
        <f ca="1">IF($BI25&lt;&gt;"",IF('Capacity summary'!$D$14="Yes",IF(COUNTBLANK('Capacity summary'!$H144:$BG144)&lt;52,IF('Capacity summary'!W144&lt;&gt;"",IF(LOWER('Capacity summary'!W144)="x",$BI25*W25,VALUE('Capacity summary'!W144)),0),W25*$BI25),W25*$BI25),0)</f>
        <v>34.615384615384613</v>
      </c>
      <c r="CA25" s="311">
        <f ca="1">IF($BI25&lt;&gt;"",IF('Capacity summary'!$D$14="Yes",IF(COUNTBLANK('Capacity summary'!$H144:$BG144)&lt;52,IF('Capacity summary'!X144&lt;&gt;"",IF(LOWER('Capacity summary'!X144)="x",$BI25*X25,VALUE('Capacity summary'!X144)),0),X25*$BI25),X25*$BI25),0)</f>
        <v>34.615384615384613</v>
      </c>
      <c r="CB25" s="311">
        <f ca="1">IF($BI25&lt;&gt;"",IF('Capacity summary'!$D$14="Yes",IF(COUNTBLANK('Capacity summary'!$H144:$BG144)&lt;52,IF('Capacity summary'!Y144&lt;&gt;"",IF(LOWER('Capacity summary'!Y144)="x",$BI25*Y25,VALUE('Capacity summary'!Y144)),0),Y25*$BI25),Y25*$BI25),0)</f>
        <v>34.615384615384613</v>
      </c>
      <c r="CC25" s="311">
        <f ca="1">IF($BI25&lt;&gt;"",IF('Capacity summary'!$D$14="Yes",IF(COUNTBLANK('Capacity summary'!$H144:$BG144)&lt;52,IF('Capacity summary'!Z144&lt;&gt;"",IF(LOWER('Capacity summary'!Z144)="x",$BI25*Z25,VALUE('Capacity summary'!Z144)),0),Z25*$BI25),Z25*$BI25),0)</f>
        <v>34.615384615384613</v>
      </c>
      <c r="CD25" s="311">
        <f ca="1">IF($BI25&lt;&gt;"",IF('Capacity summary'!$D$14="Yes",IF(COUNTBLANK('Capacity summary'!$H144:$BG144)&lt;52,IF('Capacity summary'!AA144&lt;&gt;"",IF(LOWER('Capacity summary'!AA144)="x",$BI25*AA25,VALUE('Capacity summary'!AA144)),0),AA25*$BI25),AA25*$BI25),0)</f>
        <v>34.615384615384613</v>
      </c>
      <c r="CE25" s="311">
        <f ca="1">IF($BI25&lt;&gt;"",IF('Capacity summary'!$D$14="Yes",IF(COUNTBLANK('Capacity summary'!$H144:$BG144)&lt;52,IF('Capacity summary'!AB144&lt;&gt;"",IF(LOWER('Capacity summary'!AB144)="x",$BI25*AB25,VALUE('Capacity summary'!AB144)),0),AB25*$BI25),AB25*$BI25),0)</f>
        <v>34.615384615384613</v>
      </c>
      <c r="CF25" s="311">
        <f ca="1">IF($BI25&lt;&gt;"",IF('Capacity summary'!$D$14="Yes",IF(COUNTBLANK('Capacity summary'!$H144:$BG144)&lt;52,IF('Capacity summary'!AC144&lt;&gt;"",IF(LOWER('Capacity summary'!AC144)="x",$BI25*AC25,VALUE('Capacity summary'!AC144)),0),AC25*$BI25),AC25*$BI25),0)</f>
        <v>34.615384615384613</v>
      </c>
      <c r="CG25" s="311">
        <f ca="1">IF($BI25&lt;&gt;"",IF('Capacity summary'!$D$14="Yes",IF(COUNTBLANK('Capacity summary'!$H144:$BG144)&lt;52,IF('Capacity summary'!AD144&lt;&gt;"",IF(LOWER('Capacity summary'!AD144)="x",$BI25*AD25,VALUE('Capacity summary'!AD144)),0),AD25*$BI25),AD25*$BI25),0)</f>
        <v>34.615384615384613</v>
      </c>
      <c r="CH25" s="311">
        <f ca="1">IF($BI25&lt;&gt;"",IF('Capacity summary'!$D$14="Yes",IF(COUNTBLANK('Capacity summary'!$H144:$BG144)&lt;52,IF('Capacity summary'!AE144&lt;&gt;"",IF(LOWER('Capacity summary'!AE144)="x",$BI25*AE25,VALUE('Capacity summary'!AE144)),0),AE25*$BI25),AE25*$BI25),0)</f>
        <v>34.615384615384613</v>
      </c>
      <c r="CI25" s="311">
        <f ca="1">IF($BI25&lt;&gt;"",IF('Capacity summary'!$D$14="Yes",IF(COUNTBLANK('Capacity summary'!$H144:$BG144)&lt;52,IF('Capacity summary'!AF144&lt;&gt;"",IF(LOWER('Capacity summary'!AF144)="x",$BI25*AF25,VALUE('Capacity summary'!AF144)),0),AF25*$BI25),AF25*$BI25),0)</f>
        <v>34.615384615384613</v>
      </c>
      <c r="CJ25" s="311">
        <f ca="1">IF($BI25&lt;&gt;"",IF('Capacity summary'!$D$14="Yes",IF(COUNTBLANK('Capacity summary'!$H144:$BG144)&lt;52,IF('Capacity summary'!AG144&lt;&gt;"",IF(LOWER('Capacity summary'!AG144)="x",$BI25*AG25,VALUE('Capacity summary'!AG144)),0),AG25*$BI25),AG25*$BI25),0)</f>
        <v>34.615384615384613</v>
      </c>
      <c r="CK25" s="311">
        <f ca="1">IF($BI25&lt;&gt;"",IF('Capacity summary'!$D$14="Yes",IF(COUNTBLANK('Capacity summary'!$H144:$BG144)&lt;52,IF('Capacity summary'!AH144&lt;&gt;"",IF(LOWER('Capacity summary'!AH144)="x",$BI25*AH25,VALUE('Capacity summary'!AH144)),0),AH25*$BI25),AH25*$BI25),0)</f>
        <v>34.615384615384613</v>
      </c>
      <c r="CL25" s="311">
        <f ca="1">IF($BI25&lt;&gt;"",IF('Capacity summary'!$D$14="Yes",IF(COUNTBLANK('Capacity summary'!$H144:$BG144)&lt;52,IF('Capacity summary'!AI144&lt;&gt;"",IF(LOWER('Capacity summary'!AI144)="x",$BI25*AI25,VALUE('Capacity summary'!AI144)),0),AI25*$BI25),AI25*$BI25),0)</f>
        <v>34.615384615384613</v>
      </c>
      <c r="CM25" s="311">
        <f ca="1">IF($BI25&lt;&gt;"",IF('Capacity summary'!$D$14="Yes",IF(COUNTBLANK('Capacity summary'!$H144:$BG144)&lt;52,IF('Capacity summary'!AJ144&lt;&gt;"",IF(LOWER('Capacity summary'!AJ144)="x",$BI25*AJ25,VALUE('Capacity summary'!AJ144)),0),AJ25*$BI25),AJ25*$BI25),0)</f>
        <v>34.615384615384613</v>
      </c>
      <c r="CN25" s="311">
        <f ca="1">IF($BI25&lt;&gt;"",IF('Capacity summary'!$D$14="Yes",IF(COUNTBLANK('Capacity summary'!$H144:$BG144)&lt;52,IF('Capacity summary'!AK144&lt;&gt;"",IF(LOWER('Capacity summary'!AK144)="x",$BI25*AK25,VALUE('Capacity summary'!AK144)),0),AK25*$BI25),AK25*$BI25),0)</f>
        <v>34.615384615384613</v>
      </c>
      <c r="CO25" s="311">
        <f ca="1">IF($BI25&lt;&gt;"",IF('Capacity summary'!$D$14="Yes",IF(COUNTBLANK('Capacity summary'!$H144:$BG144)&lt;52,IF('Capacity summary'!AL144&lt;&gt;"",IF(LOWER('Capacity summary'!AL144)="x",$BI25*AL25,VALUE('Capacity summary'!AL144)),0),AL25*$BI25),AL25*$BI25),0)</f>
        <v>34.615384615384613</v>
      </c>
      <c r="CP25" s="311">
        <f ca="1">IF($BI25&lt;&gt;"",IF('Capacity summary'!$D$14="Yes",IF(COUNTBLANK('Capacity summary'!$H144:$BG144)&lt;52,IF('Capacity summary'!AM144&lt;&gt;"",IF(LOWER('Capacity summary'!AM144)="x",$BI25*AM25,VALUE('Capacity summary'!AM144)),0),AM25*$BI25),AM25*$BI25),0)</f>
        <v>34.615384615384613</v>
      </c>
      <c r="CQ25" s="311">
        <f ca="1">IF($BI25&lt;&gt;"",IF('Capacity summary'!$D$14="Yes",IF(COUNTBLANK('Capacity summary'!$H144:$BG144)&lt;52,IF('Capacity summary'!AN144&lt;&gt;"",IF(LOWER('Capacity summary'!AN144)="x",$BI25*AN25,VALUE('Capacity summary'!AN144)),0),AN25*$BI25),AN25*$BI25),0)</f>
        <v>34.615384615384613</v>
      </c>
      <c r="CR25" s="311">
        <f ca="1">IF($BI25&lt;&gt;"",IF('Capacity summary'!$D$14="Yes",IF(COUNTBLANK('Capacity summary'!$H144:$BG144)&lt;52,IF('Capacity summary'!AO144&lt;&gt;"",IF(LOWER('Capacity summary'!AO144)="x",$BI25*AO25,VALUE('Capacity summary'!AO144)),0),AO25*$BI25),AO25*$BI25),0)</f>
        <v>34.615384615384613</v>
      </c>
      <c r="CS25" s="311">
        <f ca="1">IF($BI25&lt;&gt;"",IF('Capacity summary'!$D$14="Yes",IF(COUNTBLANK('Capacity summary'!$H144:$BG144)&lt;52,IF('Capacity summary'!AP144&lt;&gt;"",IF(LOWER('Capacity summary'!AP144)="x",$BI25*AP25,VALUE('Capacity summary'!AP144)),0),AP25*$BI25),AP25*$BI25),0)</f>
        <v>34.615384615384613</v>
      </c>
      <c r="CT25" s="311">
        <f ca="1">IF($BI25&lt;&gt;"",IF('Capacity summary'!$D$14="Yes",IF(COUNTBLANK('Capacity summary'!$H144:$BG144)&lt;52,IF('Capacity summary'!AQ144&lt;&gt;"",IF(LOWER('Capacity summary'!AQ144)="x",$BI25*AQ25,VALUE('Capacity summary'!AQ144)),0),AQ25*$BI25),AQ25*$BI25),0)</f>
        <v>34.615384615384613</v>
      </c>
      <c r="CU25" s="311">
        <f ca="1">IF($BI25&lt;&gt;"",IF('Capacity summary'!$D$14="Yes",IF(COUNTBLANK('Capacity summary'!$H144:$BG144)&lt;52,IF('Capacity summary'!AR144&lt;&gt;"",IF(LOWER('Capacity summary'!AR144)="x",$BI25*AR25,VALUE('Capacity summary'!AR144)),0),AR25*$BI25),AR25*$BI25),0)</f>
        <v>34.615384615384613</v>
      </c>
      <c r="CV25" s="311">
        <f ca="1">IF($BI25&lt;&gt;"",IF('Capacity summary'!$D$14="Yes",IF(COUNTBLANK('Capacity summary'!$H144:$BG144)&lt;52,IF('Capacity summary'!AS144&lt;&gt;"",IF(LOWER('Capacity summary'!AS144)="x",$BI25*AS25,VALUE('Capacity summary'!AS144)),0),AS25*$BI25),AS25*$BI25),0)</f>
        <v>34.615384615384613</v>
      </c>
      <c r="CW25" s="311">
        <f ca="1">IF($BI25&lt;&gt;"",IF('Capacity summary'!$D$14="Yes",IF(COUNTBLANK('Capacity summary'!$H144:$BG144)&lt;52,IF('Capacity summary'!AT144&lt;&gt;"",IF(LOWER('Capacity summary'!AT144)="x",$BI25*AT25,VALUE('Capacity summary'!AT144)),0),AT25*$BI25),AT25*$BI25),0)</f>
        <v>34.615384615384613</v>
      </c>
      <c r="CX25" s="311">
        <f ca="1">IF($BI25&lt;&gt;"",IF('Capacity summary'!$D$14="Yes",IF(COUNTBLANK('Capacity summary'!$H144:$BG144)&lt;52,IF('Capacity summary'!AU144&lt;&gt;"",IF(LOWER('Capacity summary'!AU144)="x",$BI25*AU25,VALUE('Capacity summary'!AU144)),0),AU25*$BI25),AU25*$BI25),0)</f>
        <v>34.615384615384613</v>
      </c>
      <c r="CY25" s="311">
        <f ca="1">IF($BI25&lt;&gt;"",IF('Capacity summary'!$D$14="Yes",IF(COUNTBLANK('Capacity summary'!$H144:$BG144)&lt;52,IF('Capacity summary'!AV144&lt;&gt;"",IF(LOWER('Capacity summary'!AV144)="x",$BI25*AV25,VALUE('Capacity summary'!AV144)),0),AV25*$BI25),AV25*$BI25),0)</f>
        <v>34.615384615384613</v>
      </c>
      <c r="CZ25" s="311">
        <f ca="1">IF($BI25&lt;&gt;"",IF('Capacity summary'!$D$14="Yes",IF(COUNTBLANK('Capacity summary'!$H144:$BG144)&lt;52,IF('Capacity summary'!AW144&lt;&gt;"",IF(LOWER('Capacity summary'!AW144)="x",$BI25*AW25,VALUE('Capacity summary'!AW144)),0),AW25*$BI25),AW25*$BI25),0)</f>
        <v>34.615384615384613</v>
      </c>
      <c r="DA25" s="311">
        <f ca="1">IF($BI25&lt;&gt;"",IF('Capacity summary'!$D$14="Yes",IF(COUNTBLANK('Capacity summary'!$H144:$BG144)&lt;52,IF('Capacity summary'!AX144&lt;&gt;"",IF(LOWER('Capacity summary'!AX144)="x",$BI25*AX25,VALUE('Capacity summary'!AX144)),0),AX25*$BI25),AX25*$BI25),0)</f>
        <v>34.615384615384613</v>
      </c>
      <c r="DB25" s="311">
        <f ca="1">IF($BI25&lt;&gt;"",IF('Capacity summary'!$D$14="Yes",IF(COUNTBLANK('Capacity summary'!$H144:$BG144)&lt;52,IF('Capacity summary'!AY144&lt;&gt;"",IF(LOWER('Capacity summary'!AY144)="x",$BI25*AY25,VALUE('Capacity summary'!AY144)),0),AY25*$BI25),AY25*$BI25),0)</f>
        <v>34.615384615384613</v>
      </c>
      <c r="DC25" s="311">
        <f ca="1">IF($BI25&lt;&gt;"",IF('Capacity summary'!$D$14="Yes",IF(COUNTBLANK('Capacity summary'!$H144:$BG144)&lt;52,IF('Capacity summary'!AZ144&lt;&gt;"",IF(LOWER('Capacity summary'!AZ144)="x",$BI25*AZ25,VALUE('Capacity summary'!AZ144)),0),AZ25*$BI25),AZ25*$BI25),0)</f>
        <v>34.615384615384613</v>
      </c>
      <c r="DD25" s="311">
        <f ca="1">IF($BI25&lt;&gt;"",IF('Capacity summary'!$D$14="Yes",IF(COUNTBLANK('Capacity summary'!$H144:$BG144)&lt;52,IF('Capacity summary'!BA144&lt;&gt;"",IF(LOWER('Capacity summary'!BA144)="x",$BI25*BA25,VALUE('Capacity summary'!BA144)),0),BA25*$BI25),BA25*$BI25),0)</f>
        <v>34.615384615384613</v>
      </c>
      <c r="DE25" s="311">
        <f ca="1">IF($BI25&lt;&gt;"",IF('Capacity summary'!$D$14="Yes",IF(COUNTBLANK('Capacity summary'!$H144:$BG144)&lt;52,IF('Capacity summary'!BB144&lt;&gt;"",IF(LOWER('Capacity summary'!BB144)="x",$BI25*BB25,VALUE('Capacity summary'!BB144)),0),BB25*$BI25),BB25*$BI25),0)</f>
        <v>34.615384615384613</v>
      </c>
      <c r="DF25" s="311">
        <f ca="1">IF($BI25&lt;&gt;"",IF('Capacity summary'!$D$14="Yes",IF(COUNTBLANK('Capacity summary'!$H144:$BG144)&lt;52,IF('Capacity summary'!BC144&lt;&gt;"",IF(LOWER('Capacity summary'!BC144)="x",$BI25*BC25,VALUE('Capacity summary'!BC144)),0),BC25*$BI25),BC25*$BI25),0)</f>
        <v>34.615384615384613</v>
      </c>
      <c r="DG25" s="311">
        <f ca="1">IF($BI25&lt;&gt;"",IF('Capacity summary'!$D$14="Yes",IF(COUNTBLANK('Capacity summary'!$H144:$BG144)&lt;52,IF('Capacity summary'!BD144&lt;&gt;"",IF(LOWER('Capacity summary'!BD144)="x",$BI25*BD25,VALUE('Capacity summary'!BD144)),0),BD25*$BI25),BD25*$BI25),0)</f>
        <v>34.615384615384613</v>
      </c>
      <c r="DH25" s="311">
        <f ca="1">IF($BI25&lt;&gt;"",IF('Capacity summary'!$D$14="Yes",IF(COUNTBLANK('Capacity summary'!$H144:$BG144)&lt;52,IF('Capacity summary'!BE144&lt;&gt;"",IF(LOWER('Capacity summary'!BE144)="x",$BI25*BE25,VALUE('Capacity summary'!BE144)),0),BE25*$BI25),BE25*$BI25),0)</f>
        <v>34.615384615384613</v>
      </c>
      <c r="DI25" s="311">
        <f ca="1">IF($BI25&lt;&gt;"",IF('Capacity summary'!$D$14="Yes",IF(COUNTBLANK('Capacity summary'!$H144:$BG144)&lt;52,IF('Capacity summary'!BF144&lt;&gt;"",IF(LOWER('Capacity summary'!BF144)="x",$BI25*BF25,VALUE('Capacity summary'!BF144)),0),BF25*$BI25),BF25*$BI25),0)</f>
        <v>34.615384615384613</v>
      </c>
      <c r="DJ25" s="311">
        <f ca="1">IF($BI25&lt;&gt;"",IF('Capacity summary'!$D$14="Yes",IF(COUNTBLANK('Capacity summary'!$H144:$BG144)&lt;52,IF('Capacity summary'!BG144&lt;&gt;"",IF(LOWER('Capacity summary'!BG144)="x",$BI25*BG25,VALUE('Capacity summary'!BG144)),0),BG25*$BI25),BG25*$BI25),0)</f>
        <v>34.615384615384613</v>
      </c>
      <c r="DK25" s="388">
        <f t="shared" ca="1" si="2"/>
        <v>34.615384615384613</v>
      </c>
      <c r="DL25" s="136">
        <f t="shared" ca="1" si="3"/>
        <v>1799.9999999999986</v>
      </c>
      <c r="DM25" s="311">
        <f>Capacity!H37</f>
        <v>1800</v>
      </c>
      <c r="DQ25" s="5"/>
    </row>
    <row r="26" spans="1:121" x14ac:dyDescent="0.2">
      <c r="A26" s="67">
        <f>IF(Capacity!L38='Capacity summary'!BI145,1,0)</f>
        <v>1</v>
      </c>
      <c r="B26" s="67">
        <f>IF(Capacity!V38='Capacity summary'!BI45,1,0)</f>
        <v>1</v>
      </c>
      <c r="C26" s="67" t="str">
        <f>ROW(A22)&amp;". "&amp;Capacity!B38</f>
        <v>22. 2 ww</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 ca="1">IF(ROW(C22)&lt;=Capacity!$A$16,IF('Capacity summary'!$D$14="No",SUM(H26:BG26),'Capacity summary'!$E145),0)</f>
        <v>52</v>
      </c>
      <c r="BI26" s="5">
        <f ca="1">IF(BH26&gt;0,IF(BH26&lt;Capacity!E38,Capacity!F38,Capacity!H38/'Capacity calculation (hide)'!BH26),"")</f>
        <v>57.692307692307693</v>
      </c>
      <c r="BK26" s="311">
        <f ca="1">IF($BI26&lt;&gt;"",IF('Capacity summary'!$D$14="Yes",IF(COUNTBLANK('Capacity summary'!$H145:$BG145)&lt;52,IF('Capacity summary'!H145&lt;&gt;"",IF(LOWER('Capacity summary'!H145)="x",$BI26*H26,VALUE('Capacity summary'!H145)),0),H26*$BI26),H26*$BI26),0)</f>
        <v>57.692307692307693</v>
      </c>
      <c r="BL26" s="311">
        <f ca="1">IF($BI26&lt;&gt;"",IF('Capacity summary'!$D$14="Yes",IF(COUNTBLANK('Capacity summary'!$H145:$BG145)&lt;52,IF('Capacity summary'!I145&lt;&gt;"",IF(LOWER('Capacity summary'!I145)="x",$BI26*I26,VALUE('Capacity summary'!I145)),0),I26*$BI26),I26*$BI26),0)</f>
        <v>57.692307692307693</v>
      </c>
      <c r="BM26" s="311">
        <f ca="1">IF($BI26&lt;&gt;"",IF('Capacity summary'!$D$14="Yes",IF(COUNTBLANK('Capacity summary'!$H145:$BG145)&lt;52,IF('Capacity summary'!J145&lt;&gt;"",IF(LOWER('Capacity summary'!J145)="x",$BI26*J26,VALUE('Capacity summary'!J145)),0),J26*$BI26),J26*$BI26),0)</f>
        <v>57.692307692307693</v>
      </c>
      <c r="BN26" s="311">
        <f ca="1">IF($BI26&lt;&gt;"",IF('Capacity summary'!$D$14="Yes",IF(COUNTBLANK('Capacity summary'!$H145:$BG145)&lt;52,IF('Capacity summary'!K145&lt;&gt;"",IF(LOWER('Capacity summary'!K145)="x",$BI26*K26,VALUE('Capacity summary'!K145)),0),K26*$BI26),K26*$BI26),0)</f>
        <v>57.692307692307693</v>
      </c>
      <c r="BO26" s="311">
        <f ca="1">IF($BI26&lt;&gt;"",IF('Capacity summary'!$D$14="Yes",IF(COUNTBLANK('Capacity summary'!$H145:$BG145)&lt;52,IF('Capacity summary'!L145&lt;&gt;"",IF(LOWER('Capacity summary'!L145)="x",$BI26*L26,VALUE('Capacity summary'!L145)),0),L26*$BI26),L26*$BI26),0)</f>
        <v>57.692307692307693</v>
      </c>
      <c r="BP26" s="311">
        <f ca="1">IF($BI26&lt;&gt;"",IF('Capacity summary'!$D$14="Yes",IF(COUNTBLANK('Capacity summary'!$H145:$BG145)&lt;52,IF('Capacity summary'!M145&lt;&gt;"",IF(LOWER('Capacity summary'!M145)="x",$BI26*M26,VALUE('Capacity summary'!M145)),0),M26*$BI26),M26*$BI26),0)</f>
        <v>57.692307692307693</v>
      </c>
      <c r="BQ26" s="311">
        <f ca="1">IF($BI26&lt;&gt;"",IF('Capacity summary'!$D$14="Yes",IF(COUNTBLANK('Capacity summary'!$H145:$BG145)&lt;52,IF('Capacity summary'!N145&lt;&gt;"",IF(LOWER('Capacity summary'!N145)="x",$BI26*N26,VALUE('Capacity summary'!N145)),0),N26*$BI26),N26*$BI26),0)</f>
        <v>57.692307692307693</v>
      </c>
      <c r="BR26" s="311">
        <f ca="1">IF($BI26&lt;&gt;"",IF('Capacity summary'!$D$14="Yes",IF(COUNTBLANK('Capacity summary'!$H145:$BG145)&lt;52,IF('Capacity summary'!O145&lt;&gt;"",IF(LOWER('Capacity summary'!O145)="x",$BI26*O26,VALUE('Capacity summary'!O145)),0),O26*$BI26),O26*$BI26),0)</f>
        <v>57.692307692307693</v>
      </c>
      <c r="BS26" s="311">
        <f ca="1">IF($BI26&lt;&gt;"",IF('Capacity summary'!$D$14="Yes",IF(COUNTBLANK('Capacity summary'!$H145:$BG145)&lt;52,IF('Capacity summary'!P145&lt;&gt;"",IF(LOWER('Capacity summary'!P145)="x",$BI26*P26,VALUE('Capacity summary'!P145)),0),P26*$BI26),P26*$BI26),0)</f>
        <v>57.692307692307693</v>
      </c>
      <c r="BT26" s="311">
        <f ca="1">IF($BI26&lt;&gt;"",IF('Capacity summary'!$D$14="Yes",IF(COUNTBLANK('Capacity summary'!$H145:$BG145)&lt;52,IF('Capacity summary'!Q145&lt;&gt;"",IF(LOWER('Capacity summary'!Q145)="x",$BI26*Q26,VALUE('Capacity summary'!Q145)),0),Q26*$BI26),Q26*$BI26),0)</f>
        <v>57.692307692307693</v>
      </c>
      <c r="BU26" s="311">
        <f ca="1">IF($BI26&lt;&gt;"",IF('Capacity summary'!$D$14="Yes",IF(COUNTBLANK('Capacity summary'!$H145:$BG145)&lt;52,IF('Capacity summary'!R145&lt;&gt;"",IF(LOWER('Capacity summary'!R145)="x",$BI26*R26,VALUE('Capacity summary'!R145)),0),R26*$BI26),R26*$BI26),0)</f>
        <v>57.692307692307693</v>
      </c>
      <c r="BV26" s="311">
        <f ca="1">IF($BI26&lt;&gt;"",IF('Capacity summary'!$D$14="Yes",IF(COUNTBLANK('Capacity summary'!$H145:$BG145)&lt;52,IF('Capacity summary'!S145&lt;&gt;"",IF(LOWER('Capacity summary'!S145)="x",$BI26*S26,VALUE('Capacity summary'!S145)),0),S26*$BI26),S26*$BI26),0)</f>
        <v>57.692307692307693</v>
      </c>
      <c r="BW26" s="311">
        <f ca="1">IF($BI26&lt;&gt;"",IF('Capacity summary'!$D$14="Yes",IF(COUNTBLANK('Capacity summary'!$H145:$BG145)&lt;52,IF('Capacity summary'!T145&lt;&gt;"",IF(LOWER('Capacity summary'!T145)="x",$BI26*T26,VALUE('Capacity summary'!T145)),0),T26*$BI26),T26*$BI26),0)</f>
        <v>57.692307692307693</v>
      </c>
      <c r="BX26" s="311">
        <f ca="1">IF($BI26&lt;&gt;"",IF('Capacity summary'!$D$14="Yes",IF(COUNTBLANK('Capacity summary'!$H145:$BG145)&lt;52,IF('Capacity summary'!U145&lt;&gt;"",IF(LOWER('Capacity summary'!U145)="x",$BI26*U26,VALUE('Capacity summary'!U145)),0),U26*$BI26),U26*$BI26),0)</f>
        <v>57.692307692307693</v>
      </c>
      <c r="BY26" s="311">
        <f ca="1">IF($BI26&lt;&gt;"",IF('Capacity summary'!$D$14="Yes",IF(COUNTBLANK('Capacity summary'!$H145:$BG145)&lt;52,IF('Capacity summary'!V145&lt;&gt;"",IF(LOWER('Capacity summary'!V145)="x",$BI26*V26,VALUE('Capacity summary'!V145)),0),V26*$BI26),V26*$BI26),0)</f>
        <v>57.692307692307693</v>
      </c>
      <c r="BZ26" s="311">
        <f ca="1">IF($BI26&lt;&gt;"",IF('Capacity summary'!$D$14="Yes",IF(COUNTBLANK('Capacity summary'!$H145:$BG145)&lt;52,IF('Capacity summary'!W145&lt;&gt;"",IF(LOWER('Capacity summary'!W145)="x",$BI26*W26,VALUE('Capacity summary'!W145)),0),W26*$BI26),W26*$BI26),0)</f>
        <v>57.692307692307693</v>
      </c>
      <c r="CA26" s="311">
        <f ca="1">IF($BI26&lt;&gt;"",IF('Capacity summary'!$D$14="Yes",IF(COUNTBLANK('Capacity summary'!$H145:$BG145)&lt;52,IF('Capacity summary'!X145&lt;&gt;"",IF(LOWER('Capacity summary'!X145)="x",$BI26*X26,VALUE('Capacity summary'!X145)),0),X26*$BI26),X26*$BI26),0)</f>
        <v>57.692307692307693</v>
      </c>
      <c r="CB26" s="311">
        <f ca="1">IF($BI26&lt;&gt;"",IF('Capacity summary'!$D$14="Yes",IF(COUNTBLANK('Capacity summary'!$H145:$BG145)&lt;52,IF('Capacity summary'!Y145&lt;&gt;"",IF(LOWER('Capacity summary'!Y145)="x",$BI26*Y26,VALUE('Capacity summary'!Y145)),0),Y26*$BI26),Y26*$BI26),0)</f>
        <v>57.692307692307693</v>
      </c>
      <c r="CC26" s="311">
        <f ca="1">IF($BI26&lt;&gt;"",IF('Capacity summary'!$D$14="Yes",IF(COUNTBLANK('Capacity summary'!$H145:$BG145)&lt;52,IF('Capacity summary'!Z145&lt;&gt;"",IF(LOWER('Capacity summary'!Z145)="x",$BI26*Z26,VALUE('Capacity summary'!Z145)),0),Z26*$BI26),Z26*$BI26),0)</f>
        <v>57.692307692307693</v>
      </c>
      <c r="CD26" s="311">
        <f ca="1">IF($BI26&lt;&gt;"",IF('Capacity summary'!$D$14="Yes",IF(COUNTBLANK('Capacity summary'!$H145:$BG145)&lt;52,IF('Capacity summary'!AA145&lt;&gt;"",IF(LOWER('Capacity summary'!AA145)="x",$BI26*AA26,VALUE('Capacity summary'!AA145)),0),AA26*$BI26),AA26*$BI26),0)</f>
        <v>57.692307692307693</v>
      </c>
      <c r="CE26" s="311">
        <f ca="1">IF($BI26&lt;&gt;"",IF('Capacity summary'!$D$14="Yes",IF(COUNTBLANK('Capacity summary'!$H145:$BG145)&lt;52,IF('Capacity summary'!AB145&lt;&gt;"",IF(LOWER('Capacity summary'!AB145)="x",$BI26*AB26,VALUE('Capacity summary'!AB145)),0),AB26*$BI26),AB26*$BI26),0)</f>
        <v>57.692307692307693</v>
      </c>
      <c r="CF26" s="311">
        <f ca="1">IF($BI26&lt;&gt;"",IF('Capacity summary'!$D$14="Yes",IF(COUNTBLANK('Capacity summary'!$H145:$BG145)&lt;52,IF('Capacity summary'!AC145&lt;&gt;"",IF(LOWER('Capacity summary'!AC145)="x",$BI26*AC26,VALUE('Capacity summary'!AC145)),0),AC26*$BI26),AC26*$BI26),0)</f>
        <v>57.692307692307693</v>
      </c>
      <c r="CG26" s="311">
        <f ca="1">IF($BI26&lt;&gt;"",IF('Capacity summary'!$D$14="Yes",IF(COUNTBLANK('Capacity summary'!$H145:$BG145)&lt;52,IF('Capacity summary'!AD145&lt;&gt;"",IF(LOWER('Capacity summary'!AD145)="x",$BI26*AD26,VALUE('Capacity summary'!AD145)),0),AD26*$BI26),AD26*$BI26),0)</f>
        <v>57.692307692307693</v>
      </c>
      <c r="CH26" s="311">
        <f ca="1">IF($BI26&lt;&gt;"",IF('Capacity summary'!$D$14="Yes",IF(COUNTBLANK('Capacity summary'!$H145:$BG145)&lt;52,IF('Capacity summary'!AE145&lt;&gt;"",IF(LOWER('Capacity summary'!AE145)="x",$BI26*AE26,VALUE('Capacity summary'!AE145)),0),AE26*$BI26),AE26*$BI26),0)</f>
        <v>57.692307692307693</v>
      </c>
      <c r="CI26" s="311">
        <f ca="1">IF($BI26&lt;&gt;"",IF('Capacity summary'!$D$14="Yes",IF(COUNTBLANK('Capacity summary'!$H145:$BG145)&lt;52,IF('Capacity summary'!AF145&lt;&gt;"",IF(LOWER('Capacity summary'!AF145)="x",$BI26*AF26,VALUE('Capacity summary'!AF145)),0),AF26*$BI26),AF26*$BI26),0)</f>
        <v>57.692307692307693</v>
      </c>
      <c r="CJ26" s="311">
        <f ca="1">IF($BI26&lt;&gt;"",IF('Capacity summary'!$D$14="Yes",IF(COUNTBLANK('Capacity summary'!$H145:$BG145)&lt;52,IF('Capacity summary'!AG145&lt;&gt;"",IF(LOWER('Capacity summary'!AG145)="x",$BI26*AG26,VALUE('Capacity summary'!AG145)),0),AG26*$BI26),AG26*$BI26),0)</f>
        <v>57.692307692307693</v>
      </c>
      <c r="CK26" s="311">
        <f ca="1">IF($BI26&lt;&gt;"",IF('Capacity summary'!$D$14="Yes",IF(COUNTBLANK('Capacity summary'!$H145:$BG145)&lt;52,IF('Capacity summary'!AH145&lt;&gt;"",IF(LOWER('Capacity summary'!AH145)="x",$BI26*AH26,VALUE('Capacity summary'!AH145)),0),AH26*$BI26),AH26*$BI26),0)</f>
        <v>57.692307692307693</v>
      </c>
      <c r="CL26" s="311">
        <f ca="1">IF($BI26&lt;&gt;"",IF('Capacity summary'!$D$14="Yes",IF(COUNTBLANK('Capacity summary'!$H145:$BG145)&lt;52,IF('Capacity summary'!AI145&lt;&gt;"",IF(LOWER('Capacity summary'!AI145)="x",$BI26*AI26,VALUE('Capacity summary'!AI145)),0),AI26*$BI26),AI26*$BI26),0)</f>
        <v>57.692307692307693</v>
      </c>
      <c r="CM26" s="311">
        <f ca="1">IF($BI26&lt;&gt;"",IF('Capacity summary'!$D$14="Yes",IF(COUNTBLANK('Capacity summary'!$H145:$BG145)&lt;52,IF('Capacity summary'!AJ145&lt;&gt;"",IF(LOWER('Capacity summary'!AJ145)="x",$BI26*AJ26,VALUE('Capacity summary'!AJ145)),0),AJ26*$BI26),AJ26*$BI26),0)</f>
        <v>57.692307692307693</v>
      </c>
      <c r="CN26" s="311">
        <f ca="1">IF($BI26&lt;&gt;"",IF('Capacity summary'!$D$14="Yes",IF(COUNTBLANK('Capacity summary'!$H145:$BG145)&lt;52,IF('Capacity summary'!AK145&lt;&gt;"",IF(LOWER('Capacity summary'!AK145)="x",$BI26*AK26,VALUE('Capacity summary'!AK145)),0),AK26*$BI26),AK26*$BI26),0)</f>
        <v>57.692307692307693</v>
      </c>
      <c r="CO26" s="311">
        <f ca="1">IF($BI26&lt;&gt;"",IF('Capacity summary'!$D$14="Yes",IF(COUNTBLANK('Capacity summary'!$H145:$BG145)&lt;52,IF('Capacity summary'!AL145&lt;&gt;"",IF(LOWER('Capacity summary'!AL145)="x",$BI26*AL26,VALUE('Capacity summary'!AL145)),0),AL26*$BI26),AL26*$BI26),0)</f>
        <v>57.692307692307693</v>
      </c>
      <c r="CP26" s="311">
        <f ca="1">IF($BI26&lt;&gt;"",IF('Capacity summary'!$D$14="Yes",IF(COUNTBLANK('Capacity summary'!$H145:$BG145)&lt;52,IF('Capacity summary'!AM145&lt;&gt;"",IF(LOWER('Capacity summary'!AM145)="x",$BI26*AM26,VALUE('Capacity summary'!AM145)),0),AM26*$BI26),AM26*$BI26),0)</f>
        <v>57.692307692307693</v>
      </c>
      <c r="CQ26" s="311">
        <f ca="1">IF($BI26&lt;&gt;"",IF('Capacity summary'!$D$14="Yes",IF(COUNTBLANK('Capacity summary'!$H145:$BG145)&lt;52,IF('Capacity summary'!AN145&lt;&gt;"",IF(LOWER('Capacity summary'!AN145)="x",$BI26*AN26,VALUE('Capacity summary'!AN145)),0),AN26*$BI26),AN26*$BI26),0)</f>
        <v>57.692307692307693</v>
      </c>
      <c r="CR26" s="311">
        <f ca="1">IF($BI26&lt;&gt;"",IF('Capacity summary'!$D$14="Yes",IF(COUNTBLANK('Capacity summary'!$H145:$BG145)&lt;52,IF('Capacity summary'!AO145&lt;&gt;"",IF(LOWER('Capacity summary'!AO145)="x",$BI26*AO26,VALUE('Capacity summary'!AO145)),0),AO26*$BI26),AO26*$BI26),0)</f>
        <v>57.692307692307693</v>
      </c>
      <c r="CS26" s="311">
        <f ca="1">IF($BI26&lt;&gt;"",IF('Capacity summary'!$D$14="Yes",IF(COUNTBLANK('Capacity summary'!$H145:$BG145)&lt;52,IF('Capacity summary'!AP145&lt;&gt;"",IF(LOWER('Capacity summary'!AP145)="x",$BI26*AP26,VALUE('Capacity summary'!AP145)),0),AP26*$BI26),AP26*$BI26),0)</f>
        <v>57.692307692307693</v>
      </c>
      <c r="CT26" s="311">
        <f ca="1">IF($BI26&lt;&gt;"",IF('Capacity summary'!$D$14="Yes",IF(COUNTBLANK('Capacity summary'!$H145:$BG145)&lt;52,IF('Capacity summary'!AQ145&lt;&gt;"",IF(LOWER('Capacity summary'!AQ145)="x",$BI26*AQ26,VALUE('Capacity summary'!AQ145)),0),AQ26*$BI26),AQ26*$BI26),0)</f>
        <v>57.692307692307693</v>
      </c>
      <c r="CU26" s="311">
        <f ca="1">IF($BI26&lt;&gt;"",IF('Capacity summary'!$D$14="Yes",IF(COUNTBLANK('Capacity summary'!$H145:$BG145)&lt;52,IF('Capacity summary'!AR145&lt;&gt;"",IF(LOWER('Capacity summary'!AR145)="x",$BI26*AR26,VALUE('Capacity summary'!AR145)),0),AR26*$BI26),AR26*$BI26),0)</f>
        <v>57.692307692307693</v>
      </c>
      <c r="CV26" s="311">
        <f ca="1">IF($BI26&lt;&gt;"",IF('Capacity summary'!$D$14="Yes",IF(COUNTBLANK('Capacity summary'!$H145:$BG145)&lt;52,IF('Capacity summary'!AS145&lt;&gt;"",IF(LOWER('Capacity summary'!AS145)="x",$BI26*AS26,VALUE('Capacity summary'!AS145)),0),AS26*$BI26),AS26*$BI26),0)</f>
        <v>57.692307692307693</v>
      </c>
      <c r="CW26" s="311">
        <f ca="1">IF($BI26&lt;&gt;"",IF('Capacity summary'!$D$14="Yes",IF(COUNTBLANK('Capacity summary'!$H145:$BG145)&lt;52,IF('Capacity summary'!AT145&lt;&gt;"",IF(LOWER('Capacity summary'!AT145)="x",$BI26*AT26,VALUE('Capacity summary'!AT145)),0),AT26*$BI26),AT26*$BI26),0)</f>
        <v>57.692307692307693</v>
      </c>
      <c r="CX26" s="311">
        <f ca="1">IF($BI26&lt;&gt;"",IF('Capacity summary'!$D$14="Yes",IF(COUNTBLANK('Capacity summary'!$H145:$BG145)&lt;52,IF('Capacity summary'!AU145&lt;&gt;"",IF(LOWER('Capacity summary'!AU145)="x",$BI26*AU26,VALUE('Capacity summary'!AU145)),0),AU26*$BI26),AU26*$BI26),0)</f>
        <v>57.692307692307693</v>
      </c>
      <c r="CY26" s="311">
        <f ca="1">IF($BI26&lt;&gt;"",IF('Capacity summary'!$D$14="Yes",IF(COUNTBLANK('Capacity summary'!$H145:$BG145)&lt;52,IF('Capacity summary'!AV145&lt;&gt;"",IF(LOWER('Capacity summary'!AV145)="x",$BI26*AV26,VALUE('Capacity summary'!AV145)),0),AV26*$BI26),AV26*$BI26),0)</f>
        <v>57.692307692307693</v>
      </c>
      <c r="CZ26" s="311">
        <f ca="1">IF($BI26&lt;&gt;"",IF('Capacity summary'!$D$14="Yes",IF(COUNTBLANK('Capacity summary'!$H145:$BG145)&lt;52,IF('Capacity summary'!AW145&lt;&gt;"",IF(LOWER('Capacity summary'!AW145)="x",$BI26*AW26,VALUE('Capacity summary'!AW145)),0),AW26*$BI26),AW26*$BI26),0)</f>
        <v>57.692307692307693</v>
      </c>
      <c r="DA26" s="311">
        <f ca="1">IF($BI26&lt;&gt;"",IF('Capacity summary'!$D$14="Yes",IF(COUNTBLANK('Capacity summary'!$H145:$BG145)&lt;52,IF('Capacity summary'!AX145&lt;&gt;"",IF(LOWER('Capacity summary'!AX145)="x",$BI26*AX26,VALUE('Capacity summary'!AX145)),0),AX26*$BI26),AX26*$BI26),0)</f>
        <v>57.692307692307693</v>
      </c>
      <c r="DB26" s="311">
        <f ca="1">IF($BI26&lt;&gt;"",IF('Capacity summary'!$D$14="Yes",IF(COUNTBLANK('Capacity summary'!$H145:$BG145)&lt;52,IF('Capacity summary'!AY145&lt;&gt;"",IF(LOWER('Capacity summary'!AY145)="x",$BI26*AY26,VALUE('Capacity summary'!AY145)),0),AY26*$BI26),AY26*$BI26),0)</f>
        <v>57.692307692307693</v>
      </c>
      <c r="DC26" s="311">
        <f ca="1">IF($BI26&lt;&gt;"",IF('Capacity summary'!$D$14="Yes",IF(COUNTBLANK('Capacity summary'!$H145:$BG145)&lt;52,IF('Capacity summary'!AZ145&lt;&gt;"",IF(LOWER('Capacity summary'!AZ145)="x",$BI26*AZ26,VALUE('Capacity summary'!AZ145)),0),AZ26*$BI26),AZ26*$BI26),0)</f>
        <v>57.692307692307693</v>
      </c>
      <c r="DD26" s="311">
        <f ca="1">IF($BI26&lt;&gt;"",IF('Capacity summary'!$D$14="Yes",IF(COUNTBLANK('Capacity summary'!$H145:$BG145)&lt;52,IF('Capacity summary'!BA145&lt;&gt;"",IF(LOWER('Capacity summary'!BA145)="x",$BI26*BA26,VALUE('Capacity summary'!BA145)),0),BA26*$BI26),BA26*$BI26),0)</f>
        <v>57.692307692307693</v>
      </c>
      <c r="DE26" s="311">
        <f ca="1">IF($BI26&lt;&gt;"",IF('Capacity summary'!$D$14="Yes",IF(COUNTBLANK('Capacity summary'!$H145:$BG145)&lt;52,IF('Capacity summary'!BB145&lt;&gt;"",IF(LOWER('Capacity summary'!BB145)="x",$BI26*BB26,VALUE('Capacity summary'!BB145)),0),BB26*$BI26),BB26*$BI26),0)</f>
        <v>57.692307692307693</v>
      </c>
      <c r="DF26" s="311">
        <f ca="1">IF($BI26&lt;&gt;"",IF('Capacity summary'!$D$14="Yes",IF(COUNTBLANK('Capacity summary'!$H145:$BG145)&lt;52,IF('Capacity summary'!BC145&lt;&gt;"",IF(LOWER('Capacity summary'!BC145)="x",$BI26*BC26,VALUE('Capacity summary'!BC145)),0),BC26*$BI26),BC26*$BI26),0)</f>
        <v>57.692307692307693</v>
      </c>
      <c r="DG26" s="311">
        <f ca="1">IF($BI26&lt;&gt;"",IF('Capacity summary'!$D$14="Yes",IF(COUNTBLANK('Capacity summary'!$H145:$BG145)&lt;52,IF('Capacity summary'!BD145&lt;&gt;"",IF(LOWER('Capacity summary'!BD145)="x",$BI26*BD26,VALUE('Capacity summary'!BD145)),0),BD26*$BI26),BD26*$BI26),0)</f>
        <v>57.692307692307693</v>
      </c>
      <c r="DH26" s="311">
        <f ca="1">IF($BI26&lt;&gt;"",IF('Capacity summary'!$D$14="Yes",IF(COUNTBLANK('Capacity summary'!$H145:$BG145)&lt;52,IF('Capacity summary'!BE145&lt;&gt;"",IF(LOWER('Capacity summary'!BE145)="x",$BI26*BE26,VALUE('Capacity summary'!BE145)),0),BE26*$BI26),BE26*$BI26),0)</f>
        <v>57.692307692307693</v>
      </c>
      <c r="DI26" s="311">
        <f ca="1">IF($BI26&lt;&gt;"",IF('Capacity summary'!$D$14="Yes",IF(COUNTBLANK('Capacity summary'!$H145:$BG145)&lt;52,IF('Capacity summary'!BF145&lt;&gt;"",IF(LOWER('Capacity summary'!BF145)="x",$BI26*BF26,VALUE('Capacity summary'!BF145)),0),BF26*$BI26),BF26*$BI26),0)</f>
        <v>57.692307692307693</v>
      </c>
      <c r="DJ26" s="311">
        <f ca="1">IF($BI26&lt;&gt;"",IF('Capacity summary'!$D$14="Yes",IF(COUNTBLANK('Capacity summary'!$H145:$BG145)&lt;52,IF('Capacity summary'!BG145&lt;&gt;"",IF(LOWER('Capacity summary'!BG145)="x",$BI26*BG26,VALUE('Capacity summary'!BG145)),0),BG26*$BI26),BG26*$BI26),0)</f>
        <v>57.692307692307693</v>
      </c>
      <c r="DK26" s="388">
        <f t="shared" ca="1" si="2"/>
        <v>57.692307692307693</v>
      </c>
      <c r="DL26" s="136">
        <f t="shared" ca="1" si="3"/>
        <v>2999.9999999999982</v>
      </c>
      <c r="DM26" s="311">
        <f>Capacity!H38</f>
        <v>3000</v>
      </c>
      <c r="DQ26" s="5"/>
    </row>
    <row r="27" spans="1:121" x14ac:dyDescent="0.2">
      <c r="A27" s="67">
        <f>IF(Capacity!L39='Capacity summary'!BI146,1,0)</f>
        <v>1</v>
      </c>
      <c r="B27" s="67">
        <f>IF(Capacity!V39='Capacity summary'!BI46,1,0)</f>
        <v>1</v>
      </c>
      <c r="C27" s="67" t="str">
        <f>ROW(A23)&amp;". "&amp;Capacity!B39</f>
        <v>23. 2 ww</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 ca="1">IF(ROW(C23)&lt;=Capacity!$A$16,IF('Capacity summary'!$D$14="No",SUM(H27:BG27),'Capacity summary'!$E146),0)</f>
        <v>52</v>
      </c>
      <c r="BI27" s="5">
        <f ca="1">IF(BH27&gt;0,IF(BH27&lt;Capacity!E39,Capacity!F39,Capacity!H39/'Capacity calculation (hide)'!BH27),"")</f>
        <v>57.692307692307693</v>
      </c>
      <c r="BK27" s="311">
        <f ca="1">IF($BI27&lt;&gt;"",IF('Capacity summary'!$D$14="Yes",IF(COUNTBLANK('Capacity summary'!$H146:$BG146)&lt;52,IF('Capacity summary'!H146&lt;&gt;"",IF(LOWER('Capacity summary'!H146)="x",$BI27*H27,VALUE('Capacity summary'!H146)),0),H27*$BI27),H27*$BI27),0)</f>
        <v>57.692307692307693</v>
      </c>
      <c r="BL27" s="311">
        <f ca="1">IF($BI27&lt;&gt;"",IF('Capacity summary'!$D$14="Yes",IF(COUNTBLANK('Capacity summary'!$H146:$BG146)&lt;52,IF('Capacity summary'!I146&lt;&gt;"",IF(LOWER('Capacity summary'!I146)="x",$BI27*I27,VALUE('Capacity summary'!I146)),0),I27*$BI27),I27*$BI27),0)</f>
        <v>57.692307692307693</v>
      </c>
      <c r="BM27" s="311">
        <f ca="1">IF($BI27&lt;&gt;"",IF('Capacity summary'!$D$14="Yes",IF(COUNTBLANK('Capacity summary'!$H146:$BG146)&lt;52,IF('Capacity summary'!J146&lt;&gt;"",IF(LOWER('Capacity summary'!J146)="x",$BI27*J27,VALUE('Capacity summary'!J146)),0),J27*$BI27),J27*$BI27),0)</f>
        <v>57.692307692307693</v>
      </c>
      <c r="BN27" s="311">
        <f ca="1">IF($BI27&lt;&gt;"",IF('Capacity summary'!$D$14="Yes",IF(COUNTBLANK('Capacity summary'!$H146:$BG146)&lt;52,IF('Capacity summary'!K146&lt;&gt;"",IF(LOWER('Capacity summary'!K146)="x",$BI27*K27,VALUE('Capacity summary'!K146)),0),K27*$BI27),K27*$BI27),0)</f>
        <v>57.692307692307693</v>
      </c>
      <c r="BO27" s="311">
        <f ca="1">IF($BI27&lt;&gt;"",IF('Capacity summary'!$D$14="Yes",IF(COUNTBLANK('Capacity summary'!$H146:$BG146)&lt;52,IF('Capacity summary'!L146&lt;&gt;"",IF(LOWER('Capacity summary'!L146)="x",$BI27*L27,VALUE('Capacity summary'!L146)),0),L27*$BI27),L27*$BI27),0)</f>
        <v>57.692307692307693</v>
      </c>
      <c r="BP27" s="311">
        <f ca="1">IF($BI27&lt;&gt;"",IF('Capacity summary'!$D$14="Yes",IF(COUNTBLANK('Capacity summary'!$H146:$BG146)&lt;52,IF('Capacity summary'!M146&lt;&gt;"",IF(LOWER('Capacity summary'!M146)="x",$BI27*M27,VALUE('Capacity summary'!M146)),0),M27*$BI27),M27*$BI27),0)</f>
        <v>57.692307692307693</v>
      </c>
      <c r="BQ27" s="311">
        <f ca="1">IF($BI27&lt;&gt;"",IF('Capacity summary'!$D$14="Yes",IF(COUNTBLANK('Capacity summary'!$H146:$BG146)&lt;52,IF('Capacity summary'!N146&lt;&gt;"",IF(LOWER('Capacity summary'!N146)="x",$BI27*N27,VALUE('Capacity summary'!N146)),0),N27*$BI27),N27*$BI27),0)</f>
        <v>57.692307692307693</v>
      </c>
      <c r="BR27" s="311">
        <f ca="1">IF($BI27&lt;&gt;"",IF('Capacity summary'!$D$14="Yes",IF(COUNTBLANK('Capacity summary'!$H146:$BG146)&lt;52,IF('Capacity summary'!O146&lt;&gt;"",IF(LOWER('Capacity summary'!O146)="x",$BI27*O27,VALUE('Capacity summary'!O146)),0),O27*$BI27),O27*$BI27),0)</f>
        <v>57.692307692307693</v>
      </c>
      <c r="BS27" s="311">
        <f ca="1">IF($BI27&lt;&gt;"",IF('Capacity summary'!$D$14="Yes",IF(COUNTBLANK('Capacity summary'!$H146:$BG146)&lt;52,IF('Capacity summary'!P146&lt;&gt;"",IF(LOWER('Capacity summary'!P146)="x",$BI27*P27,VALUE('Capacity summary'!P146)),0),P27*$BI27),P27*$BI27),0)</f>
        <v>57.692307692307693</v>
      </c>
      <c r="BT27" s="311">
        <f ca="1">IF($BI27&lt;&gt;"",IF('Capacity summary'!$D$14="Yes",IF(COUNTBLANK('Capacity summary'!$H146:$BG146)&lt;52,IF('Capacity summary'!Q146&lt;&gt;"",IF(LOWER('Capacity summary'!Q146)="x",$BI27*Q27,VALUE('Capacity summary'!Q146)),0),Q27*$BI27),Q27*$BI27),0)</f>
        <v>57.692307692307693</v>
      </c>
      <c r="BU27" s="311">
        <f ca="1">IF($BI27&lt;&gt;"",IF('Capacity summary'!$D$14="Yes",IF(COUNTBLANK('Capacity summary'!$H146:$BG146)&lt;52,IF('Capacity summary'!R146&lt;&gt;"",IF(LOWER('Capacity summary'!R146)="x",$BI27*R27,VALUE('Capacity summary'!R146)),0),R27*$BI27),R27*$BI27),0)</f>
        <v>57.692307692307693</v>
      </c>
      <c r="BV27" s="311">
        <f ca="1">IF($BI27&lt;&gt;"",IF('Capacity summary'!$D$14="Yes",IF(COUNTBLANK('Capacity summary'!$H146:$BG146)&lt;52,IF('Capacity summary'!S146&lt;&gt;"",IF(LOWER('Capacity summary'!S146)="x",$BI27*S27,VALUE('Capacity summary'!S146)),0),S27*$BI27),S27*$BI27),0)</f>
        <v>57.692307692307693</v>
      </c>
      <c r="BW27" s="311">
        <f ca="1">IF($BI27&lt;&gt;"",IF('Capacity summary'!$D$14="Yes",IF(COUNTBLANK('Capacity summary'!$H146:$BG146)&lt;52,IF('Capacity summary'!T146&lt;&gt;"",IF(LOWER('Capacity summary'!T146)="x",$BI27*T27,VALUE('Capacity summary'!T146)),0),T27*$BI27),T27*$BI27),0)</f>
        <v>57.692307692307693</v>
      </c>
      <c r="BX27" s="311">
        <f ca="1">IF($BI27&lt;&gt;"",IF('Capacity summary'!$D$14="Yes",IF(COUNTBLANK('Capacity summary'!$H146:$BG146)&lt;52,IF('Capacity summary'!U146&lt;&gt;"",IF(LOWER('Capacity summary'!U146)="x",$BI27*U27,VALUE('Capacity summary'!U146)),0),U27*$BI27),U27*$BI27),0)</f>
        <v>57.692307692307693</v>
      </c>
      <c r="BY27" s="311">
        <f ca="1">IF($BI27&lt;&gt;"",IF('Capacity summary'!$D$14="Yes",IF(COUNTBLANK('Capacity summary'!$H146:$BG146)&lt;52,IF('Capacity summary'!V146&lt;&gt;"",IF(LOWER('Capacity summary'!V146)="x",$BI27*V27,VALUE('Capacity summary'!V146)),0),V27*$BI27),V27*$BI27),0)</f>
        <v>57.692307692307693</v>
      </c>
      <c r="BZ27" s="311">
        <f ca="1">IF($BI27&lt;&gt;"",IF('Capacity summary'!$D$14="Yes",IF(COUNTBLANK('Capacity summary'!$H146:$BG146)&lt;52,IF('Capacity summary'!W146&lt;&gt;"",IF(LOWER('Capacity summary'!W146)="x",$BI27*W27,VALUE('Capacity summary'!W146)),0),W27*$BI27),W27*$BI27),0)</f>
        <v>57.692307692307693</v>
      </c>
      <c r="CA27" s="311">
        <f ca="1">IF($BI27&lt;&gt;"",IF('Capacity summary'!$D$14="Yes",IF(COUNTBLANK('Capacity summary'!$H146:$BG146)&lt;52,IF('Capacity summary'!X146&lt;&gt;"",IF(LOWER('Capacity summary'!X146)="x",$BI27*X27,VALUE('Capacity summary'!X146)),0),X27*$BI27),X27*$BI27),0)</f>
        <v>57.692307692307693</v>
      </c>
      <c r="CB27" s="311">
        <f ca="1">IF($BI27&lt;&gt;"",IF('Capacity summary'!$D$14="Yes",IF(COUNTBLANK('Capacity summary'!$H146:$BG146)&lt;52,IF('Capacity summary'!Y146&lt;&gt;"",IF(LOWER('Capacity summary'!Y146)="x",$BI27*Y27,VALUE('Capacity summary'!Y146)),0),Y27*$BI27),Y27*$BI27),0)</f>
        <v>57.692307692307693</v>
      </c>
      <c r="CC27" s="311">
        <f ca="1">IF($BI27&lt;&gt;"",IF('Capacity summary'!$D$14="Yes",IF(COUNTBLANK('Capacity summary'!$H146:$BG146)&lt;52,IF('Capacity summary'!Z146&lt;&gt;"",IF(LOWER('Capacity summary'!Z146)="x",$BI27*Z27,VALUE('Capacity summary'!Z146)),0),Z27*$BI27),Z27*$BI27),0)</f>
        <v>57.692307692307693</v>
      </c>
      <c r="CD27" s="311">
        <f ca="1">IF($BI27&lt;&gt;"",IF('Capacity summary'!$D$14="Yes",IF(COUNTBLANK('Capacity summary'!$H146:$BG146)&lt;52,IF('Capacity summary'!AA146&lt;&gt;"",IF(LOWER('Capacity summary'!AA146)="x",$BI27*AA27,VALUE('Capacity summary'!AA146)),0),AA27*$BI27),AA27*$BI27),0)</f>
        <v>57.692307692307693</v>
      </c>
      <c r="CE27" s="311">
        <f ca="1">IF($BI27&lt;&gt;"",IF('Capacity summary'!$D$14="Yes",IF(COUNTBLANK('Capacity summary'!$H146:$BG146)&lt;52,IF('Capacity summary'!AB146&lt;&gt;"",IF(LOWER('Capacity summary'!AB146)="x",$BI27*AB27,VALUE('Capacity summary'!AB146)),0),AB27*$BI27),AB27*$BI27),0)</f>
        <v>57.692307692307693</v>
      </c>
      <c r="CF27" s="311">
        <f ca="1">IF($BI27&lt;&gt;"",IF('Capacity summary'!$D$14="Yes",IF(COUNTBLANK('Capacity summary'!$H146:$BG146)&lt;52,IF('Capacity summary'!AC146&lt;&gt;"",IF(LOWER('Capacity summary'!AC146)="x",$BI27*AC27,VALUE('Capacity summary'!AC146)),0),AC27*$BI27),AC27*$BI27),0)</f>
        <v>57.692307692307693</v>
      </c>
      <c r="CG27" s="311">
        <f ca="1">IF($BI27&lt;&gt;"",IF('Capacity summary'!$D$14="Yes",IF(COUNTBLANK('Capacity summary'!$H146:$BG146)&lt;52,IF('Capacity summary'!AD146&lt;&gt;"",IF(LOWER('Capacity summary'!AD146)="x",$BI27*AD27,VALUE('Capacity summary'!AD146)),0),AD27*$BI27),AD27*$BI27),0)</f>
        <v>57.692307692307693</v>
      </c>
      <c r="CH27" s="311">
        <f ca="1">IF($BI27&lt;&gt;"",IF('Capacity summary'!$D$14="Yes",IF(COUNTBLANK('Capacity summary'!$H146:$BG146)&lt;52,IF('Capacity summary'!AE146&lt;&gt;"",IF(LOWER('Capacity summary'!AE146)="x",$BI27*AE27,VALUE('Capacity summary'!AE146)),0),AE27*$BI27),AE27*$BI27),0)</f>
        <v>57.692307692307693</v>
      </c>
      <c r="CI27" s="311">
        <f ca="1">IF($BI27&lt;&gt;"",IF('Capacity summary'!$D$14="Yes",IF(COUNTBLANK('Capacity summary'!$H146:$BG146)&lt;52,IF('Capacity summary'!AF146&lt;&gt;"",IF(LOWER('Capacity summary'!AF146)="x",$BI27*AF27,VALUE('Capacity summary'!AF146)),0),AF27*$BI27),AF27*$BI27),0)</f>
        <v>57.692307692307693</v>
      </c>
      <c r="CJ27" s="311">
        <f ca="1">IF($BI27&lt;&gt;"",IF('Capacity summary'!$D$14="Yes",IF(COUNTBLANK('Capacity summary'!$H146:$BG146)&lt;52,IF('Capacity summary'!AG146&lt;&gt;"",IF(LOWER('Capacity summary'!AG146)="x",$BI27*AG27,VALUE('Capacity summary'!AG146)),0),AG27*$BI27),AG27*$BI27),0)</f>
        <v>57.692307692307693</v>
      </c>
      <c r="CK27" s="311">
        <f ca="1">IF($BI27&lt;&gt;"",IF('Capacity summary'!$D$14="Yes",IF(COUNTBLANK('Capacity summary'!$H146:$BG146)&lt;52,IF('Capacity summary'!AH146&lt;&gt;"",IF(LOWER('Capacity summary'!AH146)="x",$BI27*AH27,VALUE('Capacity summary'!AH146)),0),AH27*$BI27),AH27*$BI27),0)</f>
        <v>57.692307692307693</v>
      </c>
      <c r="CL27" s="311">
        <f ca="1">IF($BI27&lt;&gt;"",IF('Capacity summary'!$D$14="Yes",IF(COUNTBLANK('Capacity summary'!$H146:$BG146)&lt;52,IF('Capacity summary'!AI146&lt;&gt;"",IF(LOWER('Capacity summary'!AI146)="x",$BI27*AI27,VALUE('Capacity summary'!AI146)),0),AI27*$BI27),AI27*$BI27),0)</f>
        <v>57.692307692307693</v>
      </c>
      <c r="CM27" s="311">
        <f ca="1">IF($BI27&lt;&gt;"",IF('Capacity summary'!$D$14="Yes",IF(COUNTBLANK('Capacity summary'!$H146:$BG146)&lt;52,IF('Capacity summary'!AJ146&lt;&gt;"",IF(LOWER('Capacity summary'!AJ146)="x",$BI27*AJ27,VALUE('Capacity summary'!AJ146)),0),AJ27*$BI27),AJ27*$BI27),0)</f>
        <v>57.692307692307693</v>
      </c>
      <c r="CN27" s="311">
        <f ca="1">IF($BI27&lt;&gt;"",IF('Capacity summary'!$D$14="Yes",IF(COUNTBLANK('Capacity summary'!$H146:$BG146)&lt;52,IF('Capacity summary'!AK146&lt;&gt;"",IF(LOWER('Capacity summary'!AK146)="x",$BI27*AK27,VALUE('Capacity summary'!AK146)),0),AK27*$BI27),AK27*$BI27),0)</f>
        <v>57.692307692307693</v>
      </c>
      <c r="CO27" s="311">
        <f ca="1">IF($BI27&lt;&gt;"",IF('Capacity summary'!$D$14="Yes",IF(COUNTBLANK('Capacity summary'!$H146:$BG146)&lt;52,IF('Capacity summary'!AL146&lt;&gt;"",IF(LOWER('Capacity summary'!AL146)="x",$BI27*AL27,VALUE('Capacity summary'!AL146)),0),AL27*$BI27),AL27*$BI27),0)</f>
        <v>57.692307692307693</v>
      </c>
      <c r="CP27" s="311">
        <f ca="1">IF($BI27&lt;&gt;"",IF('Capacity summary'!$D$14="Yes",IF(COUNTBLANK('Capacity summary'!$H146:$BG146)&lt;52,IF('Capacity summary'!AM146&lt;&gt;"",IF(LOWER('Capacity summary'!AM146)="x",$BI27*AM27,VALUE('Capacity summary'!AM146)),0),AM27*$BI27),AM27*$BI27),0)</f>
        <v>57.692307692307693</v>
      </c>
      <c r="CQ27" s="311">
        <f ca="1">IF($BI27&lt;&gt;"",IF('Capacity summary'!$D$14="Yes",IF(COUNTBLANK('Capacity summary'!$H146:$BG146)&lt;52,IF('Capacity summary'!AN146&lt;&gt;"",IF(LOWER('Capacity summary'!AN146)="x",$BI27*AN27,VALUE('Capacity summary'!AN146)),0),AN27*$BI27),AN27*$BI27),0)</f>
        <v>57.692307692307693</v>
      </c>
      <c r="CR27" s="311">
        <f ca="1">IF($BI27&lt;&gt;"",IF('Capacity summary'!$D$14="Yes",IF(COUNTBLANK('Capacity summary'!$H146:$BG146)&lt;52,IF('Capacity summary'!AO146&lt;&gt;"",IF(LOWER('Capacity summary'!AO146)="x",$BI27*AO27,VALUE('Capacity summary'!AO146)),0),AO27*$BI27),AO27*$BI27),0)</f>
        <v>57.692307692307693</v>
      </c>
      <c r="CS27" s="311">
        <f ca="1">IF($BI27&lt;&gt;"",IF('Capacity summary'!$D$14="Yes",IF(COUNTBLANK('Capacity summary'!$H146:$BG146)&lt;52,IF('Capacity summary'!AP146&lt;&gt;"",IF(LOWER('Capacity summary'!AP146)="x",$BI27*AP27,VALUE('Capacity summary'!AP146)),0),AP27*$BI27),AP27*$BI27),0)</f>
        <v>57.692307692307693</v>
      </c>
      <c r="CT27" s="311">
        <f ca="1">IF($BI27&lt;&gt;"",IF('Capacity summary'!$D$14="Yes",IF(COUNTBLANK('Capacity summary'!$H146:$BG146)&lt;52,IF('Capacity summary'!AQ146&lt;&gt;"",IF(LOWER('Capacity summary'!AQ146)="x",$BI27*AQ27,VALUE('Capacity summary'!AQ146)),0),AQ27*$BI27),AQ27*$BI27),0)</f>
        <v>57.692307692307693</v>
      </c>
      <c r="CU27" s="311">
        <f ca="1">IF($BI27&lt;&gt;"",IF('Capacity summary'!$D$14="Yes",IF(COUNTBLANK('Capacity summary'!$H146:$BG146)&lt;52,IF('Capacity summary'!AR146&lt;&gt;"",IF(LOWER('Capacity summary'!AR146)="x",$BI27*AR27,VALUE('Capacity summary'!AR146)),0),AR27*$BI27),AR27*$BI27),0)</f>
        <v>57.692307692307693</v>
      </c>
      <c r="CV27" s="311">
        <f ca="1">IF($BI27&lt;&gt;"",IF('Capacity summary'!$D$14="Yes",IF(COUNTBLANK('Capacity summary'!$H146:$BG146)&lt;52,IF('Capacity summary'!AS146&lt;&gt;"",IF(LOWER('Capacity summary'!AS146)="x",$BI27*AS27,VALUE('Capacity summary'!AS146)),0),AS27*$BI27),AS27*$BI27),0)</f>
        <v>57.692307692307693</v>
      </c>
      <c r="CW27" s="311">
        <f ca="1">IF($BI27&lt;&gt;"",IF('Capacity summary'!$D$14="Yes",IF(COUNTBLANK('Capacity summary'!$H146:$BG146)&lt;52,IF('Capacity summary'!AT146&lt;&gt;"",IF(LOWER('Capacity summary'!AT146)="x",$BI27*AT27,VALUE('Capacity summary'!AT146)),0),AT27*$BI27),AT27*$BI27),0)</f>
        <v>57.692307692307693</v>
      </c>
      <c r="CX27" s="311">
        <f ca="1">IF($BI27&lt;&gt;"",IF('Capacity summary'!$D$14="Yes",IF(COUNTBLANK('Capacity summary'!$H146:$BG146)&lt;52,IF('Capacity summary'!AU146&lt;&gt;"",IF(LOWER('Capacity summary'!AU146)="x",$BI27*AU27,VALUE('Capacity summary'!AU146)),0),AU27*$BI27),AU27*$BI27),0)</f>
        <v>57.692307692307693</v>
      </c>
      <c r="CY27" s="311">
        <f ca="1">IF($BI27&lt;&gt;"",IF('Capacity summary'!$D$14="Yes",IF(COUNTBLANK('Capacity summary'!$H146:$BG146)&lt;52,IF('Capacity summary'!AV146&lt;&gt;"",IF(LOWER('Capacity summary'!AV146)="x",$BI27*AV27,VALUE('Capacity summary'!AV146)),0),AV27*$BI27),AV27*$BI27),0)</f>
        <v>57.692307692307693</v>
      </c>
      <c r="CZ27" s="311">
        <f ca="1">IF($BI27&lt;&gt;"",IF('Capacity summary'!$D$14="Yes",IF(COUNTBLANK('Capacity summary'!$H146:$BG146)&lt;52,IF('Capacity summary'!AW146&lt;&gt;"",IF(LOWER('Capacity summary'!AW146)="x",$BI27*AW27,VALUE('Capacity summary'!AW146)),0),AW27*$BI27),AW27*$BI27),0)</f>
        <v>57.692307692307693</v>
      </c>
      <c r="DA27" s="311">
        <f ca="1">IF($BI27&lt;&gt;"",IF('Capacity summary'!$D$14="Yes",IF(COUNTBLANK('Capacity summary'!$H146:$BG146)&lt;52,IF('Capacity summary'!AX146&lt;&gt;"",IF(LOWER('Capacity summary'!AX146)="x",$BI27*AX27,VALUE('Capacity summary'!AX146)),0),AX27*$BI27),AX27*$BI27),0)</f>
        <v>57.692307692307693</v>
      </c>
      <c r="DB27" s="311">
        <f ca="1">IF($BI27&lt;&gt;"",IF('Capacity summary'!$D$14="Yes",IF(COUNTBLANK('Capacity summary'!$H146:$BG146)&lt;52,IF('Capacity summary'!AY146&lt;&gt;"",IF(LOWER('Capacity summary'!AY146)="x",$BI27*AY27,VALUE('Capacity summary'!AY146)),0),AY27*$BI27),AY27*$BI27),0)</f>
        <v>57.692307692307693</v>
      </c>
      <c r="DC27" s="311">
        <f ca="1">IF($BI27&lt;&gt;"",IF('Capacity summary'!$D$14="Yes",IF(COUNTBLANK('Capacity summary'!$H146:$BG146)&lt;52,IF('Capacity summary'!AZ146&lt;&gt;"",IF(LOWER('Capacity summary'!AZ146)="x",$BI27*AZ27,VALUE('Capacity summary'!AZ146)),0),AZ27*$BI27),AZ27*$BI27),0)</f>
        <v>57.692307692307693</v>
      </c>
      <c r="DD27" s="311">
        <f ca="1">IF($BI27&lt;&gt;"",IF('Capacity summary'!$D$14="Yes",IF(COUNTBLANK('Capacity summary'!$H146:$BG146)&lt;52,IF('Capacity summary'!BA146&lt;&gt;"",IF(LOWER('Capacity summary'!BA146)="x",$BI27*BA27,VALUE('Capacity summary'!BA146)),0),BA27*$BI27),BA27*$BI27),0)</f>
        <v>57.692307692307693</v>
      </c>
      <c r="DE27" s="311">
        <f ca="1">IF($BI27&lt;&gt;"",IF('Capacity summary'!$D$14="Yes",IF(COUNTBLANK('Capacity summary'!$H146:$BG146)&lt;52,IF('Capacity summary'!BB146&lt;&gt;"",IF(LOWER('Capacity summary'!BB146)="x",$BI27*BB27,VALUE('Capacity summary'!BB146)),0),BB27*$BI27),BB27*$BI27),0)</f>
        <v>57.692307692307693</v>
      </c>
      <c r="DF27" s="311">
        <f ca="1">IF($BI27&lt;&gt;"",IF('Capacity summary'!$D$14="Yes",IF(COUNTBLANK('Capacity summary'!$H146:$BG146)&lt;52,IF('Capacity summary'!BC146&lt;&gt;"",IF(LOWER('Capacity summary'!BC146)="x",$BI27*BC27,VALUE('Capacity summary'!BC146)),0),BC27*$BI27),BC27*$BI27),0)</f>
        <v>57.692307692307693</v>
      </c>
      <c r="DG27" s="311">
        <f ca="1">IF($BI27&lt;&gt;"",IF('Capacity summary'!$D$14="Yes",IF(COUNTBLANK('Capacity summary'!$H146:$BG146)&lt;52,IF('Capacity summary'!BD146&lt;&gt;"",IF(LOWER('Capacity summary'!BD146)="x",$BI27*BD27,VALUE('Capacity summary'!BD146)),0),BD27*$BI27),BD27*$BI27),0)</f>
        <v>57.692307692307693</v>
      </c>
      <c r="DH27" s="311">
        <f ca="1">IF($BI27&lt;&gt;"",IF('Capacity summary'!$D$14="Yes",IF(COUNTBLANK('Capacity summary'!$H146:$BG146)&lt;52,IF('Capacity summary'!BE146&lt;&gt;"",IF(LOWER('Capacity summary'!BE146)="x",$BI27*BE27,VALUE('Capacity summary'!BE146)),0),BE27*$BI27),BE27*$BI27),0)</f>
        <v>57.692307692307693</v>
      </c>
      <c r="DI27" s="311">
        <f ca="1">IF($BI27&lt;&gt;"",IF('Capacity summary'!$D$14="Yes",IF(COUNTBLANK('Capacity summary'!$H146:$BG146)&lt;52,IF('Capacity summary'!BF146&lt;&gt;"",IF(LOWER('Capacity summary'!BF146)="x",$BI27*BF27,VALUE('Capacity summary'!BF146)),0),BF27*$BI27),BF27*$BI27),0)</f>
        <v>57.692307692307693</v>
      </c>
      <c r="DJ27" s="311">
        <f ca="1">IF($BI27&lt;&gt;"",IF('Capacity summary'!$D$14="Yes",IF(COUNTBLANK('Capacity summary'!$H146:$BG146)&lt;52,IF('Capacity summary'!BG146&lt;&gt;"",IF(LOWER('Capacity summary'!BG146)="x",$BI27*BG27,VALUE('Capacity summary'!BG146)),0),BG27*$BI27),BG27*$BI27),0)</f>
        <v>57.692307692307693</v>
      </c>
      <c r="DK27" s="388">
        <f t="shared" ca="1" si="2"/>
        <v>57.692307692307693</v>
      </c>
      <c r="DL27" s="136">
        <f t="shared" ca="1" si="3"/>
        <v>2999.9999999999982</v>
      </c>
      <c r="DM27" s="311">
        <f>Capacity!H39</f>
        <v>3000</v>
      </c>
      <c r="DQ27" s="5"/>
    </row>
    <row r="28" spans="1:121" x14ac:dyDescent="0.2">
      <c r="A28" s="67">
        <f>IF(Capacity!L40='Capacity summary'!BI147,1,0)</f>
        <v>1</v>
      </c>
      <c r="B28" s="67">
        <f>IF(Capacity!V40='Capacity summary'!BI47,1,0)</f>
        <v>1</v>
      </c>
      <c r="C28" s="67" t="str">
        <f>ROW(A24)&amp;". "&amp;Capacity!B40</f>
        <v>24. Slot A</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 ca="1">IF(ROW(C24)&lt;=Capacity!$A$16,IF('Capacity summary'!$D$14="No",SUM(H28:BG28),'Capacity summary'!$E147),0)</f>
        <v>52</v>
      </c>
      <c r="BI28" s="5">
        <f ca="1">IF(BH28&gt;0,IF(BH28&lt;Capacity!E40,Capacity!F40,Capacity!H40/'Capacity calculation (hide)'!BH28),"")</f>
        <v>38.46153846153846</v>
      </c>
      <c r="BK28" s="311">
        <f ca="1">IF($BI28&lt;&gt;"",IF('Capacity summary'!$D$14="Yes",IF(COUNTBLANK('Capacity summary'!$H147:$BG147)&lt;52,IF('Capacity summary'!H147&lt;&gt;"",IF(LOWER('Capacity summary'!H147)="x",$BI28*H28,VALUE('Capacity summary'!H147)),0),H28*$BI28),H28*$BI28),0)</f>
        <v>38.46153846153846</v>
      </c>
      <c r="BL28" s="311">
        <f ca="1">IF($BI28&lt;&gt;"",IF('Capacity summary'!$D$14="Yes",IF(COUNTBLANK('Capacity summary'!$H147:$BG147)&lt;52,IF('Capacity summary'!I147&lt;&gt;"",IF(LOWER('Capacity summary'!I147)="x",$BI28*I28,VALUE('Capacity summary'!I147)),0),I28*$BI28),I28*$BI28),0)</f>
        <v>38.46153846153846</v>
      </c>
      <c r="BM28" s="311">
        <f ca="1">IF($BI28&lt;&gt;"",IF('Capacity summary'!$D$14="Yes",IF(COUNTBLANK('Capacity summary'!$H147:$BG147)&lt;52,IF('Capacity summary'!J147&lt;&gt;"",IF(LOWER('Capacity summary'!J147)="x",$BI28*J28,VALUE('Capacity summary'!J147)),0),J28*$BI28),J28*$BI28),0)</f>
        <v>38.46153846153846</v>
      </c>
      <c r="BN28" s="311">
        <f ca="1">IF($BI28&lt;&gt;"",IF('Capacity summary'!$D$14="Yes",IF(COUNTBLANK('Capacity summary'!$H147:$BG147)&lt;52,IF('Capacity summary'!K147&lt;&gt;"",IF(LOWER('Capacity summary'!K147)="x",$BI28*K28,VALUE('Capacity summary'!K147)),0),K28*$BI28),K28*$BI28),0)</f>
        <v>38.46153846153846</v>
      </c>
      <c r="BO28" s="311">
        <f ca="1">IF($BI28&lt;&gt;"",IF('Capacity summary'!$D$14="Yes",IF(COUNTBLANK('Capacity summary'!$H147:$BG147)&lt;52,IF('Capacity summary'!L147&lt;&gt;"",IF(LOWER('Capacity summary'!L147)="x",$BI28*L28,VALUE('Capacity summary'!L147)),0),L28*$BI28),L28*$BI28),0)</f>
        <v>38.46153846153846</v>
      </c>
      <c r="BP28" s="311">
        <f ca="1">IF($BI28&lt;&gt;"",IF('Capacity summary'!$D$14="Yes",IF(COUNTBLANK('Capacity summary'!$H147:$BG147)&lt;52,IF('Capacity summary'!M147&lt;&gt;"",IF(LOWER('Capacity summary'!M147)="x",$BI28*M28,VALUE('Capacity summary'!M147)),0),M28*$BI28),M28*$BI28),0)</f>
        <v>38.46153846153846</v>
      </c>
      <c r="BQ28" s="311">
        <f ca="1">IF($BI28&lt;&gt;"",IF('Capacity summary'!$D$14="Yes",IF(COUNTBLANK('Capacity summary'!$H147:$BG147)&lt;52,IF('Capacity summary'!N147&lt;&gt;"",IF(LOWER('Capacity summary'!N147)="x",$BI28*N28,VALUE('Capacity summary'!N147)),0),N28*$BI28),N28*$BI28),0)</f>
        <v>38.46153846153846</v>
      </c>
      <c r="BR28" s="311">
        <f ca="1">IF($BI28&lt;&gt;"",IF('Capacity summary'!$D$14="Yes",IF(COUNTBLANK('Capacity summary'!$H147:$BG147)&lt;52,IF('Capacity summary'!O147&lt;&gt;"",IF(LOWER('Capacity summary'!O147)="x",$BI28*O28,VALUE('Capacity summary'!O147)),0),O28*$BI28),O28*$BI28),0)</f>
        <v>38.46153846153846</v>
      </c>
      <c r="BS28" s="311">
        <f ca="1">IF($BI28&lt;&gt;"",IF('Capacity summary'!$D$14="Yes",IF(COUNTBLANK('Capacity summary'!$H147:$BG147)&lt;52,IF('Capacity summary'!P147&lt;&gt;"",IF(LOWER('Capacity summary'!P147)="x",$BI28*P28,VALUE('Capacity summary'!P147)),0),P28*$BI28),P28*$BI28),0)</f>
        <v>38.46153846153846</v>
      </c>
      <c r="BT28" s="311">
        <f ca="1">IF($BI28&lt;&gt;"",IF('Capacity summary'!$D$14="Yes",IF(COUNTBLANK('Capacity summary'!$H147:$BG147)&lt;52,IF('Capacity summary'!Q147&lt;&gt;"",IF(LOWER('Capacity summary'!Q147)="x",$BI28*Q28,VALUE('Capacity summary'!Q147)),0),Q28*$BI28),Q28*$BI28),0)</f>
        <v>38.46153846153846</v>
      </c>
      <c r="BU28" s="311">
        <f ca="1">IF($BI28&lt;&gt;"",IF('Capacity summary'!$D$14="Yes",IF(COUNTBLANK('Capacity summary'!$H147:$BG147)&lt;52,IF('Capacity summary'!R147&lt;&gt;"",IF(LOWER('Capacity summary'!R147)="x",$BI28*R28,VALUE('Capacity summary'!R147)),0),R28*$BI28),R28*$BI28),0)</f>
        <v>38.46153846153846</v>
      </c>
      <c r="BV28" s="311">
        <f ca="1">IF($BI28&lt;&gt;"",IF('Capacity summary'!$D$14="Yes",IF(COUNTBLANK('Capacity summary'!$H147:$BG147)&lt;52,IF('Capacity summary'!S147&lt;&gt;"",IF(LOWER('Capacity summary'!S147)="x",$BI28*S28,VALUE('Capacity summary'!S147)),0),S28*$BI28),S28*$BI28),0)</f>
        <v>38.46153846153846</v>
      </c>
      <c r="BW28" s="311">
        <f ca="1">IF($BI28&lt;&gt;"",IF('Capacity summary'!$D$14="Yes",IF(COUNTBLANK('Capacity summary'!$H147:$BG147)&lt;52,IF('Capacity summary'!T147&lt;&gt;"",IF(LOWER('Capacity summary'!T147)="x",$BI28*T28,VALUE('Capacity summary'!T147)),0),T28*$BI28),T28*$BI28),0)</f>
        <v>38.46153846153846</v>
      </c>
      <c r="BX28" s="311">
        <f ca="1">IF($BI28&lt;&gt;"",IF('Capacity summary'!$D$14="Yes",IF(COUNTBLANK('Capacity summary'!$H147:$BG147)&lt;52,IF('Capacity summary'!U147&lt;&gt;"",IF(LOWER('Capacity summary'!U147)="x",$BI28*U28,VALUE('Capacity summary'!U147)),0),U28*$BI28),U28*$BI28),0)</f>
        <v>38.46153846153846</v>
      </c>
      <c r="BY28" s="311">
        <f ca="1">IF($BI28&lt;&gt;"",IF('Capacity summary'!$D$14="Yes",IF(COUNTBLANK('Capacity summary'!$H147:$BG147)&lt;52,IF('Capacity summary'!V147&lt;&gt;"",IF(LOWER('Capacity summary'!V147)="x",$BI28*V28,VALUE('Capacity summary'!V147)),0),V28*$BI28),V28*$BI28),0)</f>
        <v>38.46153846153846</v>
      </c>
      <c r="BZ28" s="311">
        <f ca="1">IF($BI28&lt;&gt;"",IF('Capacity summary'!$D$14="Yes",IF(COUNTBLANK('Capacity summary'!$H147:$BG147)&lt;52,IF('Capacity summary'!W147&lt;&gt;"",IF(LOWER('Capacity summary'!W147)="x",$BI28*W28,VALUE('Capacity summary'!W147)),0),W28*$BI28),W28*$BI28),0)</f>
        <v>38.46153846153846</v>
      </c>
      <c r="CA28" s="311">
        <f ca="1">IF($BI28&lt;&gt;"",IF('Capacity summary'!$D$14="Yes",IF(COUNTBLANK('Capacity summary'!$H147:$BG147)&lt;52,IF('Capacity summary'!X147&lt;&gt;"",IF(LOWER('Capacity summary'!X147)="x",$BI28*X28,VALUE('Capacity summary'!X147)),0),X28*$BI28),X28*$BI28),0)</f>
        <v>38.46153846153846</v>
      </c>
      <c r="CB28" s="311">
        <f ca="1">IF($BI28&lt;&gt;"",IF('Capacity summary'!$D$14="Yes",IF(COUNTBLANK('Capacity summary'!$H147:$BG147)&lt;52,IF('Capacity summary'!Y147&lt;&gt;"",IF(LOWER('Capacity summary'!Y147)="x",$BI28*Y28,VALUE('Capacity summary'!Y147)),0),Y28*$BI28),Y28*$BI28),0)</f>
        <v>38.46153846153846</v>
      </c>
      <c r="CC28" s="311">
        <f ca="1">IF($BI28&lt;&gt;"",IF('Capacity summary'!$D$14="Yes",IF(COUNTBLANK('Capacity summary'!$H147:$BG147)&lt;52,IF('Capacity summary'!Z147&lt;&gt;"",IF(LOWER('Capacity summary'!Z147)="x",$BI28*Z28,VALUE('Capacity summary'!Z147)),0),Z28*$BI28),Z28*$BI28),0)</f>
        <v>38.46153846153846</v>
      </c>
      <c r="CD28" s="311">
        <f ca="1">IF($BI28&lt;&gt;"",IF('Capacity summary'!$D$14="Yes",IF(COUNTBLANK('Capacity summary'!$H147:$BG147)&lt;52,IF('Capacity summary'!AA147&lt;&gt;"",IF(LOWER('Capacity summary'!AA147)="x",$BI28*AA28,VALUE('Capacity summary'!AA147)),0),AA28*$BI28),AA28*$BI28),0)</f>
        <v>38.46153846153846</v>
      </c>
      <c r="CE28" s="311">
        <f ca="1">IF($BI28&lt;&gt;"",IF('Capacity summary'!$D$14="Yes",IF(COUNTBLANK('Capacity summary'!$H147:$BG147)&lt;52,IF('Capacity summary'!AB147&lt;&gt;"",IF(LOWER('Capacity summary'!AB147)="x",$BI28*AB28,VALUE('Capacity summary'!AB147)),0),AB28*$BI28),AB28*$BI28),0)</f>
        <v>38.46153846153846</v>
      </c>
      <c r="CF28" s="311">
        <f ca="1">IF($BI28&lt;&gt;"",IF('Capacity summary'!$D$14="Yes",IF(COUNTBLANK('Capacity summary'!$H147:$BG147)&lt;52,IF('Capacity summary'!AC147&lt;&gt;"",IF(LOWER('Capacity summary'!AC147)="x",$BI28*AC28,VALUE('Capacity summary'!AC147)),0),AC28*$BI28),AC28*$BI28),0)</f>
        <v>38.46153846153846</v>
      </c>
      <c r="CG28" s="311">
        <f ca="1">IF($BI28&lt;&gt;"",IF('Capacity summary'!$D$14="Yes",IF(COUNTBLANK('Capacity summary'!$H147:$BG147)&lt;52,IF('Capacity summary'!AD147&lt;&gt;"",IF(LOWER('Capacity summary'!AD147)="x",$BI28*AD28,VALUE('Capacity summary'!AD147)),0),AD28*$BI28),AD28*$BI28),0)</f>
        <v>38.46153846153846</v>
      </c>
      <c r="CH28" s="311">
        <f ca="1">IF($BI28&lt;&gt;"",IF('Capacity summary'!$D$14="Yes",IF(COUNTBLANK('Capacity summary'!$H147:$BG147)&lt;52,IF('Capacity summary'!AE147&lt;&gt;"",IF(LOWER('Capacity summary'!AE147)="x",$BI28*AE28,VALUE('Capacity summary'!AE147)),0),AE28*$BI28),AE28*$BI28),0)</f>
        <v>38.46153846153846</v>
      </c>
      <c r="CI28" s="311">
        <f ca="1">IF($BI28&lt;&gt;"",IF('Capacity summary'!$D$14="Yes",IF(COUNTBLANK('Capacity summary'!$H147:$BG147)&lt;52,IF('Capacity summary'!AF147&lt;&gt;"",IF(LOWER('Capacity summary'!AF147)="x",$BI28*AF28,VALUE('Capacity summary'!AF147)),0),AF28*$BI28),AF28*$BI28),0)</f>
        <v>38.46153846153846</v>
      </c>
      <c r="CJ28" s="311">
        <f ca="1">IF($BI28&lt;&gt;"",IF('Capacity summary'!$D$14="Yes",IF(COUNTBLANK('Capacity summary'!$H147:$BG147)&lt;52,IF('Capacity summary'!AG147&lt;&gt;"",IF(LOWER('Capacity summary'!AG147)="x",$BI28*AG28,VALUE('Capacity summary'!AG147)),0),AG28*$BI28),AG28*$BI28),0)</f>
        <v>38.46153846153846</v>
      </c>
      <c r="CK28" s="311">
        <f ca="1">IF($BI28&lt;&gt;"",IF('Capacity summary'!$D$14="Yes",IF(COUNTBLANK('Capacity summary'!$H147:$BG147)&lt;52,IF('Capacity summary'!AH147&lt;&gt;"",IF(LOWER('Capacity summary'!AH147)="x",$BI28*AH28,VALUE('Capacity summary'!AH147)),0),AH28*$BI28),AH28*$BI28),0)</f>
        <v>38.46153846153846</v>
      </c>
      <c r="CL28" s="311">
        <f ca="1">IF($BI28&lt;&gt;"",IF('Capacity summary'!$D$14="Yes",IF(COUNTBLANK('Capacity summary'!$H147:$BG147)&lt;52,IF('Capacity summary'!AI147&lt;&gt;"",IF(LOWER('Capacity summary'!AI147)="x",$BI28*AI28,VALUE('Capacity summary'!AI147)),0),AI28*$BI28),AI28*$BI28),0)</f>
        <v>38.46153846153846</v>
      </c>
      <c r="CM28" s="311">
        <f ca="1">IF($BI28&lt;&gt;"",IF('Capacity summary'!$D$14="Yes",IF(COUNTBLANK('Capacity summary'!$H147:$BG147)&lt;52,IF('Capacity summary'!AJ147&lt;&gt;"",IF(LOWER('Capacity summary'!AJ147)="x",$BI28*AJ28,VALUE('Capacity summary'!AJ147)),0),AJ28*$BI28),AJ28*$BI28),0)</f>
        <v>38.46153846153846</v>
      </c>
      <c r="CN28" s="311">
        <f ca="1">IF($BI28&lt;&gt;"",IF('Capacity summary'!$D$14="Yes",IF(COUNTBLANK('Capacity summary'!$H147:$BG147)&lt;52,IF('Capacity summary'!AK147&lt;&gt;"",IF(LOWER('Capacity summary'!AK147)="x",$BI28*AK28,VALUE('Capacity summary'!AK147)),0),AK28*$BI28),AK28*$BI28),0)</f>
        <v>38.46153846153846</v>
      </c>
      <c r="CO28" s="311">
        <f ca="1">IF($BI28&lt;&gt;"",IF('Capacity summary'!$D$14="Yes",IF(COUNTBLANK('Capacity summary'!$H147:$BG147)&lt;52,IF('Capacity summary'!AL147&lt;&gt;"",IF(LOWER('Capacity summary'!AL147)="x",$BI28*AL28,VALUE('Capacity summary'!AL147)),0),AL28*$BI28),AL28*$BI28),0)</f>
        <v>38.46153846153846</v>
      </c>
      <c r="CP28" s="311">
        <f ca="1">IF($BI28&lt;&gt;"",IF('Capacity summary'!$D$14="Yes",IF(COUNTBLANK('Capacity summary'!$H147:$BG147)&lt;52,IF('Capacity summary'!AM147&lt;&gt;"",IF(LOWER('Capacity summary'!AM147)="x",$BI28*AM28,VALUE('Capacity summary'!AM147)),0),AM28*$BI28),AM28*$BI28),0)</f>
        <v>38.46153846153846</v>
      </c>
      <c r="CQ28" s="311">
        <f ca="1">IF($BI28&lt;&gt;"",IF('Capacity summary'!$D$14="Yes",IF(COUNTBLANK('Capacity summary'!$H147:$BG147)&lt;52,IF('Capacity summary'!AN147&lt;&gt;"",IF(LOWER('Capacity summary'!AN147)="x",$BI28*AN28,VALUE('Capacity summary'!AN147)),0),AN28*$BI28),AN28*$BI28),0)</f>
        <v>38.46153846153846</v>
      </c>
      <c r="CR28" s="311">
        <f ca="1">IF($BI28&lt;&gt;"",IF('Capacity summary'!$D$14="Yes",IF(COUNTBLANK('Capacity summary'!$H147:$BG147)&lt;52,IF('Capacity summary'!AO147&lt;&gt;"",IF(LOWER('Capacity summary'!AO147)="x",$BI28*AO28,VALUE('Capacity summary'!AO147)),0),AO28*$BI28),AO28*$BI28),0)</f>
        <v>38.46153846153846</v>
      </c>
      <c r="CS28" s="311">
        <f ca="1">IF($BI28&lt;&gt;"",IF('Capacity summary'!$D$14="Yes",IF(COUNTBLANK('Capacity summary'!$H147:$BG147)&lt;52,IF('Capacity summary'!AP147&lt;&gt;"",IF(LOWER('Capacity summary'!AP147)="x",$BI28*AP28,VALUE('Capacity summary'!AP147)),0),AP28*$BI28),AP28*$BI28),0)</f>
        <v>38.46153846153846</v>
      </c>
      <c r="CT28" s="311">
        <f ca="1">IF($BI28&lt;&gt;"",IF('Capacity summary'!$D$14="Yes",IF(COUNTBLANK('Capacity summary'!$H147:$BG147)&lt;52,IF('Capacity summary'!AQ147&lt;&gt;"",IF(LOWER('Capacity summary'!AQ147)="x",$BI28*AQ28,VALUE('Capacity summary'!AQ147)),0),AQ28*$BI28),AQ28*$BI28),0)</f>
        <v>38.46153846153846</v>
      </c>
      <c r="CU28" s="311">
        <f ca="1">IF($BI28&lt;&gt;"",IF('Capacity summary'!$D$14="Yes",IF(COUNTBLANK('Capacity summary'!$H147:$BG147)&lt;52,IF('Capacity summary'!AR147&lt;&gt;"",IF(LOWER('Capacity summary'!AR147)="x",$BI28*AR28,VALUE('Capacity summary'!AR147)),0),AR28*$BI28),AR28*$BI28),0)</f>
        <v>38.46153846153846</v>
      </c>
      <c r="CV28" s="311">
        <f ca="1">IF($BI28&lt;&gt;"",IF('Capacity summary'!$D$14="Yes",IF(COUNTBLANK('Capacity summary'!$H147:$BG147)&lt;52,IF('Capacity summary'!AS147&lt;&gt;"",IF(LOWER('Capacity summary'!AS147)="x",$BI28*AS28,VALUE('Capacity summary'!AS147)),0),AS28*$BI28),AS28*$BI28),0)</f>
        <v>38.46153846153846</v>
      </c>
      <c r="CW28" s="311">
        <f ca="1">IF($BI28&lt;&gt;"",IF('Capacity summary'!$D$14="Yes",IF(COUNTBLANK('Capacity summary'!$H147:$BG147)&lt;52,IF('Capacity summary'!AT147&lt;&gt;"",IF(LOWER('Capacity summary'!AT147)="x",$BI28*AT28,VALUE('Capacity summary'!AT147)),0),AT28*$BI28),AT28*$BI28),0)</f>
        <v>38.46153846153846</v>
      </c>
      <c r="CX28" s="311">
        <f ca="1">IF($BI28&lt;&gt;"",IF('Capacity summary'!$D$14="Yes",IF(COUNTBLANK('Capacity summary'!$H147:$BG147)&lt;52,IF('Capacity summary'!AU147&lt;&gt;"",IF(LOWER('Capacity summary'!AU147)="x",$BI28*AU28,VALUE('Capacity summary'!AU147)),0),AU28*$BI28),AU28*$BI28),0)</f>
        <v>38.46153846153846</v>
      </c>
      <c r="CY28" s="311">
        <f ca="1">IF($BI28&lt;&gt;"",IF('Capacity summary'!$D$14="Yes",IF(COUNTBLANK('Capacity summary'!$H147:$BG147)&lt;52,IF('Capacity summary'!AV147&lt;&gt;"",IF(LOWER('Capacity summary'!AV147)="x",$BI28*AV28,VALUE('Capacity summary'!AV147)),0),AV28*$BI28),AV28*$BI28),0)</f>
        <v>38.46153846153846</v>
      </c>
      <c r="CZ28" s="311">
        <f ca="1">IF($BI28&lt;&gt;"",IF('Capacity summary'!$D$14="Yes",IF(COUNTBLANK('Capacity summary'!$H147:$BG147)&lt;52,IF('Capacity summary'!AW147&lt;&gt;"",IF(LOWER('Capacity summary'!AW147)="x",$BI28*AW28,VALUE('Capacity summary'!AW147)),0),AW28*$BI28),AW28*$BI28),0)</f>
        <v>38.46153846153846</v>
      </c>
      <c r="DA28" s="311">
        <f ca="1">IF($BI28&lt;&gt;"",IF('Capacity summary'!$D$14="Yes",IF(COUNTBLANK('Capacity summary'!$H147:$BG147)&lt;52,IF('Capacity summary'!AX147&lt;&gt;"",IF(LOWER('Capacity summary'!AX147)="x",$BI28*AX28,VALUE('Capacity summary'!AX147)),0),AX28*$BI28),AX28*$BI28),0)</f>
        <v>38.46153846153846</v>
      </c>
      <c r="DB28" s="311">
        <f ca="1">IF($BI28&lt;&gt;"",IF('Capacity summary'!$D$14="Yes",IF(COUNTBLANK('Capacity summary'!$H147:$BG147)&lt;52,IF('Capacity summary'!AY147&lt;&gt;"",IF(LOWER('Capacity summary'!AY147)="x",$BI28*AY28,VALUE('Capacity summary'!AY147)),0),AY28*$BI28),AY28*$BI28),0)</f>
        <v>38.46153846153846</v>
      </c>
      <c r="DC28" s="311">
        <f ca="1">IF($BI28&lt;&gt;"",IF('Capacity summary'!$D$14="Yes",IF(COUNTBLANK('Capacity summary'!$H147:$BG147)&lt;52,IF('Capacity summary'!AZ147&lt;&gt;"",IF(LOWER('Capacity summary'!AZ147)="x",$BI28*AZ28,VALUE('Capacity summary'!AZ147)),0),AZ28*$BI28),AZ28*$BI28),0)</f>
        <v>38.46153846153846</v>
      </c>
      <c r="DD28" s="311">
        <f ca="1">IF($BI28&lt;&gt;"",IF('Capacity summary'!$D$14="Yes",IF(COUNTBLANK('Capacity summary'!$H147:$BG147)&lt;52,IF('Capacity summary'!BA147&lt;&gt;"",IF(LOWER('Capacity summary'!BA147)="x",$BI28*BA28,VALUE('Capacity summary'!BA147)),0),BA28*$BI28),BA28*$BI28),0)</f>
        <v>38.46153846153846</v>
      </c>
      <c r="DE28" s="311">
        <f ca="1">IF($BI28&lt;&gt;"",IF('Capacity summary'!$D$14="Yes",IF(COUNTBLANK('Capacity summary'!$H147:$BG147)&lt;52,IF('Capacity summary'!BB147&lt;&gt;"",IF(LOWER('Capacity summary'!BB147)="x",$BI28*BB28,VALUE('Capacity summary'!BB147)),0),BB28*$BI28),BB28*$BI28),0)</f>
        <v>38.46153846153846</v>
      </c>
      <c r="DF28" s="311">
        <f ca="1">IF($BI28&lt;&gt;"",IF('Capacity summary'!$D$14="Yes",IF(COUNTBLANK('Capacity summary'!$H147:$BG147)&lt;52,IF('Capacity summary'!BC147&lt;&gt;"",IF(LOWER('Capacity summary'!BC147)="x",$BI28*BC28,VALUE('Capacity summary'!BC147)),0),BC28*$BI28),BC28*$BI28),0)</f>
        <v>38.46153846153846</v>
      </c>
      <c r="DG28" s="311">
        <f ca="1">IF($BI28&lt;&gt;"",IF('Capacity summary'!$D$14="Yes",IF(COUNTBLANK('Capacity summary'!$H147:$BG147)&lt;52,IF('Capacity summary'!BD147&lt;&gt;"",IF(LOWER('Capacity summary'!BD147)="x",$BI28*BD28,VALUE('Capacity summary'!BD147)),0),BD28*$BI28),BD28*$BI28),0)</f>
        <v>38.46153846153846</v>
      </c>
      <c r="DH28" s="311">
        <f ca="1">IF($BI28&lt;&gt;"",IF('Capacity summary'!$D$14="Yes",IF(COUNTBLANK('Capacity summary'!$H147:$BG147)&lt;52,IF('Capacity summary'!BE147&lt;&gt;"",IF(LOWER('Capacity summary'!BE147)="x",$BI28*BE28,VALUE('Capacity summary'!BE147)),0),BE28*$BI28),BE28*$BI28),0)</f>
        <v>38.46153846153846</v>
      </c>
      <c r="DI28" s="311">
        <f ca="1">IF($BI28&lt;&gt;"",IF('Capacity summary'!$D$14="Yes",IF(COUNTBLANK('Capacity summary'!$H147:$BG147)&lt;52,IF('Capacity summary'!BF147&lt;&gt;"",IF(LOWER('Capacity summary'!BF147)="x",$BI28*BF28,VALUE('Capacity summary'!BF147)),0),BF28*$BI28),BF28*$BI28),0)</f>
        <v>38.46153846153846</v>
      </c>
      <c r="DJ28" s="311">
        <f ca="1">IF($BI28&lt;&gt;"",IF('Capacity summary'!$D$14="Yes",IF(COUNTBLANK('Capacity summary'!$H147:$BG147)&lt;52,IF('Capacity summary'!BG147&lt;&gt;"",IF(LOWER('Capacity summary'!BG147)="x",$BI28*BG28,VALUE('Capacity summary'!BG147)),0),BG28*$BI28),BG28*$BI28),0)</f>
        <v>38.46153846153846</v>
      </c>
      <c r="DK28" s="388">
        <f t="shared" ca="1" si="2"/>
        <v>38.46153846153846</v>
      </c>
      <c r="DL28" s="136">
        <f t="shared" ca="1" si="3"/>
        <v>2000.0000000000025</v>
      </c>
      <c r="DM28" s="311">
        <f>Capacity!H40</f>
        <v>2000</v>
      </c>
      <c r="DQ28" s="5"/>
    </row>
    <row r="29" spans="1:121" x14ac:dyDescent="0.2">
      <c r="A29" s="67">
        <f>IF(Capacity!L41='Capacity summary'!BI148,1,0)</f>
        <v>1</v>
      </c>
      <c r="B29" s="67">
        <f>IF(Capacity!V41='Capacity summary'!BI48,1,0)</f>
        <v>1</v>
      </c>
      <c r="C29" s="67" t="str">
        <f>ROW(A25)&amp;". "&amp;Capacity!B41</f>
        <v>25. Slot A</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 ca="1">IF(ROW(C25)&lt;=Capacity!$A$16,IF('Capacity summary'!$D$14="No",SUM(H29:BG29),'Capacity summary'!$E148),0)</f>
        <v>52</v>
      </c>
      <c r="BI29" s="5">
        <f ca="1">IF(BH29&gt;0,IF(BH29&lt;Capacity!E41,Capacity!F41,Capacity!H41/'Capacity calculation (hide)'!BH29),"")</f>
        <v>37.692307692307693</v>
      </c>
      <c r="BK29" s="311">
        <f ca="1">IF($BI29&lt;&gt;"",IF('Capacity summary'!$D$14="Yes",IF(COUNTBLANK('Capacity summary'!$H148:$BG148)&lt;52,IF('Capacity summary'!H148&lt;&gt;"",IF(LOWER('Capacity summary'!H148)="x",$BI29*H29,VALUE('Capacity summary'!H148)),0),H29*$BI29),H29*$BI29),0)</f>
        <v>37.692307692307693</v>
      </c>
      <c r="BL29" s="311">
        <f ca="1">IF($BI29&lt;&gt;"",IF('Capacity summary'!$D$14="Yes",IF(COUNTBLANK('Capacity summary'!$H148:$BG148)&lt;52,IF('Capacity summary'!I148&lt;&gt;"",IF(LOWER('Capacity summary'!I148)="x",$BI29*I29,VALUE('Capacity summary'!I148)),0),I29*$BI29),I29*$BI29),0)</f>
        <v>37.692307692307693</v>
      </c>
      <c r="BM29" s="311">
        <f ca="1">IF($BI29&lt;&gt;"",IF('Capacity summary'!$D$14="Yes",IF(COUNTBLANK('Capacity summary'!$H148:$BG148)&lt;52,IF('Capacity summary'!J148&lt;&gt;"",IF(LOWER('Capacity summary'!J148)="x",$BI29*J29,VALUE('Capacity summary'!J148)),0),J29*$BI29),J29*$BI29),0)</f>
        <v>37.692307692307693</v>
      </c>
      <c r="BN29" s="311">
        <f ca="1">IF($BI29&lt;&gt;"",IF('Capacity summary'!$D$14="Yes",IF(COUNTBLANK('Capacity summary'!$H148:$BG148)&lt;52,IF('Capacity summary'!K148&lt;&gt;"",IF(LOWER('Capacity summary'!K148)="x",$BI29*K29,VALUE('Capacity summary'!K148)),0),K29*$BI29),K29*$BI29),0)</f>
        <v>37.692307692307693</v>
      </c>
      <c r="BO29" s="311">
        <f ca="1">IF($BI29&lt;&gt;"",IF('Capacity summary'!$D$14="Yes",IF(COUNTBLANK('Capacity summary'!$H148:$BG148)&lt;52,IF('Capacity summary'!L148&lt;&gt;"",IF(LOWER('Capacity summary'!L148)="x",$BI29*L29,VALUE('Capacity summary'!L148)),0),L29*$BI29),L29*$BI29),0)</f>
        <v>37.692307692307693</v>
      </c>
      <c r="BP29" s="311">
        <f ca="1">IF($BI29&lt;&gt;"",IF('Capacity summary'!$D$14="Yes",IF(COUNTBLANK('Capacity summary'!$H148:$BG148)&lt;52,IF('Capacity summary'!M148&lt;&gt;"",IF(LOWER('Capacity summary'!M148)="x",$BI29*M29,VALUE('Capacity summary'!M148)),0),M29*$BI29),M29*$BI29),0)</f>
        <v>37.692307692307693</v>
      </c>
      <c r="BQ29" s="311">
        <f ca="1">IF($BI29&lt;&gt;"",IF('Capacity summary'!$D$14="Yes",IF(COUNTBLANK('Capacity summary'!$H148:$BG148)&lt;52,IF('Capacity summary'!N148&lt;&gt;"",IF(LOWER('Capacity summary'!N148)="x",$BI29*N29,VALUE('Capacity summary'!N148)),0),N29*$BI29),N29*$BI29),0)</f>
        <v>37.692307692307693</v>
      </c>
      <c r="BR29" s="311">
        <f ca="1">IF($BI29&lt;&gt;"",IF('Capacity summary'!$D$14="Yes",IF(COUNTBLANK('Capacity summary'!$H148:$BG148)&lt;52,IF('Capacity summary'!O148&lt;&gt;"",IF(LOWER('Capacity summary'!O148)="x",$BI29*O29,VALUE('Capacity summary'!O148)),0),O29*$BI29),O29*$BI29),0)</f>
        <v>37.692307692307693</v>
      </c>
      <c r="BS29" s="311">
        <f ca="1">IF($BI29&lt;&gt;"",IF('Capacity summary'!$D$14="Yes",IF(COUNTBLANK('Capacity summary'!$H148:$BG148)&lt;52,IF('Capacity summary'!P148&lt;&gt;"",IF(LOWER('Capacity summary'!P148)="x",$BI29*P29,VALUE('Capacity summary'!P148)),0),P29*$BI29),P29*$BI29),0)</f>
        <v>37.692307692307693</v>
      </c>
      <c r="BT29" s="311">
        <f ca="1">IF($BI29&lt;&gt;"",IF('Capacity summary'!$D$14="Yes",IF(COUNTBLANK('Capacity summary'!$H148:$BG148)&lt;52,IF('Capacity summary'!Q148&lt;&gt;"",IF(LOWER('Capacity summary'!Q148)="x",$BI29*Q29,VALUE('Capacity summary'!Q148)),0),Q29*$BI29),Q29*$BI29),0)</f>
        <v>37.692307692307693</v>
      </c>
      <c r="BU29" s="311">
        <f ca="1">IF($BI29&lt;&gt;"",IF('Capacity summary'!$D$14="Yes",IF(COUNTBLANK('Capacity summary'!$H148:$BG148)&lt;52,IF('Capacity summary'!R148&lt;&gt;"",IF(LOWER('Capacity summary'!R148)="x",$BI29*R29,VALUE('Capacity summary'!R148)),0),R29*$BI29),R29*$BI29),0)</f>
        <v>37.692307692307693</v>
      </c>
      <c r="BV29" s="311">
        <f ca="1">IF($BI29&lt;&gt;"",IF('Capacity summary'!$D$14="Yes",IF(COUNTBLANK('Capacity summary'!$H148:$BG148)&lt;52,IF('Capacity summary'!S148&lt;&gt;"",IF(LOWER('Capacity summary'!S148)="x",$BI29*S29,VALUE('Capacity summary'!S148)),0),S29*$BI29),S29*$BI29),0)</f>
        <v>37.692307692307693</v>
      </c>
      <c r="BW29" s="311">
        <f ca="1">IF($BI29&lt;&gt;"",IF('Capacity summary'!$D$14="Yes",IF(COUNTBLANK('Capacity summary'!$H148:$BG148)&lt;52,IF('Capacity summary'!T148&lt;&gt;"",IF(LOWER('Capacity summary'!T148)="x",$BI29*T29,VALUE('Capacity summary'!T148)),0),T29*$BI29),T29*$BI29),0)</f>
        <v>37.692307692307693</v>
      </c>
      <c r="BX29" s="311">
        <f ca="1">IF($BI29&lt;&gt;"",IF('Capacity summary'!$D$14="Yes",IF(COUNTBLANK('Capacity summary'!$H148:$BG148)&lt;52,IF('Capacity summary'!U148&lt;&gt;"",IF(LOWER('Capacity summary'!U148)="x",$BI29*U29,VALUE('Capacity summary'!U148)),0),U29*$BI29),U29*$BI29),0)</f>
        <v>37.692307692307693</v>
      </c>
      <c r="BY29" s="311">
        <f ca="1">IF($BI29&lt;&gt;"",IF('Capacity summary'!$D$14="Yes",IF(COUNTBLANK('Capacity summary'!$H148:$BG148)&lt;52,IF('Capacity summary'!V148&lt;&gt;"",IF(LOWER('Capacity summary'!V148)="x",$BI29*V29,VALUE('Capacity summary'!V148)),0),V29*$BI29),V29*$BI29),0)</f>
        <v>37.692307692307693</v>
      </c>
      <c r="BZ29" s="311">
        <f ca="1">IF($BI29&lt;&gt;"",IF('Capacity summary'!$D$14="Yes",IF(COUNTBLANK('Capacity summary'!$H148:$BG148)&lt;52,IF('Capacity summary'!W148&lt;&gt;"",IF(LOWER('Capacity summary'!W148)="x",$BI29*W29,VALUE('Capacity summary'!W148)),0),W29*$BI29),W29*$BI29),0)</f>
        <v>37.692307692307693</v>
      </c>
      <c r="CA29" s="311">
        <f ca="1">IF($BI29&lt;&gt;"",IF('Capacity summary'!$D$14="Yes",IF(COUNTBLANK('Capacity summary'!$H148:$BG148)&lt;52,IF('Capacity summary'!X148&lt;&gt;"",IF(LOWER('Capacity summary'!X148)="x",$BI29*X29,VALUE('Capacity summary'!X148)),0),X29*$BI29),X29*$BI29),0)</f>
        <v>37.692307692307693</v>
      </c>
      <c r="CB29" s="311">
        <f ca="1">IF($BI29&lt;&gt;"",IF('Capacity summary'!$D$14="Yes",IF(COUNTBLANK('Capacity summary'!$H148:$BG148)&lt;52,IF('Capacity summary'!Y148&lt;&gt;"",IF(LOWER('Capacity summary'!Y148)="x",$BI29*Y29,VALUE('Capacity summary'!Y148)),0),Y29*$BI29),Y29*$BI29),0)</f>
        <v>37.692307692307693</v>
      </c>
      <c r="CC29" s="311">
        <f ca="1">IF($BI29&lt;&gt;"",IF('Capacity summary'!$D$14="Yes",IF(COUNTBLANK('Capacity summary'!$H148:$BG148)&lt;52,IF('Capacity summary'!Z148&lt;&gt;"",IF(LOWER('Capacity summary'!Z148)="x",$BI29*Z29,VALUE('Capacity summary'!Z148)),0),Z29*$BI29),Z29*$BI29),0)</f>
        <v>37.692307692307693</v>
      </c>
      <c r="CD29" s="311">
        <f ca="1">IF($BI29&lt;&gt;"",IF('Capacity summary'!$D$14="Yes",IF(COUNTBLANK('Capacity summary'!$H148:$BG148)&lt;52,IF('Capacity summary'!AA148&lt;&gt;"",IF(LOWER('Capacity summary'!AA148)="x",$BI29*AA29,VALUE('Capacity summary'!AA148)),0),AA29*$BI29),AA29*$BI29),0)</f>
        <v>37.692307692307693</v>
      </c>
      <c r="CE29" s="311">
        <f ca="1">IF($BI29&lt;&gt;"",IF('Capacity summary'!$D$14="Yes",IF(COUNTBLANK('Capacity summary'!$H148:$BG148)&lt;52,IF('Capacity summary'!AB148&lt;&gt;"",IF(LOWER('Capacity summary'!AB148)="x",$BI29*AB29,VALUE('Capacity summary'!AB148)),0),AB29*$BI29),AB29*$BI29),0)</f>
        <v>37.692307692307693</v>
      </c>
      <c r="CF29" s="311">
        <f ca="1">IF($BI29&lt;&gt;"",IF('Capacity summary'!$D$14="Yes",IF(COUNTBLANK('Capacity summary'!$H148:$BG148)&lt;52,IF('Capacity summary'!AC148&lt;&gt;"",IF(LOWER('Capacity summary'!AC148)="x",$BI29*AC29,VALUE('Capacity summary'!AC148)),0),AC29*$BI29),AC29*$BI29),0)</f>
        <v>37.692307692307693</v>
      </c>
      <c r="CG29" s="311">
        <f ca="1">IF($BI29&lt;&gt;"",IF('Capacity summary'!$D$14="Yes",IF(COUNTBLANK('Capacity summary'!$H148:$BG148)&lt;52,IF('Capacity summary'!AD148&lt;&gt;"",IF(LOWER('Capacity summary'!AD148)="x",$BI29*AD29,VALUE('Capacity summary'!AD148)),0),AD29*$BI29),AD29*$BI29),0)</f>
        <v>37.692307692307693</v>
      </c>
      <c r="CH29" s="311">
        <f ca="1">IF($BI29&lt;&gt;"",IF('Capacity summary'!$D$14="Yes",IF(COUNTBLANK('Capacity summary'!$H148:$BG148)&lt;52,IF('Capacity summary'!AE148&lt;&gt;"",IF(LOWER('Capacity summary'!AE148)="x",$BI29*AE29,VALUE('Capacity summary'!AE148)),0),AE29*$BI29),AE29*$BI29),0)</f>
        <v>37.692307692307693</v>
      </c>
      <c r="CI29" s="311">
        <f ca="1">IF($BI29&lt;&gt;"",IF('Capacity summary'!$D$14="Yes",IF(COUNTBLANK('Capacity summary'!$H148:$BG148)&lt;52,IF('Capacity summary'!AF148&lt;&gt;"",IF(LOWER('Capacity summary'!AF148)="x",$BI29*AF29,VALUE('Capacity summary'!AF148)),0),AF29*$BI29),AF29*$BI29),0)</f>
        <v>37.692307692307693</v>
      </c>
      <c r="CJ29" s="311">
        <f ca="1">IF($BI29&lt;&gt;"",IF('Capacity summary'!$D$14="Yes",IF(COUNTBLANK('Capacity summary'!$H148:$BG148)&lt;52,IF('Capacity summary'!AG148&lt;&gt;"",IF(LOWER('Capacity summary'!AG148)="x",$BI29*AG29,VALUE('Capacity summary'!AG148)),0),AG29*$BI29),AG29*$BI29),0)</f>
        <v>37.692307692307693</v>
      </c>
      <c r="CK29" s="311">
        <f ca="1">IF($BI29&lt;&gt;"",IF('Capacity summary'!$D$14="Yes",IF(COUNTBLANK('Capacity summary'!$H148:$BG148)&lt;52,IF('Capacity summary'!AH148&lt;&gt;"",IF(LOWER('Capacity summary'!AH148)="x",$BI29*AH29,VALUE('Capacity summary'!AH148)),0),AH29*$BI29),AH29*$BI29),0)</f>
        <v>37.692307692307693</v>
      </c>
      <c r="CL29" s="311">
        <f ca="1">IF($BI29&lt;&gt;"",IF('Capacity summary'!$D$14="Yes",IF(COUNTBLANK('Capacity summary'!$H148:$BG148)&lt;52,IF('Capacity summary'!AI148&lt;&gt;"",IF(LOWER('Capacity summary'!AI148)="x",$BI29*AI29,VALUE('Capacity summary'!AI148)),0),AI29*$BI29),AI29*$BI29),0)</f>
        <v>37.692307692307693</v>
      </c>
      <c r="CM29" s="311">
        <f ca="1">IF($BI29&lt;&gt;"",IF('Capacity summary'!$D$14="Yes",IF(COUNTBLANK('Capacity summary'!$H148:$BG148)&lt;52,IF('Capacity summary'!AJ148&lt;&gt;"",IF(LOWER('Capacity summary'!AJ148)="x",$BI29*AJ29,VALUE('Capacity summary'!AJ148)),0),AJ29*$BI29),AJ29*$BI29),0)</f>
        <v>37.692307692307693</v>
      </c>
      <c r="CN29" s="311">
        <f ca="1">IF($BI29&lt;&gt;"",IF('Capacity summary'!$D$14="Yes",IF(COUNTBLANK('Capacity summary'!$H148:$BG148)&lt;52,IF('Capacity summary'!AK148&lt;&gt;"",IF(LOWER('Capacity summary'!AK148)="x",$BI29*AK29,VALUE('Capacity summary'!AK148)),0),AK29*$BI29),AK29*$BI29),0)</f>
        <v>37.692307692307693</v>
      </c>
      <c r="CO29" s="311">
        <f ca="1">IF($BI29&lt;&gt;"",IF('Capacity summary'!$D$14="Yes",IF(COUNTBLANK('Capacity summary'!$H148:$BG148)&lt;52,IF('Capacity summary'!AL148&lt;&gt;"",IF(LOWER('Capacity summary'!AL148)="x",$BI29*AL29,VALUE('Capacity summary'!AL148)),0),AL29*$BI29),AL29*$BI29),0)</f>
        <v>37.692307692307693</v>
      </c>
      <c r="CP29" s="311">
        <f ca="1">IF($BI29&lt;&gt;"",IF('Capacity summary'!$D$14="Yes",IF(COUNTBLANK('Capacity summary'!$H148:$BG148)&lt;52,IF('Capacity summary'!AM148&lt;&gt;"",IF(LOWER('Capacity summary'!AM148)="x",$BI29*AM29,VALUE('Capacity summary'!AM148)),0),AM29*$BI29),AM29*$BI29),0)</f>
        <v>37.692307692307693</v>
      </c>
      <c r="CQ29" s="311">
        <f ca="1">IF($BI29&lt;&gt;"",IF('Capacity summary'!$D$14="Yes",IF(COUNTBLANK('Capacity summary'!$H148:$BG148)&lt;52,IF('Capacity summary'!AN148&lt;&gt;"",IF(LOWER('Capacity summary'!AN148)="x",$BI29*AN29,VALUE('Capacity summary'!AN148)),0),AN29*$BI29),AN29*$BI29),0)</f>
        <v>37.692307692307693</v>
      </c>
      <c r="CR29" s="311">
        <f ca="1">IF($BI29&lt;&gt;"",IF('Capacity summary'!$D$14="Yes",IF(COUNTBLANK('Capacity summary'!$H148:$BG148)&lt;52,IF('Capacity summary'!AO148&lt;&gt;"",IF(LOWER('Capacity summary'!AO148)="x",$BI29*AO29,VALUE('Capacity summary'!AO148)),0),AO29*$BI29),AO29*$BI29),0)</f>
        <v>37.692307692307693</v>
      </c>
      <c r="CS29" s="311">
        <f ca="1">IF($BI29&lt;&gt;"",IF('Capacity summary'!$D$14="Yes",IF(COUNTBLANK('Capacity summary'!$H148:$BG148)&lt;52,IF('Capacity summary'!AP148&lt;&gt;"",IF(LOWER('Capacity summary'!AP148)="x",$BI29*AP29,VALUE('Capacity summary'!AP148)),0),AP29*$BI29),AP29*$BI29),0)</f>
        <v>37.692307692307693</v>
      </c>
      <c r="CT29" s="311">
        <f ca="1">IF($BI29&lt;&gt;"",IF('Capacity summary'!$D$14="Yes",IF(COUNTBLANK('Capacity summary'!$H148:$BG148)&lt;52,IF('Capacity summary'!AQ148&lt;&gt;"",IF(LOWER('Capacity summary'!AQ148)="x",$BI29*AQ29,VALUE('Capacity summary'!AQ148)),0),AQ29*$BI29),AQ29*$BI29),0)</f>
        <v>37.692307692307693</v>
      </c>
      <c r="CU29" s="311">
        <f ca="1">IF($BI29&lt;&gt;"",IF('Capacity summary'!$D$14="Yes",IF(COUNTBLANK('Capacity summary'!$H148:$BG148)&lt;52,IF('Capacity summary'!AR148&lt;&gt;"",IF(LOWER('Capacity summary'!AR148)="x",$BI29*AR29,VALUE('Capacity summary'!AR148)),0),AR29*$BI29),AR29*$BI29),0)</f>
        <v>37.692307692307693</v>
      </c>
      <c r="CV29" s="311">
        <f ca="1">IF($BI29&lt;&gt;"",IF('Capacity summary'!$D$14="Yes",IF(COUNTBLANK('Capacity summary'!$H148:$BG148)&lt;52,IF('Capacity summary'!AS148&lt;&gt;"",IF(LOWER('Capacity summary'!AS148)="x",$BI29*AS29,VALUE('Capacity summary'!AS148)),0),AS29*$BI29),AS29*$BI29),0)</f>
        <v>37.692307692307693</v>
      </c>
      <c r="CW29" s="311">
        <f ca="1">IF($BI29&lt;&gt;"",IF('Capacity summary'!$D$14="Yes",IF(COUNTBLANK('Capacity summary'!$H148:$BG148)&lt;52,IF('Capacity summary'!AT148&lt;&gt;"",IF(LOWER('Capacity summary'!AT148)="x",$BI29*AT29,VALUE('Capacity summary'!AT148)),0),AT29*$BI29),AT29*$BI29),0)</f>
        <v>37.692307692307693</v>
      </c>
      <c r="CX29" s="311">
        <f ca="1">IF($BI29&lt;&gt;"",IF('Capacity summary'!$D$14="Yes",IF(COUNTBLANK('Capacity summary'!$H148:$BG148)&lt;52,IF('Capacity summary'!AU148&lt;&gt;"",IF(LOWER('Capacity summary'!AU148)="x",$BI29*AU29,VALUE('Capacity summary'!AU148)),0),AU29*$BI29),AU29*$BI29),0)</f>
        <v>37.692307692307693</v>
      </c>
      <c r="CY29" s="311">
        <f ca="1">IF($BI29&lt;&gt;"",IF('Capacity summary'!$D$14="Yes",IF(COUNTBLANK('Capacity summary'!$H148:$BG148)&lt;52,IF('Capacity summary'!AV148&lt;&gt;"",IF(LOWER('Capacity summary'!AV148)="x",$BI29*AV29,VALUE('Capacity summary'!AV148)),0),AV29*$BI29),AV29*$BI29),0)</f>
        <v>37.692307692307693</v>
      </c>
      <c r="CZ29" s="311">
        <f ca="1">IF($BI29&lt;&gt;"",IF('Capacity summary'!$D$14="Yes",IF(COUNTBLANK('Capacity summary'!$H148:$BG148)&lt;52,IF('Capacity summary'!AW148&lt;&gt;"",IF(LOWER('Capacity summary'!AW148)="x",$BI29*AW29,VALUE('Capacity summary'!AW148)),0),AW29*$BI29),AW29*$BI29),0)</f>
        <v>37.692307692307693</v>
      </c>
      <c r="DA29" s="311">
        <f ca="1">IF($BI29&lt;&gt;"",IF('Capacity summary'!$D$14="Yes",IF(COUNTBLANK('Capacity summary'!$H148:$BG148)&lt;52,IF('Capacity summary'!AX148&lt;&gt;"",IF(LOWER('Capacity summary'!AX148)="x",$BI29*AX29,VALUE('Capacity summary'!AX148)),0),AX29*$BI29),AX29*$BI29),0)</f>
        <v>37.692307692307693</v>
      </c>
      <c r="DB29" s="311">
        <f ca="1">IF($BI29&lt;&gt;"",IF('Capacity summary'!$D$14="Yes",IF(COUNTBLANK('Capacity summary'!$H148:$BG148)&lt;52,IF('Capacity summary'!AY148&lt;&gt;"",IF(LOWER('Capacity summary'!AY148)="x",$BI29*AY29,VALUE('Capacity summary'!AY148)),0),AY29*$BI29),AY29*$BI29),0)</f>
        <v>37.692307692307693</v>
      </c>
      <c r="DC29" s="311">
        <f ca="1">IF($BI29&lt;&gt;"",IF('Capacity summary'!$D$14="Yes",IF(COUNTBLANK('Capacity summary'!$H148:$BG148)&lt;52,IF('Capacity summary'!AZ148&lt;&gt;"",IF(LOWER('Capacity summary'!AZ148)="x",$BI29*AZ29,VALUE('Capacity summary'!AZ148)),0),AZ29*$BI29),AZ29*$BI29),0)</f>
        <v>37.692307692307693</v>
      </c>
      <c r="DD29" s="311">
        <f ca="1">IF($BI29&lt;&gt;"",IF('Capacity summary'!$D$14="Yes",IF(COUNTBLANK('Capacity summary'!$H148:$BG148)&lt;52,IF('Capacity summary'!BA148&lt;&gt;"",IF(LOWER('Capacity summary'!BA148)="x",$BI29*BA29,VALUE('Capacity summary'!BA148)),0),BA29*$BI29),BA29*$BI29),0)</f>
        <v>37.692307692307693</v>
      </c>
      <c r="DE29" s="311">
        <f ca="1">IF($BI29&lt;&gt;"",IF('Capacity summary'!$D$14="Yes",IF(COUNTBLANK('Capacity summary'!$H148:$BG148)&lt;52,IF('Capacity summary'!BB148&lt;&gt;"",IF(LOWER('Capacity summary'!BB148)="x",$BI29*BB29,VALUE('Capacity summary'!BB148)),0),BB29*$BI29),BB29*$BI29),0)</f>
        <v>37.692307692307693</v>
      </c>
      <c r="DF29" s="311">
        <f ca="1">IF($BI29&lt;&gt;"",IF('Capacity summary'!$D$14="Yes",IF(COUNTBLANK('Capacity summary'!$H148:$BG148)&lt;52,IF('Capacity summary'!BC148&lt;&gt;"",IF(LOWER('Capacity summary'!BC148)="x",$BI29*BC29,VALUE('Capacity summary'!BC148)),0),BC29*$BI29),BC29*$BI29),0)</f>
        <v>37.692307692307693</v>
      </c>
      <c r="DG29" s="311">
        <f ca="1">IF($BI29&lt;&gt;"",IF('Capacity summary'!$D$14="Yes",IF(COUNTBLANK('Capacity summary'!$H148:$BG148)&lt;52,IF('Capacity summary'!BD148&lt;&gt;"",IF(LOWER('Capacity summary'!BD148)="x",$BI29*BD29,VALUE('Capacity summary'!BD148)),0),BD29*$BI29),BD29*$BI29),0)</f>
        <v>37.692307692307693</v>
      </c>
      <c r="DH29" s="311">
        <f ca="1">IF($BI29&lt;&gt;"",IF('Capacity summary'!$D$14="Yes",IF(COUNTBLANK('Capacity summary'!$H148:$BG148)&lt;52,IF('Capacity summary'!BE148&lt;&gt;"",IF(LOWER('Capacity summary'!BE148)="x",$BI29*BE29,VALUE('Capacity summary'!BE148)),0),BE29*$BI29),BE29*$BI29),0)</f>
        <v>37.692307692307693</v>
      </c>
      <c r="DI29" s="311">
        <f ca="1">IF($BI29&lt;&gt;"",IF('Capacity summary'!$D$14="Yes",IF(COUNTBLANK('Capacity summary'!$H148:$BG148)&lt;52,IF('Capacity summary'!BF148&lt;&gt;"",IF(LOWER('Capacity summary'!BF148)="x",$BI29*BF29,VALUE('Capacity summary'!BF148)),0),BF29*$BI29),BF29*$BI29),0)</f>
        <v>37.692307692307693</v>
      </c>
      <c r="DJ29" s="311">
        <f ca="1">IF($BI29&lt;&gt;"",IF('Capacity summary'!$D$14="Yes",IF(COUNTBLANK('Capacity summary'!$H148:$BG148)&lt;52,IF('Capacity summary'!BG148&lt;&gt;"",IF(LOWER('Capacity summary'!BG148)="x",$BI29*BG29,VALUE('Capacity summary'!BG148)),0),BG29*$BI29),BG29*$BI29),0)</f>
        <v>37.692307692307693</v>
      </c>
      <c r="DK29" s="388">
        <f t="shared" ca="1" si="2"/>
        <v>37.692307692307693</v>
      </c>
      <c r="DL29" s="136">
        <f t="shared" ca="1" si="3"/>
        <v>1959.9999999999989</v>
      </c>
      <c r="DM29" s="311">
        <f>Capacity!H41</f>
        <v>1960</v>
      </c>
      <c r="DQ29" s="5"/>
    </row>
    <row r="30" spans="1:121" x14ac:dyDescent="0.2">
      <c r="A30" s="67">
        <f>IF(Capacity!L42='Capacity summary'!BI149,1,0)</f>
        <v>1</v>
      </c>
      <c r="B30" s="67">
        <f>IF(Capacity!V42='Capacity summary'!BI49,1,0)</f>
        <v>1</v>
      </c>
      <c r="C30" s="67" t="str">
        <f>ROW(A26)&amp;". "&amp;Capacity!B42</f>
        <v>26. PP</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 ca="1">IF(ROW(C26)&lt;=Capacity!$A$16,IF('Capacity summary'!$D$14="No",SUM(H30:BG30),'Capacity summary'!$E149),0)</f>
        <v>52</v>
      </c>
      <c r="BI30" s="5">
        <f ca="1">IF(BH30&gt;0,IF(BH30&lt;Capacity!E42,Capacity!F42,Capacity!H42/'Capacity calculation (hide)'!BH30),"")</f>
        <v>19.23076923076923</v>
      </c>
      <c r="BK30" s="311">
        <f ca="1">IF($BI30&lt;&gt;"",IF('Capacity summary'!$D$14="Yes",IF(COUNTBLANK('Capacity summary'!$H149:$BG149)&lt;52,IF('Capacity summary'!H149&lt;&gt;"",IF(LOWER('Capacity summary'!H149)="x",$BI30*H30,VALUE('Capacity summary'!H149)),0),H30*$BI30),H30*$BI30),0)</f>
        <v>19.23076923076923</v>
      </c>
      <c r="BL30" s="311">
        <f ca="1">IF($BI30&lt;&gt;"",IF('Capacity summary'!$D$14="Yes",IF(COUNTBLANK('Capacity summary'!$H149:$BG149)&lt;52,IF('Capacity summary'!I149&lt;&gt;"",IF(LOWER('Capacity summary'!I149)="x",$BI30*I30,VALUE('Capacity summary'!I149)),0),I30*$BI30),I30*$BI30),0)</f>
        <v>19.23076923076923</v>
      </c>
      <c r="BM30" s="311">
        <f ca="1">IF($BI30&lt;&gt;"",IF('Capacity summary'!$D$14="Yes",IF(COUNTBLANK('Capacity summary'!$H149:$BG149)&lt;52,IF('Capacity summary'!J149&lt;&gt;"",IF(LOWER('Capacity summary'!J149)="x",$BI30*J30,VALUE('Capacity summary'!J149)),0),J30*$BI30),J30*$BI30),0)</f>
        <v>19.23076923076923</v>
      </c>
      <c r="BN30" s="311">
        <f ca="1">IF($BI30&lt;&gt;"",IF('Capacity summary'!$D$14="Yes",IF(COUNTBLANK('Capacity summary'!$H149:$BG149)&lt;52,IF('Capacity summary'!K149&lt;&gt;"",IF(LOWER('Capacity summary'!K149)="x",$BI30*K30,VALUE('Capacity summary'!K149)),0),K30*$BI30),K30*$BI30),0)</f>
        <v>19.23076923076923</v>
      </c>
      <c r="BO30" s="311">
        <f ca="1">IF($BI30&lt;&gt;"",IF('Capacity summary'!$D$14="Yes",IF(COUNTBLANK('Capacity summary'!$H149:$BG149)&lt;52,IF('Capacity summary'!L149&lt;&gt;"",IF(LOWER('Capacity summary'!L149)="x",$BI30*L30,VALUE('Capacity summary'!L149)),0),L30*$BI30),L30*$BI30),0)</f>
        <v>19.23076923076923</v>
      </c>
      <c r="BP30" s="311">
        <f ca="1">IF($BI30&lt;&gt;"",IF('Capacity summary'!$D$14="Yes",IF(COUNTBLANK('Capacity summary'!$H149:$BG149)&lt;52,IF('Capacity summary'!M149&lt;&gt;"",IF(LOWER('Capacity summary'!M149)="x",$BI30*M30,VALUE('Capacity summary'!M149)),0),M30*$BI30),M30*$BI30),0)</f>
        <v>19.23076923076923</v>
      </c>
      <c r="BQ30" s="311">
        <f ca="1">IF($BI30&lt;&gt;"",IF('Capacity summary'!$D$14="Yes",IF(COUNTBLANK('Capacity summary'!$H149:$BG149)&lt;52,IF('Capacity summary'!N149&lt;&gt;"",IF(LOWER('Capacity summary'!N149)="x",$BI30*N30,VALUE('Capacity summary'!N149)),0),N30*$BI30),N30*$BI30),0)</f>
        <v>19.23076923076923</v>
      </c>
      <c r="BR30" s="311">
        <f ca="1">IF($BI30&lt;&gt;"",IF('Capacity summary'!$D$14="Yes",IF(COUNTBLANK('Capacity summary'!$H149:$BG149)&lt;52,IF('Capacity summary'!O149&lt;&gt;"",IF(LOWER('Capacity summary'!O149)="x",$BI30*O30,VALUE('Capacity summary'!O149)),0),O30*$BI30),O30*$BI30),0)</f>
        <v>19.23076923076923</v>
      </c>
      <c r="BS30" s="311">
        <f ca="1">IF($BI30&lt;&gt;"",IF('Capacity summary'!$D$14="Yes",IF(COUNTBLANK('Capacity summary'!$H149:$BG149)&lt;52,IF('Capacity summary'!P149&lt;&gt;"",IF(LOWER('Capacity summary'!P149)="x",$BI30*P30,VALUE('Capacity summary'!P149)),0),P30*$BI30),P30*$BI30),0)</f>
        <v>19.23076923076923</v>
      </c>
      <c r="BT30" s="311">
        <f ca="1">IF($BI30&lt;&gt;"",IF('Capacity summary'!$D$14="Yes",IF(COUNTBLANK('Capacity summary'!$H149:$BG149)&lt;52,IF('Capacity summary'!Q149&lt;&gt;"",IF(LOWER('Capacity summary'!Q149)="x",$BI30*Q30,VALUE('Capacity summary'!Q149)),0),Q30*$BI30),Q30*$BI30),0)</f>
        <v>19.23076923076923</v>
      </c>
      <c r="BU30" s="311">
        <f ca="1">IF($BI30&lt;&gt;"",IF('Capacity summary'!$D$14="Yes",IF(COUNTBLANK('Capacity summary'!$H149:$BG149)&lt;52,IF('Capacity summary'!R149&lt;&gt;"",IF(LOWER('Capacity summary'!R149)="x",$BI30*R30,VALUE('Capacity summary'!R149)),0),R30*$BI30),R30*$BI30),0)</f>
        <v>19.23076923076923</v>
      </c>
      <c r="BV30" s="311">
        <f ca="1">IF($BI30&lt;&gt;"",IF('Capacity summary'!$D$14="Yes",IF(COUNTBLANK('Capacity summary'!$H149:$BG149)&lt;52,IF('Capacity summary'!S149&lt;&gt;"",IF(LOWER('Capacity summary'!S149)="x",$BI30*S30,VALUE('Capacity summary'!S149)),0),S30*$BI30),S30*$BI30),0)</f>
        <v>19.23076923076923</v>
      </c>
      <c r="BW30" s="311">
        <f ca="1">IF($BI30&lt;&gt;"",IF('Capacity summary'!$D$14="Yes",IF(COUNTBLANK('Capacity summary'!$H149:$BG149)&lt;52,IF('Capacity summary'!T149&lt;&gt;"",IF(LOWER('Capacity summary'!T149)="x",$BI30*T30,VALUE('Capacity summary'!T149)),0),T30*$BI30),T30*$BI30),0)</f>
        <v>19.23076923076923</v>
      </c>
      <c r="BX30" s="311">
        <f ca="1">IF($BI30&lt;&gt;"",IF('Capacity summary'!$D$14="Yes",IF(COUNTBLANK('Capacity summary'!$H149:$BG149)&lt;52,IF('Capacity summary'!U149&lt;&gt;"",IF(LOWER('Capacity summary'!U149)="x",$BI30*U30,VALUE('Capacity summary'!U149)),0),U30*$BI30),U30*$BI30),0)</f>
        <v>19.23076923076923</v>
      </c>
      <c r="BY30" s="311">
        <f ca="1">IF($BI30&lt;&gt;"",IF('Capacity summary'!$D$14="Yes",IF(COUNTBLANK('Capacity summary'!$H149:$BG149)&lt;52,IF('Capacity summary'!V149&lt;&gt;"",IF(LOWER('Capacity summary'!V149)="x",$BI30*V30,VALUE('Capacity summary'!V149)),0),V30*$BI30),V30*$BI30),0)</f>
        <v>19.23076923076923</v>
      </c>
      <c r="BZ30" s="311">
        <f ca="1">IF($BI30&lt;&gt;"",IF('Capacity summary'!$D$14="Yes",IF(COUNTBLANK('Capacity summary'!$H149:$BG149)&lt;52,IF('Capacity summary'!W149&lt;&gt;"",IF(LOWER('Capacity summary'!W149)="x",$BI30*W30,VALUE('Capacity summary'!W149)),0),W30*$BI30),W30*$BI30),0)</f>
        <v>19.23076923076923</v>
      </c>
      <c r="CA30" s="311">
        <f ca="1">IF($BI30&lt;&gt;"",IF('Capacity summary'!$D$14="Yes",IF(COUNTBLANK('Capacity summary'!$H149:$BG149)&lt;52,IF('Capacity summary'!X149&lt;&gt;"",IF(LOWER('Capacity summary'!X149)="x",$BI30*X30,VALUE('Capacity summary'!X149)),0),X30*$BI30),X30*$BI30),0)</f>
        <v>19.23076923076923</v>
      </c>
      <c r="CB30" s="311">
        <f ca="1">IF($BI30&lt;&gt;"",IF('Capacity summary'!$D$14="Yes",IF(COUNTBLANK('Capacity summary'!$H149:$BG149)&lt;52,IF('Capacity summary'!Y149&lt;&gt;"",IF(LOWER('Capacity summary'!Y149)="x",$BI30*Y30,VALUE('Capacity summary'!Y149)),0),Y30*$BI30),Y30*$BI30),0)</f>
        <v>19.23076923076923</v>
      </c>
      <c r="CC30" s="311">
        <f ca="1">IF($BI30&lt;&gt;"",IF('Capacity summary'!$D$14="Yes",IF(COUNTBLANK('Capacity summary'!$H149:$BG149)&lt;52,IF('Capacity summary'!Z149&lt;&gt;"",IF(LOWER('Capacity summary'!Z149)="x",$BI30*Z30,VALUE('Capacity summary'!Z149)),0),Z30*$BI30),Z30*$BI30),0)</f>
        <v>19.23076923076923</v>
      </c>
      <c r="CD30" s="311">
        <f ca="1">IF($BI30&lt;&gt;"",IF('Capacity summary'!$D$14="Yes",IF(COUNTBLANK('Capacity summary'!$H149:$BG149)&lt;52,IF('Capacity summary'!AA149&lt;&gt;"",IF(LOWER('Capacity summary'!AA149)="x",$BI30*AA30,VALUE('Capacity summary'!AA149)),0),AA30*$BI30),AA30*$BI30),0)</f>
        <v>19.23076923076923</v>
      </c>
      <c r="CE30" s="311">
        <f ca="1">IF($BI30&lt;&gt;"",IF('Capacity summary'!$D$14="Yes",IF(COUNTBLANK('Capacity summary'!$H149:$BG149)&lt;52,IF('Capacity summary'!AB149&lt;&gt;"",IF(LOWER('Capacity summary'!AB149)="x",$BI30*AB30,VALUE('Capacity summary'!AB149)),0),AB30*$BI30),AB30*$BI30),0)</f>
        <v>19.23076923076923</v>
      </c>
      <c r="CF30" s="311">
        <f ca="1">IF($BI30&lt;&gt;"",IF('Capacity summary'!$D$14="Yes",IF(COUNTBLANK('Capacity summary'!$H149:$BG149)&lt;52,IF('Capacity summary'!AC149&lt;&gt;"",IF(LOWER('Capacity summary'!AC149)="x",$BI30*AC30,VALUE('Capacity summary'!AC149)),0),AC30*$BI30),AC30*$BI30),0)</f>
        <v>19.23076923076923</v>
      </c>
      <c r="CG30" s="311">
        <f ca="1">IF($BI30&lt;&gt;"",IF('Capacity summary'!$D$14="Yes",IF(COUNTBLANK('Capacity summary'!$H149:$BG149)&lt;52,IF('Capacity summary'!AD149&lt;&gt;"",IF(LOWER('Capacity summary'!AD149)="x",$BI30*AD30,VALUE('Capacity summary'!AD149)),0),AD30*$BI30),AD30*$BI30),0)</f>
        <v>19.23076923076923</v>
      </c>
      <c r="CH30" s="311">
        <f ca="1">IF($BI30&lt;&gt;"",IF('Capacity summary'!$D$14="Yes",IF(COUNTBLANK('Capacity summary'!$H149:$BG149)&lt;52,IF('Capacity summary'!AE149&lt;&gt;"",IF(LOWER('Capacity summary'!AE149)="x",$BI30*AE30,VALUE('Capacity summary'!AE149)),0),AE30*$BI30),AE30*$BI30),0)</f>
        <v>19.23076923076923</v>
      </c>
      <c r="CI30" s="311">
        <f ca="1">IF($BI30&lt;&gt;"",IF('Capacity summary'!$D$14="Yes",IF(COUNTBLANK('Capacity summary'!$H149:$BG149)&lt;52,IF('Capacity summary'!AF149&lt;&gt;"",IF(LOWER('Capacity summary'!AF149)="x",$BI30*AF30,VALUE('Capacity summary'!AF149)),0),AF30*$BI30),AF30*$BI30),0)</f>
        <v>19.23076923076923</v>
      </c>
      <c r="CJ30" s="311">
        <f ca="1">IF($BI30&lt;&gt;"",IF('Capacity summary'!$D$14="Yes",IF(COUNTBLANK('Capacity summary'!$H149:$BG149)&lt;52,IF('Capacity summary'!AG149&lt;&gt;"",IF(LOWER('Capacity summary'!AG149)="x",$BI30*AG30,VALUE('Capacity summary'!AG149)),0),AG30*$BI30),AG30*$BI30),0)</f>
        <v>19.23076923076923</v>
      </c>
      <c r="CK30" s="311">
        <f ca="1">IF($BI30&lt;&gt;"",IF('Capacity summary'!$D$14="Yes",IF(COUNTBLANK('Capacity summary'!$H149:$BG149)&lt;52,IF('Capacity summary'!AH149&lt;&gt;"",IF(LOWER('Capacity summary'!AH149)="x",$BI30*AH30,VALUE('Capacity summary'!AH149)),0),AH30*$BI30),AH30*$BI30),0)</f>
        <v>19.23076923076923</v>
      </c>
      <c r="CL30" s="311">
        <f ca="1">IF($BI30&lt;&gt;"",IF('Capacity summary'!$D$14="Yes",IF(COUNTBLANK('Capacity summary'!$H149:$BG149)&lt;52,IF('Capacity summary'!AI149&lt;&gt;"",IF(LOWER('Capacity summary'!AI149)="x",$BI30*AI30,VALUE('Capacity summary'!AI149)),0),AI30*$BI30),AI30*$BI30),0)</f>
        <v>19.23076923076923</v>
      </c>
      <c r="CM30" s="311">
        <f ca="1">IF($BI30&lt;&gt;"",IF('Capacity summary'!$D$14="Yes",IF(COUNTBLANK('Capacity summary'!$H149:$BG149)&lt;52,IF('Capacity summary'!AJ149&lt;&gt;"",IF(LOWER('Capacity summary'!AJ149)="x",$BI30*AJ30,VALUE('Capacity summary'!AJ149)),0),AJ30*$BI30),AJ30*$BI30),0)</f>
        <v>19.23076923076923</v>
      </c>
      <c r="CN30" s="311">
        <f ca="1">IF($BI30&lt;&gt;"",IF('Capacity summary'!$D$14="Yes",IF(COUNTBLANK('Capacity summary'!$H149:$BG149)&lt;52,IF('Capacity summary'!AK149&lt;&gt;"",IF(LOWER('Capacity summary'!AK149)="x",$BI30*AK30,VALUE('Capacity summary'!AK149)),0),AK30*$BI30),AK30*$BI30),0)</f>
        <v>19.23076923076923</v>
      </c>
      <c r="CO30" s="311">
        <f ca="1">IF($BI30&lt;&gt;"",IF('Capacity summary'!$D$14="Yes",IF(COUNTBLANK('Capacity summary'!$H149:$BG149)&lt;52,IF('Capacity summary'!AL149&lt;&gt;"",IF(LOWER('Capacity summary'!AL149)="x",$BI30*AL30,VALUE('Capacity summary'!AL149)),0),AL30*$BI30),AL30*$BI30),0)</f>
        <v>19.23076923076923</v>
      </c>
      <c r="CP30" s="311">
        <f ca="1">IF($BI30&lt;&gt;"",IF('Capacity summary'!$D$14="Yes",IF(COUNTBLANK('Capacity summary'!$H149:$BG149)&lt;52,IF('Capacity summary'!AM149&lt;&gt;"",IF(LOWER('Capacity summary'!AM149)="x",$BI30*AM30,VALUE('Capacity summary'!AM149)),0),AM30*$BI30),AM30*$BI30),0)</f>
        <v>19.23076923076923</v>
      </c>
      <c r="CQ30" s="311">
        <f ca="1">IF($BI30&lt;&gt;"",IF('Capacity summary'!$D$14="Yes",IF(COUNTBLANK('Capacity summary'!$H149:$BG149)&lt;52,IF('Capacity summary'!AN149&lt;&gt;"",IF(LOWER('Capacity summary'!AN149)="x",$BI30*AN30,VALUE('Capacity summary'!AN149)),0),AN30*$BI30),AN30*$BI30),0)</f>
        <v>19.23076923076923</v>
      </c>
      <c r="CR30" s="311">
        <f ca="1">IF($BI30&lt;&gt;"",IF('Capacity summary'!$D$14="Yes",IF(COUNTBLANK('Capacity summary'!$H149:$BG149)&lt;52,IF('Capacity summary'!AO149&lt;&gt;"",IF(LOWER('Capacity summary'!AO149)="x",$BI30*AO30,VALUE('Capacity summary'!AO149)),0),AO30*$BI30),AO30*$BI30),0)</f>
        <v>19.23076923076923</v>
      </c>
      <c r="CS30" s="311">
        <f ca="1">IF($BI30&lt;&gt;"",IF('Capacity summary'!$D$14="Yes",IF(COUNTBLANK('Capacity summary'!$H149:$BG149)&lt;52,IF('Capacity summary'!AP149&lt;&gt;"",IF(LOWER('Capacity summary'!AP149)="x",$BI30*AP30,VALUE('Capacity summary'!AP149)),0),AP30*$BI30),AP30*$BI30),0)</f>
        <v>19.23076923076923</v>
      </c>
      <c r="CT30" s="311">
        <f ca="1">IF($BI30&lt;&gt;"",IF('Capacity summary'!$D$14="Yes",IF(COUNTBLANK('Capacity summary'!$H149:$BG149)&lt;52,IF('Capacity summary'!AQ149&lt;&gt;"",IF(LOWER('Capacity summary'!AQ149)="x",$BI30*AQ30,VALUE('Capacity summary'!AQ149)),0),AQ30*$BI30),AQ30*$BI30),0)</f>
        <v>19.23076923076923</v>
      </c>
      <c r="CU30" s="311">
        <f ca="1">IF($BI30&lt;&gt;"",IF('Capacity summary'!$D$14="Yes",IF(COUNTBLANK('Capacity summary'!$H149:$BG149)&lt;52,IF('Capacity summary'!AR149&lt;&gt;"",IF(LOWER('Capacity summary'!AR149)="x",$BI30*AR30,VALUE('Capacity summary'!AR149)),0),AR30*$BI30),AR30*$BI30),0)</f>
        <v>19.23076923076923</v>
      </c>
      <c r="CV30" s="311">
        <f ca="1">IF($BI30&lt;&gt;"",IF('Capacity summary'!$D$14="Yes",IF(COUNTBLANK('Capacity summary'!$H149:$BG149)&lt;52,IF('Capacity summary'!AS149&lt;&gt;"",IF(LOWER('Capacity summary'!AS149)="x",$BI30*AS30,VALUE('Capacity summary'!AS149)),0),AS30*$BI30),AS30*$BI30),0)</f>
        <v>19.23076923076923</v>
      </c>
      <c r="CW30" s="311">
        <f ca="1">IF($BI30&lt;&gt;"",IF('Capacity summary'!$D$14="Yes",IF(COUNTBLANK('Capacity summary'!$H149:$BG149)&lt;52,IF('Capacity summary'!AT149&lt;&gt;"",IF(LOWER('Capacity summary'!AT149)="x",$BI30*AT30,VALUE('Capacity summary'!AT149)),0),AT30*$BI30),AT30*$BI30),0)</f>
        <v>19.23076923076923</v>
      </c>
      <c r="CX30" s="311">
        <f ca="1">IF($BI30&lt;&gt;"",IF('Capacity summary'!$D$14="Yes",IF(COUNTBLANK('Capacity summary'!$H149:$BG149)&lt;52,IF('Capacity summary'!AU149&lt;&gt;"",IF(LOWER('Capacity summary'!AU149)="x",$BI30*AU30,VALUE('Capacity summary'!AU149)),0),AU30*$BI30),AU30*$BI30),0)</f>
        <v>19.23076923076923</v>
      </c>
      <c r="CY30" s="311">
        <f ca="1">IF($BI30&lt;&gt;"",IF('Capacity summary'!$D$14="Yes",IF(COUNTBLANK('Capacity summary'!$H149:$BG149)&lt;52,IF('Capacity summary'!AV149&lt;&gt;"",IF(LOWER('Capacity summary'!AV149)="x",$BI30*AV30,VALUE('Capacity summary'!AV149)),0),AV30*$BI30),AV30*$BI30),0)</f>
        <v>19.23076923076923</v>
      </c>
      <c r="CZ30" s="311">
        <f ca="1">IF($BI30&lt;&gt;"",IF('Capacity summary'!$D$14="Yes",IF(COUNTBLANK('Capacity summary'!$H149:$BG149)&lt;52,IF('Capacity summary'!AW149&lt;&gt;"",IF(LOWER('Capacity summary'!AW149)="x",$BI30*AW30,VALUE('Capacity summary'!AW149)),0),AW30*$BI30),AW30*$BI30),0)</f>
        <v>19.23076923076923</v>
      </c>
      <c r="DA30" s="311">
        <f ca="1">IF($BI30&lt;&gt;"",IF('Capacity summary'!$D$14="Yes",IF(COUNTBLANK('Capacity summary'!$H149:$BG149)&lt;52,IF('Capacity summary'!AX149&lt;&gt;"",IF(LOWER('Capacity summary'!AX149)="x",$BI30*AX30,VALUE('Capacity summary'!AX149)),0),AX30*$BI30),AX30*$BI30),0)</f>
        <v>19.23076923076923</v>
      </c>
      <c r="DB30" s="311">
        <f ca="1">IF($BI30&lt;&gt;"",IF('Capacity summary'!$D$14="Yes",IF(COUNTBLANK('Capacity summary'!$H149:$BG149)&lt;52,IF('Capacity summary'!AY149&lt;&gt;"",IF(LOWER('Capacity summary'!AY149)="x",$BI30*AY30,VALUE('Capacity summary'!AY149)),0),AY30*$BI30),AY30*$BI30),0)</f>
        <v>19.23076923076923</v>
      </c>
      <c r="DC30" s="311">
        <f ca="1">IF($BI30&lt;&gt;"",IF('Capacity summary'!$D$14="Yes",IF(COUNTBLANK('Capacity summary'!$H149:$BG149)&lt;52,IF('Capacity summary'!AZ149&lt;&gt;"",IF(LOWER('Capacity summary'!AZ149)="x",$BI30*AZ30,VALUE('Capacity summary'!AZ149)),0),AZ30*$BI30),AZ30*$BI30),0)</f>
        <v>19.23076923076923</v>
      </c>
      <c r="DD30" s="311">
        <f ca="1">IF($BI30&lt;&gt;"",IF('Capacity summary'!$D$14="Yes",IF(COUNTBLANK('Capacity summary'!$H149:$BG149)&lt;52,IF('Capacity summary'!BA149&lt;&gt;"",IF(LOWER('Capacity summary'!BA149)="x",$BI30*BA30,VALUE('Capacity summary'!BA149)),0),BA30*$BI30),BA30*$BI30),0)</f>
        <v>19.23076923076923</v>
      </c>
      <c r="DE30" s="311">
        <f ca="1">IF($BI30&lt;&gt;"",IF('Capacity summary'!$D$14="Yes",IF(COUNTBLANK('Capacity summary'!$H149:$BG149)&lt;52,IF('Capacity summary'!BB149&lt;&gt;"",IF(LOWER('Capacity summary'!BB149)="x",$BI30*BB30,VALUE('Capacity summary'!BB149)),0),BB30*$BI30),BB30*$BI30),0)</f>
        <v>19.23076923076923</v>
      </c>
      <c r="DF30" s="311">
        <f ca="1">IF($BI30&lt;&gt;"",IF('Capacity summary'!$D$14="Yes",IF(COUNTBLANK('Capacity summary'!$H149:$BG149)&lt;52,IF('Capacity summary'!BC149&lt;&gt;"",IF(LOWER('Capacity summary'!BC149)="x",$BI30*BC30,VALUE('Capacity summary'!BC149)),0),BC30*$BI30),BC30*$BI30),0)</f>
        <v>19.23076923076923</v>
      </c>
      <c r="DG30" s="311">
        <f ca="1">IF($BI30&lt;&gt;"",IF('Capacity summary'!$D$14="Yes",IF(COUNTBLANK('Capacity summary'!$H149:$BG149)&lt;52,IF('Capacity summary'!BD149&lt;&gt;"",IF(LOWER('Capacity summary'!BD149)="x",$BI30*BD30,VALUE('Capacity summary'!BD149)),0),BD30*$BI30),BD30*$BI30),0)</f>
        <v>19.23076923076923</v>
      </c>
      <c r="DH30" s="311">
        <f ca="1">IF($BI30&lt;&gt;"",IF('Capacity summary'!$D$14="Yes",IF(COUNTBLANK('Capacity summary'!$H149:$BG149)&lt;52,IF('Capacity summary'!BE149&lt;&gt;"",IF(LOWER('Capacity summary'!BE149)="x",$BI30*BE30,VALUE('Capacity summary'!BE149)),0),BE30*$BI30),BE30*$BI30),0)</f>
        <v>19.23076923076923</v>
      </c>
      <c r="DI30" s="311">
        <f ca="1">IF($BI30&lt;&gt;"",IF('Capacity summary'!$D$14="Yes",IF(COUNTBLANK('Capacity summary'!$H149:$BG149)&lt;52,IF('Capacity summary'!BF149&lt;&gt;"",IF(LOWER('Capacity summary'!BF149)="x",$BI30*BF30,VALUE('Capacity summary'!BF149)),0),BF30*$BI30),BF30*$BI30),0)</f>
        <v>19.23076923076923</v>
      </c>
      <c r="DJ30" s="311">
        <f ca="1">IF($BI30&lt;&gt;"",IF('Capacity summary'!$D$14="Yes",IF(COUNTBLANK('Capacity summary'!$H149:$BG149)&lt;52,IF('Capacity summary'!BG149&lt;&gt;"",IF(LOWER('Capacity summary'!BG149)="x",$BI30*BG30,VALUE('Capacity summary'!BG149)),0),BG30*$BI30),BG30*$BI30),0)</f>
        <v>19.23076923076923</v>
      </c>
      <c r="DK30" s="388">
        <f t="shared" ca="1" si="2"/>
        <v>19.23076923076923</v>
      </c>
      <c r="DL30" s="136">
        <f t="shared" ca="1" si="3"/>
        <v>1000.0000000000013</v>
      </c>
      <c r="DM30" s="311">
        <f>Capacity!H42</f>
        <v>1000</v>
      </c>
      <c r="DQ30" s="5"/>
    </row>
    <row r="31" spans="1:121" x14ac:dyDescent="0.2">
      <c r="A31" s="67">
        <f>IF(Capacity!L43='Capacity summary'!BI150,1,0)</f>
        <v>1</v>
      </c>
      <c r="B31" s="67">
        <f>IF(Capacity!V43='Capacity summary'!BI50,1,0)</f>
        <v>1</v>
      </c>
      <c r="C31" s="67" t="str">
        <f>ROW(A27)&amp;". "&amp;Capacity!B43</f>
        <v>27. Slot A</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 ca="1">IF(ROW(C27)&lt;=Capacity!$A$16,IF('Capacity summary'!$D$14="No",SUM(H31:BG31),'Capacity summary'!$E150),0)</f>
        <v>52</v>
      </c>
      <c r="BI31" s="5">
        <f ca="1">IF(BH31&gt;0,IF(BH31&lt;Capacity!E43,Capacity!F43,Capacity!H43/'Capacity calculation (hide)'!BH31),"")</f>
        <v>134.61538461538461</v>
      </c>
      <c r="BK31" s="311">
        <f ca="1">IF($BI31&lt;&gt;"",IF('Capacity summary'!$D$14="Yes",IF(COUNTBLANK('Capacity summary'!$H150:$BG150)&lt;52,IF('Capacity summary'!H150&lt;&gt;"",IF(LOWER('Capacity summary'!H150)="x",$BI31*H31,VALUE('Capacity summary'!H150)),0),H31*$BI31),H31*$BI31),0)</f>
        <v>134.61538461538461</v>
      </c>
      <c r="BL31" s="311">
        <f ca="1">IF($BI31&lt;&gt;"",IF('Capacity summary'!$D$14="Yes",IF(COUNTBLANK('Capacity summary'!$H150:$BG150)&lt;52,IF('Capacity summary'!I150&lt;&gt;"",IF(LOWER('Capacity summary'!I150)="x",$BI31*I31,VALUE('Capacity summary'!I150)),0),I31*$BI31),I31*$BI31),0)</f>
        <v>134.61538461538461</v>
      </c>
      <c r="BM31" s="311">
        <f ca="1">IF($BI31&lt;&gt;"",IF('Capacity summary'!$D$14="Yes",IF(COUNTBLANK('Capacity summary'!$H150:$BG150)&lt;52,IF('Capacity summary'!J150&lt;&gt;"",IF(LOWER('Capacity summary'!J150)="x",$BI31*J31,VALUE('Capacity summary'!J150)),0),J31*$BI31),J31*$BI31),0)</f>
        <v>134.61538461538461</v>
      </c>
      <c r="BN31" s="311">
        <f ca="1">IF($BI31&lt;&gt;"",IF('Capacity summary'!$D$14="Yes",IF(COUNTBLANK('Capacity summary'!$H150:$BG150)&lt;52,IF('Capacity summary'!K150&lt;&gt;"",IF(LOWER('Capacity summary'!K150)="x",$BI31*K31,VALUE('Capacity summary'!K150)),0),K31*$BI31),K31*$BI31),0)</f>
        <v>134.61538461538461</v>
      </c>
      <c r="BO31" s="311">
        <f ca="1">IF($BI31&lt;&gt;"",IF('Capacity summary'!$D$14="Yes",IF(COUNTBLANK('Capacity summary'!$H150:$BG150)&lt;52,IF('Capacity summary'!L150&lt;&gt;"",IF(LOWER('Capacity summary'!L150)="x",$BI31*L31,VALUE('Capacity summary'!L150)),0),L31*$BI31),L31*$BI31),0)</f>
        <v>134.61538461538461</v>
      </c>
      <c r="BP31" s="311">
        <f ca="1">IF($BI31&lt;&gt;"",IF('Capacity summary'!$D$14="Yes",IF(COUNTBLANK('Capacity summary'!$H150:$BG150)&lt;52,IF('Capacity summary'!M150&lt;&gt;"",IF(LOWER('Capacity summary'!M150)="x",$BI31*M31,VALUE('Capacity summary'!M150)),0),M31*$BI31),M31*$BI31),0)</f>
        <v>134.61538461538461</v>
      </c>
      <c r="BQ31" s="311">
        <f ca="1">IF($BI31&lt;&gt;"",IF('Capacity summary'!$D$14="Yes",IF(COUNTBLANK('Capacity summary'!$H150:$BG150)&lt;52,IF('Capacity summary'!N150&lt;&gt;"",IF(LOWER('Capacity summary'!N150)="x",$BI31*N31,VALUE('Capacity summary'!N150)),0),N31*$BI31),N31*$BI31),0)</f>
        <v>134.61538461538461</v>
      </c>
      <c r="BR31" s="311">
        <f ca="1">IF($BI31&lt;&gt;"",IF('Capacity summary'!$D$14="Yes",IF(COUNTBLANK('Capacity summary'!$H150:$BG150)&lt;52,IF('Capacity summary'!O150&lt;&gt;"",IF(LOWER('Capacity summary'!O150)="x",$BI31*O31,VALUE('Capacity summary'!O150)),0),O31*$BI31),O31*$BI31),0)</f>
        <v>134.61538461538461</v>
      </c>
      <c r="BS31" s="311">
        <f ca="1">IF($BI31&lt;&gt;"",IF('Capacity summary'!$D$14="Yes",IF(COUNTBLANK('Capacity summary'!$H150:$BG150)&lt;52,IF('Capacity summary'!P150&lt;&gt;"",IF(LOWER('Capacity summary'!P150)="x",$BI31*P31,VALUE('Capacity summary'!P150)),0),P31*$BI31),P31*$BI31),0)</f>
        <v>134.61538461538461</v>
      </c>
      <c r="BT31" s="311">
        <f ca="1">IF($BI31&lt;&gt;"",IF('Capacity summary'!$D$14="Yes",IF(COUNTBLANK('Capacity summary'!$H150:$BG150)&lt;52,IF('Capacity summary'!Q150&lt;&gt;"",IF(LOWER('Capacity summary'!Q150)="x",$BI31*Q31,VALUE('Capacity summary'!Q150)),0),Q31*$BI31),Q31*$BI31),0)</f>
        <v>134.61538461538461</v>
      </c>
      <c r="BU31" s="311">
        <f ca="1">IF($BI31&lt;&gt;"",IF('Capacity summary'!$D$14="Yes",IF(COUNTBLANK('Capacity summary'!$H150:$BG150)&lt;52,IF('Capacity summary'!R150&lt;&gt;"",IF(LOWER('Capacity summary'!R150)="x",$BI31*R31,VALUE('Capacity summary'!R150)),0),R31*$BI31),R31*$BI31),0)</f>
        <v>134.61538461538461</v>
      </c>
      <c r="BV31" s="311">
        <f ca="1">IF($BI31&lt;&gt;"",IF('Capacity summary'!$D$14="Yes",IF(COUNTBLANK('Capacity summary'!$H150:$BG150)&lt;52,IF('Capacity summary'!S150&lt;&gt;"",IF(LOWER('Capacity summary'!S150)="x",$BI31*S31,VALUE('Capacity summary'!S150)),0),S31*$BI31),S31*$BI31),0)</f>
        <v>134.61538461538461</v>
      </c>
      <c r="BW31" s="311">
        <f ca="1">IF($BI31&lt;&gt;"",IF('Capacity summary'!$D$14="Yes",IF(COUNTBLANK('Capacity summary'!$H150:$BG150)&lt;52,IF('Capacity summary'!T150&lt;&gt;"",IF(LOWER('Capacity summary'!T150)="x",$BI31*T31,VALUE('Capacity summary'!T150)),0),T31*$BI31),T31*$BI31),0)</f>
        <v>134.61538461538461</v>
      </c>
      <c r="BX31" s="311">
        <f ca="1">IF($BI31&lt;&gt;"",IF('Capacity summary'!$D$14="Yes",IF(COUNTBLANK('Capacity summary'!$H150:$BG150)&lt;52,IF('Capacity summary'!U150&lt;&gt;"",IF(LOWER('Capacity summary'!U150)="x",$BI31*U31,VALUE('Capacity summary'!U150)),0),U31*$BI31),U31*$BI31),0)</f>
        <v>134.61538461538461</v>
      </c>
      <c r="BY31" s="311">
        <f ca="1">IF($BI31&lt;&gt;"",IF('Capacity summary'!$D$14="Yes",IF(COUNTBLANK('Capacity summary'!$H150:$BG150)&lt;52,IF('Capacity summary'!V150&lt;&gt;"",IF(LOWER('Capacity summary'!V150)="x",$BI31*V31,VALUE('Capacity summary'!V150)),0),V31*$BI31),V31*$BI31),0)</f>
        <v>134.61538461538461</v>
      </c>
      <c r="BZ31" s="311">
        <f ca="1">IF($BI31&lt;&gt;"",IF('Capacity summary'!$D$14="Yes",IF(COUNTBLANK('Capacity summary'!$H150:$BG150)&lt;52,IF('Capacity summary'!W150&lt;&gt;"",IF(LOWER('Capacity summary'!W150)="x",$BI31*W31,VALUE('Capacity summary'!W150)),0),W31*$BI31),W31*$BI31),0)</f>
        <v>134.61538461538461</v>
      </c>
      <c r="CA31" s="311">
        <f ca="1">IF($BI31&lt;&gt;"",IF('Capacity summary'!$D$14="Yes",IF(COUNTBLANK('Capacity summary'!$H150:$BG150)&lt;52,IF('Capacity summary'!X150&lt;&gt;"",IF(LOWER('Capacity summary'!X150)="x",$BI31*X31,VALUE('Capacity summary'!X150)),0),X31*$BI31),X31*$BI31),0)</f>
        <v>134.61538461538461</v>
      </c>
      <c r="CB31" s="311">
        <f ca="1">IF($BI31&lt;&gt;"",IF('Capacity summary'!$D$14="Yes",IF(COUNTBLANK('Capacity summary'!$H150:$BG150)&lt;52,IF('Capacity summary'!Y150&lt;&gt;"",IF(LOWER('Capacity summary'!Y150)="x",$BI31*Y31,VALUE('Capacity summary'!Y150)),0),Y31*$BI31),Y31*$BI31),0)</f>
        <v>134.61538461538461</v>
      </c>
      <c r="CC31" s="311">
        <f ca="1">IF($BI31&lt;&gt;"",IF('Capacity summary'!$D$14="Yes",IF(COUNTBLANK('Capacity summary'!$H150:$BG150)&lt;52,IF('Capacity summary'!Z150&lt;&gt;"",IF(LOWER('Capacity summary'!Z150)="x",$BI31*Z31,VALUE('Capacity summary'!Z150)),0),Z31*$BI31),Z31*$BI31),0)</f>
        <v>134.61538461538461</v>
      </c>
      <c r="CD31" s="311">
        <f ca="1">IF($BI31&lt;&gt;"",IF('Capacity summary'!$D$14="Yes",IF(COUNTBLANK('Capacity summary'!$H150:$BG150)&lt;52,IF('Capacity summary'!AA150&lt;&gt;"",IF(LOWER('Capacity summary'!AA150)="x",$BI31*AA31,VALUE('Capacity summary'!AA150)),0),AA31*$BI31),AA31*$BI31),0)</f>
        <v>134.61538461538461</v>
      </c>
      <c r="CE31" s="311">
        <f ca="1">IF($BI31&lt;&gt;"",IF('Capacity summary'!$D$14="Yes",IF(COUNTBLANK('Capacity summary'!$H150:$BG150)&lt;52,IF('Capacity summary'!AB150&lt;&gt;"",IF(LOWER('Capacity summary'!AB150)="x",$BI31*AB31,VALUE('Capacity summary'!AB150)),0),AB31*$BI31),AB31*$BI31),0)</f>
        <v>134.61538461538461</v>
      </c>
      <c r="CF31" s="311">
        <f ca="1">IF($BI31&lt;&gt;"",IF('Capacity summary'!$D$14="Yes",IF(COUNTBLANK('Capacity summary'!$H150:$BG150)&lt;52,IF('Capacity summary'!AC150&lt;&gt;"",IF(LOWER('Capacity summary'!AC150)="x",$BI31*AC31,VALUE('Capacity summary'!AC150)),0),AC31*$BI31),AC31*$BI31),0)</f>
        <v>134.61538461538461</v>
      </c>
      <c r="CG31" s="311">
        <f ca="1">IF($BI31&lt;&gt;"",IF('Capacity summary'!$D$14="Yes",IF(COUNTBLANK('Capacity summary'!$H150:$BG150)&lt;52,IF('Capacity summary'!AD150&lt;&gt;"",IF(LOWER('Capacity summary'!AD150)="x",$BI31*AD31,VALUE('Capacity summary'!AD150)),0),AD31*$BI31),AD31*$BI31),0)</f>
        <v>134.61538461538461</v>
      </c>
      <c r="CH31" s="311">
        <f ca="1">IF($BI31&lt;&gt;"",IF('Capacity summary'!$D$14="Yes",IF(COUNTBLANK('Capacity summary'!$H150:$BG150)&lt;52,IF('Capacity summary'!AE150&lt;&gt;"",IF(LOWER('Capacity summary'!AE150)="x",$BI31*AE31,VALUE('Capacity summary'!AE150)),0),AE31*$BI31),AE31*$BI31),0)</f>
        <v>134.61538461538461</v>
      </c>
      <c r="CI31" s="311">
        <f ca="1">IF($BI31&lt;&gt;"",IF('Capacity summary'!$D$14="Yes",IF(COUNTBLANK('Capacity summary'!$H150:$BG150)&lt;52,IF('Capacity summary'!AF150&lt;&gt;"",IF(LOWER('Capacity summary'!AF150)="x",$BI31*AF31,VALUE('Capacity summary'!AF150)),0),AF31*$BI31),AF31*$BI31),0)</f>
        <v>134.61538461538461</v>
      </c>
      <c r="CJ31" s="311">
        <f ca="1">IF($BI31&lt;&gt;"",IF('Capacity summary'!$D$14="Yes",IF(COUNTBLANK('Capacity summary'!$H150:$BG150)&lt;52,IF('Capacity summary'!AG150&lt;&gt;"",IF(LOWER('Capacity summary'!AG150)="x",$BI31*AG31,VALUE('Capacity summary'!AG150)),0),AG31*$BI31),AG31*$BI31),0)</f>
        <v>134.61538461538461</v>
      </c>
      <c r="CK31" s="311">
        <f ca="1">IF($BI31&lt;&gt;"",IF('Capacity summary'!$D$14="Yes",IF(COUNTBLANK('Capacity summary'!$H150:$BG150)&lt;52,IF('Capacity summary'!AH150&lt;&gt;"",IF(LOWER('Capacity summary'!AH150)="x",$BI31*AH31,VALUE('Capacity summary'!AH150)),0),AH31*$BI31),AH31*$BI31),0)</f>
        <v>134.61538461538461</v>
      </c>
      <c r="CL31" s="311">
        <f ca="1">IF($BI31&lt;&gt;"",IF('Capacity summary'!$D$14="Yes",IF(COUNTBLANK('Capacity summary'!$H150:$BG150)&lt;52,IF('Capacity summary'!AI150&lt;&gt;"",IF(LOWER('Capacity summary'!AI150)="x",$BI31*AI31,VALUE('Capacity summary'!AI150)),0),AI31*$BI31),AI31*$BI31),0)</f>
        <v>134.61538461538461</v>
      </c>
      <c r="CM31" s="311">
        <f ca="1">IF($BI31&lt;&gt;"",IF('Capacity summary'!$D$14="Yes",IF(COUNTBLANK('Capacity summary'!$H150:$BG150)&lt;52,IF('Capacity summary'!AJ150&lt;&gt;"",IF(LOWER('Capacity summary'!AJ150)="x",$BI31*AJ31,VALUE('Capacity summary'!AJ150)),0),AJ31*$BI31),AJ31*$BI31),0)</f>
        <v>134.61538461538461</v>
      </c>
      <c r="CN31" s="311">
        <f ca="1">IF($BI31&lt;&gt;"",IF('Capacity summary'!$D$14="Yes",IF(COUNTBLANK('Capacity summary'!$H150:$BG150)&lt;52,IF('Capacity summary'!AK150&lt;&gt;"",IF(LOWER('Capacity summary'!AK150)="x",$BI31*AK31,VALUE('Capacity summary'!AK150)),0),AK31*$BI31),AK31*$BI31),0)</f>
        <v>134.61538461538461</v>
      </c>
      <c r="CO31" s="311">
        <f ca="1">IF($BI31&lt;&gt;"",IF('Capacity summary'!$D$14="Yes",IF(COUNTBLANK('Capacity summary'!$H150:$BG150)&lt;52,IF('Capacity summary'!AL150&lt;&gt;"",IF(LOWER('Capacity summary'!AL150)="x",$BI31*AL31,VALUE('Capacity summary'!AL150)),0),AL31*$BI31),AL31*$BI31),0)</f>
        <v>134.61538461538461</v>
      </c>
      <c r="CP31" s="311">
        <f ca="1">IF($BI31&lt;&gt;"",IF('Capacity summary'!$D$14="Yes",IF(COUNTBLANK('Capacity summary'!$H150:$BG150)&lt;52,IF('Capacity summary'!AM150&lt;&gt;"",IF(LOWER('Capacity summary'!AM150)="x",$BI31*AM31,VALUE('Capacity summary'!AM150)),0),AM31*$BI31),AM31*$BI31),0)</f>
        <v>134.61538461538461</v>
      </c>
      <c r="CQ31" s="311">
        <f ca="1">IF($BI31&lt;&gt;"",IF('Capacity summary'!$D$14="Yes",IF(COUNTBLANK('Capacity summary'!$H150:$BG150)&lt;52,IF('Capacity summary'!AN150&lt;&gt;"",IF(LOWER('Capacity summary'!AN150)="x",$BI31*AN31,VALUE('Capacity summary'!AN150)),0),AN31*$BI31),AN31*$BI31),0)</f>
        <v>134.61538461538461</v>
      </c>
      <c r="CR31" s="311">
        <f ca="1">IF($BI31&lt;&gt;"",IF('Capacity summary'!$D$14="Yes",IF(COUNTBLANK('Capacity summary'!$H150:$BG150)&lt;52,IF('Capacity summary'!AO150&lt;&gt;"",IF(LOWER('Capacity summary'!AO150)="x",$BI31*AO31,VALUE('Capacity summary'!AO150)),0),AO31*$BI31),AO31*$BI31),0)</f>
        <v>134.61538461538461</v>
      </c>
      <c r="CS31" s="311">
        <f ca="1">IF($BI31&lt;&gt;"",IF('Capacity summary'!$D$14="Yes",IF(COUNTBLANK('Capacity summary'!$H150:$BG150)&lt;52,IF('Capacity summary'!AP150&lt;&gt;"",IF(LOWER('Capacity summary'!AP150)="x",$BI31*AP31,VALUE('Capacity summary'!AP150)),0),AP31*$BI31),AP31*$BI31),0)</f>
        <v>134.61538461538461</v>
      </c>
      <c r="CT31" s="311">
        <f ca="1">IF($BI31&lt;&gt;"",IF('Capacity summary'!$D$14="Yes",IF(COUNTBLANK('Capacity summary'!$H150:$BG150)&lt;52,IF('Capacity summary'!AQ150&lt;&gt;"",IF(LOWER('Capacity summary'!AQ150)="x",$BI31*AQ31,VALUE('Capacity summary'!AQ150)),0),AQ31*$BI31),AQ31*$BI31),0)</f>
        <v>134.61538461538461</v>
      </c>
      <c r="CU31" s="311">
        <f ca="1">IF($BI31&lt;&gt;"",IF('Capacity summary'!$D$14="Yes",IF(COUNTBLANK('Capacity summary'!$H150:$BG150)&lt;52,IF('Capacity summary'!AR150&lt;&gt;"",IF(LOWER('Capacity summary'!AR150)="x",$BI31*AR31,VALUE('Capacity summary'!AR150)),0),AR31*$BI31),AR31*$BI31),0)</f>
        <v>134.61538461538461</v>
      </c>
      <c r="CV31" s="311">
        <f ca="1">IF($BI31&lt;&gt;"",IF('Capacity summary'!$D$14="Yes",IF(COUNTBLANK('Capacity summary'!$H150:$BG150)&lt;52,IF('Capacity summary'!AS150&lt;&gt;"",IF(LOWER('Capacity summary'!AS150)="x",$BI31*AS31,VALUE('Capacity summary'!AS150)),0),AS31*$BI31),AS31*$BI31),0)</f>
        <v>134.61538461538461</v>
      </c>
      <c r="CW31" s="311">
        <f ca="1">IF($BI31&lt;&gt;"",IF('Capacity summary'!$D$14="Yes",IF(COUNTBLANK('Capacity summary'!$H150:$BG150)&lt;52,IF('Capacity summary'!AT150&lt;&gt;"",IF(LOWER('Capacity summary'!AT150)="x",$BI31*AT31,VALUE('Capacity summary'!AT150)),0),AT31*$BI31),AT31*$BI31),0)</f>
        <v>134.61538461538461</v>
      </c>
      <c r="CX31" s="311">
        <f ca="1">IF($BI31&lt;&gt;"",IF('Capacity summary'!$D$14="Yes",IF(COUNTBLANK('Capacity summary'!$H150:$BG150)&lt;52,IF('Capacity summary'!AU150&lt;&gt;"",IF(LOWER('Capacity summary'!AU150)="x",$BI31*AU31,VALUE('Capacity summary'!AU150)),0),AU31*$BI31),AU31*$BI31),0)</f>
        <v>134.61538461538461</v>
      </c>
      <c r="CY31" s="311">
        <f ca="1">IF($BI31&lt;&gt;"",IF('Capacity summary'!$D$14="Yes",IF(COUNTBLANK('Capacity summary'!$H150:$BG150)&lt;52,IF('Capacity summary'!AV150&lt;&gt;"",IF(LOWER('Capacity summary'!AV150)="x",$BI31*AV31,VALUE('Capacity summary'!AV150)),0),AV31*$BI31),AV31*$BI31),0)</f>
        <v>134.61538461538461</v>
      </c>
      <c r="CZ31" s="311">
        <f ca="1">IF($BI31&lt;&gt;"",IF('Capacity summary'!$D$14="Yes",IF(COUNTBLANK('Capacity summary'!$H150:$BG150)&lt;52,IF('Capacity summary'!AW150&lt;&gt;"",IF(LOWER('Capacity summary'!AW150)="x",$BI31*AW31,VALUE('Capacity summary'!AW150)),0),AW31*$BI31),AW31*$BI31),0)</f>
        <v>134.61538461538461</v>
      </c>
      <c r="DA31" s="311">
        <f ca="1">IF($BI31&lt;&gt;"",IF('Capacity summary'!$D$14="Yes",IF(COUNTBLANK('Capacity summary'!$H150:$BG150)&lt;52,IF('Capacity summary'!AX150&lt;&gt;"",IF(LOWER('Capacity summary'!AX150)="x",$BI31*AX31,VALUE('Capacity summary'!AX150)),0),AX31*$BI31),AX31*$BI31),0)</f>
        <v>134.61538461538461</v>
      </c>
      <c r="DB31" s="311">
        <f ca="1">IF($BI31&lt;&gt;"",IF('Capacity summary'!$D$14="Yes",IF(COUNTBLANK('Capacity summary'!$H150:$BG150)&lt;52,IF('Capacity summary'!AY150&lt;&gt;"",IF(LOWER('Capacity summary'!AY150)="x",$BI31*AY31,VALUE('Capacity summary'!AY150)),0),AY31*$BI31),AY31*$BI31),0)</f>
        <v>134.61538461538461</v>
      </c>
      <c r="DC31" s="311">
        <f ca="1">IF($BI31&lt;&gt;"",IF('Capacity summary'!$D$14="Yes",IF(COUNTBLANK('Capacity summary'!$H150:$BG150)&lt;52,IF('Capacity summary'!AZ150&lt;&gt;"",IF(LOWER('Capacity summary'!AZ150)="x",$BI31*AZ31,VALUE('Capacity summary'!AZ150)),0),AZ31*$BI31),AZ31*$BI31),0)</f>
        <v>134.61538461538461</v>
      </c>
      <c r="DD31" s="311">
        <f ca="1">IF($BI31&lt;&gt;"",IF('Capacity summary'!$D$14="Yes",IF(COUNTBLANK('Capacity summary'!$H150:$BG150)&lt;52,IF('Capacity summary'!BA150&lt;&gt;"",IF(LOWER('Capacity summary'!BA150)="x",$BI31*BA31,VALUE('Capacity summary'!BA150)),0),BA31*$BI31),BA31*$BI31),0)</f>
        <v>134.61538461538461</v>
      </c>
      <c r="DE31" s="311">
        <f ca="1">IF($BI31&lt;&gt;"",IF('Capacity summary'!$D$14="Yes",IF(COUNTBLANK('Capacity summary'!$H150:$BG150)&lt;52,IF('Capacity summary'!BB150&lt;&gt;"",IF(LOWER('Capacity summary'!BB150)="x",$BI31*BB31,VALUE('Capacity summary'!BB150)),0),BB31*$BI31),BB31*$BI31),0)</f>
        <v>134.61538461538461</v>
      </c>
      <c r="DF31" s="311">
        <f ca="1">IF($BI31&lt;&gt;"",IF('Capacity summary'!$D$14="Yes",IF(COUNTBLANK('Capacity summary'!$H150:$BG150)&lt;52,IF('Capacity summary'!BC150&lt;&gt;"",IF(LOWER('Capacity summary'!BC150)="x",$BI31*BC31,VALUE('Capacity summary'!BC150)),0),BC31*$BI31),BC31*$BI31),0)</f>
        <v>134.61538461538461</v>
      </c>
      <c r="DG31" s="311">
        <f ca="1">IF($BI31&lt;&gt;"",IF('Capacity summary'!$D$14="Yes",IF(COUNTBLANK('Capacity summary'!$H150:$BG150)&lt;52,IF('Capacity summary'!BD150&lt;&gt;"",IF(LOWER('Capacity summary'!BD150)="x",$BI31*BD31,VALUE('Capacity summary'!BD150)),0),BD31*$BI31),BD31*$BI31),0)</f>
        <v>134.61538461538461</v>
      </c>
      <c r="DH31" s="311">
        <f ca="1">IF($BI31&lt;&gt;"",IF('Capacity summary'!$D$14="Yes",IF(COUNTBLANK('Capacity summary'!$H150:$BG150)&lt;52,IF('Capacity summary'!BE150&lt;&gt;"",IF(LOWER('Capacity summary'!BE150)="x",$BI31*BE31,VALUE('Capacity summary'!BE150)),0),BE31*$BI31),BE31*$BI31),0)</f>
        <v>134.61538461538461</v>
      </c>
      <c r="DI31" s="311">
        <f ca="1">IF($BI31&lt;&gt;"",IF('Capacity summary'!$D$14="Yes",IF(COUNTBLANK('Capacity summary'!$H150:$BG150)&lt;52,IF('Capacity summary'!BF150&lt;&gt;"",IF(LOWER('Capacity summary'!BF150)="x",$BI31*BF31,VALUE('Capacity summary'!BF150)),0),BF31*$BI31),BF31*$BI31),0)</f>
        <v>134.61538461538461</v>
      </c>
      <c r="DJ31" s="311">
        <f ca="1">IF($BI31&lt;&gt;"",IF('Capacity summary'!$D$14="Yes",IF(COUNTBLANK('Capacity summary'!$H150:$BG150)&lt;52,IF('Capacity summary'!BG150&lt;&gt;"",IF(LOWER('Capacity summary'!BG150)="x",$BI31*BG31,VALUE('Capacity summary'!BG150)),0),BG31*$BI31),BG31*$BI31),0)</f>
        <v>134.61538461538461</v>
      </c>
      <c r="DK31" s="388">
        <f t="shared" ca="1" si="2"/>
        <v>134.61538461538461</v>
      </c>
      <c r="DL31" s="136">
        <f t="shared" ca="1" si="3"/>
        <v>7000.0000000000045</v>
      </c>
      <c r="DM31" s="311">
        <f>Capacity!H43</f>
        <v>7000</v>
      </c>
      <c r="DQ31" s="5"/>
    </row>
    <row r="32" spans="1:121" x14ac:dyDescent="0.2">
      <c r="A32" s="67">
        <f>IF(Capacity!L44='Capacity summary'!BI151,1,0)</f>
        <v>1</v>
      </c>
      <c r="B32" s="67">
        <f>IF(Capacity!V44='Capacity summary'!BI51,1,0)</f>
        <v>1</v>
      </c>
      <c r="C32" s="67" t="str">
        <f>ROW(A28)&amp;". "&amp;Capacity!B44</f>
        <v>28. PP</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 ca="1">IF(ROW(C28)&lt;=Capacity!$A$16,IF('Capacity summary'!$D$14="No",SUM(H32:BG32),'Capacity summary'!$E151),0)</f>
        <v>52</v>
      </c>
      <c r="BI32" s="5">
        <f ca="1">IF(BH32&gt;0,IF(BH32&lt;Capacity!E44,Capacity!F44,Capacity!H44/'Capacity calculation (hide)'!BH32),"")</f>
        <v>19.23076923076923</v>
      </c>
      <c r="BK32" s="311">
        <f ca="1">IF($BI32&lt;&gt;"",IF('Capacity summary'!$D$14="Yes",IF(COUNTBLANK('Capacity summary'!$H151:$BG151)&lt;52,IF('Capacity summary'!H151&lt;&gt;"",IF(LOWER('Capacity summary'!H151)="x",$BI32*H32,VALUE('Capacity summary'!H151)),0),H32*$BI32),H32*$BI32),0)</f>
        <v>19.23076923076923</v>
      </c>
      <c r="BL32" s="311">
        <f ca="1">IF($BI32&lt;&gt;"",IF('Capacity summary'!$D$14="Yes",IF(COUNTBLANK('Capacity summary'!$H151:$BG151)&lt;52,IF('Capacity summary'!I151&lt;&gt;"",IF(LOWER('Capacity summary'!I151)="x",$BI32*I32,VALUE('Capacity summary'!I151)),0),I32*$BI32),I32*$BI32),0)</f>
        <v>19.23076923076923</v>
      </c>
      <c r="BM32" s="311">
        <f ca="1">IF($BI32&lt;&gt;"",IF('Capacity summary'!$D$14="Yes",IF(COUNTBLANK('Capacity summary'!$H151:$BG151)&lt;52,IF('Capacity summary'!J151&lt;&gt;"",IF(LOWER('Capacity summary'!J151)="x",$BI32*J32,VALUE('Capacity summary'!J151)),0),J32*$BI32),J32*$BI32),0)</f>
        <v>19.23076923076923</v>
      </c>
      <c r="BN32" s="311">
        <f ca="1">IF($BI32&lt;&gt;"",IF('Capacity summary'!$D$14="Yes",IF(COUNTBLANK('Capacity summary'!$H151:$BG151)&lt;52,IF('Capacity summary'!K151&lt;&gt;"",IF(LOWER('Capacity summary'!K151)="x",$BI32*K32,VALUE('Capacity summary'!K151)),0),K32*$BI32),K32*$BI32),0)</f>
        <v>19.23076923076923</v>
      </c>
      <c r="BO32" s="311">
        <f ca="1">IF($BI32&lt;&gt;"",IF('Capacity summary'!$D$14="Yes",IF(COUNTBLANK('Capacity summary'!$H151:$BG151)&lt;52,IF('Capacity summary'!L151&lt;&gt;"",IF(LOWER('Capacity summary'!L151)="x",$BI32*L32,VALUE('Capacity summary'!L151)),0),L32*$BI32),L32*$BI32),0)</f>
        <v>19.23076923076923</v>
      </c>
      <c r="BP32" s="311">
        <f ca="1">IF($BI32&lt;&gt;"",IF('Capacity summary'!$D$14="Yes",IF(COUNTBLANK('Capacity summary'!$H151:$BG151)&lt;52,IF('Capacity summary'!M151&lt;&gt;"",IF(LOWER('Capacity summary'!M151)="x",$BI32*M32,VALUE('Capacity summary'!M151)),0),M32*$BI32),M32*$BI32),0)</f>
        <v>19.23076923076923</v>
      </c>
      <c r="BQ32" s="311">
        <f ca="1">IF($BI32&lt;&gt;"",IF('Capacity summary'!$D$14="Yes",IF(COUNTBLANK('Capacity summary'!$H151:$BG151)&lt;52,IF('Capacity summary'!N151&lt;&gt;"",IF(LOWER('Capacity summary'!N151)="x",$BI32*N32,VALUE('Capacity summary'!N151)),0),N32*$BI32),N32*$BI32),0)</f>
        <v>19.23076923076923</v>
      </c>
      <c r="BR32" s="311">
        <f ca="1">IF($BI32&lt;&gt;"",IF('Capacity summary'!$D$14="Yes",IF(COUNTBLANK('Capacity summary'!$H151:$BG151)&lt;52,IF('Capacity summary'!O151&lt;&gt;"",IF(LOWER('Capacity summary'!O151)="x",$BI32*O32,VALUE('Capacity summary'!O151)),0),O32*$BI32),O32*$BI32),0)</f>
        <v>19.23076923076923</v>
      </c>
      <c r="BS32" s="311">
        <f ca="1">IF($BI32&lt;&gt;"",IF('Capacity summary'!$D$14="Yes",IF(COUNTBLANK('Capacity summary'!$H151:$BG151)&lt;52,IF('Capacity summary'!P151&lt;&gt;"",IF(LOWER('Capacity summary'!P151)="x",$BI32*P32,VALUE('Capacity summary'!P151)),0),P32*$BI32),P32*$BI32),0)</f>
        <v>19.23076923076923</v>
      </c>
      <c r="BT32" s="311">
        <f ca="1">IF($BI32&lt;&gt;"",IF('Capacity summary'!$D$14="Yes",IF(COUNTBLANK('Capacity summary'!$H151:$BG151)&lt;52,IF('Capacity summary'!Q151&lt;&gt;"",IF(LOWER('Capacity summary'!Q151)="x",$BI32*Q32,VALUE('Capacity summary'!Q151)),0),Q32*$BI32),Q32*$BI32),0)</f>
        <v>19.23076923076923</v>
      </c>
      <c r="BU32" s="311">
        <f ca="1">IF($BI32&lt;&gt;"",IF('Capacity summary'!$D$14="Yes",IF(COUNTBLANK('Capacity summary'!$H151:$BG151)&lt;52,IF('Capacity summary'!R151&lt;&gt;"",IF(LOWER('Capacity summary'!R151)="x",$BI32*R32,VALUE('Capacity summary'!R151)),0),R32*$BI32),R32*$BI32),0)</f>
        <v>19.23076923076923</v>
      </c>
      <c r="BV32" s="311">
        <f ca="1">IF($BI32&lt;&gt;"",IF('Capacity summary'!$D$14="Yes",IF(COUNTBLANK('Capacity summary'!$H151:$BG151)&lt;52,IF('Capacity summary'!S151&lt;&gt;"",IF(LOWER('Capacity summary'!S151)="x",$BI32*S32,VALUE('Capacity summary'!S151)),0),S32*$BI32),S32*$BI32),0)</f>
        <v>19.23076923076923</v>
      </c>
      <c r="BW32" s="311">
        <f ca="1">IF($BI32&lt;&gt;"",IF('Capacity summary'!$D$14="Yes",IF(COUNTBLANK('Capacity summary'!$H151:$BG151)&lt;52,IF('Capacity summary'!T151&lt;&gt;"",IF(LOWER('Capacity summary'!T151)="x",$BI32*T32,VALUE('Capacity summary'!T151)),0),T32*$BI32),T32*$BI32),0)</f>
        <v>19.23076923076923</v>
      </c>
      <c r="BX32" s="311">
        <f ca="1">IF($BI32&lt;&gt;"",IF('Capacity summary'!$D$14="Yes",IF(COUNTBLANK('Capacity summary'!$H151:$BG151)&lt;52,IF('Capacity summary'!U151&lt;&gt;"",IF(LOWER('Capacity summary'!U151)="x",$BI32*U32,VALUE('Capacity summary'!U151)),0),U32*$BI32),U32*$BI32),0)</f>
        <v>19.23076923076923</v>
      </c>
      <c r="BY32" s="311">
        <f ca="1">IF($BI32&lt;&gt;"",IF('Capacity summary'!$D$14="Yes",IF(COUNTBLANK('Capacity summary'!$H151:$BG151)&lt;52,IF('Capacity summary'!V151&lt;&gt;"",IF(LOWER('Capacity summary'!V151)="x",$BI32*V32,VALUE('Capacity summary'!V151)),0),V32*$BI32),V32*$BI32),0)</f>
        <v>19.23076923076923</v>
      </c>
      <c r="BZ32" s="311">
        <f ca="1">IF($BI32&lt;&gt;"",IF('Capacity summary'!$D$14="Yes",IF(COUNTBLANK('Capacity summary'!$H151:$BG151)&lt;52,IF('Capacity summary'!W151&lt;&gt;"",IF(LOWER('Capacity summary'!W151)="x",$BI32*W32,VALUE('Capacity summary'!W151)),0),W32*$BI32),W32*$BI32),0)</f>
        <v>19.23076923076923</v>
      </c>
      <c r="CA32" s="311">
        <f ca="1">IF($BI32&lt;&gt;"",IF('Capacity summary'!$D$14="Yes",IF(COUNTBLANK('Capacity summary'!$H151:$BG151)&lt;52,IF('Capacity summary'!X151&lt;&gt;"",IF(LOWER('Capacity summary'!X151)="x",$BI32*X32,VALUE('Capacity summary'!X151)),0),X32*$BI32),X32*$BI32),0)</f>
        <v>19.23076923076923</v>
      </c>
      <c r="CB32" s="311">
        <f ca="1">IF($BI32&lt;&gt;"",IF('Capacity summary'!$D$14="Yes",IF(COUNTBLANK('Capacity summary'!$H151:$BG151)&lt;52,IF('Capacity summary'!Y151&lt;&gt;"",IF(LOWER('Capacity summary'!Y151)="x",$BI32*Y32,VALUE('Capacity summary'!Y151)),0),Y32*$BI32),Y32*$BI32),0)</f>
        <v>19.23076923076923</v>
      </c>
      <c r="CC32" s="311">
        <f ca="1">IF($BI32&lt;&gt;"",IF('Capacity summary'!$D$14="Yes",IF(COUNTBLANK('Capacity summary'!$H151:$BG151)&lt;52,IF('Capacity summary'!Z151&lt;&gt;"",IF(LOWER('Capacity summary'!Z151)="x",$BI32*Z32,VALUE('Capacity summary'!Z151)),0),Z32*$BI32),Z32*$BI32),0)</f>
        <v>19.23076923076923</v>
      </c>
      <c r="CD32" s="311">
        <f ca="1">IF($BI32&lt;&gt;"",IF('Capacity summary'!$D$14="Yes",IF(COUNTBLANK('Capacity summary'!$H151:$BG151)&lt;52,IF('Capacity summary'!AA151&lt;&gt;"",IF(LOWER('Capacity summary'!AA151)="x",$BI32*AA32,VALUE('Capacity summary'!AA151)),0),AA32*$BI32),AA32*$BI32),0)</f>
        <v>19.23076923076923</v>
      </c>
      <c r="CE32" s="311">
        <f ca="1">IF($BI32&lt;&gt;"",IF('Capacity summary'!$D$14="Yes",IF(COUNTBLANK('Capacity summary'!$H151:$BG151)&lt;52,IF('Capacity summary'!AB151&lt;&gt;"",IF(LOWER('Capacity summary'!AB151)="x",$BI32*AB32,VALUE('Capacity summary'!AB151)),0),AB32*$BI32),AB32*$BI32),0)</f>
        <v>19.23076923076923</v>
      </c>
      <c r="CF32" s="311">
        <f ca="1">IF($BI32&lt;&gt;"",IF('Capacity summary'!$D$14="Yes",IF(COUNTBLANK('Capacity summary'!$H151:$BG151)&lt;52,IF('Capacity summary'!AC151&lt;&gt;"",IF(LOWER('Capacity summary'!AC151)="x",$BI32*AC32,VALUE('Capacity summary'!AC151)),0),AC32*$BI32),AC32*$BI32),0)</f>
        <v>19.23076923076923</v>
      </c>
      <c r="CG32" s="311">
        <f ca="1">IF($BI32&lt;&gt;"",IF('Capacity summary'!$D$14="Yes",IF(COUNTBLANK('Capacity summary'!$H151:$BG151)&lt;52,IF('Capacity summary'!AD151&lt;&gt;"",IF(LOWER('Capacity summary'!AD151)="x",$BI32*AD32,VALUE('Capacity summary'!AD151)),0),AD32*$BI32),AD32*$BI32),0)</f>
        <v>19.23076923076923</v>
      </c>
      <c r="CH32" s="311">
        <f ca="1">IF($BI32&lt;&gt;"",IF('Capacity summary'!$D$14="Yes",IF(COUNTBLANK('Capacity summary'!$H151:$BG151)&lt;52,IF('Capacity summary'!AE151&lt;&gt;"",IF(LOWER('Capacity summary'!AE151)="x",$BI32*AE32,VALUE('Capacity summary'!AE151)),0),AE32*$BI32),AE32*$BI32),0)</f>
        <v>19.23076923076923</v>
      </c>
      <c r="CI32" s="311">
        <f ca="1">IF($BI32&lt;&gt;"",IF('Capacity summary'!$D$14="Yes",IF(COUNTBLANK('Capacity summary'!$H151:$BG151)&lt;52,IF('Capacity summary'!AF151&lt;&gt;"",IF(LOWER('Capacity summary'!AF151)="x",$BI32*AF32,VALUE('Capacity summary'!AF151)),0),AF32*$BI32),AF32*$BI32),0)</f>
        <v>19.23076923076923</v>
      </c>
      <c r="CJ32" s="311">
        <f ca="1">IF($BI32&lt;&gt;"",IF('Capacity summary'!$D$14="Yes",IF(COUNTBLANK('Capacity summary'!$H151:$BG151)&lt;52,IF('Capacity summary'!AG151&lt;&gt;"",IF(LOWER('Capacity summary'!AG151)="x",$BI32*AG32,VALUE('Capacity summary'!AG151)),0),AG32*$BI32),AG32*$BI32),0)</f>
        <v>19.23076923076923</v>
      </c>
      <c r="CK32" s="311">
        <f ca="1">IF($BI32&lt;&gt;"",IF('Capacity summary'!$D$14="Yes",IF(COUNTBLANK('Capacity summary'!$H151:$BG151)&lt;52,IF('Capacity summary'!AH151&lt;&gt;"",IF(LOWER('Capacity summary'!AH151)="x",$BI32*AH32,VALUE('Capacity summary'!AH151)),0),AH32*$BI32),AH32*$BI32),0)</f>
        <v>19.23076923076923</v>
      </c>
      <c r="CL32" s="311">
        <f ca="1">IF($BI32&lt;&gt;"",IF('Capacity summary'!$D$14="Yes",IF(COUNTBLANK('Capacity summary'!$H151:$BG151)&lt;52,IF('Capacity summary'!AI151&lt;&gt;"",IF(LOWER('Capacity summary'!AI151)="x",$BI32*AI32,VALUE('Capacity summary'!AI151)),0),AI32*$BI32),AI32*$BI32),0)</f>
        <v>19.23076923076923</v>
      </c>
      <c r="CM32" s="311">
        <f ca="1">IF($BI32&lt;&gt;"",IF('Capacity summary'!$D$14="Yes",IF(COUNTBLANK('Capacity summary'!$H151:$BG151)&lt;52,IF('Capacity summary'!AJ151&lt;&gt;"",IF(LOWER('Capacity summary'!AJ151)="x",$BI32*AJ32,VALUE('Capacity summary'!AJ151)),0),AJ32*$BI32),AJ32*$BI32),0)</f>
        <v>19.23076923076923</v>
      </c>
      <c r="CN32" s="311">
        <f ca="1">IF($BI32&lt;&gt;"",IF('Capacity summary'!$D$14="Yes",IF(COUNTBLANK('Capacity summary'!$H151:$BG151)&lt;52,IF('Capacity summary'!AK151&lt;&gt;"",IF(LOWER('Capacity summary'!AK151)="x",$BI32*AK32,VALUE('Capacity summary'!AK151)),0),AK32*$BI32),AK32*$BI32),0)</f>
        <v>19.23076923076923</v>
      </c>
      <c r="CO32" s="311">
        <f ca="1">IF($BI32&lt;&gt;"",IF('Capacity summary'!$D$14="Yes",IF(COUNTBLANK('Capacity summary'!$H151:$BG151)&lt;52,IF('Capacity summary'!AL151&lt;&gt;"",IF(LOWER('Capacity summary'!AL151)="x",$BI32*AL32,VALUE('Capacity summary'!AL151)),0),AL32*$BI32),AL32*$BI32),0)</f>
        <v>19.23076923076923</v>
      </c>
      <c r="CP32" s="311">
        <f ca="1">IF($BI32&lt;&gt;"",IF('Capacity summary'!$D$14="Yes",IF(COUNTBLANK('Capacity summary'!$H151:$BG151)&lt;52,IF('Capacity summary'!AM151&lt;&gt;"",IF(LOWER('Capacity summary'!AM151)="x",$BI32*AM32,VALUE('Capacity summary'!AM151)),0),AM32*$BI32),AM32*$BI32),0)</f>
        <v>19.23076923076923</v>
      </c>
      <c r="CQ32" s="311">
        <f ca="1">IF($BI32&lt;&gt;"",IF('Capacity summary'!$D$14="Yes",IF(COUNTBLANK('Capacity summary'!$H151:$BG151)&lt;52,IF('Capacity summary'!AN151&lt;&gt;"",IF(LOWER('Capacity summary'!AN151)="x",$BI32*AN32,VALUE('Capacity summary'!AN151)),0),AN32*$BI32),AN32*$BI32),0)</f>
        <v>19.23076923076923</v>
      </c>
      <c r="CR32" s="311">
        <f ca="1">IF($BI32&lt;&gt;"",IF('Capacity summary'!$D$14="Yes",IF(COUNTBLANK('Capacity summary'!$H151:$BG151)&lt;52,IF('Capacity summary'!AO151&lt;&gt;"",IF(LOWER('Capacity summary'!AO151)="x",$BI32*AO32,VALUE('Capacity summary'!AO151)),0),AO32*$BI32),AO32*$BI32),0)</f>
        <v>19.23076923076923</v>
      </c>
      <c r="CS32" s="311">
        <f ca="1">IF($BI32&lt;&gt;"",IF('Capacity summary'!$D$14="Yes",IF(COUNTBLANK('Capacity summary'!$H151:$BG151)&lt;52,IF('Capacity summary'!AP151&lt;&gt;"",IF(LOWER('Capacity summary'!AP151)="x",$BI32*AP32,VALUE('Capacity summary'!AP151)),0),AP32*$BI32),AP32*$BI32),0)</f>
        <v>19.23076923076923</v>
      </c>
      <c r="CT32" s="311">
        <f ca="1">IF($BI32&lt;&gt;"",IF('Capacity summary'!$D$14="Yes",IF(COUNTBLANK('Capacity summary'!$H151:$BG151)&lt;52,IF('Capacity summary'!AQ151&lt;&gt;"",IF(LOWER('Capacity summary'!AQ151)="x",$BI32*AQ32,VALUE('Capacity summary'!AQ151)),0),AQ32*$BI32),AQ32*$BI32),0)</f>
        <v>19.23076923076923</v>
      </c>
      <c r="CU32" s="311">
        <f ca="1">IF($BI32&lt;&gt;"",IF('Capacity summary'!$D$14="Yes",IF(COUNTBLANK('Capacity summary'!$H151:$BG151)&lt;52,IF('Capacity summary'!AR151&lt;&gt;"",IF(LOWER('Capacity summary'!AR151)="x",$BI32*AR32,VALUE('Capacity summary'!AR151)),0),AR32*$BI32),AR32*$BI32),0)</f>
        <v>19.23076923076923</v>
      </c>
      <c r="CV32" s="311">
        <f ca="1">IF($BI32&lt;&gt;"",IF('Capacity summary'!$D$14="Yes",IF(COUNTBLANK('Capacity summary'!$H151:$BG151)&lt;52,IF('Capacity summary'!AS151&lt;&gt;"",IF(LOWER('Capacity summary'!AS151)="x",$BI32*AS32,VALUE('Capacity summary'!AS151)),0),AS32*$BI32),AS32*$BI32),0)</f>
        <v>19.23076923076923</v>
      </c>
      <c r="CW32" s="311">
        <f ca="1">IF($BI32&lt;&gt;"",IF('Capacity summary'!$D$14="Yes",IF(COUNTBLANK('Capacity summary'!$H151:$BG151)&lt;52,IF('Capacity summary'!AT151&lt;&gt;"",IF(LOWER('Capacity summary'!AT151)="x",$BI32*AT32,VALUE('Capacity summary'!AT151)),0),AT32*$BI32),AT32*$BI32),0)</f>
        <v>19.23076923076923</v>
      </c>
      <c r="CX32" s="311">
        <f ca="1">IF($BI32&lt;&gt;"",IF('Capacity summary'!$D$14="Yes",IF(COUNTBLANK('Capacity summary'!$H151:$BG151)&lt;52,IF('Capacity summary'!AU151&lt;&gt;"",IF(LOWER('Capacity summary'!AU151)="x",$BI32*AU32,VALUE('Capacity summary'!AU151)),0),AU32*$BI32),AU32*$BI32),0)</f>
        <v>19.23076923076923</v>
      </c>
      <c r="CY32" s="311">
        <f ca="1">IF($BI32&lt;&gt;"",IF('Capacity summary'!$D$14="Yes",IF(COUNTBLANK('Capacity summary'!$H151:$BG151)&lt;52,IF('Capacity summary'!AV151&lt;&gt;"",IF(LOWER('Capacity summary'!AV151)="x",$BI32*AV32,VALUE('Capacity summary'!AV151)),0),AV32*$BI32),AV32*$BI32),0)</f>
        <v>19.23076923076923</v>
      </c>
      <c r="CZ32" s="311">
        <f ca="1">IF($BI32&lt;&gt;"",IF('Capacity summary'!$D$14="Yes",IF(COUNTBLANK('Capacity summary'!$H151:$BG151)&lt;52,IF('Capacity summary'!AW151&lt;&gt;"",IF(LOWER('Capacity summary'!AW151)="x",$BI32*AW32,VALUE('Capacity summary'!AW151)),0),AW32*$BI32),AW32*$BI32),0)</f>
        <v>19.23076923076923</v>
      </c>
      <c r="DA32" s="311">
        <f ca="1">IF($BI32&lt;&gt;"",IF('Capacity summary'!$D$14="Yes",IF(COUNTBLANK('Capacity summary'!$H151:$BG151)&lt;52,IF('Capacity summary'!AX151&lt;&gt;"",IF(LOWER('Capacity summary'!AX151)="x",$BI32*AX32,VALUE('Capacity summary'!AX151)),0),AX32*$BI32),AX32*$BI32),0)</f>
        <v>19.23076923076923</v>
      </c>
      <c r="DB32" s="311">
        <f ca="1">IF($BI32&lt;&gt;"",IF('Capacity summary'!$D$14="Yes",IF(COUNTBLANK('Capacity summary'!$H151:$BG151)&lt;52,IF('Capacity summary'!AY151&lt;&gt;"",IF(LOWER('Capacity summary'!AY151)="x",$BI32*AY32,VALUE('Capacity summary'!AY151)),0),AY32*$BI32),AY32*$BI32),0)</f>
        <v>19.23076923076923</v>
      </c>
      <c r="DC32" s="311">
        <f ca="1">IF($BI32&lt;&gt;"",IF('Capacity summary'!$D$14="Yes",IF(COUNTBLANK('Capacity summary'!$H151:$BG151)&lt;52,IF('Capacity summary'!AZ151&lt;&gt;"",IF(LOWER('Capacity summary'!AZ151)="x",$BI32*AZ32,VALUE('Capacity summary'!AZ151)),0),AZ32*$BI32),AZ32*$BI32),0)</f>
        <v>19.23076923076923</v>
      </c>
      <c r="DD32" s="311">
        <f ca="1">IF($BI32&lt;&gt;"",IF('Capacity summary'!$D$14="Yes",IF(COUNTBLANK('Capacity summary'!$H151:$BG151)&lt;52,IF('Capacity summary'!BA151&lt;&gt;"",IF(LOWER('Capacity summary'!BA151)="x",$BI32*BA32,VALUE('Capacity summary'!BA151)),0),BA32*$BI32),BA32*$BI32),0)</f>
        <v>19.23076923076923</v>
      </c>
      <c r="DE32" s="311">
        <f ca="1">IF($BI32&lt;&gt;"",IF('Capacity summary'!$D$14="Yes",IF(COUNTBLANK('Capacity summary'!$H151:$BG151)&lt;52,IF('Capacity summary'!BB151&lt;&gt;"",IF(LOWER('Capacity summary'!BB151)="x",$BI32*BB32,VALUE('Capacity summary'!BB151)),0),BB32*$BI32),BB32*$BI32),0)</f>
        <v>19.23076923076923</v>
      </c>
      <c r="DF32" s="311">
        <f ca="1">IF($BI32&lt;&gt;"",IF('Capacity summary'!$D$14="Yes",IF(COUNTBLANK('Capacity summary'!$H151:$BG151)&lt;52,IF('Capacity summary'!BC151&lt;&gt;"",IF(LOWER('Capacity summary'!BC151)="x",$BI32*BC32,VALUE('Capacity summary'!BC151)),0),BC32*$BI32),BC32*$BI32),0)</f>
        <v>19.23076923076923</v>
      </c>
      <c r="DG32" s="311">
        <f ca="1">IF($BI32&lt;&gt;"",IF('Capacity summary'!$D$14="Yes",IF(COUNTBLANK('Capacity summary'!$H151:$BG151)&lt;52,IF('Capacity summary'!BD151&lt;&gt;"",IF(LOWER('Capacity summary'!BD151)="x",$BI32*BD32,VALUE('Capacity summary'!BD151)),0),BD32*$BI32),BD32*$BI32),0)</f>
        <v>19.23076923076923</v>
      </c>
      <c r="DH32" s="311">
        <f ca="1">IF($BI32&lt;&gt;"",IF('Capacity summary'!$D$14="Yes",IF(COUNTBLANK('Capacity summary'!$H151:$BG151)&lt;52,IF('Capacity summary'!BE151&lt;&gt;"",IF(LOWER('Capacity summary'!BE151)="x",$BI32*BE32,VALUE('Capacity summary'!BE151)),0),BE32*$BI32),BE32*$BI32),0)</f>
        <v>19.23076923076923</v>
      </c>
      <c r="DI32" s="311">
        <f ca="1">IF($BI32&lt;&gt;"",IF('Capacity summary'!$D$14="Yes",IF(COUNTBLANK('Capacity summary'!$H151:$BG151)&lt;52,IF('Capacity summary'!BF151&lt;&gt;"",IF(LOWER('Capacity summary'!BF151)="x",$BI32*BF32,VALUE('Capacity summary'!BF151)),0),BF32*$BI32),BF32*$BI32),0)</f>
        <v>19.23076923076923</v>
      </c>
      <c r="DJ32" s="311">
        <f ca="1">IF($BI32&lt;&gt;"",IF('Capacity summary'!$D$14="Yes",IF(COUNTBLANK('Capacity summary'!$H151:$BG151)&lt;52,IF('Capacity summary'!BG151&lt;&gt;"",IF(LOWER('Capacity summary'!BG151)="x",$BI32*BG32,VALUE('Capacity summary'!BG151)),0),BG32*$BI32),BG32*$BI32),0)</f>
        <v>19.23076923076923</v>
      </c>
      <c r="DK32" s="388">
        <f t="shared" ca="1" si="2"/>
        <v>19.23076923076923</v>
      </c>
      <c r="DL32" s="136">
        <f t="shared" ca="1" si="3"/>
        <v>1000.0000000000013</v>
      </c>
      <c r="DM32" s="311">
        <f>Capacity!H44</f>
        <v>1000</v>
      </c>
      <c r="DQ32" s="5"/>
    </row>
    <row r="33" spans="1:121" x14ac:dyDescent="0.2">
      <c r="A33" s="67">
        <f>IF(Capacity!L45='Capacity summary'!BI152,1,0)</f>
        <v>1</v>
      </c>
      <c r="B33" s="67">
        <f>IF(Capacity!V45='Capacity summary'!BI52,1,0)</f>
        <v>1</v>
      </c>
      <c r="C33" s="67" t="str">
        <f>ROW(A29)&amp;". "&amp;Capacity!B45</f>
        <v>29. 2 ww</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 ca="1">IF(ROW(C29)&lt;=Capacity!$A$16,IF('Capacity summary'!$D$14="No",SUM(H33:BG33),'Capacity summary'!$E152),0)</f>
        <v>52</v>
      </c>
      <c r="BI33" s="5">
        <f ca="1">IF(BH33&gt;0,IF(BH33&lt;Capacity!E45,Capacity!F45,Capacity!H45/'Capacity calculation (hide)'!BH33),"")</f>
        <v>76.92307692307692</v>
      </c>
      <c r="BK33" s="311">
        <f ca="1">IF($BI33&lt;&gt;"",IF('Capacity summary'!$D$14="Yes",IF(COUNTBLANK('Capacity summary'!$H152:$BG152)&lt;52,IF('Capacity summary'!H152&lt;&gt;"",IF(LOWER('Capacity summary'!H152)="x",$BI33*H33,VALUE('Capacity summary'!H152)),0),H33*$BI33),H33*$BI33),0)</f>
        <v>76.92307692307692</v>
      </c>
      <c r="BL33" s="311">
        <f ca="1">IF($BI33&lt;&gt;"",IF('Capacity summary'!$D$14="Yes",IF(COUNTBLANK('Capacity summary'!$H152:$BG152)&lt;52,IF('Capacity summary'!I152&lt;&gt;"",IF(LOWER('Capacity summary'!I152)="x",$BI33*I33,VALUE('Capacity summary'!I152)),0),I33*$BI33),I33*$BI33),0)</f>
        <v>76.92307692307692</v>
      </c>
      <c r="BM33" s="311">
        <f ca="1">IF($BI33&lt;&gt;"",IF('Capacity summary'!$D$14="Yes",IF(COUNTBLANK('Capacity summary'!$H152:$BG152)&lt;52,IF('Capacity summary'!J152&lt;&gt;"",IF(LOWER('Capacity summary'!J152)="x",$BI33*J33,VALUE('Capacity summary'!J152)),0),J33*$BI33),J33*$BI33),0)</f>
        <v>76.92307692307692</v>
      </c>
      <c r="BN33" s="311">
        <f ca="1">IF($BI33&lt;&gt;"",IF('Capacity summary'!$D$14="Yes",IF(COUNTBLANK('Capacity summary'!$H152:$BG152)&lt;52,IF('Capacity summary'!K152&lt;&gt;"",IF(LOWER('Capacity summary'!K152)="x",$BI33*K33,VALUE('Capacity summary'!K152)),0),K33*$BI33),K33*$BI33),0)</f>
        <v>76.92307692307692</v>
      </c>
      <c r="BO33" s="311">
        <f ca="1">IF($BI33&lt;&gt;"",IF('Capacity summary'!$D$14="Yes",IF(COUNTBLANK('Capacity summary'!$H152:$BG152)&lt;52,IF('Capacity summary'!L152&lt;&gt;"",IF(LOWER('Capacity summary'!L152)="x",$BI33*L33,VALUE('Capacity summary'!L152)),0),L33*$BI33),L33*$BI33),0)</f>
        <v>76.92307692307692</v>
      </c>
      <c r="BP33" s="311">
        <f ca="1">IF($BI33&lt;&gt;"",IF('Capacity summary'!$D$14="Yes",IF(COUNTBLANK('Capacity summary'!$H152:$BG152)&lt;52,IF('Capacity summary'!M152&lt;&gt;"",IF(LOWER('Capacity summary'!M152)="x",$BI33*M33,VALUE('Capacity summary'!M152)),0),M33*$BI33),M33*$BI33),0)</f>
        <v>76.92307692307692</v>
      </c>
      <c r="BQ33" s="311">
        <f ca="1">IF($BI33&lt;&gt;"",IF('Capacity summary'!$D$14="Yes",IF(COUNTBLANK('Capacity summary'!$H152:$BG152)&lt;52,IF('Capacity summary'!N152&lt;&gt;"",IF(LOWER('Capacity summary'!N152)="x",$BI33*N33,VALUE('Capacity summary'!N152)),0),N33*$BI33),N33*$BI33),0)</f>
        <v>76.92307692307692</v>
      </c>
      <c r="BR33" s="311">
        <f ca="1">IF($BI33&lt;&gt;"",IF('Capacity summary'!$D$14="Yes",IF(COUNTBLANK('Capacity summary'!$H152:$BG152)&lt;52,IF('Capacity summary'!O152&lt;&gt;"",IF(LOWER('Capacity summary'!O152)="x",$BI33*O33,VALUE('Capacity summary'!O152)),0),O33*$BI33),O33*$BI33),0)</f>
        <v>76.92307692307692</v>
      </c>
      <c r="BS33" s="311">
        <f ca="1">IF($BI33&lt;&gt;"",IF('Capacity summary'!$D$14="Yes",IF(COUNTBLANK('Capacity summary'!$H152:$BG152)&lt;52,IF('Capacity summary'!P152&lt;&gt;"",IF(LOWER('Capacity summary'!P152)="x",$BI33*P33,VALUE('Capacity summary'!P152)),0),P33*$BI33),P33*$BI33),0)</f>
        <v>76.92307692307692</v>
      </c>
      <c r="BT33" s="311">
        <f ca="1">IF($BI33&lt;&gt;"",IF('Capacity summary'!$D$14="Yes",IF(COUNTBLANK('Capacity summary'!$H152:$BG152)&lt;52,IF('Capacity summary'!Q152&lt;&gt;"",IF(LOWER('Capacity summary'!Q152)="x",$BI33*Q33,VALUE('Capacity summary'!Q152)),0),Q33*$BI33),Q33*$BI33),0)</f>
        <v>76.92307692307692</v>
      </c>
      <c r="BU33" s="311">
        <f ca="1">IF($BI33&lt;&gt;"",IF('Capacity summary'!$D$14="Yes",IF(COUNTBLANK('Capacity summary'!$H152:$BG152)&lt;52,IF('Capacity summary'!R152&lt;&gt;"",IF(LOWER('Capacity summary'!R152)="x",$BI33*R33,VALUE('Capacity summary'!R152)),0),R33*$BI33),R33*$BI33),0)</f>
        <v>76.92307692307692</v>
      </c>
      <c r="BV33" s="311">
        <f ca="1">IF($BI33&lt;&gt;"",IF('Capacity summary'!$D$14="Yes",IF(COUNTBLANK('Capacity summary'!$H152:$BG152)&lt;52,IF('Capacity summary'!S152&lt;&gt;"",IF(LOWER('Capacity summary'!S152)="x",$BI33*S33,VALUE('Capacity summary'!S152)),0),S33*$BI33),S33*$BI33),0)</f>
        <v>76.92307692307692</v>
      </c>
      <c r="BW33" s="311">
        <f ca="1">IF($BI33&lt;&gt;"",IF('Capacity summary'!$D$14="Yes",IF(COUNTBLANK('Capacity summary'!$H152:$BG152)&lt;52,IF('Capacity summary'!T152&lt;&gt;"",IF(LOWER('Capacity summary'!T152)="x",$BI33*T33,VALUE('Capacity summary'!T152)),0),T33*$BI33),T33*$BI33),0)</f>
        <v>76.92307692307692</v>
      </c>
      <c r="BX33" s="311">
        <f ca="1">IF($BI33&lt;&gt;"",IF('Capacity summary'!$D$14="Yes",IF(COUNTBLANK('Capacity summary'!$H152:$BG152)&lt;52,IF('Capacity summary'!U152&lt;&gt;"",IF(LOWER('Capacity summary'!U152)="x",$BI33*U33,VALUE('Capacity summary'!U152)),0),U33*$BI33),U33*$BI33),0)</f>
        <v>76.92307692307692</v>
      </c>
      <c r="BY33" s="311">
        <f ca="1">IF($BI33&lt;&gt;"",IF('Capacity summary'!$D$14="Yes",IF(COUNTBLANK('Capacity summary'!$H152:$BG152)&lt;52,IF('Capacity summary'!V152&lt;&gt;"",IF(LOWER('Capacity summary'!V152)="x",$BI33*V33,VALUE('Capacity summary'!V152)),0),V33*$BI33),V33*$BI33),0)</f>
        <v>76.92307692307692</v>
      </c>
      <c r="BZ33" s="311">
        <f ca="1">IF($BI33&lt;&gt;"",IF('Capacity summary'!$D$14="Yes",IF(COUNTBLANK('Capacity summary'!$H152:$BG152)&lt;52,IF('Capacity summary'!W152&lt;&gt;"",IF(LOWER('Capacity summary'!W152)="x",$BI33*W33,VALUE('Capacity summary'!W152)),0),W33*$BI33),W33*$BI33),0)</f>
        <v>76.92307692307692</v>
      </c>
      <c r="CA33" s="311">
        <f ca="1">IF($BI33&lt;&gt;"",IF('Capacity summary'!$D$14="Yes",IF(COUNTBLANK('Capacity summary'!$H152:$BG152)&lt;52,IF('Capacity summary'!X152&lt;&gt;"",IF(LOWER('Capacity summary'!X152)="x",$BI33*X33,VALUE('Capacity summary'!X152)),0),X33*$BI33),X33*$BI33),0)</f>
        <v>76.92307692307692</v>
      </c>
      <c r="CB33" s="311">
        <f ca="1">IF($BI33&lt;&gt;"",IF('Capacity summary'!$D$14="Yes",IF(COUNTBLANK('Capacity summary'!$H152:$BG152)&lt;52,IF('Capacity summary'!Y152&lt;&gt;"",IF(LOWER('Capacity summary'!Y152)="x",$BI33*Y33,VALUE('Capacity summary'!Y152)),0),Y33*$BI33),Y33*$BI33),0)</f>
        <v>76.92307692307692</v>
      </c>
      <c r="CC33" s="311">
        <f ca="1">IF($BI33&lt;&gt;"",IF('Capacity summary'!$D$14="Yes",IF(COUNTBLANK('Capacity summary'!$H152:$BG152)&lt;52,IF('Capacity summary'!Z152&lt;&gt;"",IF(LOWER('Capacity summary'!Z152)="x",$BI33*Z33,VALUE('Capacity summary'!Z152)),0),Z33*$BI33),Z33*$BI33),0)</f>
        <v>76.92307692307692</v>
      </c>
      <c r="CD33" s="311">
        <f ca="1">IF($BI33&lt;&gt;"",IF('Capacity summary'!$D$14="Yes",IF(COUNTBLANK('Capacity summary'!$H152:$BG152)&lt;52,IF('Capacity summary'!AA152&lt;&gt;"",IF(LOWER('Capacity summary'!AA152)="x",$BI33*AA33,VALUE('Capacity summary'!AA152)),0),AA33*$BI33),AA33*$BI33),0)</f>
        <v>76.92307692307692</v>
      </c>
      <c r="CE33" s="311">
        <f ca="1">IF($BI33&lt;&gt;"",IF('Capacity summary'!$D$14="Yes",IF(COUNTBLANK('Capacity summary'!$H152:$BG152)&lt;52,IF('Capacity summary'!AB152&lt;&gt;"",IF(LOWER('Capacity summary'!AB152)="x",$BI33*AB33,VALUE('Capacity summary'!AB152)),0),AB33*$BI33),AB33*$BI33),0)</f>
        <v>76.92307692307692</v>
      </c>
      <c r="CF33" s="311">
        <f ca="1">IF($BI33&lt;&gt;"",IF('Capacity summary'!$D$14="Yes",IF(COUNTBLANK('Capacity summary'!$H152:$BG152)&lt;52,IF('Capacity summary'!AC152&lt;&gt;"",IF(LOWER('Capacity summary'!AC152)="x",$BI33*AC33,VALUE('Capacity summary'!AC152)),0),AC33*$BI33),AC33*$BI33),0)</f>
        <v>76.92307692307692</v>
      </c>
      <c r="CG33" s="311">
        <f ca="1">IF($BI33&lt;&gt;"",IF('Capacity summary'!$D$14="Yes",IF(COUNTBLANK('Capacity summary'!$H152:$BG152)&lt;52,IF('Capacity summary'!AD152&lt;&gt;"",IF(LOWER('Capacity summary'!AD152)="x",$BI33*AD33,VALUE('Capacity summary'!AD152)),0),AD33*$BI33),AD33*$BI33),0)</f>
        <v>76.92307692307692</v>
      </c>
      <c r="CH33" s="311">
        <f ca="1">IF($BI33&lt;&gt;"",IF('Capacity summary'!$D$14="Yes",IF(COUNTBLANK('Capacity summary'!$H152:$BG152)&lt;52,IF('Capacity summary'!AE152&lt;&gt;"",IF(LOWER('Capacity summary'!AE152)="x",$BI33*AE33,VALUE('Capacity summary'!AE152)),0),AE33*$BI33),AE33*$BI33),0)</f>
        <v>76.92307692307692</v>
      </c>
      <c r="CI33" s="311">
        <f ca="1">IF($BI33&lt;&gt;"",IF('Capacity summary'!$D$14="Yes",IF(COUNTBLANK('Capacity summary'!$H152:$BG152)&lt;52,IF('Capacity summary'!AF152&lt;&gt;"",IF(LOWER('Capacity summary'!AF152)="x",$BI33*AF33,VALUE('Capacity summary'!AF152)),0),AF33*$BI33),AF33*$BI33),0)</f>
        <v>76.92307692307692</v>
      </c>
      <c r="CJ33" s="311">
        <f ca="1">IF($BI33&lt;&gt;"",IF('Capacity summary'!$D$14="Yes",IF(COUNTBLANK('Capacity summary'!$H152:$BG152)&lt;52,IF('Capacity summary'!AG152&lt;&gt;"",IF(LOWER('Capacity summary'!AG152)="x",$BI33*AG33,VALUE('Capacity summary'!AG152)),0),AG33*$BI33),AG33*$BI33),0)</f>
        <v>76.92307692307692</v>
      </c>
      <c r="CK33" s="311">
        <f ca="1">IF($BI33&lt;&gt;"",IF('Capacity summary'!$D$14="Yes",IF(COUNTBLANK('Capacity summary'!$H152:$BG152)&lt;52,IF('Capacity summary'!AH152&lt;&gt;"",IF(LOWER('Capacity summary'!AH152)="x",$BI33*AH33,VALUE('Capacity summary'!AH152)),0),AH33*$BI33),AH33*$BI33),0)</f>
        <v>76.92307692307692</v>
      </c>
      <c r="CL33" s="311">
        <f ca="1">IF($BI33&lt;&gt;"",IF('Capacity summary'!$D$14="Yes",IF(COUNTBLANK('Capacity summary'!$H152:$BG152)&lt;52,IF('Capacity summary'!AI152&lt;&gt;"",IF(LOWER('Capacity summary'!AI152)="x",$BI33*AI33,VALUE('Capacity summary'!AI152)),0),AI33*$BI33),AI33*$BI33),0)</f>
        <v>76.92307692307692</v>
      </c>
      <c r="CM33" s="311">
        <f ca="1">IF($BI33&lt;&gt;"",IF('Capacity summary'!$D$14="Yes",IF(COUNTBLANK('Capacity summary'!$H152:$BG152)&lt;52,IF('Capacity summary'!AJ152&lt;&gt;"",IF(LOWER('Capacity summary'!AJ152)="x",$BI33*AJ33,VALUE('Capacity summary'!AJ152)),0),AJ33*$BI33),AJ33*$BI33),0)</f>
        <v>76.92307692307692</v>
      </c>
      <c r="CN33" s="311">
        <f ca="1">IF($BI33&lt;&gt;"",IF('Capacity summary'!$D$14="Yes",IF(COUNTBLANK('Capacity summary'!$H152:$BG152)&lt;52,IF('Capacity summary'!AK152&lt;&gt;"",IF(LOWER('Capacity summary'!AK152)="x",$BI33*AK33,VALUE('Capacity summary'!AK152)),0),AK33*$BI33),AK33*$BI33),0)</f>
        <v>76.92307692307692</v>
      </c>
      <c r="CO33" s="311">
        <f ca="1">IF($BI33&lt;&gt;"",IF('Capacity summary'!$D$14="Yes",IF(COUNTBLANK('Capacity summary'!$H152:$BG152)&lt;52,IF('Capacity summary'!AL152&lt;&gt;"",IF(LOWER('Capacity summary'!AL152)="x",$BI33*AL33,VALUE('Capacity summary'!AL152)),0),AL33*$BI33),AL33*$BI33),0)</f>
        <v>76.92307692307692</v>
      </c>
      <c r="CP33" s="311">
        <f ca="1">IF($BI33&lt;&gt;"",IF('Capacity summary'!$D$14="Yes",IF(COUNTBLANK('Capacity summary'!$H152:$BG152)&lt;52,IF('Capacity summary'!AM152&lt;&gt;"",IF(LOWER('Capacity summary'!AM152)="x",$BI33*AM33,VALUE('Capacity summary'!AM152)),0),AM33*$BI33),AM33*$BI33),0)</f>
        <v>76.92307692307692</v>
      </c>
      <c r="CQ33" s="311">
        <f ca="1">IF($BI33&lt;&gt;"",IF('Capacity summary'!$D$14="Yes",IF(COUNTBLANK('Capacity summary'!$H152:$BG152)&lt;52,IF('Capacity summary'!AN152&lt;&gt;"",IF(LOWER('Capacity summary'!AN152)="x",$BI33*AN33,VALUE('Capacity summary'!AN152)),0),AN33*$BI33),AN33*$BI33),0)</f>
        <v>76.92307692307692</v>
      </c>
      <c r="CR33" s="311">
        <f ca="1">IF($BI33&lt;&gt;"",IF('Capacity summary'!$D$14="Yes",IF(COUNTBLANK('Capacity summary'!$H152:$BG152)&lt;52,IF('Capacity summary'!AO152&lt;&gt;"",IF(LOWER('Capacity summary'!AO152)="x",$BI33*AO33,VALUE('Capacity summary'!AO152)),0),AO33*$BI33),AO33*$BI33),0)</f>
        <v>76.92307692307692</v>
      </c>
      <c r="CS33" s="311">
        <f ca="1">IF($BI33&lt;&gt;"",IF('Capacity summary'!$D$14="Yes",IF(COUNTBLANK('Capacity summary'!$H152:$BG152)&lt;52,IF('Capacity summary'!AP152&lt;&gt;"",IF(LOWER('Capacity summary'!AP152)="x",$BI33*AP33,VALUE('Capacity summary'!AP152)),0),AP33*$BI33),AP33*$BI33),0)</f>
        <v>76.92307692307692</v>
      </c>
      <c r="CT33" s="311">
        <f ca="1">IF($BI33&lt;&gt;"",IF('Capacity summary'!$D$14="Yes",IF(COUNTBLANK('Capacity summary'!$H152:$BG152)&lt;52,IF('Capacity summary'!AQ152&lt;&gt;"",IF(LOWER('Capacity summary'!AQ152)="x",$BI33*AQ33,VALUE('Capacity summary'!AQ152)),0),AQ33*$BI33),AQ33*$BI33),0)</f>
        <v>76.92307692307692</v>
      </c>
      <c r="CU33" s="311">
        <f ca="1">IF($BI33&lt;&gt;"",IF('Capacity summary'!$D$14="Yes",IF(COUNTBLANK('Capacity summary'!$H152:$BG152)&lt;52,IF('Capacity summary'!AR152&lt;&gt;"",IF(LOWER('Capacity summary'!AR152)="x",$BI33*AR33,VALUE('Capacity summary'!AR152)),0),AR33*$BI33),AR33*$BI33),0)</f>
        <v>76.92307692307692</v>
      </c>
      <c r="CV33" s="311">
        <f ca="1">IF($BI33&lt;&gt;"",IF('Capacity summary'!$D$14="Yes",IF(COUNTBLANK('Capacity summary'!$H152:$BG152)&lt;52,IF('Capacity summary'!AS152&lt;&gt;"",IF(LOWER('Capacity summary'!AS152)="x",$BI33*AS33,VALUE('Capacity summary'!AS152)),0),AS33*$BI33),AS33*$BI33),0)</f>
        <v>76.92307692307692</v>
      </c>
      <c r="CW33" s="311">
        <f ca="1">IF($BI33&lt;&gt;"",IF('Capacity summary'!$D$14="Yes",IF(COUNTBLANK('Capacity summary'!$H152:$BG152)&lt;52,IF('Capacity summary'!AT152&lt;&gt;"",IF(LOWER('Capacity summary'!AT152)="x",$BI33*AT33,VALUE('Capacity summary'!AT152)),0),AT33*$BI33),AT33*$BI33),0)</f>
        <v>76.92307692307692</v>
      </c>
      <c r="CX33" s="311">
        <f ca="1">IF($BI33&lt;&gt;"",IF('Capacity summary'!$D$14="Yes",IF(COUNTBLANK('Capacity summary'!$H152:$BG152)&lt;52,IF('Capacity summary'!AU152&lt;&gt;"",IF(LOWER('Capacity summary'!AU152)="x",$BI33*AU33,VALUE('Capacity summary'!AU152)),0),AU33*$BI33),AU33*$BI33),0)</f>
        <v>76.92307692307692</v>
      </c>
      <c r="CY33" s="311">
        <f ca="1">IF($BI33&lt;&gt;"",IF('Capacity summary'!$D$14="Yes",IF(COUNTBLANK('Capacity summary'!$H152:$BG152)&lt;52,IF('Capacity summary'!AV152&lt;&gt;"",IF(LOWER('Capacity summary'!AV152)="x",$BI33*AV33,VALUE('Capacity summary'!AV152)),0),AV33*$BI33),AV33*$BI33),0)</f>
        <v>76.92307692307692</v>
      </c>
      <c r="CZ33" s="311">
        <f ca="1">IF($BI33&lt;&gt;"",IF('Capacity summary'!$D$14="Yes",IF(COUNTBLANK('Capacity summary'!$H152:$BG152)&lt;52,IF('Capacity summary'!AW152&lt;&gt;"",IF(LOWER('Capacity summary'!AW152)="x",$BI33*AW33,VALUE('Capacity summary'!AW152)),0),AW33*$BI33),AW33*$BI33),0)</f>
        <v>76.92307692307692</v>
      </c>
      <c r="DA33" s="311">
        <f ca="1">IF($BI33&lt;&gt;"",IF('Capacity summary'!$D$14="Yes",IF(COUNTBLANK('Capacity summary'!$H152:$BG152)&lt;52,IF('Capacity summary'!AX152&lt;&gt;"",IF(LOWER('Capacity summary'!AX152)="x",$BI33*AX33,VALUE('Capacity summary'!AX152)),0),AX33*$BI33),AX33*$BI33),0)</f>
        <v>76.92307692307692</v>
      </c>
      <c r="DB33" s="311">
        <f ca="1">IF($BI33&lt;&gt;"",IF('Capacity summary'!$D$14="Yes",IF(COUNTBLANK('Capacity summary'!$H152:$BG152)&lt;52,IF('Capacity summary'!AY152&lt;&gt;"",IF(LOWER('Capacity summary'!AY152)="x",$BI33*AY33,VALUE('Capacity summary'!AY152)),0),AY33*$BI33),AY33*$BI33),0)</f>
        <v>76.92307692307692</v>
      </c>
      <c r="DC33" s="311">
        <f ca="1">IF($BI33&lt;&gt;"",IF('Capacity summary'!$D$14="Yes",IF(COUNTBLANK('Capacity summary'!$H152:$BG152)&lt;52,IF('Capacity summary'!AZ152&lt;&gt;"",IF(LOWER('Capacity summary'!AZ152)="x",$BI33*AZ33,VALUE('Capacity summary'!AZ152)),0),AZ33*$BI33),AZ33*$BI33),0)</f>
        <v>76.92307692307692</v>
      </c>
      <c r="DD33" s="311">
        <f ca="1">IF($BI33&lt;&gt;"",IF('Capacity summary'!$D$14="Yes",IF(COUNTBLANK('Capacity summary'!$H152:$BG152)&lt;52,IF('Capacity summary'!BA152&lt;&gt;"",IF(LOWER('Capacity summary'!BA152)="x",$BI33*BA33,VALUE('Capacity summary'!BA152)),0),BA33*$BI33),BA33*$BI33),0)</f>
        <v>76.92307692307692</v>
      </c>
      <c r="DE33" s="311">
        <f ca="1">IF($BI33&lt;&gt;"",IF('Capacity summary'!$D$14="Yes",IF(COUNTBLANK('Capacity summary'!$H152:$BG152)&lt;52,IF('Capacity summary'!BB152&lt;&gt;"",IF(LOWER('Capacity summary'!BB152)="x",$BI33*BB33,VALUE('Capacity summary'!BB152)),0),BB33*$BI33),BB33*$BI33),0)</f>
        <v>76.92307692307692</v>
      </c>
      <c r="DF33" s="311">
        <f ca="1">IF($BI33&lt;&gt;"",IF('Capacity summary'!$D$14="Yes",IF(COUNTBLANK('Capacity summary'!$H152:$BG152)&lt;52,IF('Capacity summary'!BC152&lt;&gt;"",IF(LOWER('Capacity summary'!BC152)="x",$BI33*BC33,VALUE('Capacity summary'!BC152)),0),BC33*$BI33),BC33*$BI33),0)</f>
        <v>76.92307692307692</v>
      </c>
      <c r="DG33" s="311">
        <f ca="1">IF($BI33&lt;&gt;"",IF('Capacity summary'!$D$14="Yes",IF(COUNTBLANK('Capacity summary'!$H152:$BG152)&lt;52,IF('Capacity summary'!BD152&lt;&gt;"",IF(LOWER('Capacity summary'!BD152)="x",$BI33*BD33,VALUE('Capacity summary'!BD152)),0),BD33*$BI33),BD33*$BI33),0)</f>
        <v>76.92307692307692</v>
      </c>
      <c r="DH33" s="311">
        <f ca="1">IF($BI33&lt;&gt;"",IF('Capacity summary'!$D$14="Yes",IF(COUNTBLANK('Capacity summary'!$H152:$BG152)&lt;52,IF('Capacity summary'!BE152&lt;&gt;"",IF(LOWER('Capacity summary'!BE152)="x",$BI33*BE33,VALUE('Capacity summary'!BE152)),0),BE33*$BI33),BE33*$BI33),0)</f>
        <v>76.92307692307692</v>
      </c>
      <c r="DI33" s="311">
        <f ca="1">IF($BI33&lt;&gt;"",IF('Capacity summary'!$D$14="Yes",IF(COUNTBLANK('Capacity summary'!$H152:$BG152)&lt;52,IF('Capacity summary'!BF152&lt;&gt;"",IF(LOWER('Capacity summary'!BF152)="x",$BI33*BF33,VALUE('Capacity summary'!BF152)),0),BF33*$BI33),BF33*$BI33),0)</f>
        <v>76.92307692307692</v>
      </c>
      <c r="DJ33" s="311">
        <f ca="1">IF($BI33&lt;&gt;"",IF('Capacity summary'!$D$14="Yes",IF(COUNTBLANK('Capacity summary'!$H152:$BG152)&lt;52,IF('Capacity summary'!BG152&lt;&gt;"",IF(LOWER('Capacity summary'!BG152)="x",$BI33*BG33,VALUE('Capacity summary'!BG152)),0),BG33*$BI33),BG33*$BI33),0)</f>
        <v>76.92307692307692</v>
      </c>
      <c r="DK33" s="388">
        <f t="shared" ca="1" si="2"/>
        <v>76.92307692307692</v>
      </c>
      <c r="DL33" s="136">
        <f t="shared" ca="1" si="3"/>
        <v>4000.000000000005</v>
      </c>
      <c r="DM33" s="311">
        <f>Capacity!H45</f>
        <v>4000</v>
      </c>
      <c r="DQ33" s="5"/>
    </row>
    <row r="34" spans="1:121" x14ac:dyDescent="0.2">
      <c r="A34" s="67">
        <f>IF(Capacity!L46='Capacity summary'!BI153,1,0)</f>
        <v>1</v>
      </c>
      <c r="B34" s="67">
        <f>IF(Capacity!V46='Capacity summary'!BI53,1,0)</f>
        <v>1</v>
      </c>
      <c r="C34" s="67" t="str">
        <f>ROW(A30)&amp;". "&amp;Capacity!B46</f>
        <v>30. Slot A</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 ca="1">IF(ROW(C30)&lt;=Capacity!$A$16,IF('Capacity summary'!$D$14="No",SUM(H34:BG34),'Capacity summary'!$E153),0)</f>
        <v>52</v>
      </c>
      <c r="BI34" s="5">
        <f ca="1">IF(BH34&gt;0,IF(BH34&lt;Capacity!E46,Capacity!F46,Capacity!H46/'Capacity calculation (hide)'!BH34),"")</f>
        <v>76.92307692307692</v>
      </c>
      <c r="BK34" s="311">
        <f ca="1">IF($BI34&lt;&gt;"",IF('Capacity summary'!$D$14="Yes",IF(COUNTBLANK('Capacity summary'!$H153:$BG153)&lt;52,IF('Capacity summary'!H153&lt;&gt;"",IF(LOWER('Capacity summary'!H153)="x",$BI34*H34,VALUE('Capacity summary'!H153)),0),H34*$BI34),H34*$BI34),0)</f>
        <v>76.92307692307692</v>
      </c>
      <c r="BL34" s="311">
        <f ca="1">IF($BI34&lt;&gt;"",IF('Capacity summary'!$D$14="Yes",IF(COUNTBLANK('Capacity summary'!$H153:$BG153)&lt;52,IF('Capacity summary'!I153&lt;&gt;"",IF(LOWER('Capacity summary'!I153)="x",$BI34*I34,VALUE('Capacity summary'!I153)),0),I34*$BI34),I34*$BI34),0)</f>
        <v>76.92307692307692</v>
      </c>
      <c r="BM34" s="311">
        <f ca="1">IF($BI34&lt;&gt;"",IF('Capacity summary'!$D$14="Yes",IF(COUNTBLANK('Capacity summary'!$H153:$BG153)&lt;52,IF('Capacity summary'!J153&lt;&gt;"",IF(LOWER('Capacity summary'!J153)="x",$BI34*J34,VALUE('Capacity summary'!J153)),0),J34*$BI34),J34*$BI34),0)</f>
        <v>76.92307692307692</v>
      </c>
      <c r="BN34" s="311">
        <f ca="1">IF($BI34&lt;&gt;"",IF('Capacity summary'!$D$14="Yes",IF(COUNTBLANK('Capacity summary'!$H153:$BG153)&lt;52,IF('Capacity summary'!K153&lt;&gt;"",IF(LOWER('Capacity summary'!K153)="x",$BI34*K34,VALUE('Capacity summary'!K153)),0),K34*$BI34),K34*$BI34),0)</f>
        <v>76.92307692307692</v>
      </c>
      <c r="BO34" s="311">
        <f ca="1">IF($BI34&lt;&gt;"",IF('Capacity summary'!$D$14="Yes",IF(COUNTBLANK('Capacity summary'!$H153:$BG153)&lt;52,IF('Capacity summary'!L153&lt;&gt;"",IF(LOWER('Capacity summary'!L153)="x",$BI34*L34,VALUE('Capacity summary'!L153)),0),L34*$BI34),L34*$BI34),0)</f>
        <v>76.92307692307692</v>
      </c>
      <c r="BP34" s="311">
        <f ca="1">IF($BI34&lt;&gt;"",IF('Capacity summary'!$D$14="Yes",IF(COUNTBLANK('Capacity summary'!$H153:$BG153)&lt;52,IF('Capacity summary'!M153&lt;&gt;"",IF(LOWER('Capacity summary'!M153)="x",$BI34*M34,VALUE('Capacity summary'!M153)),0),M34*$BI34),M34*$BI34),0)</f>
        <v>76.92307692307692</v>
      </c>
      <c r="BQ34" s="311">
        <f ca="1">IF($BI34&lt;&gt;"",IF('Capacity summary'!$D$14="Yes",IF(COUNTBLANK('Capacity summary'!$H153:$BG153)&lt;52,IF('Capacity summary'!N153&lt;&gt;"",IF(LOWER('Capacity summary'!N153)="x",$BI34*N34,VALUE('Capacity summary'!N153)),0),N34*$BI34),N34*$BI34),0)</f>
        <v>76.92307692307692</v>
      </c>
      <c r="BR34" s="311">
        <f ca="1">IF($BI34&lt;&gt;"",IF('Capacity summary'!$D$14="Yes",IF(COUNTBLANK('Capacity summary'!$H153:$BG153)&lt;52,IF('Capacity summary'!O153&lt;&gt;"",IF(LOWER('Capacity summary'!O153)="x",$BI34*O34,VALUE('Capacity summary'!O153)),0),O34*$BI34),O34*$BI34),0)</f>
        <v>76.92307692307692</v>
      </c>
      <c r="BS34" s="311">
        <f ca="1">IF($BI34&lt;&gt;"",IF('Capacity summary'!$D$14="Yes",IF(COUNTBLANK('Capacity summary'!$H153:$BG153)&lt;52,IF('Capacity summary'!P153&lt;&gt;"",IF(LOWER('Capacity summary'!P153)="x",$BI34*P34,VALUE('Capacity summary'!P153)),0),P34*$BI34),P34*$BI34),0)</f>
        <v>76.92307692307692</v>
      </c>
      <c r="BT34" s="311">
        <f ca="1">IF($BI34&lt;&gt;"",IF('Capacity summary'!$D$14="Yes",IF(COUNTBLANK('Capacity summary'!$H153:$BG153)&lt;52,IF('Capacity summary'!Q153&lt;&gt;"",IF(LOWER('Capacity summary'!Q153)="x",$BI34*Q34,VALUE('Capacity summary'!Q153)),0),Q34*$BI34),Q34*$BI34),0)</f>
        <v>76.92307692307692</v>
      </c>
      <c r="BU34" s="311">
        <f ca="1">IF($BI34&lt;&gt;"",IF('Capacity summary'!$D$14="Yes",IF(COUNTBLANK('Capacity summary'!$H153:$BG153)&lt;52,IF('Capacity summary'!R153&lt;&gt;"",IF(LOWER('Capacity summary'!R153)="x",$BI34*R34,VALUE('Capacity summary'!R153)),0),R34*$BI34),R34*$BI34),0)</f>
        <v>76.92307692307692</v>
      </c>
      <c r="BV34" s="311">
        <f ca="1">IF($BI34&lt;&gt;"",IF('Capacity summary'!$D$14="Yes",IF(COUNTBLANK('Capacity summary'!$H153:$BG153)&lt;52,IF('Capacity summary'!S153&lt;&gt;"",IF(LOWER('Capacity summary'!S153)="x",$BI34*S34,VALUE('Capacity summary'!S153)),0),S34*$BI34),S34*$BI34),0)</f>
        <v>76.92307692307692</v>
      </c>
      <c r="BW34" s="311">
        <f ca="1">IF($BI34&lt;&gt;"",IF('Capacity summary'!$D$14="Yes",IF(COUNTBLANK('Capacity summary'!$H153:$BG153)&lt;52,IF('Capacity summary'!T153&lt;&gt;"",IF(LOWER('Capacity summary'!T153)="x",$BI34*T34,VALUE('Capacity summary'!T153)),0),T34*$BI34),T34*$BI34),0)</f>
        <v>76.92307692307692</v>
      </c>
      <c r="BX34" s="311">
        <f ca="1">IF($BI34&lt;&gt;"",IF('Capacity summary'!$D$14="Yes",IF(COUNTBLANK('Capacity summary'!$H153:$BG153)&lt;52,IF('Capacity summary'!U153&lt;&gt;"",IF(LOWER('Capacity summary'!U153)="x",$BI34*U34,VALUE('Capacity summary'!U153)),0),U34*$BI34),U34*$BI34),0)</f>
        <v>76.92307692307692</v>
      </c>
      <c r="BY34" s="311">
        <f ca="1">IF($BI34&lt;&gt;"",IF('Capacity summary'!$D$14="Yes",IF(COUNTBLANK('Capacity summary'!$H153:$BG153)&lt;52,IF('Capacity summary'!V153&lt;&gt;"",IF(LOWER('Capacity summary'!V153)="x",$BI34*V34,VALUE('Capacity summary'!V153)),0),V34*$BI34),V34*$BI34),0)</f>
        <v>76.92307692307692</v>
      </c>
      <c r="BZ34" s="311">
        <f ca="1">IF($BI34&lt;&gt;"",IF('Capacity summary'!$D$14="Yes",IF(COUNTBLANK('Capacity summary'!$H153:$BG153)&lt;52,IF('Capacity summary'!W153&lt;&gt;"",IF(LOWER('Capacity summary'!W153)="x",$BI34*W34,VALUE('Capacity summary'!W153)),0),W34*$BI34),W34*$BI34),0)</f>
        <v>76.92307692307692</v>
      </c>
      <c r="CA34" s="311">
        <f ca="1">IF($BI34&lt;&gt;"",IF('Capacity summary'!$D$14="Yes",IF(COUNTBLANK('Capacity summary'!$H153:$BG153)&lt;52,IF('Capacity summary'!X153&lt;&gt;"",IF(LOWER('Capacity summary'!X153)="x",$BI34*X34,VALUE('Capacity summary'!X153)),0),X34*$BI34),X34*$BI34),0)</f>
        <v>76.92307692307692</v>
      </c>
      <c r="CB34" s="311">
        <f ca="1">IF($BI34&lt;&gt;"",IF('Capacity summary'!$D$14="Yes",IF(COUNTBLANK('Capacity summary'!$H153:$BG153)&lt;52,IF('Capacity summary'!Y153&lt;&gt;"",IF(LOWER('Capacity summary'!Y153)="x",$BI34*Y34,VALUE('Capacity summary'!Y153)),0),Y34*$BI34),Y34*$BI34),0)</f>
        <v>76.92307692307692</v>
      </c>
      <c r="CC34" s="311">
        <f ca="1">IF($BI34&lt;&gt;"",IF('Capacity summary'!$D$14="Yes",IF(COUNTBLANK('Capacity summary'!$H153:$BG153)&lt;52,IF('Capacity summary'!Z153&lt;&gt;"",IF(LOWER('Capacity summary'!Z153)="x",$BI34*Z34,VALUE('Capacity summary'!Z153)),0),Z34*$BI34),Z34*$BI34),0)</f>
        <v>76.92307692307692</v>
      </c>
      <c r="CD34" s="311">
        <f ca="1">IF($BI34&lt;&gt;"",IF('Capacity summary'!$D$14="Yes",IF(COUNTBLANK('Capacity summary'!$H153:$BG153)&lt;52,IF('Capacity summary'!AA153&lt;&gt;"",IF(LOWER('Capacity summary'!AA153)="x",$BI34*AA34,VALUE('Capacity summary'!AA153)),0),AA34*$BI34),AA34*$BI34),0)</f>
        <v>76.92307692307692</v>
      </c>
      <c r="CE34" s="311">
        <f ca="1">IF($BI34&lt;&gt;"",IF('Capacity summary'!$D$14="Yes",IF(COUNTBLANK('Capacity summary'!$H153:$BG153)&lt;52,IF('Capacity summary'!AB153&lt;&gt;"",IF(LOWER('Capacity summary'!AB153)="x",$BI34*AB34,VALUE('Capacity summary'!AB153)),0),AB34*$BI34),AB34*$BI34),0)</f>
        <v>76.92307692307692</v>
      </c>
      <c r="CF34" s="311">
        <f ca="1">IF($BI34&lt;&gt;"",IF('Capacity summary'!$D$14="Yes",IF(COUNTBLANK('Capacity summary'!$H153:$BG153)&lt;52,IF('Capacity summary'!AC153&lt;&gt;"",IF(LOWER('Capacity summary'!AC153)="x",$BI34*AC34,VALUE('Capacity summary'!AC153)),0),AC34*$BI34),AC34*$BI34),0)</f>
        <v>76.92307692307692</v>
      </c>
      <c r="CG34" s="311">
        <f ca="1">IF($BI34&lt;&gt;"",IF('Capacity summary'!$D$14="Yes",IF(COUNTBLANK('Capacity summary'!$H153:$BG153)&lt;52,IF('Capacity summary'!AD153&lt;&gt;"",IF(LOWER('Capacity summary'!AD153)="x",$BI34*AD34,VALUE('Capacity summary'!AD153)),0),AD34*$BI34),AD34*$BI34),0)</f>
        <v>76.92307692307692</v>
      </c>
      <c r="CH34" s="311">
        <f ca="1">IF($BI34&lt;&gt;"",IF('Capacity summary'!$D$14="Yes",IF(COUNTBLANK('Capacity summary'!$H153:$BG153)&lt;52,IF('Capacity summary'!AE153&lt;&gt;"",IF(LOWER('Capacity summary'!AE153)="x",$BI34*AE34,VALUE('Capacity summary'!AE153)),0),AE34*$BI34),AE34*$BI34),0)</f>
        <v>76.92307692307692</v>
      </c>
      <c r="CI34" s="311">
        <f ca="1">IF($BI34&lt;&gt;"",IF('Capacity summary'!$D$14="Yes",IF(COUNTBLANK('Capacity summary'!$H153:$BG153)&lt;52,IF('Capacity summary'!AF153&lt;&gt;"",IF(LOWER('Capacity summary'!AF153)="x",$BI34*AF34,VALUE('Capacity summary'!AF153)),0),AF34*$BI34),AF34*$BI34),0)</f>
        <v>76.92307692307692</v>
      </c>
      <c r="CJ34" s="311">
        <f ca="1">IF($BI34&lt;&gt;"",IF('Capacity summary'!$D$14="Yes",IF(COUNTBLANK('Capacity summary'!$H153:$BG153)&lt;52,IF('Capacity summary'!AG153&lt;&gt;"",IF(LOWER('Capacity summary'!AG153)="x",$BI34*AG34,VALUE('Capacity summary'!AG153)),0),AG34*$BI34),AG34*$BI34),0)</f>
        <v>76.92307692307692</v>
      </c>
      <c r="CK34" s="311">
        <f ca="1">IF($BI34&lt;&gt;"",IF('Capacity summary'!$D$14="Yes",IF(COUNTBLANK('Capacity summary'!$H153:$BG153)&lt;52,IF('Capacity summary'!AH153&lt;&gt;"",IF(LOWER('Capacity summary'!AH153)="x",$BI34*AH34,VALUE('Capacity summary'!AH153)),0),AH34*$BI34),AH34*$BI34),0)</f>
        <v>76.92307692307692</v>
      </c>
      <c r="CL34" s="311">
        <f ca="1">IF($BI34&lt;&gt;"",IF('Capacity summary'!$D$14="Yes",IF(COUNTBLANK('Capacity summary'!$H153:$BG153)&lt;52,IF('Capacity summary'!AI153&lt;&gt;"",IF(LOWER('Capacity summary'!AI153)="x",$BI34*AI34,VALUE('Capacity summary'!AI153)),0),AI34*$BI34),AI34*$BI34),0)</f>
        <v>76.92307692307692</v>
      </c>
      <c r="CM34" s="311">
        <f ca="1">IF($BI34&lt;&gt;"",IF('Capacity summary'!$D$14="Yes",IF(COUNTBLANK('Capacity summary'!$H153:$BG153)&lt;52,IF('Capacity summary'!AJ153&lt;&gt;"",IF(LOWER('Capacity summary'!AJ153)="x",$BI34*AJ34,VALUE('Capacity summary'!AJ153)),0),AJ34*$BI34),AJ34*$BI34),0)</f>
        <v>76.92307692307692</v>
      </c>
      <c r="CN34" s="311">
        <f ca="1">IF($BI34&lt;&gt;"",IF('Capacity summary'!$D$14="Yes",IF(COUNTBLANK('Capacity summary'!$H153:$BG153)&lt;52,IF('Capacity summary'!AK153&lt;&gt;"",IF(LOWER('Capacity summary'!AK153)="x",$BI34*AK34,VALUE('Capacity summary'!AK153)),0),AK34*$BI34),AK34*$BI34),0)</f>
        <v>76.92307692307692</v>
      </c>
      <c r="CO34" s="311">
        <f ca="1">IF($BI34&lt;&gt;"",IF('Capacity summary'!$D$14="Yes",IF(COUNTBLANK('Capacity summary'!$H153:$BG153)&lt;52,IF('Capacity summary'!AL153&lt;&gt;"",IF(LOWER('Capacity summary'!AL153)="x",$BI34*AL34,VALUE('Capacity summary'!AL153)),0),AL34*$BI34),AL34*$BI34),0)</f>
        <v>76.92307692307692</v>
      </c>
      <c r="CP34" s="311">
        <f ca="1">IF($BI34&lt;&gt;"",IF('Capacity summary'!$D$14="Yes",IF(COUNTBLANK('Capacity summary'!$H153:$BG153)&lt;52,IF('Capacity summary'!AM153&lt;&gt;"",IF(LOWER('Capacity summary'!AM153)="x",$BI34*AM34,VALUE('Capacity summary'!AM153)),0),AM34*$BI34),AM34*$BI34),0)</f>
        <v>76.92307692307692</v>
      </c>
      <c r="CQ34" s="311">
        <f ca="1">IF($BI34&lt;&gt;"",IF('Capacity summary'!$D$14="Yes",IF(COUNTBLANK('Capacity summary'!$H153:$BG153)&lt;52,IF('Capacity summary'!AN153&lt;&gt;"",IF(LOWER('Capacity summary'!AN153)="x",$BI34*AN34,VALUE('Capacity summary'!AN153)),0),AN34*$BI34),AN34*$BI34),0)</f>
        <v>76.92307692307692</v>
      </c>
      <c r="CR34" s="311">
        <f ca="1">IF($BI34&lt;&gt;"",IF('Capacity summary'!$D$14="Yes",IF(COUNTBLANK('Capacity summary'!$H153:$BG153)&lt;52,IF('Capacity summary'!AO153&lt;&gt;"",IF(LOWER('Capacity summary'!AO153)="x",$BI34*AO34,VALUE('Capacity summary'!AO153)),0),AO34*$BI34),AO34*$BI34),0)</f>
        <v>76.92307692307692</v>
      </c>
      <c r="CS34" s="311">
        <f ca="1">IF($BI34&lt;&gt;"",IF('Capacity summary'!$D$14="Yes",IF(COUNTBLANK('Capacity summary'!$H153:$BG153)&lt;52,IF('Capacity summary'!AP153&lt;&gt;"",IF(LOWER('Capacity summary'!AP153)="x",$BI34*AP34,VALUE('Capacity summary'!AP153)),0),AP34*$BI34),AP34*$BI34),0)</f>
        <v>76.92307692307692</v>
      </c>
      <c r="CT34" s="311">
        <f ca="1">IF($BI34&lt;&gt;"",IF('Capacity summary'!$D$14="Yes",IF(COUNTBLANK('Capacity summary'!$H153:$BG153)&lt;52,IF('Capacity summary'!AQ153&lt;&gt;"",IF(LOWER('Capacity summary'!AQ153)="x",$BI34*AQ34,VALUE('Capacity summary'!AQ153)),0),AQ34*$BI34),AQ34*$BI34),0)</f>
        <v>76.92307692307692</v>
      </c>
      <c r="CU34" s="311">
        <f ca="1">IF($BI34&lt;&gt;"",IF('Capacity summary'!$D$14="Yes",IF(COUNTBLANK('Capacity summary'!$H153:$BG153)&lt;52,IF('Capacity summary'!AR153&lt;&gt;"",IF(LOWER('Capacity summary'!AR153)="x",$BI34*AR34,VALUE('Capacity summary'!AR153)),0),AR34*$BI34),AR34*$BI34),0)</f>
        <v>76.92307692307692</v>
      </c>
      <c r="CV34" s="311">
        <f ca="1">IF($BI34&lt;&gt;"",IF('Capacity summary'!$D$14="Yes",IF(COUNTBLANK('Capacity summary'!$H153:$BG153)&lt;52,IF('Capacity summary'!AS153&lt;&gt;"",IF(LOWER('Capacity summary'!AS153)="x",$BI34*AS34,VALUE('Capacity summary'!AS153)),0),AS34*$BI34),AS34*$BI34),0)</f>
        <v>76.92307692307692</v>
      </c>
      <c r="CW34" s="311">
        <f ca="1">IF($BI34&lt;&gt;"",IF('Capacity summary'!$D$14="Yes",IF(COUNTBLANK('Capacity summary'!$H153:$BG153)&lt;52,IF('Capacity summary'!AT153&lt;&gt;"",IF(LOWER('Capacity summary'!AT153)="x",$BI34*AT34,VALUE('Capacity summary'!AT153)),0),AT34*$BI34),AT34*$BI34),0)</f>
        <v>76.92307692307692</v>
      </c>
      <c r="CX34" s="311">
        <f ca="1">IF($BI34&lt;&gt;"",IF('Capacity summary'!$D$14="Yes",IF(COUNTBLANK('Capacity summary'!$H153:$BG153)&lt;52,IF('Capacity summary'!AU153&lt;&gt;"",IF(LOWER('Capacity summary'!AU153)="x",$BI34*AU34,VALUE('Capacity summary'!AU153)),0),AU34*$BI34),AU34*$BI34),0)</f>
        <v>76.92307692307692</v>
      </c>
      <c r="CY34" s="311">
        <f ca="1">IF($BI34&lt;&gt;"",IF('Capacity summary'!$D$14="Yes",IF(COUNTBLANK('Capacity summary'!$H153:$BG153)&lt;52,IF('Capacity summary'!AV153&lt;&gt;"",IF(LOWER('Capacity summary'!AV153)="x",$BI34*AV34,VALUE('Capacity summary'!AV153)),0),AV34*$BI34),AV34*$BI34),0)</f>
        <v>76.92307692307692</v>
      </c>
      <c r="CZ34" s="311">
        <f ca="1">IF($BI34&lt;&gt;"",IF('Capacity summary'!$D$14="Yes",IF(COUNTBLANK('Capacity summary'!$H153:$BG153)&lt;52,IF('Capacity summary'!AW153&lt;&gt;"",IF(LOWER('Capacity summary'!AW153)="x",$BI34*AW34,VALUE('Capacity summary'!AW153)),0),AW34*$BI34),AW34*$BI34),0)</f>
        <v>76.92307692307692</v>
      </c>
      <c r="DA34" s="311">
        <f ca="1">IF($BI34&lt;&gt;"",IF('Capacity summary'!$D$14="Yes",IF(COUNTBLANK('Capacity summary'!$H153:$BG153)&lt;52,IF('Capacity summary'!AX153&lt;&gt;"",IF(LOWER('Capacity summary'!AX153)="x",$BI34*AX34,VALUE('Capacity summary'!AX153)),0),AX34*$BI34),AX34*$BI34),0)</f>
        <v>76.92307692307692</v>
      </c>
      <c r="DB34" s="311">
        <f ca="1">IF($BI34&lt;&gt;"",IF('Capacity summary'!$D$14="Yes",IF(COUNTBLANK('Capacity summary'!$H153:$BG153)&lt;52,IF('Capacity summary'!AY153&lt;&gt;"",IF(LOWER('Capacity summary'!AY153)="x",$BI34*AY34,VALUE('Capacity summary'!AY153)),0),AY34*$BI34),AY34*$BI34),0)</f>
        <v>76.92307692307692</v>
      </c>
      <c r="DC34" s="311">
        <f ca="1">IF($BI34&lt;&gt;"",IF('Capacity summary'!$D$14="Yes",IF(COUNTBLANK('Capacity summary'!$H153:$BG153)&lt;52,IF('Capacity summary'!AZ153&lt;&gt;"",IF(LOWER('Capacity summary'!AZ153)="x",$BI34*AZ34,VALUE('Capacity summary'!AZ153)),0),AZ34*$BI34),AZ34*$BI34),0)</f>
        <v>76.92307692307692</v>
      </c>
      <c r="DD34" s="311">
        <f ca="1">IF($BI34&lt;&gt;"",IF('Capacity summary'!$D$14="Yes",IF(COUNTBLANK('Capacity summary'!$H153:$BG153)&lt;52,IF('Capacity summary'!BA153&lt;&gt;"",IF(LOWER('Capacity summary'!BA153)="x",$BI34*BA34,VALUE('Capacity summary'!BA153)),0),BA34*$BI34),BA34*$BI34),0)</f>
        <v>76.92307692307692</v>
      </c>
      <c r="DE34" s="311">
        <f ca="1">IF($BI34&lt;&gt;"",IF('Capacity summary'!$D$14="Yes",IF(COUNTBLANK('Capacity summary'!$H153:$BG153)&lt;52,IF('Capacity summary'!BB153&lt;&gt;"",IF(LOWER('Capacity summary'!BB153)="x",$BI34*BB34,VALUE('Capacity summary'!BB153)),0),BB34*$BI34),BB34*$BI34),0)</f>
        <v>76.92307692307692</v>
      </c>
      <c r="DF34" s="311">
        <f ca="1">IF($BI34&lt;&gt;"",IF('Capacity summary'!$D$14="Yes",IF(COUNTBLANK('Capacity summary'!$H153:$BG153)&lt;52,IF('Capacity summary'!BC153&lt;&gt;"",IF(LOWER('Capacity summary'!BC153)="x",$BI34*BC34,VALUE('Capacity summary'!BC153)),0),BC34*$BI34),BC34*$BI34),0)</f>
        <v>76.92307692307692</v>
      </c>
      <c r="DG34" s="311">
        <f ca="1">IF($BI34&lt;&gt;"",IF('Capacity summary'!$D$14="Yes",IF(COUNTBLANK('Capacity summary'!$H153:$BG153)&lt;52,IF('Capacity summary'!BD153&lt;&gt;"",IF(LOWER('Capacity summary'!BD153)="x",$BI34*BD34,VALUE('Capacity summary'!BD153)),0),BD34*$BI34),BD34*$BI34),0)</f>
        <v>76.92307692307692</v>
      </c>
      <c r="DH34" s="311">
        <f ca="1">IF($BI34&lt;&gt;"",IF('Capacity summary'!$D$14="Yes",IF(COUNTBLANK('Capacity summary'!$H153:$BG153)&lt;52,IF('Capacity summary'!BE153&lt;&gt;"",IF(LOWER('Capacity summary'!BE153)="x",$BI34*BE34,VALUE('Capacity summary'!BE153)),0),BE34*$BI34),BE34*$BI34),0)</f>
        <v>76.92307692307692</v>
      </c>
      <c r="DI34" s="311">
        <f ca="1">IF($BI34&lt;&gt;"",IF('Capacity summary'!$D$14="Yes",IF(COUNTBLANK('Capacity summary'!$H153:$BG153)&lt;52,IF('Capacity summary'!BF153&lt;&gt;"",IF(LOWER('Capacity summary'!BF153)="x",$BI34*BF34,VALUE('Capacity summary'!BF153)),0),BF34*$BI34),BF34*$BI34),0)</f>
        <v>76.92307692307692</v>
      </c>
      <c r="DJ34" s="311">
        <f ca="1">IF($BI34&lt;&gt;"",IF('Capacity summary'!$D$14="Yes",IF(COUNTBLANK('Capacity summary'!$H153:$BG153)&lt;52,IF('Capacity summary'!BG153&lt;&gt;"",IF(LOWER('Capacity summary'!BG153)="x",$BI34*BG34,VALUE('Capacity summary'!BG153)),0),BG34*$BI34),BG34*$BI34),0)</f>
        <v>76.92307692307692</v>
      </c>
      <c r="DK34" s="388">
        <f t="shared" ca="1" si="2"/>
        <v>76.92307692307692</v>
      </c>
      <c r="DL34" s="136">
        <f t="shared" ca="1" si="3"/>
        <v>4000.000000000005</v>
      </c>
      <c r="DM34" s="311">
        <f>Capacity!H46</f>
        <v>4000</v>
      </c>
      <c r="DQ34" s="5"/>
    </row>
    <row r="35" spans="1:121" x14ac:dyDescent="0.2">
      <c r="A35" s="67">
        <f>IF(Capacity!L47='Capacity summary'!BI154,1,0)</f>
        <v>1</v>
      </c>
      <c r="B35" s="67">
        <f>IF(Capacity!V47='Capacity summary'!BI54,1,0)</f>
        <v>1</v>
      </c>
      <c r="C35" s="67" t="str">
        <f>ROW(A31)&amp;". "&amp;Capacity!B47</f>
        <v>31. Slot A</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 ca="1">IF(ROW(C31)&lt;=Capacity!$A$16,IF('Capacity summary'!$D$14="No",SUM(H35:BG35),'Capacity summary'!$E154),0)</f>
        <v>52</v>
      </c>
      <c r="BI35" s="5">
        <f ca="1">IF(BH35&gt;0,IF(BH35&lt;Capacity!E47,Capacity!F47,Capacity!H47/'Capacity calculation (hide)'!BH35),"")</f>
        <v>64.90384615384616</v>
      </c>
      <c r="BK35" s="311">
        <f ca="1">IF($BI35&lt;&gt;"",IF('Capacity summary'!$D$14="Yes",IF(COUNTBLANK('Capacity summary'!$H154:$BG154)&lt;52,IF('Capacity summary'!H154&lt;&gt;"",IF(LOWER('Capacity summary'!H154)="x",$BI35*H35,VALUE('Capacity summary'!H154)),0),H35*$BI35),H35*$BI35),0)</f>
        <v>64.90384615384616</v>
      </c>
      <c r="BL35" s="311">
        <f ca="1">IF($BI35&lt;&gt;"",IF('Capacity summary'!$D$14="Yes",IF(COUNTBLANK('Capacity summary'!$H154:$BG154)&lt;52,IF('Capacity summary'!I154&lt;&gt;"",IF(LOWER('Capacity summary'!I154)="x",$BI35*I35,VALUE('Capacity summary'!I154)),0),I35*$BI35),I35*$BI35),0)</f>
        <v>64.90384615384616</v>
      </c>
      <c r="BM35" s="311">
        <f ca="1">IF($BI35&lt;&gt;"",IF('Capacity summary'!$D$14="Yes",IF(COUNTBLANK('Capacity summary'!$H154:$BG154)&lt;52,IF('Capacity summary'!J154&lt;&gt;"",IF(LOWER('Capacity summary'!J154)="x",$BI35*J35,VALUE('Capacity summary'!J154)),0),J35*$BI35),J35*$BI35),0)</f>
        <v>64.90384615384616</v>
      </c>
      <c r="BN35" s="311">
        <f ca="1">IF($BI35&lt;&gt;"",IF('Capacity summary'!$D$14="Yes",IF(COUNTBLANK('Capacity summary'!$H154:$BG154)&lt;52,IF('Capacity summary'!K154&lt;&gt;"",IF(LOWER('Capacity summary'!K154)="x",$BI35*K35,VALUE('Capacity summary'!K154)),0),K35*$BI35),K35*$BI35),0)</f>
        <v>64.90384615384616</v>
      </c>
      <c r="BO35" s="311">
        <f ca="1">IF($BI35&lt;&gt;"",IF('Capacity summary'!$D$14="Yes",IF(COUNTBLANK('Capacity summary'!$H154:$BG154)&lt;52,IF('Capacity summary'!L154&lt;&gt;"",IF(LOWER('Capacity summary'!L154)="x",$BI35*L35,VALUE('Capacity summary'!L154)),0),L35*$BI35),L35*$BI35),0)</f>
        <v>64.90384615384616</v>
      </c>
      <c r="BP35" s="311">
        <f ca="1">IF($BI35&lt;&gt;"",IF('Capacity summary'!$D$14="Yes",IF(COUNTBLANK('Capacity summary'!$H154:$BG154)&lt;52,IF('Capacity summary'!M154&lt;&gt;"",IF(LOWER('Capacity summary'!M154)="x",$BI35*M35,VALUE('Capacity summary'!M154)),0),M35*$BI35),M35*$BI35),0)</f>
        <v>64.90384615384616</v>
      </c>
      <c r="BQ35" s="311">
        <f ca="1">IF($BI35&lt;&gt;"",IF('Capacity summary'!$D$14="Yes",IF(COUNTBLANK('Capacity summary'!$H154:$BG154)&lt;52,IF('Capacity summary'!N154&lt;&gt;"",IF(LOWER('Capacity summary'!N154)="x",$BI35*N35,VALUE('Capacity summary'!N154)),0),N35*$BI35),N35*$BI35),0)</f>
        <v>64.90384615384616</v>
      </c>
      <c r="BR35" s="311">
        <f ca="1">IF($BI35&lt;&gt;"",IF('Capacity summary'!$D$14="Yes",IF(COUNTBLANK('Capacity summary'!$H154:$BG154)&lt;52,IF('Capacity summary'!O154&lt;&gt;"",IF(LOWER('Capacity summary'!O154)="x",$BI35*O35,VALUE('Capacity summary'!O154)),0),O35*$BI35),O35*$BI35),0)</f>
        <v>64.90384615384616</v>
      </c>
      <c r="BS35" s="311">
        <f ca="1">IF($BI35&lt;&gt;"",IF('Capacity summary'!$D$14="Yes",IF(COUNTBLANK('Capacity summary'!$H154:$BG154)&lt;52,IF('Capacity summary'!P154&lt;&gt;"",IF(LOWER('Capacity summary'!P154)="x",$BI35*P35,VALUE('Capacity summary'!P154)),0),P35*$BI35),P35*$BI35),0)</f>
        <v>64.90384615384616</v>
      </c>
      <c r="BT35" s="311">
        <f ca="1">IF($BI35&lt;&gt;"",IF('Capacity summary'!$D$14="Yes",IF(COUNTBLANK('Capacity summary'!$H154:$BG154)&lt;52,IF('Capacity summary'!Q154&lt;&gt;"",IF(LOWER('Capacity summary'!Q154)="x",$BI35*Q35,VALUE('Capacity summary'!Q154)),0),Q35*$BI35),Q35*$BI35),0)</f>
        <v>64.90384615384616</v>
      </c>
      <c r="BU35" s="311">
        <f ca="1">IF($BI35&lt;&gt;"",IF('Capacity summary'!$D$14="Yes",IF(COUNTBLANK('Capacity summary'!$H154:$BG154)&lt;52,IF('Capacity summary'!R154&lt;&gt;"",IF(LOWER('Capacity summary'!R154)="x",$BI35*R35,VALUE('Capacity summary'!R154)),0),R35*$BI35),R35*$BI35),0)</f>
        <v>64.90384615384616</v>
      </c>
      <c r="BV35" s="311">
        <f ca="1">IF($BI35&lt;&gt;"",IF('Capacity summary'!$D$14="Yes",IF(COUNTBLANK('Capacity summary'!$H154:$BG154)&lt;52,IF('Capacity summary'!S154&lt;&gt;"",IF(LOWER('Capacity summary'!S154)="x",$BI35*S35,VALUE('Capacity summary'!S154)),0),S35*$BI35),S35*$BI35),0)</f>
        <v>64.90384615384616</v>
      </c>
      <c r="BW35" s="311">
        <f ca="1">IF($BI35&lt;&gt;"",IF('Capacity summary'!$D$14="Yes",IF(COUNTBLANK('Capacity summary'!$H154:$BG154)&lt;52,IF('Capacity summary'!T154&lt;&gt;"",IF(LOWER('Capacity summary'!T154)="x",$BI35*T35,VALUE('Capacity summary'!T154)),0),T35*$BI35),T35*$BI35),0)</f>
        <v>64.90384615384616</v>
      </c>
      <c r="BX35" s="311">
        <f ca="1">IF($BI35&lt;&gt;"",IF('Capacity summary'!$D$14="Yes",IF(COUNTBLANK('Capacity summary'!$H154:$BG154)&lt;52,IF('Capacity summary'!U154&lt;&gt;"",IF(LOWER('Capacity summary'!U154)="x",$BI35*U35,VALUE('Capacity summary'!U154)),0),U35*$BI35),U35*$BI35),0)</f>
        <v>64.90384615384616</v>
      </c>
      <c r="BY35" s="311">
        <f ca="1">IF($BI35&lt;&gt;"",IF('Capacity summary'!$D$14="Yes",IF(COUNTBLANK('Capacity summary'!$H154:$BG154)&lt;52,IF('Capacity summary'!V154&lt;&gt;"",IF(LOWER('Capacity summary'!V154)="x",$BI35*V35,VALUE('Capacity summary'!V154)),0),V35*$BI35),V35*$BI35),0)</f>
        <v>64.90384615384616</v>
      </c>
      <c r="BZ35" s="311">
        <f ca="1">IF($BI35&lt;&gt;"",IF('Capacity summary'!$D$14="Yes",IF(COUNTBLANK('Capacity summary'!$H154:$BG154)&lt;52,IF('Capacity summary'!W154&lt;&gt;"",IF(LOWER('Capacity summary'!W154)="x",$BI35*W35,VALUE('Capacity summary'!W154)),0),W35*$BI35),W35*$BI35),0)</f>
        <v>64.90384615384616</v>
      </c>
      <c r="CA35" s="311">
        <f ca="1">IF($BI35&lt;&gt;"",IF('Capacity summary'!$D$14="Yes",IF(COUNTBLANK('Capacity summary'!$H154:$BG154)&lt;52,IF('Capacity summary'!X154&lt;&gt;"",IF(LOWER('Capacity summary'!X154)="x",$BI35*X35,VALUE('Capacity summary'!X154)),0),X35*$BI35),X35*$BI35),0)</f>
        <v>64.90384615384616</v>
      </c>
      <c r="CB35" s="311">
        <f ca="1">IF($BI35&lt;&gt;"",IF('Capacity summary'!$D$14="Yes",IF(COUNTBLANK('Capacity summary'!$H154:$BG154)&lt;52,IF('Capacity summary'!Y154&lt;&gt;"",IF(LOWER('Capacity summary'!Y154)="x",$BI35*Y35,VALUE('Capacity summary'!Y154)),0),Y35*$BI35),Y35*$BI35),0)</f>
        <v>64.90384615384616</v>
      </c>
      <c r="CC35" s="311">
        <f ca="1">IF($BI35&lt;&gt;"",IF('Capacity summary'!$D$14="Yes",IF(COUNTBLANK('Capacity summary'!$H154:$BG154)&lt;52,IF('Capacity summary'!Z154&lt;&gt;"",IF(LOWER('Capacity summary'!Z154)="x",$BI35*Z35,VALUE('Capacity summary'!Z154)),0),Z35*$BI35),Z35*$BI35),0)</f>
        <v>64.90384615384616</v>
      </c>
      <c r="CD35" s="311">
        <f ca="1">IF($BI35&lt;&gt;"",IF('Capacity summary'!$D$14="Yes",IF(COUNTBLANK('Capacity summary'!$H154:$BG154)&lt;52,IF('Capacity summary'!AA154&lt;&gt;"",IF(LOWER('Capacity summary'!AA154)="x",$BI35*AA35,VALUE('Capacity summary'!AA154)),0),AA35*$BI35),AA35*$BI35),0)</f>
        <v>64.90384615384616</v>
      </c>
      <c r="CE35" s="311">
        <f ca="1">IF($BI35&lt;&gt;"",IF('Capacity summary'!$D$14="Yes",IF(COUNTBLANK('Capacity summary'!$H154:$BG154)&lt;52,IF('Capacity summary'!AB154&lt;&gt;"",IF(LOWER('Capacity summary'!AB154)="x",$BI35*AB35,VALUE('Capacity summary'!AB154)),0),AB35*$BI35),AB35*$BI35),0)</f>
        <v>64.90384615384616</v>
      </c>
      <c r="CF35" s="311">
        <f ca="1">IF($BI35&lt;&gt;"",IF('Capacity summary'!$D$14="Yes",IF(COUNTBLANK('Capacity summary'!$H154:$BG154)&lt;52,IF('Capacity summary'!AC154&lt;&gt;"",IF(LOWER('Capacity summary'!AC154)="x",$BI35*AC35,VALUE('Capacity summary'!AC154)),0),AC35*$BI35),AC35*$BI35),0)</f>
        <v>64.90384615384616</v>
      </c>
      <c r="CG35" s="311">
        <f ca="1">IF($BI35&lt;&gt;"",IF('Capacity summary'!$D$14="Yes",IF(COUNTBLANK('Capacity summary'!$H154:$BG154)&lt;52,IF('Capacity summary'!AD154&lt;&gt;"",IF(LOWER('Capacity summary'!AD154)="x",$BI35*AD35,VALUE('Capacity summary'!AD154)),0),AD35*$BI35),AD35*$BI35),0)</f>
        <v>64.90384615384616</v>
      </c>
      <c r="CH35" s="311">
        <f ca="1">IF($BI35&lt;&gt;"",IF('Capacity summary'!$D$14="Yes",IF(COUNTBLANK('Capacity summary'!$H154:$BG154)&lt;52,IF('Capacity summary'!AE154&lt;&gt;"",IF(LOWER('Capacity summary'!AE154)="x",$BI35*AE35,VALUE('Capacity summary'!AE154)),0),AE35*$BI35),AE35*$BI35),0)</f>
        <v>64.90384615384616</v>
      </c>
      <c r="CI35" s="311">
        <f ca="1">IF($BI35&lt;&gt;"",IF('Capacity summary'!$D$14="Yes",IF(COUNTBLANK('Capacity summary'!$H154:$BG154)&lt;52,IF('Capacity summary'!AF154&lt;&gt;"",IF(LOWER('Capacity summary'!AF154)="x",$BI35*AF35,VALUE('Capacity summary'!AF154)),0),AF35*$BI35),AF35*$BI35),0)</f>
        <v>64.90384615384616</v>
      </c>
      <c r="CJ35" s="311">
        <f ca="1">IF($BI35&lt;&gt;"",IF('Capacity summary'!$D$14="Yes",IF(COUNTBLANK('Capacity summary'!$H154:$BG154)&lt;52,IF('Capacity summary'!AG154&lt;&gt;"",IF(LOWER('Capacity summary'!AG154)="x",$BI35*AG35,VALUE('Capacity summary'!AG154)),0),AG35*$BI35),AG35*$BI35),0)</f>
        <v>64.90384615384616</v>
      </c>
      <c r="CK35" s="311">
        <f ca="1">IF($BI35&lt;&gt;"",IF('Capacity summary'!$D$14="Yes",IF(COUNTBLANK('Capacity summary'!$H154:$BG154)&lt;52,IF('Capacity summary'!AH154&lt;&gt;"",IF(LOWER('Capacity summary'!AH154)="x",$BI35*AH35,VALUE('Capacity summary'!AH154)),0),AH35*$BI35),AH35*$BI35),0)</f>
        <v>64.90384615384616</v>
      </c>
      <c r="CL35" s="311">
        <f ca="1">IF($BI35&lt;&gt;"",IF('Capacity summary'!$D$14="Yes",IF(COUNTBLANK('Capacity summary'!$H154:$BG154)&lt;52,IF('Capacity summary'!AI154&lt;&gt;"",IF(LOWER('Capacity summary'!AI154)="x",$BI35*AI35,VALUE('Capacity summary'!AI154)),0),AI35*$BI35),AI35*$BI35),0)</f>
        <v>64.90384615384616</v>
      </c>
      <c r="CM35" s="311">
        <f ca="1">IF($BI35&lt;&gt;"",IF('Capacity summary'!$D$14="Yes",IF(COUNTBLANK('Capacity summary'!$H154:$BG154)&lt;52,IF('Capacity summary'!AJ154&lt;&gt;"",IF(LOWER('Capacity summary'!AJ154)="x",$BI35*AJ35,VALUE('Capacity summary'!AJ154)),0),AJ35*$BI35),AJ35*$BI35),0)</f>
        <v>64.90384615384616</v>
      </c>
      <c r="CN35" s="311">
        <f ca="1">IF($BI35&lt;&gt;"",IF('Capacity summary'!$D$14="Yes",IF(COUNTBLANK('Capacity summary'!$H154:$BG154)&lt;52,IF('Capacity summary'!AK154&lt;&gt;"",IF(LOWER('Capacity summary'!AK154)="x",$BI35*AK35,VALUE('Capacity summary'!AK154)),0),AK35*$BI35),AK35*$BI35),0)</f>
        <v>64.90384615384616</v>
      </c>
      <c r="CO35" s="311">
        <f ca="1">IF($BI35&lt;&gt;"",IF('Capacity summary'!$D$14="Yes",IF(COUNTBLANK('Capacity summary'!$H154:$BG154)&lt;52,IF('Capacity summary'!AL154&lt;&gt;"",IF(LOWER('Capacity summary'!AL154)="x",$BI35*AL35,VALUE('Capacity summary'!AL154)),0),AL35*$BI35),AL35*$BI35),0)</f>
        <v>64.90384615384616</v>
      </c>
      <c r="CP35" s="311">
        <f ca="1">IF($BI35&lt;&gt;"",IF('Capacity summary'!$D$14="Yes",IF(COUNTBLANK('Capacity summary'!$H154:$BG154)&lt;52,IF('Capacity summary'!AM154&lt;&gt;"",IF(LOWER('Capacity summary'!AM154)="x",$BI35*AM35,VALUE('Capacity summary'!AM154)),0),AM35*$BI35),AM35*$BI35),0)</f>
        <v>64.90384615384616</v>
      </c>
      <c r="CQ35" s="311">
        <f ca="1">IF($BI35&lt;&gt;"",IF('Capacity summary'!$D$14="Yes",IF(COUNTBLANK('Capacity summary'!$H154:$BG154)&lt;52,IF('Capacity summary'!AN154&lt;&gt;"",IF(LOWER('Capacity summary'!AN154)="x",$BI35*AN35,VALUE('Capacity summary'!AN154)),0),AN35*$BI35),AN35*$BI35),0)</f>
        <v>64.90384615384616</v>
      </c>
      <c r="CR35" s="311">
        <f ca="1">IF($BI35&lt;&gt;"",IF('Capacity summary'!$D$14="Yes",IF(COUNTBLANK('Capacity summary'!$H154:$BG154)&lt;52,IF('Capacity summary'!AO154&lt;&gt;"",IF(LOWER('Capacity summary'!AO154)="x",$BI35*AO35,VALUE('Capacity summary'!AO154)),0),AO35*$BI35),AO35*$BI35),0)</f>
        <v>64.90384615384616</v>
      </c>
      <c r="CS35" s="311">
        <f ca="1">IF($BI35&lt;&gt;"",IF('Capacity summary'!$D$14="Yes",IF(COUNTBLANK('Capacity summary'!$H154:$BG154)&lt;52,IF('Capacity summary'!AP154&lt;&gt;"",IF(LOWER('Capacity summary'!AP154)="x",$BI35*AP35,VALUE('Capacity summary'!AP154)),0),AP35*$BI35),AP35*$BI35),0)</f>
        <v>64.90384615384616</v>
      </c>
      <c r="CT35" s="311">
        <f ca="1">IF($BI35&lt;&gt;"",IF('Capacity summary'!$D$14="Yes",IF(COUNTBLANK('Capacity summary'!$H154:$BG154)&lt;52,IF('Capacity summary'!AQ154&lt;&gt;"",IF(LOWER('Capacity summary'!AQ154)="x",$BI35*AQ35,VALUE('Capacity summary'!AQ154)),0),AQ35*$BI35),AQ35*$BI35),0)</f>
        <v>64.90384615384616</v>
      </c>
      <c r="CU35" s="311">
        <f ca="1">IF($BI35&lt;&gt;"",IF('Capacity summary'!$D$14="Yes",IF(COUNTBLANK('Capacity summary'!$H154:$BG154)&lt;52,IF('Capacity summary'!AR154&lt;&gt;"",IF(LOWER('Capacity summary'!AR154)="x",$BI35*AR35,VALUE('Capacity summary'!AR154)),0),AR35*$BI35),AR35*$BI35),0)</f>
        <v>64.90384615384616</v>
      </c>
      <c r="CV35" s="311">
        <f ca="1">IF($BI35&lt;&gt;"",IF('Capacity summary'!$D$14="Yes",IF(COUNTBLANK('Capacity summary'!$H154:$BG154)&lt;52,IF('Capacity summary'!AS154&lt;&gt;"",IF(LOWER('Capacity summary'!AS154)="x",$BI35*AS35,VALUE('Capacity summary'!AS154)),0),AS35*$BI35),AS35*$BI35),0)</f>
        <v>64.90384615384616</v>
      </c>
      <c r="CW35" s="311">
        <f ca="1">IF($BI35&lt;&gt;"",IF('Capacity summary'!$D$14="Yes",IF(COUNTBLANK('Capacity summary'!$H154:$BG154)&lt;52,IF('Capacity summary'!AT154&lt;&gt;"",IF(LOWER('Capacity summary'!AT154)="x",$BI35*AT35,VALUE('Capacity summary'!AT154)),0),AT35*$BI35),AT35*$BI35),0)</f>
        <v>64.90384615384616</v>
      </c>
      <c r="CX35" s="311">
        <f ca="1">IF($BI35&lt;&gt;"",IF('Capacity summary'!$D$14="Yes",IF(COUNTBLANK('Capacity summary'!$H154:$BG154)&lt;52,IF('Capacity summary'!AU154&lt;&gt;"",IF(LOWER('Capacity summary'!AU154)="x",$BI35*AU35,VALUE('Capacity summary'!AU154)),0),AU35*$BI35),AU35*$BI35),0)</f>
        <v>64.90384615384616</v>
      </c>
      <c r="CY35" s="311">
        <f ca="1">IF($BI35&lt;&gt;"",IF('Capacity summary'!$D$14="Yes",IF(COUNTBLANK('Capacity summary'!$H154:$BG154)&lt;52,IF('Capacity summary'!AV154&lt;&gt;"",IF(LOWER('Capacity summary'!AV154)="x",$BI35*AV35,VALUE('Capacity summary'!AV154)),0),AV35*$BI35),AV35*$BI35),0)</f>
        <v>64.90384615384616</v>
      </c>
      <c r="CZ35" s="311">
        <f ca="1">IF($BI35&lt;&gt;"",IF('Capacity summary'!$D$14="Yes",IF(COUNTBLANK('Capacity summary'!$H154:$BG154)&lt;52,IF('Capacity summary'!AW154&lt;&gt;"",IF(LOWER('Capacity summary'!AW154)="x",$BI35*AW35,VALUE('Capacity summary'!AW154)),0),AW35*$BI35),AW35*$BI35),0)</f>
        <v>64.90384615384616</v>
      </c>
      <c r="DA35" s="311">
        <f ca="1">IF($BI35&lt;&gt;"",IF('Capacity summary'!$D$14="Yes",IF(COUNTBLANK('Capacity summary'!$H154:$BG154)&lt;52,IF('Capacity summary'!AX154&lt;&gt;"",IF(LOWER('Capacity summary'!AX154)="x",$BI35*AX35,VALUE('Capacity summary'!AX154)),0),AX35*$BI35),AX35*$BI35),0)</f>
        <v>64.90384615384616</v>
      </c>
      <c r="DB35" s="311">
        <f ca="1">IF($BI35&lt;&gt;"",IF('Capacity summary'!$D$14="Yes",IF(COUNTBLANK('Capacity summary'!$H154:$BG154)&lt;52,IF('Capacity summary'!AY154&lt;&gt;"",IF(LOWER('Capacity summary'!AY154)="x",$BI35*AY35,VALUE('Capacity summary'!AY154)),0),AY35*$BI35),AY35*$BI35),0)</f>
        <v>64.90384615384616</v>
      </c>
      <c r="DC35" s="311">
        <f ca="1">IF($BI35&lt;&gt;"",IF('Capacity summary'!$D$14="Yes",IF(COUNTBLANK('Capacity summary'!$H154:$BG154)&lt;52,IF('Capacity summary'!AZ154&lt;&gt;"",IF(LOWER('Capacity summary'!AZ154)="x",$BI35*AZ35,VALUE('Capacity summary'!AZ154)),0),AZ35*$BI35),AZ35*$BI35),0)</f>
        <v>64.90384615384616</v>
      </c>
      <c r="DD35" s="311">
        <f ca="1">IF($BI35&lt;&gt;"",IF('Capacity summary'!$D$14="Yes",IF(COUNTBLANK('Capacity summary'!$H154:$BG154)&lt;52,IF('Capacity summary'!BA154&lt;&gt;"",IF(LOWER('Capacity summary'!BA154)="x",$BI35*BA35,VALUE('Capacity summary'!BA154)),0),BA35*$BI35),BA35*$BI35),0)</f>
        <v>64.90384615384616</v>
      </c>
      <c r="DE35" s="311">
        <f ca="1">IF($BI35&lt;&gt;"",IF('Capacity summary'!$D$14="Yes",IF(COUNTBLANK('Capacity summary'!$H154:$BG154)&lt;52,IF('Capacity summary'!BB154&lt;&gt;"",IF(LOWER('Capacity summary'!BB154)="x",$BI35*BB35,VALUE('Capacity summary'!BB154)),0),BB35*$BI35),BB35*$BI35),0)</f>
        <v>64.90384615384616</v>
      </c>
      <c r="DF35" s="311">
        <f ca="1">IF($BI35&lt;&gt;"",IF('Capacity summary'!$D$14="Yes",IF(COUNTBLANK('Capacity summary'!$H154:$BG154)&lt;52,IF('Capacity summary'!BC154&lt;&gt;"",IF(LOWER('Capacity summary'!BC154)="x",$BI35*BC35,VALUE('Capacity summary'!BC154)),0),BC35*$BI35),BC35*$BI35),0)</f>
        <v>64.90384615384616</v>
      </c>
      <c r="DG35" s="311">
        <f ca="1">IF($BI35&lt;&gt;"",IF('Capacity summary'!$D$14="Yes",IF(COUNTBLANK('Capacity summary'!$H154:$BG154)&lt;52,IF('Capacity summary'!BD154&lt;&gt;"",IF(LOWER('Capacity summary'!BD154)="x",$BI35*BD35,VALUE('Capacity summary'!BD154)),0),BD35*$BI35),BD35*$BI35),0)</f>
        <v>64.90384615384616</v>
      </c>
      <c r="DH35" s="311">
        <f ca="1">IF($BI35&lt;&gt;"",IF('Capacity summary'!$D$14="Yes",IF(COUNTBLANK('Capacity summary'!$H154:$BG154)&lt;52,IF('Capacity summary'!BE154&lt;&gt;"",IF(LOWER('Capacity summary'!BE154)="x",$BI35*BE35,VALUE('Capacity summary'!BE154)),0),BE35*$BI35),BE35*$BI35),0)</f>
        <v>64.90384615384616</v>
      </c>
      <c r="DI35" s="311">
        <f ca="1">IF($BI35&lt;&gt;"",IF('Capacity summary'!$D$14="Yes",IF(COUNTBLANK('Capacity summary'!$H154:$BG154)&lt;52,IF('Capacity summary'!BF154&lt;&gt;"",IF(LOWER('Capacity summary'!BF154)="x",$BI35*BF35,VALUE('Capacity summary'!BF154)),0),BF35*$BI35),BF35*$BI35),0)</f>
        <v>64.90384615384616</v>
      </c>
      <c r="DJ35" s="311">
        <f ca="1">IF($BI35&lt;&gt;"",IF('Capacity summary'!$D$14="Yes",IF(COUNTBLANK('Capacity summary'!$H154:$BG154)&lt;52,IF('Capacity summary'!BG154&lt;&gt;"",IF(LOWER('Capacity summary'!BG154)="x",$BI35*BG35,VALUE('Capacity summary'!BG154)),0),BG35*$BI35),BG35*$BI35),0)</f>
        <v>64.90384615384616</v>
      </c>
      <c r="DK35" s="388">
        <f t="shared" ca="1" si="2"/>
        <v>64.90384615384616</v>
      </c>
      <c r="DL35" s="136">
        <f t="shared" ca="1" si="3"/>
        <v>3375.0000000000014</v>
      </c>
      <c r="DM35" s="311">
        <f>Capacity!H47</f>
        <v>3375</v>
      </c>
      <c r="DQ35" s="5"/>
    </row>
    <row r="36" spans="1:121" x14ac:dyDescent="0.2">
      <c r="A36" s="67">
        <f>IF(Capacity!L48='Capacity summary'!BI155,1,0)</f>
        <v>1</v>
      </c>
      <c r="B36" s="67">
        <f>IF(Capacity!V48='Capacity summary'!BI55,1,0)</f>
        <v>1</v>
      </c>
      <c r="C36" s="67" t="str">
        <f>ROW(A32)&amp;". "&amp;Capacity!B48</f>
        <v>32. CT Colon</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 ca="1">IF(ROW(C32)&lt;=Capacity!$A$16,IF('Capacity summary'!$D$14="No",SUM(H36:BG36),'Capacity summary'!$E155),0)</f>
        <v>52</v>
      </c>
      <c r="BI36" s="5">
        <f ca="1">IF(BH36&gt;0,IF(BH36&lt;Capacity!E48,Capacity!F48,Capacity!H48/'Capacity calculation (hide)'!BH36),"")</f>
        <v>77.884615384615387</v>
      </c>
      <c r="BK36" s="311">
        <f ca="1">IF($BI36&lt;&gt;"",IF('Capacity summary'!$D$14="Yes",IF(COUNTBLANK('Capacity summary'!$H155:$BG155)&lt;52,IF('Capacity summary'!H155&lt;&gt;"",IF(LOWER('Capacity summary'!H155)="x",$BI36*H36,VALUE('Capacity summary'!H155)),0),H36*$BI36),H36*$BI36),0)</f>
        <v>77.884615384615387</v>
      </c>
      <c r="BL36" s="311">
        <f ca="1">IF($BI36&lt;&gt;"",IF('Capacity summary'!$D$14="Yes",IF(COUNTBLANK('Capacity summary'!$H155:$BG155)&lt;52,IF('Capacity summary'!I155&lt;&gt;"",IF(LOWER('Capacity summary'!I155)="x",$BI36*I36,VALUE('Capacity summary'!I155)),0),I36*$BI36),I36*$BI36),0)</f>
        <v>77.884615384615387</v>
      </c>
      <c r="BM36" s="311">
        <f ca="1">IF($BI36&lt;&gt;"",IF('Capacity summary'!$D$14="Yes",IF(COUNTBLANK('Capacity summary'!$H155:$BG155)&lt;52,IF('Capacity summary'!J155&lt;&gt;"",IF(LOWER('Capacity summary'!J155)="x",$BI36*J36,VALUE('Capacity summary'!J155)),0),J36*$BI36),J36*$BI36),0)</f>
        <v>77.884615384615387</v>
      </c>
      <c r="BN36" s="311">
        <f ca="1">IF($BI36&lt;&gt;"",IF('Capacity summary'!$D$14="Yes",IF(COUNTBLANK('Capacity summary'!$H155:$BG155)&lt;52,IF('Capacity summary'!K155&lt;&gt;"",IF(LOWER('Capacity summary'!K155)="x",$BI36*K36,VALUE('Capacity summary'!K155)),0),K36*$BI36),K36*$BI36),0)</f>
        <v>77.884615384615387</v>
      </c>
      <c r="BO36" s="311">
        <f ca="1">IF($BI36&lt;&gt;"",IF('Capacity summary'!$D$14="Yes",IF(COUNTBLANK('Capacity summary'!$H155:$BG155)&lt;52,IF('Capacity summary'!L155&lt;&gt;"",IF(LOWER('Capacity summary'!L155)="x",$BI36*L36,VALUE('Capacity summary'!L155)),0),L36*$BI36),L36*$BI36),0)</f>
        <v>77.884615384615387</v>
      </c>
      <c r="BP36" s="311">
        <f ca="1">IF($BI36&lt;&gt;"",IF('Capacity summary'!$D$14="Yes",IF(COUNTBLANK('Capacity summary'!$H155:$BG155)&lt;52,IF('Capacity summary'!M155&lt;&gt;"",IF(LOWER('Capacity summary'!M155)="x",$BI36*M36,VALUE('Capacity summary'!M155)),0),M36*$BI36),M36*$BI36),0)</f>
        <v>77.884615384615387</v>
      </c>
      <c r="BQ36" s="311">
        <f ca="1">IF($BI36&lt;&gt;"",IF('Capacity summary'!$D$14="Yes",IF(COUNTBLANK('Capacity summary'!$H155:$BG155)&lt;52,IF('Capacity summary'!N155&lt;&gt;"",IF(LOWER('Capacity summary'!N155)="x",$BI36*N36,VALUE('Capacity summary'!N155)),0),N36*$BI36),N36*$BI36),0)</f>
        <v>77.884615384615387</v>
      </c>
      <c r="BR36" s="311">
        <f ca="1">IF($BI36&lt;&gt;"",IF('Capacity summary'!$D$14="Yes",IF(COUNTBLANK('Capacity summary'!$H155:$BG155)&lt;52,IF('Capacity summary'!O155&lt;&gt;"",IF(LOWER('Capacity summary'!O155)="x",$BI36*O36,VALUE('Capacity summary'!O155)),0),O36*$BI36),O36*$BI36),0)</f>
        <v>77.884615384615387</v>
      </c>
      <c r="BS36" s="311">
        <f ca="1">IF($BI36&lt;&gt;"",IF('Capacity summary'!$D$14="Yes",IF(COUNTBLANK('Capacity summary'!$H155:$BG155)&lt;52,IF('Capacity summary'!P155&lt;&gt;"",IF(LOWER('Capacity summary'!P155)="x",$BI36*P36,VALUE('Capacity summary'!P155)),0),P36*$BI36),P36*$BI36),0)</f>
        <v>77.884615384615387</v>
      </c>
      <c r="BT36" s="311">
        <f ca="1">IF($BI36&lt;&gt;"",IF('Capacity summary'!$D$14="Yes",IF(COUNTBLANK('Capacity summary'!$H155:$BG155)&lt;52,IF('Capacity summary'!Q155&lt;&gt;"",IF(LOWER('Capacity summary'!Q155)="x",$BI36*Q36,VALUE('Capacity summary'!Q155)),0),Q36*$BI36),Q36*$BI36),0)</f>
        <v>77.884615384615387</v>
      </c>
      <c r="BU36" s="311">
        <f ca="1">IF($BI36&lt;&gt;"",IF('Capacity summary'!$D$14="Yes",IF(COUNTBLANK('Capacity summary'!$H155:$BG155)&lt;52,IF('Capacity summary'!R155&lt;&gt;"",IF(LOWER('Capacity summary'!R155)="x",$BI36*R36,VALUE('Capacity summary'!R155)),0),R36*$BI36),R36*$BI36),0)</f>
        <v>77.884615384615387</v>
      </c>
      <c r="BV36" s="311">
        <f ca="1">IF($BI36&lt;&gt;"",IF('Capacity summary'!$D$14="Yes",IF(COUNTBLANK('Capacity summary'!$H155:$BG155)&lt;52,IF('Capacity summary'!S155&lt;&gt;"",IF(LOWER('Capacity summary'!S155)="x",$BI36*S36,VALUE('Capacity summary'!S155)),0),S36*$BI36),S36*$BI36),0)</f>
        <v>77.884615384615387</v>
      </c>
      <c r="BW36" s="311">
        <f ca="1">IF($BI36&lt;&gt;"",IF('Capacity summary'!$D$14="Yes",IF(COUNTBLANK('Capacity summary'!$H155:$BG155)&lt;52,IF('Capacity summary'!T155&lt;&gt;"",IF(LOWER('Capacity summary'!T155)="x",$BI36*T36,VALUE('Capacity summary'!T155)),0),T36*$BI36),T36*$BI36),0)</f>
        <v>77.884615384615387</v>
      </c>
      <c r="BX36" s="311">
        <f ca="1">IF($BI36&lt;&gt;"",IF('Capacity summary'!$D$14="Yes",IF(COUNTBLANK('Capacity summary'!$H155:$BG155)&lt;52,IF('Capacity summary'!U155&lt;&gt;"",IF(LOWER('Capacity summary'!U155)="x",$BI36*U36,VALUE('Capacity summary'!U155)),0),U36*$BI36),U36*$BI36),0)</f>
        <v>77.884615384615387</v>
      </c>
      <c r="BY36" s="311">
        <f ca="1">IF($BI36&lt;&gt;"",IF('Capacity summary'!$D$14="Yes",IF(COUNTBLANK('Capacity summary'!$H155:$BG155)&lt;52,IF('Capacity summary'!V155&lt;&gt;"",IF(LOWER('Capacity summary'!V155)="x",$BI36*V36,VALUE('Capacity summary'!V155)),0),V36*$BI36),V36*$BI36),0)</f>
        <v>77.884615384615387</v>
      </c>
      <c r="BZ36" s="311">
        <f ca="1">IF($BI36&lt;&gt;"",IF('Capacity summary'!$D$14="Yes",IF(COUNTBLANK('Capacity summary'!$H155:$BG155)&lt;52,IF('Capacity summary'!W155&lt;&gt;"",IF(LOWER('Capacity summary'!W155)="x",$BI36*W36,VALUE('Capacity summary'!W155)),0),W36*$BI36),W36*$BI36),0)</f>
        <v>77.884615384615387</v>
      </c>
      <c r="CA36" s="311">
        <f ca="1">IF($BI36&lt;&gt;"",IF('Capacity summary'!$D$14="Yes",IF(COUNTBLANK('Capacity summary'!$H155:$BG155)&lt;52,IF('Capacity summary'!X155&lt;&gt;"",IF(LOWER('Capacity summary'!X155)="x",$BI36*X36,VALUE('Capacity summary'!X155)),0),X36*$BI36),X36*$BI36),0)</f>
        <v>77.884615384615387</v>
      </c>
      <c r="CB36" s="311">
        <f ca="1">IF($BI36&lt;&gt;"",IF('Capacity summary'!$D$14="Yes",IF(COUNTBLANK('Capacity summary'!$H155:$BG155)&lt;52,IF('Capacity summary'!Y155&lt;&gt;"",IF(LOWER('Capacity summary'!Y155)="x",$BI36*Y36,VALUE('Capacity summary'!Y155)),0),Y36*$BI36),Y36*$BI36),0)</f>
        <v>77.884615384615387</v>
      </c>
      <c r="CC36" s="311">
        <f ca="1">IF($BI36&lt;&gt;"",IF('Capacity summary'!$D$14="Yes",IF(COUNTBLANK('Capacity summary'!$H155:$BG155)&lt;52,IF('Capacity summary'!Z155&lt;&gt;"",IF(LOWER('Capacity summary'!Z155)="x",$BI36*Z36,VALUE('Capacity summary'!Z155)),0),Z36*$BI36),Z36*$BI36),0)</f>
        <v>77.884615384615387</v>
      </c>
      <c r="CD36" s="311">
        <f ca="1">IF($BI36&lt;&gt;"",IF('Capacity summary'!$D$14="Yes",IF(COUNTBLANK('Capacity summary'!$H155:$BG155)&lt;52,IF('Capacity summary'!AA155&lt;&gt;"",IF(LOWER('Capacity summary'!AA155)="x",$BI36*AA36,VALUE('Capacity summary'!AA155)),0),AA36*$BI36),AA36*$BI36),0)</f>
        <v>77.884615384615387</v>
      </c>
      <c r="CE36" s="311">
        <f ca="1">IF($BI36&lt;&gt;"",IF('Capacity summary'!$D$14="Yes",IF(COUNTBLANK('Capacity summary'!$H155:$BG155)&lt;52,IF('Capacity summary'!AB155&lt;&gt;"",IF(LOWER('Capacity summary'!AB155)="x",$BI36*AB36,VALUE('Capacity summary'!AB155)),0),AB36*$BI36),AB36*$BI36),0)</f>
        <v>77.884615384615387</v>
      </c>
      <c r="CF36" s="311">
        <f ca="1">IF($BI36&lt;&gt;"",IF('Capacity summary'!$D$14="Yes",IF(COUNTBLANK('Capacity summary'!$H155:$BG155)&lt;52,IF('Capacity summary'!AC155&lt;&gt;"",IF(LOWER('Capacity summary'!AC155)="x",$BI36*AC36,VALUE('Capacity summary'!AC155)),0),AC36*$BI36),AC36*$BI36),0)</f>
        <v>77.884615384615387</v>
      </c>
      <c r="CG36" s="311">
        <f ca="1">IF($BI36&lt;&gt;"",IF('Capacity summary'!$D$14="Yes",IF(COUNTBLANK('Capacity summary'!$H155:$BG155)&lt;52,IF('Capacity summary'!AD155&lt;&gt;"",IF(LOWER('Capacity summary'!AD155)="x",$BI36*AD36,VALUE('Capacity summary'!AD155)),0),AD36*$BI36),AD36*$BI36),0)</f>
        <v>77.884615384615387</v>
      </c>
      <c r="CH36" s="311">
        <f ca="1">IF($BI36&lt;&gt;"",IF('Capacity summary'!$D$14="Yes",IF(COUNTBLANK('Capacity summary'!$H155:$BG155)&lt;52,IF('Capacity summary'!AE155&lt;&gt;"",IF(LOWER('Capacity summary'!AE155)="x",$BI36*AE36,VALUE('Capacity summary'!AE155)),0),AE36*$BI36),AE36*$BI36),0)</f>
        <v>77.884615384615387</v>
      </c>
      <c r="CI36" s="311">
        <f ca="1">IF($BI36&lt;&gt;"",IF('Capacity summary'!$D$14="Yes",IF(COUNTBLANK('Capacity summary'!$H155:$BG155)&lt;52,IF('Capacity summary'!AF155&lt;&gt;"",IF(LOWER('Capacity summary'!AF155)="x",$BI36*AF36,VALUE('Capacity summary'!AF155)),0),AF36*$BI36),AF36*$BI36),0)</f>
        <v>77.884615384615387</v>
      </c>
      <c r="CJ36" s="311">
        <f ca="1">IF($BI36&lt;&gt;"",IF('Capacity summary'!$D$14="Yes",IF(COUNTBLANK('Capacity summary'!$H155:$BG155)&lt;52,IF('Capacity summary'!AG155&lt;&gt;"",IF(LOWER('Capacity summary'!AG155)="x",$BI36*AG36,VALUE('Capacity summary'!AG155)),0),AG36*$BI36),AG36*$BI36),0)</f>
        <v>77.884615384615387</v>
      </c>
      <c r="CK36" s="311">
        <f ca="1">IF($BI36&lt;&gt;"",IF('Capacity summary'!$D$14="Yes",IF(COUNTBLANK('Capacity summary'!$H155:$BG155)&lt;52,IF('Capacity summary'!AH155&lt;&gt;"",IF(LOWER('Capacity summary'!AH155)="x",$BI36*AH36,VALUE('Capacity summary'!AH155)),0),AH36*$BI36),AH36*$BI36),0)</f>
        <v>77.884615384615387</v>
      </c>
      <c r="CL36" s="311">
        <f ca="1">IF($BI36&lt;&gt;"",IF('Capacity summary'!$D$14="Yes",IF(COUNTBLANK('Capacity summary'!$H155:$BG155)&lt;52,IF('Capacity summary'!AI155&lt;&gt;"",IF(LOWER('Capacity summary'!AI155)="x",$BI36*AI36,VALUE('Capacity summary'!AI155)),0),AI36*$BI36),AI36*$BI36),0)</f>
        <v>77.884615384615387</v>
      </c>
      <c r="CM36" s="311">
        <f ca="1">IF($BI36&lt;&gt;"",IF('Capacity summary'!$D$14="Yes",IF(COUNTBLANK('Capacity summary'!$H155:$BG155)&lt;52,IF('Capacity summary'!AJ155&lt;&gt;"",IF(LOWER('Capacity summary'!AJ155)="x",$BI36*AJ36,VALUE('Capacity summary'!AJ155)),0),AJ36*$BI36),AJ36*$BI36),0)</f>
        <v>77.884615384615387</v>
      </c>
      <c r="CN36" s="311">
        <f ca="1">IF($BI36&lt;&gt;"",IF('Capacity summary'!$D$14="Yes",IF(COUNTBLANK('Capacity summary'!$H155:$BG155)&lt;52,IF('Capacity summary'!AK155&lt;&gt;"",IF(LOWER('Capacity summary'!AK155)="x",$BI36*AK36,VALUE('Capacity summary'!AK155)),0),AK36*$BI36),AK36*$BI36),0)</f>
        <v>77.884615384615387</v>
      </c>
      <c r="CO36" s="311">
        <f ca="1">IF($BI36&lt;&gt;"",IF('Capacity summary'!$D$14="Yes",IF(COUNTBLANK('Capacity summary'!$H155:$BG155)&lt;52,IF('Capacity summary'!AL155&lt;&gt;"",IF(LOWER('Capacity summary'!AL155)="x",$BI36*AL36,VALUE('Capacity summary'!AL155)),0),AL36*$BI36),AL36*$BI36),0)</f>
        <v>77.884615384615387</v>
      </c>
      <c r="CP36" s="311">
        <f ca="1">IF($BI36&lt;&gt;"",IF('Capacity summary'!$D$14="Yes",IF(COUNTBLANK('Capacity summary'!$H155:$BG155)&lt;52,IF('Capacity summary'!AM155&lt;&gt;"",IF(LOWER('Capacity summary'!AM155)="x",$BI36*AM36,VALUE('Capacity summary'!AM155)),0),AM36*$BI36),AM36*$BI36),0)</f>
        <v>77.884615384615387</v>
      </c>
      <c r="CQ36" s="311">
        <f ca="1">IF($BI36&lt;&gt;"",IF('Capacity summary'!$D$14="Yes",IF(COUNTBLANK('Capacity summary'!$H155:$BG155)&lt;52,IF('Capacity summary'!AN155&lt;&gt;"",IF(LOWER('Capacity summary'!AN155)="x",$BI36*AN36,VALUE('Capacity summary'!AN155)),0),AN36*$BI36),AN36*$BI36),0)</f>
        <v>77.884615384615387</v>
      </c>
      <c r="CR36" s="311">
        <f ca="1">IF($BI36&lt;&gt;"",IF('Capacity summary'!$D$14="Yes",IF(COUNTBLANK('Capacity summary'!$H155:$BG155)&lt;52,IF('Capacity summary'!AO155&lt;&gt;"",IF(LOWER('Capacity summary'!AO155)="x",$BI36*AO36,VALUE('Capacity summary'!AO155)),0),AO36*$BI36),AO36*$BI36),0)</f>
        <v>77.884615384615387</v>
      </c>
      <c r="CS36" s="311">
        <f ca="1">IF($BI36&lt;&gt;"",IF('Capacity summary'!$D$14="Yes",IF(COUNTBLANK('Capacity summary'!$H155:$BG155)&lt;52,IF('Capacity summary'!AP155&lt;&gt;"",IF(LOWER('Capacity summary'!AP155)="x",$BI36*AP36,VALUE('Capacity summary'!AP155)),0),AP36*$BI36),AP36*$BI36),0)</f>
        <v>77.884615384615387</v>
      </c>
      <c r="CT36" s="311">
        <f ca="1">IF($BI36&lt;&gt;"",IF('Capacity summary'!$D$14="Yes",IF(COUNTBLANK('Capacity summary'!$H155:$BG155)&lt;52,IF('Capacity summary'!AQ155&lt;&gt;"",IF(LOWER('Capacity summary'!AQ155)="x",$BI36*AQ36,VALUE('Capacity summary'!AQ155)),0),AQ36*$BI36),AQ36*$BI36),0)</f>
        <v>77.884615384615387</v>
      </c>
      <c r="CU36" s="311">
        <f ca="1">IF($BI36&lt;&gt;"",IF('Capacity summary'!$D$14="Yes",IF(COUNTBLANK('Capacity summary'!$H155:$BG155)&lt;52,IF('Capacity summary'!AR155&lt;&gt;"",IF(LOWER('Capacity summary'!AR155)="x",$BI36*AR36,VALUE('Capacity summary'!AR155)),0),AR36*$BI36),AR36*$BI36),0)</f>
        <v>77.884615384615387</v>
      </c>
      <c r="CV36" s="311">
        <f ca="1">IF($BI36&lt;&gt;"",IF('Capacity summary'!$D$14="Yes",IF(COUNTBLANK('Capacity summary'!$H155:$BG155)&lt;52,IF('Capacity summary'!AS155&lt;&gt;"",IF(LOWER('Capacity summary'!AS155)="x",$BI36*AS36,VALUE('Capacity summary'!AS155)),0),AS36*$BI36),AS36*$BI36),0)</f>
        <v>77.884615384615387</v>
      </c>
      <c r="CW36" s="311">
        <f ca="1">IF($BI36&lt;&gt;"",IF('Capacity summary'!$D$14="Yes",IF(COUNTBLANK('Capacity summary'!$H155:$BG155)&lt;52,IF('Capacity summary'!AT155&lt;&gt;"",IF(LOWER('Capacity summary'!AT155)="x",$BI36*AT36,VALUE('Capacity summary'!AT155)),0),AT36*$BI36),AT36*$BI36),0)</f>
        <v>77.884615384615387</v>
      </c>
      <c r="CX36" s="311">
        <f ca="1">IF($BI36&lt;&gt;"",IF('Capacity summary'!$D$14="Yes",IF(COUNTBLANK('Capacity summary'!$H155:$BG155)&lt;52,IF('Capacity summary'!AU155&lt;&gt;"",IF(LOWER('Capacity summary'!AU155)="x",$BI36*AU36,VALUE('Capacity summary'!AU155)),0),AU36*$BI36),AU36*$BI36),0)</f>
        <v>77.884615384615387</v>
      </c>
      <c r="CY36" s="311">
        <f ca="1">IF($BI36&lt;&gt;"",IF('Capacity summary'!$D$14="Yes",IF(COUNTBLANK('Capacity summary'!$H155:$BG155)&lt;52,IF('Capacity summary'!AV155&lt;&gt;"",IF(LOWER('Capacity summary'!AV155)="x",$BI36*AV36,VALUE('Capacity summary'!AV155)),0),AV36*$BI36),AV36*$BI36),0)</f>
        <v>77.884615384615387</v>
      </c>
      <c r="CZ36" s="311">
        <f ca="1">IF($BI36&lt;&gt;"",IF('Capacity summary'!$D$14="Yes",IF(COUNTBLANK('Capacity summary'!$H155:$BG155)&lt;52,IF('Capacity summary'!AW155&lt;&gt;"",IF(LOWER('Capacity summary'!AW155)="x",$BI36*AW36,VALUE('Capacity summary'!AW155)),0),AW36*$BI36),AW36*$BI36),0)</f>
        <v>77.884615384615387</v>
      </c>
      <c r="DA36" s="311">
        <f ca="1">IF($BI36&lt;&gt;"",IF('Capacity summary'!$D$14="Yes",IF(COUNTBLANK('Capacity summary'!$H155:$BG155)&lt;52,IF('Capacity summary'!AX155&lt;&gt;"",IF(LOWER('Capacity summary'!AX155)="x",$BI36*AX36,VALUE('Capacity summary'!AX155)),0),AX36*$BI36),AX36*$BI36),0)</f>
        <v>77.884615384615387</v>
      </c>
      <c r="DB36" s="311">
        <f ca="1">IF($BI36&lt;&gt;"",IF('Capacity summary'!$D$14="Yes",IF(COUNTBLANK('Capacity summary'!$H155:$BG155)&lt;52,IF('Capacity summary'!AY155&lt;&gt;"",IF(LOWER('Capacity summary'!AY155)="x",$BI36*AY36,VALUE('Capacity summary'!AY155)),0),AY36*$BI36),AY36*$BI36),0)</f>
        <v>77.884615384615387</v>
      </c>
      <c r="DC36" s="311">
        <f ca="1">IF($BI36&lt;&gt;"",IF('Capacity summary'!$D$14="Yes",IF(COUNTBLANK('Capacity summary'!$H155:$BG155)&lt;52,IF('Capacity summary'!AZ155&lt;&gt;"",IF(LOWER('Capacity summary'!AZ155)="x",$BI36*AZ36,VALUE('Capacity summary'!AZ155)),0),AZ36*$BI36),AZ36*$BI36),0)</f>
        <v>77.884615384615387</v>
      </c>
      <c r="DD36" s="311">
        <f ca="1">IF($BI36&lt;&gt;"",IF('Capacity summary'!$D$14="Yes",IF(COUNTBLANK('Capacity summary'!$H155:$BG155)&lt;52,IF('Capacity summary'!BA155&lt;&gt;"",IF(LOWER('Capacity summary'!BA155)="x",$BI36*BA36,VALUE('Capacity summary'!BA155)),0),BA36*$BI36),BA36*$BI36),0)</f>
        <v>77.884615384615387</v>
      </c>
      <c r="DE36" s="311">
        <f ca="1">IF($BI36&lt;&gt;"",IF('Capacity summary'!$D$14="Yes",IF(COUNTBLANK('Capacity summary'!$H155:$BG155)&lt;52,IF('Capacity summary'!BB155&lt;&gt;"",IF(LOWER('Capacity summary'!BB155)="x",$BI36*BB36,VALUE('Capacity summary'!BB155)),0),BB36*$BI36),BB36*$BI36),0)</f>
        <v>77.884615384615387</v>
      </c>
      <c r="DF36" s="311">
        <f ca="1">IF($BI36&lt;&gt;"",IF('Capacity summary'!$D$14="Yes",IF(COUNTBLANK('Capacity summary'!$H155:$BG155)&lt;52,IF('Capacity summary'!BC155&lt;&gt;"",IF(LOWER('Capacity summary'!BC155)="x",$BI36*BC36,VALUE('Capacity summary'!BC155)),0),BC36*$BI36),BC36*$BI36),0)</f>
        <v>77.884615384615387</v>
      </c>
      <c r="DG36" s="311">
        <f ca="1">IF($BI36&lt;&gt;"",IF('Capacity summary'!$D$14="Yes",IF(COUNTBLANK('Capacity summary'!$H155:$BG155)&lt;52,IF('Capacity summary'!BD155&lt;&gt;"",IF(LOWER('Capacity summary'!BD155)="x",$BI36*BD36,VALUE('Capacity summary'!BD155)),0),BD36*$BI36),BD36*$BI36),0)</f>
        <v>77.884615384615387</v>
      </c>
      <c r="DH36" s="311">
        <f ca="1">IF($BI36&lt;&gt;"",IF('Capacity summary'!$D$14="Yes",IF(COUNTBLANK('Capacity summary'!$H155:$BG155)&lt;52,IF('Capacity summary'!BE155&lt;&gt;"",IF(LOWER('Capacity summary'!BE155)="x",$BI36*BE36,VALUE('Capacity summary'!BE155)),0),BE36*$BI36),BE36*$BI36),0)</f>
        <v>77.884615384615387</v>
      </c>
      <c r="DI36" s="311">
        <f ca="1">IF($BI36&lt;&gt;"",IF('Capacity summary'!$D$14="Yes",IF(COUNTBLANK('Capacity summary'!$H155:$BG155)&lt;52,IF('Capacity summary'!BF155&lt;&gt;"",IF(LOWER('Capacity summary'!BF155)="x",$BI36*BF36,VALUE('Capacity summary'!BF155)),0),BF36*$BI36),BF36*$BI36),0)</f>
        <v>77.884615384615387</v>
      </c>
      <c r="DJ36" s="311">
        <f ca="1">IF($BI36&lt;&gt;"",IF('Capacity summary'!$D$14="Yes",IF(COUNTBLANK('Capacity summary'!$H155:$BG155)&lt;52,IF('Capacity summary'!BG155&lt;&gt;"",IF(LOWER('Capacity summary'!BG155)="x",$BI36*BG36,VALUE('Capacity summary'!BG155)),0),BG36*$BI36),BG36*$BI36),0)</f>
        <v>77.884615384615387</v>
      </c>
      <c r="DK36" s="388">
        <f t="shared" ca="1" si="2"/>
        <v>77.884615384615387</v>
      </c>
      <c r="DL36" s="136">
        <f t="shared" ca="1" si="3"/>
        <v>4049.9999999999973</v>
      </c>
      <c r="DM36" s="311">
        <f>Capacity!H48</f>
        <v>4050</v>
      </c>
      <c r="DQ36" s="5"/>
    </row>
    <row r="37" spans="1:121" x14ac:dyDescent="0.2">
      <c r="A37" s="67">
        <f>IF(Capacity!L49='Capacity summary'!BI156,1,0)</f>
        <v>1</v>
      </c>
      <c r="B37" s="67">
        <f>IF(Capacity!V49='Capacity summary'!BI56,1,0)</f>
        <v>1</v>
      </c>
      <c r="C37" s="67" t="str">
        <f>ROW(A33)&amp;". "&amp;Capacity!B49</f>
        <v>33. 2 ww</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 ca="1">IF(ROW(C33)&lt;=Capacity!$A$16,IF('Capacity summary'!$D$14="No",SUM(H37:BG37),'Capacity summary'!$E156),0)</f>
        <v>52</v>
      </c>
      <c r="BI37" s="5">
        <f ca="1">IF(BH37&gt;0,IF(BH37&lt;Capacity!E49,Capacity!F49,Capacity!H49/'Capacity calculation (hide)'!BH37),"")</f>
        <v>103.84615384615384</v>
      </c>
      <c r="BK37" s="311">
        <f ca="1">IF($BI37&lt;&gt;"",IF('Capacity summary'!$D$14="Yes",IF(COUNTBLANK('Capacity summary'!$H156:$BG156)&lt;52,IF('Capacity summary'!H156&lt;&gt;"",IF(LOWER('Capacity summary'!H156)="x",$BI37*H37,VALUE('Capacity summary'!H156)),0),H37*$BI37),H37*$BI37),0)</f>
        <v>103.84615384615384</v>
      </c>
      <c r="BL37" s="311">
        <f ca="1">IF($BI37&lt;&gt;"",IF('Capacity summary'!$D$14="Yes",IF(COUNTBLANK('Capacity summary'!$H156:$BG156)&lt;52,IF('Capacity summary'!I156&lt;&gt;"",IF(LOWER('Capacity summary'!I156)="x",$BI37*I37,VALUE('Capacity summary'!I156)),0),I37*$BI37),I37*$BI37),0)</f>
        <v>103.84615384615384</v>
      </c>
      <c r="BM37" s="311">
        <f ca="1">IF($BI37&lt;&gt;"",IF('Capacity summary'!$D$14="Yes",IF(COUNTBLANK('Capacity summary'!$H156:$BG156)&lt;52,IF('Capacity summary'!J156&lt;&gt;"",IF(LOWER('Capacity summary'!J156)="x",$BI37*J37,VALUE('Capacity summary'!J156)),0),J37*$BI37),J37*$BI37),0)</f>
        <v>103.84615384615384</v>
      </c>
      <c r="BN37" s="311">
        <f ca="1">IF($BI37&lt;&gt;"",IF('Capacity summary'!$D$14="Yes",IF(COUNTBLANK('Capacity summary'!$H156:$BG156)&lt;52,IF('Capacity summary'!K156&lt;&gt;"",IF(LOWER('Capacity summary'!K156)="x",$BI37*K37,VALUE('Capacity summary'!K156)),0),K37*$BI37),K37*$BI37),0)</f>
        <v>103.84615384615384</v>
      </c>
      <c r="BO37" s="311">
        <f ca="1">IF($BI37&lt;&gt;"",IF('Capacity summary'!$D$14="Yes",IF(COUNTBLANK('Capacity summary'!$H156:$BG156)&lt;52,IF('Capacity summary'!L156&lt;&gt;"",IF(LOWER('Capacity summary'!L156)="x",$BI37*L37,VALUE('Capacity summary'!L156)),0),L37*$BI37),L37*$BI37),0)</f>
        <v>103.84615384615384</v>
      </c>
      <c r="BP37" s="311">
        <f ca="1">IF($BI37&lt;&gt;"",IF('Capacity summary'!$D$14="Yes",IF(COUNTBLANK('Capacity summary'!$H156:$BG156)&lt;52,IF('Capacity summary'!M156&lt;&gt;"",IF(LOWER('Capacity summary'!M156)="x",$BI37*M37,VALUE('Capacity summary'!M156)),0),M37*$BI37),M37*$BI37),0)</f>
        <v>103.84615384615384</v>
      </c>
      <c r="BQ37" s="311">
        <f ca="1">IF($BI37&lt;&gt;"",IF('Capacity summary'!$D$14="Yes",IF(COUNTBLANK('Capacity summary'!$H156:$BG156)&lt;52,IF('Capacity summary'!N156&lt;&gt;"",IF(LOWER('Capacity summary'!N156)="x",$BI37*N37,VALUE('Capacity summary'!N156)),0),N37*$BI37),N37*$BI37),0)</f>
        <v>103.84615384615384</v>
      </c>
      <c r="BR37" s="311">
        <f ca="1">IF($BI37&lt;&gt;"",IF('Capacity summary'!$D$14="Yes",IF(COUNTBLANK('Capacity summary'!$H156:$BG156)&lt;52,IF('Capacity summary'!O156&lt;&gt;"",IF(LOWER('Capacity summary'!O156)="x",$BI37*O37,VALUE('Capacity summary'!O156)),0),O37*$BI37),O37*$BI37),0)</f>
        <v>103.84615384615384</v>
      </c>
      <c r="BS37" s="311">
        <f ca="1">IF($BI37&lt;&gt;"",IF('Capacity summary'!$D$14="Yes",IF(COUNTBLANK('Capacity summary'!$H156:$BG156)&lt;52,IF('Capacity summary'!P156&lt;&gt;"",IF(LOWER('Capacity summary'!P156)="x",$BI37*P37,VALUE('Capacity summary'!P156)),0),P37*$BI37),P37*$BI37),0)</f>
        <v>103.84615384615384</v>
      </c>
      <c r="BT37" s="311">
        <f ca="1">IF($BI37&lt;&gt;"",IF('Capacity summary'!$D$14="Yes",IF(COUNTBLANK('Capacity summary'!$H156:$BG156)&lt;52,IF('Capacity summary'!Q156&lt;&gt;"",IF(LOWER('Capacity summary'!Q156)="x",$BI37*Q37,VALUE('Capacity summary'!Q156)),0),Q37*$BI37),Q37*$BI37),0)</f>
        <v>103.84615384615384</v>
      </c>
      <c r="BU37" s="311">
        <f ca="1">IF($BI37&lt;&gt;"",IF('Capacity summary'!$D$14="Yes",IF(COUNTBLANK('Capacity summary'!$H156:$BG156)&lt;52,IF('Capacity summary'!R156&lt;&gt;"",IF(LOWER('Capacity summary'!R156)="x",$BI37*R37,VALUE('Capacity summary'!R156)),0),R37*$BI37),R37*$BI37),0)</f>
        <v>103.84615384615384</v>
      </c>
      <c r="BV37" s="311">
        <f ca="1">IF($BI37&lt;&gt;"",IF('Capacity summary'!$D$14="Yes",IF(COUNTBLANK('Capacity summary'!$H156:$BG156)&lt;52,IF('Capacity summary'!S156&lt;&gt;"",IF(LOWER('Capacity summary'!S156)="x",$BI37*S37,VALUE('Capacity summary'!S156)),0),S37*$BI37),S37*$BI37),0)</f>
        <v>103.84615384615384</v>
      </c>
      <c r="BW37" s="311">
        <f ca="1">IF($BI37&lt;&gt;"",IF('Capacity summary'!$D$14="Yes",IF(COUNTBLANK('Capacity summary'!$H156:$BG156)&lt;52,IF('Capacity summary'!T156&lt;&gt;"",IF(LOWER('Capacity summary'!T156)="x",$BI37*T37,VALUE('Capacity summary'!T156)),0),T37*$BI37),T37*$BI37),0)</f>
        <v>103.84615384615384</v>
      </c>
      <c r="BX37" s="311">
        <f ca="1">IF($BI37&lt;&gt;"",IF('Capacity summary'!$D$14="Yes",IF(COUNTBLANK('Capacity summary'!$H156:$BG156)&lt;52,IF('Capacity summary'!U156&lt;&gt;"",IF(LOWER('Capacity summary'!U156)="x",$BI37*U37,VALUE('Capacity summary'!U156)),0),U37*$BI37),U37*$BI37),0)</f>
        <v>103.84615384615384</v>
      </c>
      <c r="BY37" s="311">
        <f ca="1">IF($BI37&lt;&gt;"",IF('Capacity summary'!$D$14="Yes",IF(COUNTBLANK('Capacity summary'!$H156:$BG156)&lt;52,IF('Capacity summary'!V156&lt;&gt;"",IF(LOWER('Capacity summary'!V156)="x",$BI37*V37,VALUE('Capacity summary'!V156)),0),V37*$BI37),V37*$BI37),0)</f>
        <v>103.84615384615384</v>
      </c>
      <c r="BZ37" s="311">
        <f ca="1">IF($BI37&lt;&gt;"",IF('Capacity summary'!$D$14="Yes",IF(COUNTBLANK('Capacity summary'!$H156:$BG156)&lt;52,IF('Capacity summary'!W156&lt;&gt;"",IF(LOWER('Capacity summary'!W156)="x",$BI37*W37,VALUE('Capacity summary'!W156)),0),W37*$BI37),W37*$BI37),0)</f>
        <v>103.84615384615384</v>
      </c>
      <c r="CA37" s="311">
        <f ca="1">IF($BI37&lt;&gt;"",IF('Capacity summary'!$D$14="Yes",IF(COUNTBLANK('Capacity summary'!$H156:$BG156)&lt;52,IF('Capacity summary'!X156&lt;&gt;"",IF(LOWER('Capacity summary'!X156)="x",$BI37*X37,VALUE('Capacity summary'!X156)),0),X37*$BI37),X37*$BI37),0)</f>
        <v>103.84615384615384</v>
      </c>
      <c r="CB37" s="311">
        <f ca="1">IF($BI37&lt;&gt;"",IF('Capacity summary'!$D$14="Yes",IF(COUNTBLANK('Capacity summary'!$H156:$BG156)&lt;52,IF('Capacity summary'!Y156&lt;&gt;"",IF(LOWER('Capacity summary'!Y156)="x",$BI37*Y37,VALUE('Capacity summary'!Y156)),0),Y37*$BI37),Y37*$BI37),0)</f>
        <v>103.84615384615384</v>
      </c>
      <c r="CC37" s="311">
        <f ca="1">IF($BI37&lt;&gt;"",IF('Capacity summary'!$D$14="Yes",IF(COUNTBLANK('Capacity summary'!$H156:$BG156)&lt;52,IF('Capacity summary'!Z156&lt;&gt;"",IF(LOWER('Capacity summary'!Z156)="x",$BI37*Z37,VALUE('Capacity summary'!Z156)),0),Z37*$BI37),Z37*$BI37),0)</f>
        <v>103.84615384615384</v>
      </c>
      <c r="CD37" s="311">
        <f ca="1">IF($BI37&lt;&gt;"",IF('Capacity summary'!$D$14="Yes",IF(COUNTBLANK('Capacity summary'!$H156:$BG156)&lt;52,IF('Capacity summary'!AA156&lt;&gt;"",IF(LOWER('Capacity summary'!AA156)="x",$BI37*AA37,VALUE('Capacity summary'!AA156)),0),AA37*$BI37),AA37*$BI37),0)</f>
        <v>103.84615384615384</v>
      </c>
      <c r="CE37" s="311">
        <f ca="1">IF($BI37&lt;&gt;"",IF('Capacity summary'!$D$14="Yes",IF(COUNTBLANK('Capacity summary'!$H156:$BG156)&lt;52,IF('Capacity summary'!AB156&lt;&gt;"",IF(LOWER('Capacity summary'!AB156)="x",$BI37*AB37,VALUE('Capacity summary'!AB156)),0),AB37*$BI37),AB37*$BI37),0)</f>
        <v>103.84615384615384</v>
      </c>
      <c r="CF37" s="311">
        <f ca="1">IF($BI37&lt;&gt;"",IF('Capacity summary'!$D$14="Yes",IF(COUNTBLANK('Capacity summary'!$H156:$BG156)&lt;52,IF('Capacity summary'!AC156&lt;&gt;"",IF(LOWER('Capacity summary'!AC156)="x",$BI37*AC37,VALUE('Capacity summary'!AC156)),0),AC37*$BI37),AC37*$BI37),0)</f>
        <v>103.84615384615384</v>
      </c>
      <c r="CG37" s="311">
        <f ca="1">IF($BI37&lt;&gt;"",IF('Capacity summary'!$D$14="Yes",IF(COUNTBLANK('Capacity summary'!$H156:$BG156)&lt;52,IF('Capacity summary'!AD156&lt;&gt;"",IF(LOWER('Capacity summary'!AD156)="x",$BI37*AD37,VALUE('Capacity summary'!AD156)),0),AD37*$BI37),AD37*$BI37),0)</f>
        <v>103.84615384615384</v>
      </c>
      <c r="CH37" s="311">
        <f ca="1">IF($BI37&lt;&gt;"",IF('Capacity summary'!$D$14="Yes",IF(COUNTBLANK('Capacity summary'!$H156:$BG156)&lt;52,IF('Capacity summary'!AE156&lt;&gt;"",IF(LOWER('Capacity summary'!AE156)="x",$BI37*AE37,VALUE('Capacity summary'!AE156)),0),AE37*$BI37),AE37*$BI37),0)</f>
        <v>103.84615384615384</v>
      </c>
      <c r="CI37" s="311">
        <f ca="1">IF($BI37&lt;&gt;"",IF('Capacity summary'!$D$14="Yes",IF(COUNTBLANK('Capacity summary'!$H156:$BG156)&lt;52,IF('Capacity summary'!AF156&lt;&gt;"",IF(LOWER('Capacity summary'!AF156)="x",$BI37*AF37,VALUE('Capacity summary'!AF156)),0),AF37*$BI37),AF37*$BI37),0)</f>
        <v>103.84615384615384</v>
      </c>
      <c r="CJ37" s="311">
        <f ca="1">IF($BI37&lt;&gt;"",IF('Capacity summary'!$D$14="Yes",IF(COUNTBLANK('Capacity summary'!$H156:$BG156)&lt;52,IF('Capacity summary'!AG156&lt;&gt;"",IF(LOWER('Capacity summary'!AG156)="x",$BI37*AG37,VALUE('Capacity summary'!AG156)),0),AG37*$BI37),AG37*$BI37),0)</f>
        <v>103.84615384615384</v>
      </c>
      <c r="CK37" s="311">
        <f ca="1">IF($BI37&lt;&gt;"",IF('Capacity summary'!$D$14="Yes",IF(COUNTBLANK('Capacity summary'!$H156:$BG156)&lt;52,IF('Capacity summary'!AH156&lt;&gt;"",IF(LOWER('Capacity summary'!AH156)="x",$BI37*AH37,VALUE('Capacity summary'!AH156)),0),AH37*$BI37),AH37*$BI37),0)</f>
        <v>103.84615384615384</v>
      </c>
      <c r="CL37" s="311">
        <f ca="1">IF($BI37&lt;&gt;"",IF('Capacity summary'!$D$14="Yes",IF(COUNTBLANK('Capacity summary'!$H156:$BG156)&lt;52,IF('Capacity summary'!AI156&lt;&gt;"",IF(LOWER('Capacity summary'!AI156)="x",$BI37*AI37,VALUE('Capacity summary'!AI156)),0),AI37*$BI37),AI37*$BI37),0)</f>
        <v>103.84615384615384</v>
      </c>
      <c r="CM37" s="311">
        <f ca="1">IF($BI37&lt;&gt;"",IF('Capacity summary'!$D$14="Yes",IF(COUNTBLANK('Capacity summary'!$H156:$BG156)&lt;52,IF('Capacity summary'!AJ156&lt;&gt;"",IF(LOWER('Capacity summary'!AJ156)="x",$BI37*AJ37,VALUE('Capacity summary'!AJ156)),0),AJ37*$BI37),AJ37*$BI37),0)</f>
        <v>103.84615384615384</v>
      </c>
      <c r="CN37" s="311">
        <f ca="1">IF($BI37&lt;&gt;"",IF('Capacity summary'!$D$14="Yes",IF(COUNTBLANK('Capacity summary'!$H156:$BG156)&lt;52,IF('Capacity summary'!AK156&lt;&gt;"",IF(LOWER('Capacity summary'!AK156)="x",$BI37*AK37,VALUE('Capacity summary'!AK156)),0),AK37*$BI37),AK37*$BI37),0)</f>
        <v>103.84615384615384</v>
      </c>
      <c r="CO37" s="311">
        <f ca="1">IF($BI37&lt;&gt;"",IF('Capacity summary'!$D$14="Yes",IF(COUNTBLANK('Capacity summary'!$H156:$BG156)&lt;52,IF('Capacity summary'!AL156&lt;&gt;"",IF(LOWER('Capacity summary'!AL156)="x",$BI37*AL37,VALUE('Capacity summary'!AL156)),0),AL37*$BI37),AL37*$BI37),0)</f>
        <v>103.84615384615384</v>
      </c>
      <c r="CP37" s="311">
        <f ca="1">IF($BI37&lt;&gt;"",IF('Capacity summary'!$D$14="Yes",IF(COUNTBLANK('Capacity summary'!$H156:$BG156)&lt;52,IF('Capacity summary'!AM156&lt;&gt;"",IF(LOWER('Capacity summary'!AM156)="x",$BI37*AM37,VALUE('Capacity summary'!AM156)),0),AM37*$BI37),AM37*$BI37),0)</f>
        <v>103.84615384615384</v>
      </c>
      <c r="CQ37" s="311">
        <f ca="1">IF($BI37&lt;&gt;"",IF('Capacity summary'!$D$14="Yes",IF(COUNTBLANK('Capacity summary'!$H156:$BG156)&lt;52,IF('Capacity summary'!AN156&lt;&gt;"",IF(LOWER('Capacity summary'!AN156)="x",$BI37*AN37,VALUE('Capacity summary'!AN156)),0),AN37*$BI37),AN37*$BI37),0)</f>
        <v>103.84615384615384</v>
      </c>
      <c r="CR37" s="311">
        <f ca="1">IF($BI37&lt;&gt;"",IF('Capacity summary'!$D$14="Yes",IF(COUNTBLANK('Capacity summary'!$H156:$BG156)&lt;52,IF('Capacity summary'!AO156&lt;&gt;"",IF(LOWER('Capacity summary'!AO156)="x",$BI37*AO37,VALUE('Capacity summary'!AO156)),0),AO37*$BI37),AO37*$BI37),0)</f>
        <v>103.84615384615384</v>
      </c>
      <c r="CS37" s="311">
        <f ca="1">IF($BI37&lt;&gt;"",IF('Capacity summary'!$D$14="Yes",IF(COUNTBLANK('Capacity summary'!$H156:$BG156)&lt;52,IF('Capacity summary'!AP156&lt;&gt;"",IF(LOWER('Capacity summary'!AP156)="x",$BI37*AP37,VALUE('Capacity summary'!AP156)),0),AP37*$BI37),AP37*$BI37),0)</f>
        <v>103.84615384615384</v>
      </c>
      <c r="CT37" s="311">
        <f ca="1">IF($BI37&lt;&gt;"",IF('Capacity summary'!$D$14="Yes",IF(COUNTBLANK('Capacity summary'!$H156:$BG156)&lt;52,IF('Capacity summary'!AQ156&lt;&gt;"",IF(LOWER('Capacity summary'!AQ156)="x",$BI37*AQ37,VALUE('Capacity summary'!AQ156)),0),AQ37*$BI37),AQ37*$BI37),0)</f>
        <v>103.84615384615384</v>
      </c>
      <c r="CU37" s="311">
        <f ca="1">IF($BI37&lt;&gt;"",IF('Capacity summary'!$D$14="Yes",IF(COUNTBLANK('Capacity summary'!$H156:$BG156)&lt;52,IF('Capacity summary'!AR156&lt;&gt;"",IF(LOWER('Capacity summary'!AR156)="x",$BI37*AR37,VALUE('Capacity summary'!AR156)),0),AR37*$BI37),AR37*$BI37),0)</f>
        <v>103.84615384615384</v>
      </c>
      <c r="CV37" s="311">
        <f ca="1">IF($BI37&lt;&gt;"",IF('Capacity summary'!$D$14="Yes",IF(COUNTBLANK('Capacity summary'!$H156:$BG156)&lt;52,IF('Capacity summary'!AS156&lt;&gt;"",IF(LOWER('Capacity summary'!AS156)="x",$BI37*AS37,VALUE('Capacity summary'!AS156)),0),AS37*$BI37),AS37*$BI37),0)</f>
        <v>103.84615384615384</v>
      </c>
      <c r="CW37" s="311">
        <f ca="1">IF($BI37&lt;&gt;"",IF('Capacity summary'!$D$14="Yes",IF(COUNTBLANK('Capacity summary'!$H156:$BG156)&lt;52,IF('Capacity summary'!AT156&lt;&gt;"",IF(LOWER('Capacity summary'!AT156)="x",$BI37*AT37,VALUE('Capacity summary'!AT156)),0),AT37*$BI37),AT37*$BI37),0)</f>
        <v>103.84615384615384</v>
      </c>
      <c r="CX37" s="311">
        <f ca="1">IF($BI37&lt;&gt;"",IF('Capacity summary'!$D$14="Yes",IF(COUNTBLANK('Capacity summary'!$H156:$BG156)&lt;52,IF('Capacity summary'!AU156&lt;&gt;"",IF(LOWER('Capacity summary'!AU156)="x",$BI37*AU37,VALUE('Capacity summary'!AU156)),0),AU37*$BI37),AU37*$BI37),0)</f>
        <v>103.84615384615384</v>
      </c>
      <c r="CY37" s="311">
        <f ca="1">IF($BI37&lt;&gt;"",IF('Capacity summary'!$D$14="Yes",IF(COUNTBLANK('Capacity summary'!$H156:$BG156)&lt;52,IF('Capacity summary'!AV156&lt;&gt;"",IF(LOWER('Capacity summary'!AV156)="x",$BI37*AV37,VALUE('Capacity summary'!AV156)),0),AV37*$BI37),AV37*$BI37),0)</f>
        <v>103.84615384615384</v>
      </c>
      <c r="CZ37" s="311">
        <f ca="1">IF($BI37&lt;&gt;"",IF('Capacity summary'!$D$14="Yes",IF(COUNTBLANK('Capacity summary'!$H156:$BG156)&lt;52,IF('Capacity summary'!AW156&lt;&gt;"",IF(LOWER('Capacity summary'!AW156)="x",$BI37*AW37,VALUE('Capacity summary'!AW156)),0),AW37*$BI37),AW37*$BI37),0)</f>
        <v>103.84615384615384</v>
      </c>
      <c r="DA37" s="311">
        <f ca="1">IF($BI37&lt;&gt;"",IF('Capacity summary'!$D$14="Yes",IF(COUNTBLANK('Capacity summary'!$H156:$BG156)&lt;52,IF('Capacity summary'!AX156&lt;&gt;"",IF(LOWER('Capacity summary'!AX156)="x",$BI37*AX37,VALUE('Capacity summary'!AX156)),0),AX37*$BI37),AX37*$BI37),0)</f>
        <v>103.84615384615384</v>
      </c>
      <c r="DB37" s="311">
        <f ca="1">IF($BI37&lt;&gt;"",IF('Capacity summary'!$D$14="Yes",IF(COUNTBLANK('Capacity summary'!$H156:$BG156)&lt;52,IF('Capacity summary'!AY156&lt;&gt;"",IF(LOWER('Capacity summary'!AY156)="x",$BI37*AY37,VALUE('Capacity summary'!AY156)),0),AY37*$BI37),AY37*$BI37),0)</f>
        <v>103.84615384615384</v>
      </c>
      <c r="DC37" s="311">
        <f ca="1">IF($BI37&lt;&gt;"",IF('Capacity summary'!$D$14="Yes",IF(COUNTBLANK('Capacity summary'!$H156:$BG156)&lt;52,IF('Capacity summary'!AZ156&lt;&gt;"",IF(LOWER('Capacity summary'!AZ156)="x",$BI37*AZ37,VALUE('Capacity summary'!AZ156)),0),AZ37*$BI37),AZ37*$BI37),0)</f>
        <v>103.84615384615384</v>
      </c>
      <c r="DD37" s="311">
        <f ca="1">IF($BI37&lt;&gt;"",IF('Capacity summary'!$D$14="Yes",IF(COUNTBLANK('Capacity summary'!$H156:$BG156)&lt;52,IF('Capacity summary'!BA156&lt;&gt;"",IF(LOWER('Capacity summary'!BA156)="x",$BI37*BA37,VALUE('Capacity summary'!BA156)),0),BA37*$BI37),BA37*$BI37),0)</f>
        <v>103.84615384615384</v>
      </c>
      <c r="DE37" s="311">
        <f ca="1">IF($BI37&lt;&gt;"",IF('Capacity summary'!$D$14="Yes",IF(COUNTBLANK('Capacity summary'!$H156:$BG156)&lt;52,IF('Capacity summary'!BB156&lt;&gt;"",IF(LOWER('Capacity summary'!BB156)="x",$BI37*BB37,VALUE('Capacity summary'!BB156)),0),BB37*$BI37),BB37*$BI37),0)</f>
        <v>103.84615384615384</v>
      </c>
      <c r="DF37" s="311">
        <f ca="1">IF($BI37&lt;&gt;"",IF('Capacity summary'!$D$14="Yes",IF(COUNTBLANK('Capacity summary'!$H156:$BG156)&lt;52,IF('Capacity summary'!BC156&lt;&gt;"",IF(LOWER('Capacity summary'!BC156)="x",$BI37*BC37,VALUE('Capacity summary'!BC156)),0),BC37*$BI37),BC37*$BI37),0)</f>
        <v>103.84615384615384</v>
      </c>
      <c r="DG37" s="311">
        <f ca="1">IF($BI37&lt;&gt;"",IF('Capacity summary'!$D$14="Yes",IF(COUNTBLANK('Capacity summary'!$H156:$BG156)&lt;52,IF('Capacity summary'!BD156&lt;&gt;"",IF(LOWER('Capacity summary'!BD156)="x",$BI37*BD37,VALUE('Capacity summary'!BD156)),0),BD37*$BI37),BD37*$BI37),0)</f>
        <v>103.84615384615384</v>
      </c>
      <c r="DH37" s="311">
        <f ca="1">IF($BI37&lt;&gt;"",IF('Capacity summary'!$D$14="Yes",IF(COUNTBLANK('Capacity summary'!$H156:$BG156)&lt;52,IF('Capacity summary'!BE156&lt;&gt;"",IF(LOWER('Capacity summary'!BE156)="x",$BI37*BE37,VALUE('Capacity summary'!BE156)),0),BE37*$BI37),BE37*$BI37),0)</f>
        <v>103.84615384615384</v>
      </c>
      <c r="DI37" s="311">
        <f ca="1">IF($BI37&lt;&gt;"",IF('Capacity summary'!$D$14="Yes",IF(COUNTBLANK('Capacity summary'!$H156:$BG156)&lt;52,IF('Capacity summary'!BF156&lt;&gt;"",IF(LOWER('Capacity summary'!BF156)="x",$BI37*BF37,VALUE('Capacity summary'!BF156)),0),BF37*$BI37),BF37*$BI37),0)</f>
        <v>103.84615384615384</v>
      </c>
      <c r="DJ37" s="311">
        <f ca="1">IF($BI37&lt;&gt;"",IF('Capacity summary'!$D$14="Yes",IF(COUNTBLANK('Capacity summary'!$H156:$BG156)&lt;52,IF('Capacity summary'!BG156&lt;&gt;"",IF(LOWER('Capacity summary'!BG156)="x",$BI37*BG37,VALUE('Capacity summary'!BG156)),0),BG37*$BI37),BG37*$BI37),0)</f>
        <v>103.84615384615384</v>
      </c>
      <c r="DK37" s="388">
        <f t="shared" ca="1" si="2"/>
        <v>103.84615384615384</v>
      </c>
      <c r="DL37" s="136">
        <f t="shared" ca="1" si="3"/>
        <v>5400.0000000000045</v>
      </c>
      <c r="DM37" s="311">
        <f>Capacity!H49</f>
        <v>5400</v>
      </c>
      <c r="DQ37" s="5"/>
    </row>
    <row r="38" spans="1:121" x14ac:dyDescent="0.2">
      <c r="A38" s="67">
        <f>IF(Capacity!L50='Capacity summary'!BI157,1,0)</f>
        <v>1</v>
      </c>
      <c r="B38" s="67">
        <f>IF(Capacity!V50='Capacity summary'!BI57,1,0)</f>
        <v>1</v>
      </c>
      <c r="C38" s="67" t="str">
        <f>ROW(A34)&amp;". "&amp;Capacity!B50</f>
        <v>34. Slot A</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 ca="1">IF(ROW(C34)&lt;=Capacity!$A$16,IF('Capacity summary'!$D$14="No",SUM(H38:BG38),'Capacity summary'!$E157),0)</f>
        <v>52</v>
      </c>
      <c r="BI38" s="5">
        <f ca="1">IF(BH38&gt;0,IF(BH38&lt;Capacity!E50,Capacity!F50,Capacity!H50/'Capacity calculation (hide)'!BH38),"")</f>
        <v>91.34615384615384</v>
      </c>
      <c r="BK38" s="311">
        <f ca="1">IF($BI38&lt;&gt;"",IF('Capacity summary'!$D$14="Yes",IF(COUNTBLANK('Capacity summary'!$H157:$BG157)&lt;52,IF('Capacity summary'!H157&lt;&gt;"",IF(LOWER('Capacity summary'!H157)="x",$BI38*H38,VALUE('Capacity summary'!H157)),0),H38*$BI38),H38*$BI38),0)</f>
        <v>91.34615384615384</v>
      </c>
      <c r="BL38" s="311">
        <f ca="1">IF($BI38&lt;&gt;"",IF('Capacity summary'!$D$14="Yes",IF(COUNTBLANK('Capacity summary'!$H157:$BG157)&lt;52,IF('Capacity summary'!I157&lt;&gt;"",IF(LOWER('Capacity summary'!I157)="x",$BI38*I38,VALUE('Capacity summary'!I157)),0),I38*$BI38),I38*$BI38),0)</f>
        <v>91.34615384615384</v>
      </c>
      <c r="BM38" s="311">
        <f ca="1">IF($BI38&lt;&gt;"",IF('Capacity summary'!$D$14="Yes",IF(COUNTBLANK('Capacity summary'!$H157:$BG157)&lt;52,IF('Capacity summary'!J157&lt;&gt;"",IF(LOWER('Capacity summary'!J157)="x",$BI38*J38,VALUE('Capacity summary'!J157)),0),J38*$BI38),J38*$BI38),0)</f>
        <v>91.34615384615384</v>
      </c>
      <c r="BN38" s="311">
        <f ca="1">IF($BI38&lt;&gt;"",IF('Capacity summary'!$D$14="Yes",IF(COUNTBLANK('Capacity summary'!$H157:$BG157)&lt;52,IF('Capacity summary'!K157&lt;&gt;"",IF(LOWER('Capacity summary'!K157)="x",$BI38*K38,VALUE('Capacity summary'!K157)),0),K38*$BI38),K38*$BI38),0)</f>
        <v>91.34615384615384</v>
      </c>
      <c r="BO38" s="311">
        <f ca="1">IF($BI38&lt;&gt;"",IF('Capacity summary'!$D$14="Yes",IF(COUNTBLANK('Capacity summary'!$H157:$BG157)&lt;52,IF('Capacity summary'!L157&lt;&gt;"",IF(LOWER('Capacity summary'!L157)="x",$BI38*L38,VALUE('Capacity summary'!L157)),0),L38*$BI38),L38*$BI38),0)</f>
        <v>91.34615384615384</v>
      </c>
      <c r="BP38" s="311">
        <f ca="1">IF($BI38&lt;&gt;"",IF('Capacity summary'!$D$14="Yes",IF(COUNTBLANK('Capacity summary'!$H157:$BG157)&lt;52,IF('Capacity summary'!M157&lt;&gt;"",IF(LOWER('Capacity summary'!M157)="x",$BI38*M38,VALUE('Capacity summary'!M157)),0),M38*$BI38),M38*$BI38),0)</f>
        <v>91.34615384615384</v>
      </c>
      <c r="BQ38" s="311">
        <f ca="1">IF($BI38&lt;&gt;"",IF('Capacity summary'!$D$14="Yes",IF(COUNTBLANK('Capacity summary'!$H157:$BG157)&lt;52,IF('Capacity summary'!N157&lt;&gt;"",IF(LOWER('Capacity summary'!N157)="x",$BI38*N38,VALUE('Capacity summary'!N157)),0),N38*$BI38),N38*$BI38),0)</f>
        <v>91.34615384615384</v>
      </c>
      <c r="BR38" s="311">
        <f ca="1">IF($BI38&lt;&gt;"",IF('Capacity summary'!$D$14="Yes",IF(COUNTBLANK('Capacity summary'!$H157:$BG157)&lt;52,IF('Capacity summary'!O157&lt;&gt;"",IF(LOWER('Capacity summary'!O157)="x",$BI38*O38,VALUE('Capacity summary'!O157)),0),O38*$BI38),O38*$BI38),0)</f>
        <v>91.34615384615384</v>
      </c>
      <c r="BS38" s="311">
        <f ca="1">IF($BI38&lt;&gt;"",IF('Capacity summary'!$D$14="Yes",IF(COUNTBLANK('Capacity summary'!$H157:$BG157)&lt;52,IF('Capacity summary'!P157&lt;&gt;"",IF(LOWER('Capacity summary'!P157)="x",$BI38*P38,VALUE('Capacity summary'!P157)),0),P38*$BI38),P38*$BI38),0)</f>
        <v>91.34615384615384</v>
      </c>
      <c r="BT38" s="311">
        <f ca="1">IF($BI38&lt;&gt;"",IF('Capacity summary'!$D$14="Yes",IF(COUNTBLANK('Capacity summary'!$H157:$BG157)&lt;52,IF('Capacity summary'!Q157&lt;&gt;"",IF(LOWER('Capacity summary'!Q157)="x",$BI38*Q38,VALUE('Capacity summary'!Q157)),0),Q38*$BI38),Q38*$BI38),0)</f>
        <v>91.34615384615384</v>
      </c>
      <c r="BU38" s="311">
        <f ca="1">IF($BI38&lt;&gt;"",IF('Capacity summary'!$D$14="Yes",IF(COUNTBLANK('Capacity summary'!$H157:$BG157)&lt;52,IF('Capacity summary'!R157&lt;&gt;"",IF(LOWER('Capacity summary'!R157)="x",$BI38*R38,VALUE('Capacity summary'!R157)),0),R38*$BI38),R38*$BI38),0)</f>
        <v>91.34615384615384</v>
      </c>
      <c r="BV38" s="311">
        <f ca="1">IF($BI38&lt;&gt;"",IF('Capacity summary'!$D$14="Yes",IF(COUNTBLANK('Capacity summary'!$H157:$BG157)&lt;52,IF('Capacity summary'!S157&lt;&gt;"",IF(LOWER('Capacity summary'!S157)="x",$BI38*S38,VALUE('Capacity summary'!S157)),0),S38*$BI38),S38*$BI38),0)</f>
        <v>91.34615384615384</v>
      </c>
      <c r="BW38" s="311">
        <f ca="1">IF($BI38&lt;&gt;"",IF('Capacity summary'!$D$14="Yes",IF(COUNTBLANK('Capacity summary'!$H157:$BG157)&lt;52,IF('Capacity summary'!T157&lt;&gt;"",IF(LOWER('Capacity summary'!T157)="x",$BI38*T38,VALUE('Capacity summary'!T157)),0),T38*$BI38),T38*$BI38),0)</f>
        <v>91.34615384615384</v>
      </c>
      <c r="BX38" s="311">
        <f ca="1">IF($BI38&lt;&gt;"",IF('Capacity summary'!$D$14="Yes",IF(COUNTBLANK('Capacity summary'!$H157:$BG157)&lt;52,IF('Capacity summary'!U157&lt;&gt;"",IF(LOWER('Capacity summary'!U157)="x",$BI38*U38,VALUE('Capacity summary'!U157)),0),U38*$BI38),U38*$BI38),0)</f>
        <v>91.34615384615384</v>
      </c>
      <c r="BY38" s="311">
        <f ca="1">IF($BI38&lt;&gt;"",IF('Capacity summary'!$D$14="Yes",IF(COUNTBLANK('Capacity summary'!$H157:$BG157)&lt;52,IF('Capacity summary'!V157&lt;&gt;"",IF(LOWER('Capacity summary'!V157)="x",$BI38*V38,VALUE('Capacity summary'!V157)),0),V38*$BI38),V38*$BI38),0)</f>
        <v>91.34615384615384</v>
      </c>
      <c r="BZ38" s="311">
        <f ca="1">IF($BI38&lt;&gt;"",IF('Capacity summary'!$D$14="Yes",IF(COUNTBLANK('Capacity summary'!$H157:$BG157)&lt;52,IF('Capacity summary'!W157&lt;&gt;"",IF(LOWER('Capacity summary'!W157)="x",$BI38*W38,VALUE('Capacity summary'!W157)),0),W38*$BI38),W38*$BI38),0)</f>
        <v>91.34615384615384</v>
      </c>
      <c r="CA38" s="311">
        <f ca="1">IF($BI38&lt;&gt;"",IF('Capacity summary'!$D$14="Yes",IF(COUNTBLANK('Capacity summary'!$H157:$BG157)&lt;52,IF('Capacity summary'!X157&lt;&gt;"",IF(LOWER('Capacity summary'!X157)="x",$BI38*X38,VALUE('Capacity summary'!X157)),0),X38*$BI38),X38*$BI38),0)</f>
        <v>91.34615384615384</v>
      </c>
      <c r="CB38" s="311">
        <f ca="1">IF($BI38&lt;&gt;"",IF('Capacity summary'!$D$14="Yes",IF(COUNTBLANK('Capacity summary'!$H157:$BG157)&lt;52,IF('Capacity summary'!Y157&lt;&gt;"",IF(LOWER('Capacity summary'!Y157)="x",$BI38*Y38,VALUE('Capacity summary'!Y157)),0),Y38*$BI38),Y38*$BI38),0)</f>
        <v>91.34615384615384</v>
      </c>
      <c r="CC38" s="311">
        <f ca="1">IF($BI38&lt;&gt;"",IF('Capacity summary'!$D$14="Yes",IF(COUNTBLANK('Capacity summary'!$H157:$BG157)&lt;52,IF('Capacity summary'!Z157&lt;&gt;"",IF(LOWER('Capacity summary'!Z157)="x",$BI38*Z38,VALUE('Capacity summary'!Z157)),0),Z38*$BI38),Z38*$BI38),0)</f>
        <v>91.34615384615384</v>
      </c>
      <c r="CD38" s="311">
        <f ca="1">IF($BI38&lt;&gt;"",IF('Capacity summary'!$D$14="Yes",IF(COUNTBLANK('Capacity summary'!$H157:$BG157)&lt;52,IF('Capacity summary'!AA157&lt;&gt;"",IF(LOWER('Capacity summary'!AA157)="x",$BI38*AA38,VALUE('Capacity summary'!AA157)),0),AA38*$BI38),AA38*$BI38),0)</f>
        <v>91.34615384615384</v>
      </c>
      <c r="CE38" s="311">
        <f ca="1">IF($BI38&lt;&gt;"",IF('Capacity summary'!$D$14="Yes",IF(COUNTBLANK('Capacity summary'!$H157:$BG157)&lt;52,IF('Capacity summary'!AB157&lt;&gt;"",IF(LOWER('Capacity summary'!AB157)="x",$BI38*AB38,VALUE('Capacity summary'!AB157)),0),AB38*$BI38),AB38*$BI38),0)</f>
        <v>91.34615384615384</v>
      </c>
      <c r="CF38" s="311">
        <f ca="1">IF($BI38&lt;&gt;"",IF('Capacity summary'!$D$14="Yes",IF(COUNTBLANK('Capacity summary'!$H157:$BG157)&lt;52,IF('Capacity summary'!AC157&lt;&gt;"",IF(LOWER('Capacity summary'!AC157)="x",$BI38*AC38,VALUE('Capacity summary'!AC157)),0),AC38*$BI38),AC38*$BI38),0)</f>
        <v>91.34615384615384</v>
      </c>
      <c r="CG38" s="311">
        <f ca="1">IF($BI38&lt;&gt;"",IF('Capacity summary'!$D$14="Yes",IF(COUNTBLANK('Capacity summary'!$H157:$BG157)&lt;52,IF('Capacity summary'!AD157&lt;&gt;"",IF(LOWER('Capacity summary'!AD157)="x",$BI38*AD38,VALUE('Capacity summary'!AD157)),0),AD38*$BI38),AD38*$BI38),0)</f>
        <v>91.34615384615384</v>
      </c>
      <c r="CH38" s="311">
        <f ca="1">IF($BI38&lt;&gt;"",IF('Capacity summary'!$D$14="Yes",IF(COUNTBLANK('Capacity summary'!$H157:$BG157)&lt;52,IF('Capacity summary'!AE157&lt;&gt;"",IF(LOWER('Capacity summary'!AE157)="x",$BI38*AE38,VALUE('Capacity summary'!AE157)),0),AE38*$BI38),AE38*$BI38),0)</f>
        <v>91.34615384615384</v>
      </c>
      <c r="CI38" s="311">
        <f ca="1">IF($BI38&lt;&gt;"",IF('Capacity summary'!$D$14="Yes",IF(COUNTBLANK('Capacity summary'!$H157:$BG157)&lt;52,IF('Capacity summary'!AF157&lt;&gt;"",IF(LOWER('Capacity summary'!AF157)="x",$BI38*AF38,VALUE('Capacity summary'!AF157)),0),AF38*$BI38),AF38*$BI38),0)</f>
        <v>91.34615384615384</v>
      </c>
      <c r="CJ38" s="311">
        <f ca="1">IF($BI38&lt;&gt;"",IF('Capacity summary'!$D$14="Yes",IF(COUNTBLANK('Capacity summary'!$H157:$BG157)&lt;52,IF('Capacity summary'!AG157&lt;&gt;"",IF(LOWER('Capacity summary'!AG157)="x",$BI38*AG38,VALUE('Capacity summary'!AG157)),0),AG38*$BI38),AG38*$BI38),0)</f>
        <v>91.34615384615384</v>
      </c>
      <c r="CK38" s="311">
        <f ca="1">IF($BI38&lt;&gt;"",IF('Capacity summary'!$D$14="Yes",IF(COUNTBLANK('Capacity summary'!$H157:$BG157)&lt;52,IF('Capacity summary'!AH157&lt;&gt;"",IF(LOWER('Capacity summary'!AH157)="x",$BI38*AH38,VALUE('Capacity summary'!AH157)),0),AH38*$BI38),AH38*$BI38),0)</f>
        <v>91.34615384615384</v>
      </c>
      <c r="CL38" s="311">
        <f ca="1">IF($BI38&lt;&gt;"",IF('Capacity summary'!$D$14="Yes",IF(COUNTBLANK('Capacity summary'!$H157:$BG157)&lt;52,IF('Capacity summary'!AI157&lt;&gt;"",IF(LOWER('Capacity summary'!AI157)="x",$BI38*AI38,VALUE('Capacity summary'!AI157)),0),AI38*$BI38),AI38*$BI38),0)</f>
        <v>91.34615384615384</v>
      </c>
      <c r="CM38" s="311">
        <f ca="1">IF($BI38&lt;&gt;"",IF('Capacity summary'!$D$14="Yes",IF(COUNTBLANK('Capacity summary'!$H157:$BG157)&lt;52,IF('Capacity summary'!AJ157&lt;&gt;"",IF(LOWER('Capacity summary'!AJ157)="x",$BI38*AJ38,VALUE('Capacity summary'!AJ157)),0),AJ38*$BI38),AJ38*$BI38),0)</f>
        <v>91.34615384615384</v>
      </c>
      <c r="CN38" s="311">
        <f ca="1">IF($BI38&lt;&gt;"",IF('Capacity summary'!$D$14="Yes",IF(COUNTBLANK('Capacity summary'!$H157:$BG157)&lt;52,IF('Capacity summary'!AK157&lt;&gt;"",IF(LOWER('Capacity summary'!AK157)="x",$BI38*AK38,VALUE('Capacity summary'!AK157)),0),AK38*$BI38),AK38*$BI38),0)</f>
        <v>91.34615384615384</v>
      </c>
      <c r="CO38" s="311">
        <f ca="1">IF($BI38&lt;&gt;"",IF('Capacity summary'!$D$14="Yes",IF(COUNTBLANK('Capacity summary'!$H157:$BG157)&lt;52,IF('Capacity summary'!AL157&lt;&gt;"",IF(LOWER('Capacity summary'!AL157)="x",$BI38*AL38,VALUE('Capacity summary'!AL157)),0),AL38*$BI38),AL38*$BI38),0)</f>
        <v>91.34615384615384</v>
      </c>
      <c r="CP38" s="311">
        <f ca="1">IF($BI38&lt;&gt;"",IF('Capacity summary'!$D$14="Yes",IF(COUNTBLANK('Capacity summary'!$H157:$BG157)&lt;52,IF('Capacity summary'!AM157&lt;&gt;"",IF(LOWER('Capacity summary'!AM157)="x",$BI38*AM38,VALUE('Capacity summary'!AM157)),0),AM38*$BI38),AM38*$BI38),0)</f>
        <v>91.34615384615384</v>
      </c>
      <c r="CQ38" s="311">
        <f ca="1">IF($BI38&lt;&gt;"",IF('Capacity summary'!$D$14="Yes",IF(COUNTBLANK('Capacity summary'!$H157:$BG157)&lt;52,IF('Capacity summary'!AN157&lt;&gt;"",IF(LOWER('Capacity summary'!AN157)="x",$BI38*AN38,VALUE('Capacity summary'!AN157)),0),AN38*$BI38),AN38*$BI38),0)</f>
        <v>91.34615384615384</v>
      </c>
      <c r="CR38" s="311">
        <f ca="1">IF($BI38&lt;&gt;"",IF('Capacity summary'!$D$14="Yes",IF(COUNTBLANK('Capacity summary'!$H157:$BG157)&lt;52,IF('Capacity summary'!AO157&lt;&gt;"",IF(LOWER('Capacity summary'!AO157)="x",$BI38*AO38,VALUE('Capacity summary'!AO157)),0),AO38*$BI38),AO38*$BI38),0)</f>
        <v>91.34615384615384</v>
      </c>
      <c r="CS38" s="311">
        <f ca="1">IF($BI38&lt;&gt;"",IF('Capacity summary'!$D$14="Yes",IF(COUNTBLANK('Capacity summary'!$H157:$BG157)&lt;52,IF('Capacity summary'!AP157&lt;&gt;"",IF(LOWER('Capacity summary'!AP157)="x",$BI38*AP38,VALUE('Capacity summary'!AP157)),0),AP38*$BI38),AP38*$BI38),0)</f>
        <v>91.34615384615384</v>
      </c>
      <c r="CT38" s="311">
        <f ca="1">IF($BI38&lt;&gt;"",IF('Capacity summary'!$D$14="Yes",IF(COUNTBLANK('Capacity summary'!$H157:$BG157)&lt;52,IF('Capacity summary'!AQ157&lt;&gt;"",IF(LOWER('Capacity summary'!AQ157)="x",$BI38*AQ38,VALUE('Capacity summary'!AQ157)),0),AQ38*$BI38),AQ38*$BI38),0)</f>
        <v>91.34615384615384</v>
      </c>
      <c r="CU38" s="311">
        <f ca="1">IF($BI38&lt;&gt;"",IF('Capacity summary'!$D$14="Yes",IF(COUNTBLANK('Capacity summary'!$H157:$BG157)&lt;52,IF('Capacity summary'!AR157&lt;&gt;"",IF(LOWER('Capacity summary'!AR157)="x",$BI38*AR38,VALUE('Capacity summary'!AR157)),0),AR38*$BI38),AR38*$BI38),0)</f>
        <v>91.34615384615384</v>
      </c>
      <c r="CV38" s="311">
        <f ca="1">IF($BI38&lt;&gt;"",IF('Capacity summary'!$D$14="Yes",IF(COUNTBLANK('Capacity summary'!$H157:$BG157)&lt;52,IF('Capacity summary'!AS157&lt;&gt;"",IF(LOWER('Capacity summary'!AS157)="x",$BI38*AS38,VALUE('Capacity summary'!AS157)),0),AS38*$BI38),AS38*$BI38),0)</f>
        <v>91.34615384615384</v>
      </c>
      <c r="CW38" s="311">
        <f ca="1">IF($BI38&lt;&gt;"",IF('Capacity summary'!$D$14="Yes",IF(COUNTBLANK('Capacity summary'!$H157:$BG157)&lt;52,IF('Capacity summary'!AT157&lt;&gt;"",IF(LOWER('Capacity summary'!AT157)="x",$BI38*AT38,VALUE('Capacity summary'!AT157)),0),AT38*$BI38),AT38*$BI38),0)</f>
        <v>91.34615384615384</v>
      </c>
      <c r="CX38" s="311">
        <f ca="1">IF($BI38&lt;&gt;"",IF('Capacity summary'!$D$14="Yes",IF(COUNTBLANK('Capacity summary'!$H157:$BG157)&lt;52,IF('Capacity summary'!AU157&lt;&gt;"",IF(LOWER('Capacity summary'!AU157)="x",$BI38*AU38,VALUE('Capacity summary'!AU157)),0),AU38*$BI38),AU38*$BI38),0)</f>
        <v>91.34615384615384</v>
      </c>
      <c r="CY38" s="311">
        <f ca="1">IF($BI38&lt;&gt;"",IF('Capacity summary'!$D$14="Yes",IF(COUNTBLANK('Capacity summary'!$H157:$BG157)&lt;52,IF('Capacity summary'!AV157&lt;&gt;"",IF(LOWER('Capacity summary'!AV157)="x",$BI38*AV38,VALUE('Capacity summary'!AV157)),0),AV38*$BI38),AV38*$BI38),0)</f>
        <v>91.34615384615384</v>
      </c>
      <c r="CZ38" s="311">
        <f ca="1">IF($BI38&lt;&gt;"",IF('Capacity summary'!$D$14="Yes",IF(COUNTBLANK('Capacity summary'!$H157:$BG157)&lt;52,IF('Capacity summary'!AW157&lt;&gt;"",IF(LOWER('Capacity summary'!AW157)="x",$BI38*AW38,VALUE('Capacity summary'!AW157)),0),AW38*$BI38),AW38*$BI38),0)</f>
        <v>91.34615384615384</v>
      </c>
      <c r="DA38" s="311">
        <f ca="1">IF($BI38&lt;&gt;"",IF('Capacity summary'!$D$14="Yes",IF(COUNTBLANK('Capacity summary'!$H157:$BG157)&lt;52,IF('Capacity summary'!AX157&lt;&gt;"",IF(LOWER('Capacity summary'!AX157)="x",$BI38*AX38,VALUE('Capacity summary'!AX157)),0),AX38*$BI38),AX38*$BI38),0)</f>
        <v>91.34615384615384</v>
      </c>
      <c r="DB38" s="311">
        <f ca="1">IF($BI38&lt;&gt;"",IF('Capacity summary'!$D$14="Yes",IF(COUNTBLANK('Capacity summary'!$H157:$BG157)&lt;52,IF('Capacity summary'!AY157&lt;&gt;"",IF(LOWER('Capacity summary'!AY157)="x",$BI38*AY38,VALUE('Capacity summary'!AY157)),0),AY38*$BI38),AY38*$BI38),0)</f>
        <v>91.34615384615384</v>
      </c>
      <c r="DC38" s="311">
        <f ca="1">IF($BI38&lt;&gt;"",IF('Capacity summary'!$D$14="Yes",IF(COUNTBLANK('Capacity summary'!$H157:$BG157)&lt;52,IF('Capacity summary'!AZ157&lt;&gt;"",IF(LOWER('Capacity summary'!AZ157)="x",$BI38*AZ38,VALUE('Capacity summary'!AZ157)),0),AZ38*$BI38),AZ38*$BI38),0)</f>
        <v>91.34615384615384</v>
      </c>
      <c r="DD38" s="311">
        <f ca="1">IF($BI38&lt;&gt;"",IF('Capacity summary'!$D$14="Yes",IF(COUNTBLANK('Capacity summary'!$H157:$BG157)&lt;52,IF('Capacity summary'!BA157&lt;&gt;"",IF(LOWER('Capacity summary'!BA157)="x",$BI38*BA38,VALUE('Capacity summary'!BA157)),0),BA38*$BI38),BA38*$BI38),0)</f>
        <v>91.34615384615384</v>
      </c>
      <c r="DE38" s="311">
        <f ca="1">IF($BI38&lt;&gt;"",IF('Capacity summary'!$D$14="Yes",IF(COUNTBLANK('Capacity summary'!$H157:$BG157)&lt;52,IF('Capacity summary'!BB157&lt;&gt;"",IF(LOWER('Capacity summary'!BB157)="x",$BI38*BB38,VALUE('Capacity summary'!BB157)),0),BB38*$BI38),BB38*$BI38),0)</f>
        <v>91.34615384615384</v>
      </c>
      <c r="DF38" s="311">
        <f ca="1">IF($BI38&lt;&gt;"",IF('Capacity summary'!$D$14="Yes",IF(COUNTBLANK('Capacity summary'!$H157:$BG157)&lt;52,IF('Capacity summary'!BC157&lt;&gt;"",IF(LOWER('Capacity summary'!BC157)="x",$BI38*BC38,VALUE('Capacity summary'!BC157)),0),BC38*$BI38),BC38*$BI38),0)</f>
        <v>91.34615384615384</v>
      </c>
      <c r="DG38" s="311">
        <f ca="1">IF($BI38&lt;&gt;"",IF('Capacity summary'!$D$14="Yes",IF(COUNTBLANK('Capacity summary'!$H157:$BG157)&lt;52,IF('Capacity summary'!BD157&lt;&gt;"",IF(LOWER('Capacity summary'!BD157)="x",$BI38*BD38,VALUE('Capacity summary'!BD157)),0),BD38*$BI38),BD38*$BI38),0)</f>
        <v>91.34615384615384</v>
      </c>
      <c r="DH38" s="311">
        <f ca="1">IF($BI38&lt;&gt;"",IF('Capacity summary'!$D$14="Yes",IF(COUNTBLANK('Capacity summary'!$H157:$BG157)&lt;52,IF('Capacity summary'!BE157&lt;&gt;"",IF(LOWER('Capacity summary'!BE157)="x",$BI38*BE38,VALUE('Capacity summary'!BE157)),0),BE38*$BI38),BE38*$BI38),0)</f>
        <v>91.34615384615384</v>
      </c>
      <c r="DI38" s="311">
        <f ca="1">IF($BI38&lt;&gt;"",IF('Capacity summary'!$D$14="Yes",IF(COUNTBLANK('Capacity summary'!$H157:$BG157)&lt;52,IF('Capacity summary'!BF157&lt;&gt;"",IF(LOWER('Capacity summary'!BF157)="x",$BI38*BF38,VALUE('Capacity summary'!BF157)),0),BF38*$BI38),BF38*$BI38),0)</f>
        <v>91.34615384615384</v>
      </c>
      <c r="DJ38" s="311">
        <f ca="1">IF($BI38&lt;&gt;"",IF('Capacity summary'!$D$14="Yes",IF(COUNTBLANK('Capacity summary'!$H157:$BG157)&lt;52,IF('Capacity summary'!BG157&lt;&gt;"",IF(LOWER('Capacity summary'!BG157)="x",$BI38*BG38,VALUE('Capacity summary'!BG157)),0),BG38*$BI38),BG38*$BI38),0)</f>
        <v>91.34615384615384</v>
      </c>
      <c r="DK38" s="388">
        <f t="shared" ca="1" si="2"/>
        <v>91.34615384615384</v>
      </c>
      <c r="DL38" s="136">
        <f t="shared" ca="1" si="3"/>
        <v>4750.0000000000018</v>
      </c>
      <c r="DM38" s="311">
        <f>Capacity!H50</f>
        <v>4750</v>
      </c>
      <c r="DQ38" s="5"/>
    </row>
    <row r="39" spans="1:121" x14ac:dyDescent="0.2">
      <c r="A39" s="67">
        <f>IF(Capacity!L51='Capacity summary'!BI158,1,0)</f>
        <v>1</v>
      </c>
      <c r="B39" s="67">
        <f>IF(Capacity!V51='Capacity summary'!BI58,1,0)</f>
        <v>1</v>
      </c>
      <c r="C39" s="67" t="str">
        <f>ROW(A35)&amp;". "&amp;Capacity!B51</f>
        <v>35. 2 ww</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 ca="1">IF(ROW(C35)&lt;=Capacity!$A$16,IF('Capacity summary'!$D$14="No",SUM(H39:BG39),'Capacity summary'!$E158),0)</f>
        <v>52</v>
      </c>
      <c r="BI39" s="5">
        <f ca="1">IF(BH39&gt;0,IF(BH39&lt;Capacity!E51,Capacity!F51,Capacity!H51/'Capacity calculation (hide)'!BH39),"")</f>
        <v>173.07692307692307</v>
      </c>
      <c r="BK39" s="311">
        <f ca="1">IF($BI39&lt;&gt;"",IF('Capacity summary'!$D$14="Yes",IF(COUNTBLANK('Capacity summary'!$H158:$BG158)&lt;52,IF('Capacity summary'!H158&lt;&gt;"",IF(LOWER('Capacity summary'!H158)="x",$BI39*H39,VALUE('Capacity summary'!H158)),0),H39*$BI39),H39*$BI39),0)</f>
        <v>173.07692307692307</v>
      </c>
      <c r="BL39" s="311">
        <f ca="1">IF($BI39&lt;&gt;"",IF('Capacity summary'!$D$14="Yes",IF(COUNTBLANK('Capacity summary'!$H158:$BG158)&lt;52,IF('Capacity summary'!I158&lt;&gt;"",IF(LOWER('Capacity summary'!I158)="x",$BI39*I39,VALUE('Capacity summary'!I158)),0),I39*$BI39),I39*$BI39),0)</f>
        <v>173.07692307692307</v>
      </c>
      <c r="BM39" s="311">
        <f ca="1">IF($BI39&lt;&gt;"",IF('Capacity summary'!$D$14="Yes",IF(COUNTBLANK('Capacity summary'!$H158:$BG158)&lt;52,IF('Capacity summary'!J158&lt;&gt;"",IF(LOWER('Capacity summary'!J158)="x",$BI39*J39,VALUE('Capacity summary'!J158)),0),J39*$BI39),J39*$BI39),0)</f>
        <v>173.07692307692307</v>
      </c>
      <c r="BN39" s="311">
        <f ca="1">IF($BI39&lt;&gt;"",IF('Capacity summary'!$D$14="Yes",IF(COUNTBLANK('Capacity summary'!$H158:$BG158)&lt;52,IF('Capacity summary'!K158&lt;&gt;"",IF(LOWER('Capacity summary'!K158)="x",$BI39*K39,VALUE('Capacity summary'!K158)),0),K39*$BI39),K39*$BI39),0)</f>
        <v>173.07692307692307</v>
      </c>
      <c r="BO39" s="311">
        <f ca="1">IF($BI39&lt;&gt;"",IF('Capacity summary'!$D$14="Yes",IF(COUNTBLANK('Capacity summary'!$H158:$BG158)&lt;52,IF('Capacity summary'!L158&lt;&gt;"",IF(LOWER('Capacity summary'!L158)="x",$BI39*L39,VALUE('Capacity summary'!L158)),0),L39*$BI39),L39*$BI39),0)</f>
        <v>173.07692307692307</v>
      </c>
      <c r="BP39" s="311">
        <f ca="1">IF($BI39&lt;&gt;"",IF('Capacity summary'!$D$14="Yes",IF(COUNTBLANK('Capacity summary'!$H158:$BG158)&lt;52,IF('Capacity summary'!M158&lt;&gt;"",IF(LOWER('Capacity summary'!M158)="x",$BI39*M39,VALUE('Capacity summary'!M158)),0),M39*$BI39),M39*$BI39),0)</f>
        <v>173.07692307692307</v>
      </c>
      <c r="BQ39" s="311">
        <f ca="1">IF($BI39&lt;&gt;"",IF('Capacity summary'!$D$14="Yes",IF(COUNTBLANK('Capacity summary'!$H158:$BG158)&lt;52,IF('Capacity summary'!N158&lt;&gt;"",IF(LOWER('Capacity summary'!N158)="x",$BI39*N39,VALUE('Capacity summary'!N158)),0),N39*$BI39),N39*$BI39),0)</f>
        <v>173.07692307692307</v>
      </c>
      <c r="BR39" s="311">
        <f ca="1">IF($BI39&lt;&gt;"",IF('Capacity summary'!$D$14="Yes",IF(COUNTBLANK('Capacity summary'!$H158:$BG158)&lt;52,IF('Capacity summary'!O158&lt;&gt;"",IF(LOWER('Capacity summary'!O158)="x",$BI39*O39,VALUE('Capacity summary'!O158)),0),O39*$BI39),O39*$BI39),0)</f>
        <v>173.07692307692307</v>
      </c>
      <c r="BS39" s="311">
        <f ca="1">IF($BI39&lt;&gt;"",IF('Capacity summary'!$D$14="Yes",IF(COUNTBLANK('Capacity summary'!$H158:$BG158)&lt;52,IF('Capacity summary'!P158&lt;&gt;"",IF(LOWER('Capacity summary'!P158)="x",$BI39*P39,VALUE('Capacity summary'!P158)),0),P39*$BI39),P39*$BI39),0)</f>
        <v>173.07692307692307</v>
      </c>
      <c r="BT39" s="311">
        <f ca="1">IF($BI39&lt;&gt;"",IF('Capacity summary'!$D$14="Yes",IF(COUNTBLANK('Capacity summary'!$H158:$BG158)&lt;52,IF('Capacity summary'!Q158&lt;&gt;"",IF(LOWER('Capacity summary'!Q158)="x",$BI39*Q39,VALUE('Capacity summary'!Q158)),0),Q39*$BI39),Q39*$BI39),0)</f>
        <v>173.07692307692307</v>
      </c>
      <c r="BU39" s="311">
        <f ca="1">IF($BI39&lt;&gt;"",IF('Capacity summary'!$D$14="Yes",IF(COUNTBLANK('Capacity summary'!$H158:$BG158)&lt;52,IF('Capacity summary'!R158&lt;&gt;"",IF(LOWER('Capacity summary'!R158)="x",$BI39*R39,VALUE('Capacity summary'!R158)),0),R39*$BI39),R39*$BI39),0)</f>
        <v>173.07692307692307</v>
      </c>
      <c r="BV39" s="311">
        <f ca="1">IF($BI39&lt;&gt;"",IF('Capacity summary'!$D$14="Yes",IF(COUNTBLANK('Capacity summary'!$H158:$BG158)&lt;52,IF('Capacity summary'!S158&lt;&gt;"",IF(LOWER('Capacity summary'!S158)="x",$BI39*S39,VALUE('Capacity summary'!S158)),0),S39*$BI39),S39*$BI39),0)</f>
        <v>173.07692307692307</v>
      </c>
      <c r="BW39" s="311">
        <f ca="1">IF($BI39&lt;&gt;"",IF('Capacity summary'!$D$14="Yes",IF(COUNTBLANK('Capacity summary'!$H158:$BG158)&lt;52,IF('Capacity summary'!T158&lt;&gt;"",IF(LOWER('Capacity summary'!T158)="x",$BI39*T39,VALUE('Capacity summary'!T158)),0),T39*$BI39),T39*$BI39),0)</f>
        <v>173.07692307692307</v>
      </c>
      <c r="BX39" s="311">
        <f ca="1">IF($BI39&lt;&gt;"",IF('Capacity summary'!$D$14="Yes",IF(COUNTBLANK('Capacity summary'!$H158:$BG158)&lt;52,IF('Capacity summary'!U158&lt;&gt;"",IF(LOWER('Capacity summary'!U158)="x",$BI39*U39,VALUE('Capacity summary'!U158)),0),U39*$BI39),U39*$BI39),0)</f>
        <v>173.07692307692307</v>
      </c>
      <c r="BY39" s="311">
        <f ca="1">IF($BI39&lt;&gt;"",IF('Capacity summary'!$D$14="Yes",IF(COUNTBLANK('Capacity summary'!$H158:$BG158)&lt;52,IF('Capacity summary'!V158&lt;&gt;"",IF(LOWER('Capacity summary'!V158)="x",$BI39*V39,VALUE('Capacity summary'!V158)),0),V39*$BI39),V39*$BI39),0)</f>
        <v>173.07692307692307</v>
      </c>
      <c r="BZ39" s="311">
        <f ca="1">IF($BI39&lt;&gt;"",IF('Capacity summary'!$D$14="Yes",IF(COUNTBLANK('Capacity summary'!$H158:$BG158)&lt;52,IF('Capacity summary'!W158&lt;&gt;"",IF(LOWER('Capacity summary'!W158)="x",$BI39*W39,VALUE('Capacity summary'!W158)),0),W39*$BI39),W39*$BI39),0)</f>
        <v>173.07692307692307</v>
      </c>
      <c r="CA39" s="311">
        <f ca="1">IF($BI39&lt;&gt;"",IF('Capacity summary'!$D$14="Yes",IF(COUNTBLANK('Capacity summary'!$H158:$BG158)&lt;52,IF('Capacity summary'!X158&lt;&gt;"",IF(LOWER('Capacity summary'!X158)="x",$BI39*X39,VALUE('Capacity summary'!X158)),0),X39*$BI39),X39*$BI39),0)</f>
        <v>173.07692307692307</v>
      </c>
      <c r="CB39" s="311">
        <f ca="1">IF($BI39&lt;&gt;"",IF('Capacity summary'!$D$14="Yes",IF(COUNTBLANK('Capacity summary'!$H158:$BG158)&lt;52,IF('Capacity summary'!Y158&lt;&gt;"",IF(LOWER('Capacity summary'!Y158)="x",$BI39*Y39,VALUE('Capacity summary'!Y158)),0),Y39*$BI39),Y39*$BI39),0)</f>
        <v>173.07692307692307</v>
      </c>
      <c r="CC39" s="311">
        <f ca="1">IF($BI39&lt;&gt;"",IF('Capacity summary'!$D$14="Yes",IF(COUNTBLANK('Capacity summary'!$H158:$BG158)&lt;52,IF('Capacity summary'!Z158&lt;&gt;"",IF(LOWER('Capacity summary'!Z158)="x",$BI39*Z39,VALUE('Capacity summary'!Z158)),0),Z39*$BI39),Z39*$BI39),0)</f>
        <v>173.07692307692307</v>
      </c>
      <c r="CD39" s="311">
        <f ca="1">IF($BI39&lt;&gt;"",IF('Capacity summary'!$D$14="Yes",IF(COUNTBLANK('Capacity summary'!$H158:$BG158)&lt;52,IF('Capacity summary'!AA158&lt;&gt;"",IF(LOWER('Capacity summary'!AA158)="x",$BI39*AA39,VALUE('Capacity summary'!AA158)),0),AA39*$BI39),AA39*$BI39),0)</f>
        <v>173.07692307692307</v>
      </c>
      <c r="CE39" s="311">
        <f ca="1">IF($BI39&lt;&gt;"",IF('Capacity summary'!$D$14="Yes",IF(COUNTBLANK('Capacity summary'!$H158:$BG158)&lt;52,IF('Capacity summary'!AB158&lt;&gt;"",IF(LOWER('Capacity summary'!AB158)="x",$BI39*AB39,VALUE('Capacity summary'!AB158)),0),AB39*$BI39),AB39*$BI39),0)</f>
        <v>173.07692307692307</v>
      </c>
      <c r="CF39" s="311">
        <f ca="1">IF($BI39&lt;&gt;"",IF('Capacity summary'!$D$14="Yes",IF(COUNTBLANK('Capacity summary'!$H158:$BG158)&lt;52,IF('Capacity summary'!AC158&lt;&gt;"",IF(LOWER('Capacity summary'!AC158)="x",$BI39*AC39,VALUE('Capacity summary'!AC158)),0),AC39*$BI39),AC39*$BI39),0)</f>
        <v>173.07692307692307</v>
      </c>
      <c r="CG39" s="311">
        <f ca="1">IF($BI39&lt;&gt;"",IF('Capacity summary'!$D$14="Yes",IF(COUNTBLANK('Capacity summary'!$H158:$BG158)&lt;52,IF('Capacity summary'!AD158&lt;&gt;"",IF(LOWER('Capacity summary'!AD158)="x",$BI39*AD39,VALUE('Capacity summary'!AD158)),0),AD39*$BI39),AD39*$BI39),0)</f>
        <v>173.07692307692307</v>
      </c>
      <c r="CH39" s="311">
        <f ca="1">IF($BI39&lt;&gt;"",IF('Capacity summary'!$D$14="Yes",IF(COUNTBLANK('Capacity summary'!$H158:$BG158)&lt;52,IF('Capacity summary'!AE158&lt;&gt;"",IF(LOWER('Capacity summary'!AE158)="x",$BI39*AE39,VALUE('Capacity summary'!AE158)),0),AE39*$BI39),AE39*$BI39),0)</f>
        <v>173.07692307692307</v>
      </c>
      <c r="CI39" s="311">
        <f ca="1">IF($BI39&lt;&gt;"",IF('Capacity summary'!$D$14="Yes",IF(COUNTBLANK('Capacity summary'!$H158:$BG158)&lt;52,IF('Capacity summary'!AF158&lt;&gt;"",IF(LOWER('Capacity summary'!AF158)="x",$BI39*AF39,VALUE('Capacity summary'!AF158)),0),AF39*$BI39),AF39*$BI39),0)</f>
        <v>173.07692307692307</v>
      </c>
      <c r="CJ39" s="311">
        <f ca="1">IF($BI39&lt;&gt;"",IF('Capacity summary'!$D$14="Yes",IF(COUNTBLANK('Capacity summary'!$H158:$BG158)&lt;52,IF('Capacity summary'!AG158&lt;&gt;"",IF(LOWER('Capacity summary'!AG158)="x",$BI39*AG39,VALUE('Capacity summary'!AG158)),0),AG39*$BI39),AG39*$BI39),0)</f>
        <v>173.07692307692307</v>
      </c>
      <c r="CK39" s="311">
        <f ca="1">IF($BI39&lt;&gt;"",IF('Capacity summary'!$D$14="Yes",IF(COUNTBLANK('Capacity summary'!$H158:$BG158)&lt;52,IF('Capacity summary'!AH158&lt;&gt;"",IF(LOWER('Capacity summary'!AH158)="x",$BI39*AH39,VALUE('Capacity summary'!AH158)),0),AH39*$BI39),AH39*$BI39),0)</f>
        <v>173.07692307692307</v>
      </c>
      <c r="CL39" s="311">
        <f ca="1">IF($BI39&lt;&gt;"",IF('Capacity summary'!$D$14="Yes",IF(COUNTBLANK('Capacity summary'!$H158:$BG158)&lt;52,IF('Capacity summary'!AI158&lt;&gt;"",IF(LOWER('Capacity summary'!AI158)="x",$BI39*AI39,VALUE('Capacity summary'!AI158)),0),AI39*$BI39),AI39*$BI39),0)</f>
        <v>173.07692307692307</v>
      </c>
      <c r="CM39" s="311">
        <f ca="1">IF($BI39&lt;&gt;"",IF('Capacity summary'!$D$14="Yes",IF(COUNTBLANK('Capacity summary'!$H158:$BG158)&lt;52,IF('Capacity summary'!AJ158&lt;&gt;"",IF(LOWER('Capacity summary'!AJ158)="x",$BI39*AJ39,VALUE('Capacity summary'!AJ158)),0),AJ39*$BI39),AJ39*$BI39),0)</f>
        <v>173.07692307692307</v>
      </c>
      <c r="CN39" s="311">
        <f ca="1">IF($BI39&lt;&gt;"",IF('Capacity summary'!$D$14="Yes",IF(COUNTBLANK('Capacity summary'!$H158:$BG158)&lt;52,IF('Capacity summary'!AK158&lt;&gt;"",IF(LOWER('Capacity summary'!AK158)="x",$BI39*AK39,VALUE('Capacity summary'!AK158)),0),AK39*$BI39),AK39*$BI39),0)</f>
        <v>173.07692307692307</v>
      </c>
      <c r="CO39" s="311">
        <f ca="1">IF($BI39&lt;&gt;"",IF('Capacity summary'!$D$14="Yes",IF(COUNTBLANK('Capacity summary'!$H158:$BG158)&lt;52,IF('Capacity summary'!AL158&lt;&gt;"",IF(LOWER('Capacity summary'!AL158)="x",$BI39*AL39,VALUE('Capacity summary'!AL158)),0),AL39*$BI39),AL39*$BI39),0)</f>
        <v>173.07692307692307</v>
      </c>
      <c r="CP39" s="311">
        <f ca="1">IF($BI39&lt;&gt;"",IF('Capacity summary'!$D$14="Yes",IF(COUNTBLANK('Capacity summary'!$H158:$BG158)&lt;52,IF('Capacity summary'!AM158&lt;&gt;"",IF(LOWER('Capacity summary'!AM158)="x",$BI39*AM39,VALUE('Capacity summary'!AM158)),0),AM39*$BI39),AM39*$BI39),0)</f>
        <v>173.07692307692307</v>
      </c>
      <c r="CQ39" s="311">
        <f ca="1">IF($BI39&lt;&gt;"",IF('Capacity summary'!$D$14="Yes",IF(COUNTBLANK('Capacity summary'!$H158:$BG158)&lt;52,IF('Capacity summary'!AN158&lt;&gt;"",IF(LOWER('Capacity summary'!AN158)="x",$BI39*AN39,VALUE('Capacity summary'!AN158)),0),AN39*$BI39),AN39*$BI39),0)</f>
        <v>173.07692307692307</v>
      </c>
      <c r="CR39" s="311">
        <f ca="1">IF($BI39&lt;&gt;"",IF('Capacity summary'!$D$14="Yes",IF(COUNTBLANK('Capacity summary'!$H158:$BG158)&lt;52,IF('Capacity summary'!AO158&lt;&gt;"",IF(LOWER('Capacity summary'!AO158)="x",$BI39*AO39,VALUE('Capacity summary'!AO158)),0),AO39*$BI39),AO39*$BI39),0)</f>
        <v>173.07692307692307</v>
      </c>
      <c r="CS39" s="311">
        <f ca="1">IF($BI39&lt;&gt;"",IF('Capacity summary'!$D$14="Yes",IF(COUNTBLANK('Capacity summary'!$H158:$BG158)&lt;52,IF('Capacity summary'!AP158&lt;&gt;"",IF(LOWER('Capacity summary'!AP158)="x",$BI39*AP39,VALUE('Capacity summary'!AP158)),0),AP39*$BI39),AP39*$BI39),0)</f>
        <v>173.07692307692307</v>
      </c>
      <c r="CT39" s="311">
        <f ca="1">IF($BI39&lt;&gt;"",IF('Capacity summary'!$D$14="Yes",IF(COUNTBLANK('Capacity summary'!$H158:$BG158)&lt;52,IF('Capacity summary'!AQ158&lt;&gt;"",IF(LOWER('Capacity summary'!AQ158)="x",$BI39*AQ39,VALUE('Capacity summary'!AQ158)),0),AQ39*$BI39),AQ39*$BI39),0)</f>
        <v>173.07692307692307</v>
      </c>
      <c r="CU39" s="311">
        <f ca="1">IF($BI39&lt;&gt;"",IF('Capacity summary'!$D$14="Yes",IF(COUNTBLANK('Capacity summary'!$H158:$BG158)&lt;52,IF('Capacity summary'!AR158&lt;&gt;"",IF(LOWER('Capacity summary'!AR158)="x",$BI39*AR39,VALUE('Capacity summary'!AR158)),0),AR39*$BI39),AR39*$BI39),0)</f>
        <v>173.07692307692307</v>
      </c>
      <c r="CV39" s="311">
        <f ca="1">IF($BI39&lt;&gt;"",IF('Capacity summary'!$D$14="Yes",IF(COUNTBLANK('Capacity summary'!$H158:$BG158)&lt;52,IF('Capacity summary'!AS158&lt;&gt;"",IF(LOWER('Capacity summary'!AS158)="x",$BI39*AS39,VALUE('Capacity summary'!AS158)),0),AS39*$BI39),AS39*$BI39),0)</f>
        <v>173.07692307692307</v>
      </c>
      <c r="CW39" s="311">
        <f ca="1">IF($BI39&lt;&gt;"",IF('Capacity summary'!$D$14="Yes",IF(COUNTBLANK('Capacity summary'!$H158:$BG158)&lt;52,IF('Capacity summary'!AT158&lt;&gt;"",IF(LOWER('Capacity summary'!AT158)="x",$BI39*AT39,VALUE('Capacity summary'!AT158)),0),AT39*$BI39),AT39*$BI39),0)</f>
        <v>173.07692307692307</v>
      </c>
      <c r="CX39" s="311">
        <f ca="1">IF($BI39&lt;&gt;"",IF('Capacity summary'!$D$14="Yes",IF(COUNTBLANK('Capacity summary'!$H158:$BG158)&lt;52,IF('Capacity summary'!AU158&lt;&gt;"",IF(LOWER('Capacity summary'!AU158)="x",$BI39*AU39,VALUE('Capacity summary'!AU158)),0),AU39*$BI39),AU39*$BI39),0)</f>
        <v>173.07692307692307</v>
      </c>
      <c r="CY39" s="311">
        <f ca="1">IF($BI39&lt;&gt;"",IF('Capacity summary'!$D$14="Yes",IF(COUNTBLANK('Capacity summary'!$H158:$BG158)&lt;52,IF('Capacity summary'!AV158&lt;&gt;"",IF(LOWER('Capacity summary'!AV158)="x",$BI39*AV39,VALUE('Capacity summary'!AV158)),0),AV39*$BI39),AV39*$BI39),0)</f>
        <v>173.07692307692307</v>
      </c>
      <c r="CZ39" s="311">
        <f ca="1">IF($BI39&lt;&gt;"",IF('Capacity summary'!$D$14="Yes",IF(COUNTBLANK('Capacity summary'!$H158:$BG158)&lt;52,IF('Capacity summary'!AW158&lt;&gt;"",IF(LOWER('Capacity summary'!AW158)="x",$BI39*AW39,VALUE('Capacity summary'!AW158)),0),AW39*$BI39),AW39*$BI39),0)</f>
        <v>173.07692307692307</v>
      </c>
      <c r="DA39" s="311">
        <f ca="1">IF($BI39&lt;&gt;"",IF('Capacity summary'!$D$14="Yes",IF(COUNTBLANK('Capacity summary'!$H158:$BG158)&lt;52,IF('Capacity summary'!AX158&lt;&gt;"",IF(LOWER('Capacity summary'!AX158)="x",$BI39*AX39,VALUE('Capacity summary'!AX158)),0),AX39*$BI39),AX39*$BI39),0)</f>
        <v>173.07692307692307</v>
      </c>
      <c r="DB39" s="311">
        <f ca="1">IF($BI39&lt;&gt;"",IF('Capacity summary'!$D$14="Yes",IF(COUNTBLANK('Capacity summary'!$H158:$BG158)&lt;52,IF('Capacity summary'!AY158&lt;&gt;"",IF(LOWER('Capacity summary'!AY158)="x",$BI39*AY39,VALUE('Capacity summary'!AY158)),0),AY39*$BI39),AY39*$BI39),0)</f>
        <v>173.07692307692307</v>
      </c>
      <c r="DC39" s="311">
        <f ca="1">IF($BI39&lt;&gt;"",IF('Capacity summary'!$D$14="Yes",IF(COUNTBLANK('Capacity summary'!$H158:$BG158)&lt;52,IF('Capacity summary'!AZ158&lt;&gt;"",IF(LOWER('Capacity summary'!AZ158)="x",$BI39*AZ39,VALUE('Capacity summary'!AZ158)),0),AZ39*$BI39),AZ39*$BI39),0)</f>
        <v>173.07692307692307</v>
      </c>
      <c r="DD39" s="311">
        <f ca="1">IF($BI39&lt;&gt;"",IF('Capacity summary'!$D$14="Yes",IF(COUNTBLANK('Capacity summary'!$H158:$BG158)&lt;52,IF('Capacity summary'!BA158&lt;&gt;"",IF(LOWER('Capacity summary'!BA158)="x",$BI39*BA39,VALUE('Capacity summary'!BA158)),0),BA39*$BI39),BA39*$BI39),0)</f>
        <v>173.07692307692307</v>
      </c>
      <c r="DE39" s="311">
        <f ca="1">IF($BI39&lt;&gt;"",IF('Capacity summary'!$D$14="Yes",IF(COUNTBLANK('Capacity summary'!$H158:$BG158)&lt;52,IF('Capacity summary'!BB158&lt;&gt;"",IF(LOWER('Capacity summary'!BB158)="x",$BI39*BB39,VALUE('Capacity summary'!BB158)),0),BB39*$BI39),BB39*$BI39),0)</f>
        <v>173.07692307692307</v>
      </c>
      <c r="DF39" s="311">
        <f ca="1">IF($BI39&lt;&gt;"",IF('Capacity summary'!$D$14="Yes",IF(COUNTBLANK('Capacity summary'!$H158:$BG158)&lt;52,IF('Capacity summary'!BC158&lt;&gt;"",IF(LOWER('Capacity summary'!BC158)="x",$BI39*BC39,VALUE('Capacity summary'!BC158)),0),BC39*$BI39),BC39*$BI39),0)</f>
        <v>173.07692307692307</v>
      </c>
      <c r="DG39" s="311">
        <f ca="1">IF($BI39&lt;&gt;"",IF('Capacity summary'!$D$14="Yes",IF(COUNTBLANK('Capacity summary'!$H158:$BG158)&lt;52,IF('Capacity summary'!BD158&lt;&gt;"",IF(LOWER('Capacity summary'!BD158)="x",$BI39*BD39,VALUE('Capacity summary'!BD158)),0),BD39*$BI39),BD39*$BI39),0)</f>
        <v>173.07692307692307</v>
      </c>
      <c r="DH39" s="311">
        <f ca="1">IF($BI39&lt;&gt;"",IF('Capacity summary'!$D$14="Yes",IF(COUNTBLANK('Capacity summary'!$H158:$BG158)&lt;52,IF('Capacity summary'!BE158&lt;&gt;"",IF(LOWER('Capacity summary'!BE158)="x",$BI39*BE39,VALUE('Capacity summary'!BE158)),0),BE39*$BI39),BE39*$BI39),0)</f>
        <v>173.07692307692307</v>
      </c>
      <c r="DI39" s="311">
        <f ca="1">IF($BI39&lt;&gt;"",IF('Capacity summary'!$D$14="Yes",IF(COUNTBLANK('Capacity summary'!$H158:$BG158)&lt;52,IF('Capacity summary'!BF158&lt;&gt;"",IF(LOWER('Capacity summary'!BF158)="x",$BI39*BF39,VALUE('Capacity summary'!BF158)),0),BF39*$BI39),BF39*$BI39),0)</f>
        <v>173.07692307692307</v>
      </c>
      <c r="DJ39" s="311">
        <f ca="1">IF($BI39&lt;&gt;"",IF('Capacity summary'!$D$14="Yes",IF(COUNTBLANK('Capacity summary'!$H158:$BG158)&lt;52,IF('Capacity summary'!BG158&lt;&gt;"",IF(LOWER('Capacity summary'!BG158)="x",$BI39*BG39,VALUE('Capacity summary'!BG158)),0),BG39*$BI39),BG39*$BI39),0)</f>
        <v>173.07692307692307</v>
      </c>
      <c r="DK39" s="388">
        <f t="shared" ca="1" si="2"/>
        <v>173.07692307692307</v>
      </c>
      <c r="DL39" s="136">
        <f t="shared" ca="1" si="3"/>
        <v>8999.9999999999964</v>
      </c>
      <c r="DM39" s="311">
        <f>Capacity!H51</f>
        <v>9000</v>
      </c>
      <c r="DQ39" s="5"/>
    </row>
    <row r="40" spans="1:121" x14ac:dyDescent="0.2">
      <c r="A40" s="67">
        <f>IF(Capacity!L52='Capacity summary'!BI159,1,0)</f>
        <v>1</v>
      </c>
      <c r="B40" s="67">
        <f>IF(Capacity!V52='Capacity summary'!BI59,1,0)</f>
        <v>1</v>
      </c>
      <c r="C40" s="67" t="str">
        <f>ROW(A36)&amp;". "&amp;Capacity!B52</f>
        <v>36. Slot B</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 ca="1">IF(ROW(C36)&lt;=Capacity!$A$16,IF('Capacity summary'!$D$14="No",SUM(H40:BG40),'Capacity summary'!$E159),0)</f>
        <v>52</v>
      </c>
      <c r="BI40" s="5">
        <f ca="1">IF(BH40&gt;0,IF(BH40&lt;Capacity!E52,Capacity!F52,Capacity!H52/'Capacity calculation (hide)'!BH40),"")</f>
        <v>115.38461538461539</v>
      </c>
      <c r="BK40" s="311">
        <f ca="1">IF($BI40&lt;&gt;"",IF('Capacity summary'!$D$14="Yes",IF(COUNTBLANK('Capacity summary'!$H159:$BG159)&lt;52,IF('Capacity summary'!H159&lt;&gt;"",IF(LOWER('Capacity summary'!H159)="x",$BI40*H40,VALUE('Capacity summary'!H159)),0),H40*$BI40),H40*$BI40),0)</f>
        <v>115.38461538461539</v>
      </c>
      <c r="BL40" s="311">
        <f ca="1">IF($BI40&lt;&gt;"",IF('Capacity summary'!$D$14="Yes",IF(COUNTBLANK('Capacity summary'!$H159:$BG159)&lt;52,IF('Capacity summary'!I159&lt;&gt;"",IF(LOWER('Capacity summary'!I159)="x",$BI40*I40,VALUE('Capacity summary'!I159)),0),I40*$BI40),I40*$BI40),0)</f>
        <v>115.38461538461539</v>
      </c>
      <c r="BM40" s="311">
        <f ca="1">IF($BI40&lt;&gt;"",IF('Capacity summary'!$D$14="Yes",IF(COUNTBLANK('Capacity summary'!$H159:$BG159)&lt;52,IF('Capacity summary'!J159&lt;&gt;"",IF(LOWER('Capacity summary'!J159)="x",$BI40*J40,VALUE('Capacity summary'!J159)),0),J40*$BI40),J40*$BI40),0)</f>
        <v>115.38461538461539</v>
      </c>
      <c r="BN40" s="311">
        <f ca="1">IF($BI40&lt;&gt;"",IF('Capacity summary'!$D$14="Yes",IF(COUNTBLANK('Capacity summary'!$H159:$BG159)&lt;52,IF('Capacity summary'!K159&lt;&gt;"",IF(LOWER('Capacity summary'!K159)="x",$BI40*K40,VALUE('Capacity summary'!K159)),0),K40*$BI40),K40*$BI40),0)</f>
        <v>115.38461538461539</v>
      </c>
      <c r="BO40" s="311">
        <f ca="1">IF($BI40&lt;&gt;"",IF('Capacity summary'!$D$14="Yes",IF(COUNTBLANK('Capacity summary'!$H159:$BG159)&lt;52,IF('Capacity summary'!L159&lt;&gt;"",IF(LOWER('Capacity summary'!L159)="x",$BI40*L40,VALUE('Capacity summary'!L159)),0),L40*$BI40),L40*$BI40),0)</f>
        <v>115.38461538461539</v>
      </c>
      <c r="BP40" s="311">
        <f ca="1">IF($BI40&lt;&gt;"",IF('Capacity summary'!$D$14="Yes",IF(COUNTBLANK('Capacity summary'!$H159:$BG159)&lt;52,IF('Capacity summary'!M159&lt;&gt;"",IF(LOWER('Capacity summary'!M159)="x",$BI40*M40,VALUE('Capacity summary'!M159)),0),M40*$BI40),M40*$BI40),0)</f>
        <v>115.38461538461539</v>
      </c>
      <c r="BQ40" s="311">
        <f ca="1">IF($BI40&lt;&gt;"",IF('Capacity summary'!$D$14="Yes",IF(COUNTBLANK('Capacity summary'!$H159:$BG159)&lt;52,IF('Capacity summary'!N159&lt;&gt;"",IF(LOWER('Capacity summary'!N159)="x",$BI40*N40,VALUE('Capacity summary'!N159)),0),N40*$BI40),N40*$BI40),0)</f>
        <v>115.38461538461539</v>
      </c>
      <c r="BR40" s="311">
        <f ca="1">IF($BI40&lt;&gt;"",IF('Capacity summary'!$D$14="Yes",IF(COUNTBLANK('Capacity summary'!$H159:$BG159)&lt;52,IF('Capacity summary'!O159&lt;&gt;"",IF(LOWER('Capacity summary'!O159)="x",$BI40*O40,VALUE('Capacity summary'!O159)),0),O40*$BI40),O40*$BI40),0)</f>
        <v>115.38461538461539</v>
      </c>
      <c r="BS40" s="311">
        <f ca="1">IF($BI40&lt;&gt;"",IF('Capacity summary'!$D$14="Yes",IF(COUNTBLANK('Capacity summary'!$H159:$BG159)&lt;52,IF('Capacity summary'!P159&lt;&gt;"",IF(LOWER('Capacity summary'!P159)="x",$BI40*P40,VALUE('Capacity summary'!P159)),0),P40*$BI40),P40*$BI40),0)</f>
        <v>115.38461538461539</v>
      </c>
      <c r="BT40" s="311">
        <f ca="1">IF($BI40&lt;&gt;"",IF('Capacity summary'!$D$14="Yes",IF(COUNTBLANK('Capacity summary'!$H159:$BG159)&lt;52,IF('Capacity summary'!Q159&lt;&gt;"",IF(LOWER('Capacity summary'!Q159)="x",$BI40*Q40,VALUE('Capacity summary'!Q159)),0),Q40*$BI40),Q40*$BI40),0)</f>
        <v>115.38461538461539</v>
      </c>
      <c r="BU40" s="311">
        <f ca="1">IF($BI40&lt;&gt;"",IF('Capacity summary'!$D$14="Yes",IF(COUNTBLANK('Capacity summary'!$H159:$BG159)&lt;52,IF('Capacity summary'!R159&lt;&gt;"",IF(LOWER('Capacity summary'!R159)="x",$BI40*R40,VALUE('Capacity summary'!R159)),0),R40*$BI40),R40*$BI40),0)</f>
        <v>115.38461538461539</v>
      </c>
      <c r="BV40" s="311">
        <f ca="1">IF($BI40&lt;&gt;"",IF('Capacity summary'!$D$14="Yes",IF(COUNTBLANK('Capacity summary'!$H159:$BG159)&lt;52,IF('Capacity summary'!S159&lt;&gt;"",IF(LOWER('Capacity summary'!S159)="x",$BI40*S40,VALUE('Capacity summary'!S159)),0),S40*$BI40),S40*$BI40),0)</f>
        <v>115.38461538461539</v>
      </c>
      <c r="BW40" s="311">
        <f ca="1">IF($BI40&lt;&gt;"",IF('Capacity summary'!$D$14="Yes",IF(COUNTBLANK('Capacity summary'!$H159:$BG159)&lt;52,IF('Capacity summary'!T159&lt;&gt;"",IF(LOWER('Capacity summary'!T159)="x",$BI40*T40,VALUE('Capacity summary'!T159)),0),T40*$BI40),T40*$BI40),0)</f>
        <v>115.38461538461539</v>
      </c>
      <c r="BX40" s="311">
        <f ca="1">IF($BI40&lt;&gt;"",IF('Capacity summary'!$D$14="Yes",IF(COUNTBLANK('Capacity summary'!$H159:$BG159)&lt;52,IF('Capacity summary'!U159&lt;&gt;"",IF(LOWER('Capacity summary'!U159)="x",$BI40*U40,VALUE('Capacity summary'!U159)),0),U40*$BI40),U40*$BI40),0)</f>
        <v>115.38461538461539</v>
      </c>
      <c r="BY40" s="311">
        <f ca="1">IF($BI40&lt;&gt;"",IF('Capacity summary'!$D$14="Yes",IF(COUNTBLANK('Capacity summary'!$H159:$BG159)&lt;52,IF('Capacity summary'!V159&lt;&gt;"",IF(LOWER('Capacity summary'!V159)="x",$BI40*V40,VALUE('Capacity summary'!V159)),0),V40*$BI40),V40*$BI40),0)</f>
        <v>115.38461538461539</v>
      </c>
      <c r="BZ40" s="311">
        <f ca="1">IF($BI40&lt;&gt;"",IF('Capacity summary'!$D$14="Yes",IF(COUNTBLANK('Capacity summary'!$H159:$BG159)&lt;52,IF('Capacity summary'!W159&lt;&gt;"",IF(LOWER('Capacity summary'!W159)="x",$BI40*W40,VALUE('Capacity summary'!W159)),0),W40*$BI40),W40*$BI40),0)</f>
        <v>115.38461538461539</v>
      </c>
      <c r="CA40" s="311">
        <f ca="1">IF($BI40&lt;&gt;"",IF('Capacity summary'!$D$14="Yes",IF(COUNTBLANK('Capacity summary'!$H159:$BG159)&lt;52,IF('Capacity summary'!X159&lt;&gt;"",IF(LOWER('Capacity summary'!X159)="x",$BI40*X40,VALUE('Capacity summary'!X159)),0),X40*$BI40),X40*$BI40),0)</f>
        <v>115.38461538461539</v>
      </c>
      <c r="CB40" s="311">
        <f ca="1">IF($BI40&lt;&gt;"",IF('Capacity summary'!$D$14="Yes",IF(COUNTBLANK('Capacity summary'!$H159:$BG159)&lt;52,IF('Capacity summary'!Y159&lt;&gt;"",IF(LOWER('Capacity summary'!Y159)="x",$BI40*Y40,VALUE('Capacity summary'!Y159)),0),Y40*$BI40),Y40*$BI40),0)</f>
        <v>115.38461538461539</v>
      </c>
      <c r="CC40" s="311">
        <f ca="1">IF($BI40&lt;&gt;"",IF('Capacity summary'!$D$14="Yes",IF(COUNTBLANK('Capacity summary'!$H159:$BG159)&lt;52,IF('Capacity summary'!Z159&lt;&gt;"",IF(LOWER('Capacity summary'!Z159)="x",$BI40*Z40,VALUE('Capacity summary'!Z159)),0),Z40*$BI40),Z40*$BI40),0)</f>
        <v>115.38461538461539</v>
      </c>
      <c r="CD40" s="311">
        <f ca="1">IF($BI40&lt;&gt;"",IF('Capacity summary'!$D$14="Yes",IF(COUNTBLANK('Capacity summary'!$H159:$BG159)&lt;52,IF('Capacity summary'!AA159&lt;&gt;"",IF(LOWER('Capacity summary'!AA159)="x",$BI40*AA40,VALUE('Capacity summary'!AA159)),0),AA40*$BI40),AA40*$BI40),0)</f>
        <v>115.38461538461539</v>
      </c>
      <c r="CE40" s="311">
        <f ca="1">IF($BI40&lt;&gt;"",IF('Capacity summary'!$D$14="Yes",IF(COUNTBLANK('Capacity summary'!$H159:$BG159)&lt;52,IF('Capacity summary'!AB159&lt;&gt;"",IF(LOWER('Capacity summary'!AB159)="x",$BI40*AB40,VALUE('Capacity summary'!AB159)),0),AB40*$BI40),AB40*$BI40),0)</f>
        <v>115.38461538461539</v>
      </c>
      <c r="CF40" s="311">
        <f ca="1">IF($BI40&lt;&gt;"",IF('Capacity summary'!$D$14="Yes",IF(COUNTBLANK('Capacity summary'!$H159:$BG159)&lt;52,IF('Capacity summary'!AC159&lt;&gt;"",IF(LOWER('Capacity summary'!AC159)="x",$BI40*AC40,VALUE('Capacity summary'!AC159)),0),AC40*$BI40),AC40*$BI40),0)</f>
        <v>115.38461538461539</v>
      </c>
      <c r="CG40" s="311">
        <f ca="1">IF($BI40&lt;&gt;"",IF('Capacity summary'!$D$14="Yes",IF(COUNTBLANK('Capacity summary'!$H159:$BG159)&lt;52,IF('Capacity summary'!AD159&lt;&gt;"",IF(LOWER('Capacity summary'!AD159)="x",$BI40*AD40,VALUE('Capacity summary'!AD159)),0),AD40*$BI40),AD40*$BI40),0)</f>
        <v>115.38461538461539</v>
      </c>
      <c r="CH40" s="311">
        <f ca="1">IF($BI40&lt;&gt;"",IF('Capacity summary'!$D$14="Yes",IF(COUNTBLANK('Capacity summary'!$H159:$BG159)&lt;52,IF('Capacity summary'!AE159&lt;&gt;"",IF(LOWER('Capacity summary'!AE159)="x",$BI40*AE40,VALUE('Capacity summary'!AE159)),0),AE40*$BI40),AE40*$BI40),0)</f>
        <v>115.38461538461539</v>
      </c>
      <c r="CI40" s="311">
        <f ca="1">IF($BI40&lt;&gt;"",IF('Capacity summary'!$D$14="Yes",IF(COUNTBLANK('Capacity summary'!$H159:$BG159)&lt;52,IF('Capacity summary'!AF159&lt;&gt;"",IF(LOWER('Capacity summary'!AF159)="x",$BI40*AF40,VALUE('Capacity summary'!AF159)),0),AF40*$BI40),AF40*$BI40),0)</f>
        <v>115.38461538461539</v>
      </c>
      <c r="CJ40" s="311">
        <f ca="1">IF($BI40&lt;&gt;"",IF('Capacity summary'!$D$14="Yes",IF(COUNTBLANK('Capacity summary'!$H159:$BG159)&lt;52,IF('Capacity summary'!AG159&lt;&gt;"",IF(LOWER('Capacity summary'!AG159)="x",$BI40*AG40,VALUE('Capacity summary'!AG159)),0),AG40*$BI40),AG40*$BI40),0)</f>
        <v>115.38461538461539</v>
      </c>
      <c r="CK40" s="311">
        <f ca="1">IF($BI40&lt;&gt;"",IF('Capacity summary'!$D$14="Yes",IF(COUNTBLANK('Capacity summary'!$H159:$BG159)&lt;52,IF('Capacity summary'!AH159&lt;&gt;"",IF(LOWER('Capacity summary'!AH159)="x",$BI40*AH40,VALUE('Capacity summary'!AH159)),0),AH40*$BI40),AH40*$BI40),0)</f>
        <v>115.38461538461539</v>
      </c>
      <c r="CL40" s="311">
        <f ca="1">IF($BI40&lt;&gt;"",IF('Capacity summary'!$D$14="Yes",IF(COUNTBLANK('Capacity summary'!$H159:$BG159)&lt;52,IF('Capacity summary'!AI159&lt;&gt;"",IF(LOWER('Capacity summary'!AI159)="x",$BI40*AI40,VALUE('Capacity summary'!AI159)),0),AI40*$BI40),AI40*$BI40),0)</f>
        <v>115.38461538461539</v>
      </c>
      <c r="CM40" s="311">
        <f ca="1">IF($BI40&lt;&gt;"",IF('Capacity summary'!$D$14="Yes",IF(COUNTBLANK('Capacity summary'!$H159:$BG159)&lt;52,IF('Capacity summary'!AJ159&lt;&gt;"",IF(LOWER('Capacity summary'!AJ159)="x",$BI40*AJ40,VALUE('Capacity summary'!AJ159)),0),AJ40*$BI40),AJ40*$BI40),0)</f>
        <v>115.38461538461539</v>
      </c>
      <c r="CN40" s="311">
        <f ca="1">IF($BI40&lt;&gt;"",IF('Capacity summary'!$D$14="Yes",IF(COUNTBLANK('Capacity summary'!$H159:$BG159)&lt;52,IF('Capacity summary'!AK159&lt;&gt;"",IF(LOWER('Capacity summary'!AK159)="x",$BI40*AK40,VALUE('Capacity summary'!AK159)),0),AK40*$BI40),AK40*$BI40),0)</f>
        <v>115.38461538461539</v>
      </c>
      <c r="CO40" s="311">
        <f ca="1">IF($BI40&lt;&gt;"",IF('Capacity summary'!$D$14="Yes",IF(COUNTBLANK('Capacity summary'!$H159:$BG159)&lt;52,IF('Capacity summary'!AL159&lt;&gt;"",IF(LOWER('Capacity summary'!AL159)="x",$BI40*AL40,VALUE('Capacity summary'!AL159)),0),AL40*$BI40),AL40*$BI40),0)</f>
        <v>115.38461538461539</v>
      </c>
      <c r="CP40" s="311">
        <f ca="1">IF($BI40&lt;&gt;"",IF('Capacity summary'!$D$14="Yes",IF(COUNTBLANK('Capacity summary'!$H159:$BG159)&lt;52,IF('Capacity summary'!AM159&lt;&gt;"",IF(LOWER('Capacity summary'!AM159)="x",$BI40*AM40,VALUE('Capacity summary'!AM159)),0),AM40*$BI40),AM40*$BI40),0)</f>
        <v>115.38461538461539</v>
      </c>
      <c r="CQ40" s="311">
        <f ca="1">IF($BI40&lt;&gt;"",IF('Capacity summary'!$D$14="Yes",IF(COUNTBLANK('Capacity summary'!$H159:$BG159)&lt;52,IF('Capacity summary'!AN159&lt;&gt;"",IF(LOWER('Capacity summary'!AN159)="x",$BI40*AN40,VALUE('Capacity summary'!AN159)),0),AN40*$BI40),AN40*$BI40),0)</f>
        <v>115.38461538461539</v>
      </c>
      <c r="CR40" s="311">
        <f ca="1">IF($BI40&lt;&gt;"",IF('Capacity summary'!$D$14="Yes",IF(COUNTBLANK('Capacity summary'!$H159:$BG159)&lt;52,IF('Capacity summary'!AO159&lt;&gt;"",IF(LOWER('Capacity summary'!AO159)="x",$BI40*AO40,VALUE('Capacity summary'!AO159)),0),AO40*$BI40),AO40*$BI40),0)</f>
        <v>115.38461538461539</v>
      </c>
      <c r="CS40" s="311">
        <f ca="1">IF($BI40&lt;&gt;"",IF('Capacity summary'!$D$14="Yes",IF(COUNTBLANK('Capacity summary'!$H159:$BG159)&lt;52,IF('Capacity summary'!AP159&lt;&gt;"",IF(LOWER('Capacity summary'!AP159)="x",$BI40*AP40,VALUE('Capacity summary'!AP159)),0),AP40*$BI40),AP40*$BI40),0)</f>
        <v>115.38461538461539</v>
      </c>
      <c r="CT40" s="311">
        <f ca="1">IF($BI40&lt;&gt;"",IF('Capacity summary'!$D$14="Yes",IF(COUNTBLANK('Capacity summary'!$H159:$BG159)&lt;52,IF('Capacity summary'!AQ159&lt;&gt;"",IF(LOWER('Capacity summary'!AQ159)="x",$BI40*AQ40,VALUE('Capacity summary'!AQ159)),0),AQ40*$BI40),AQ40*$BI40),0)</f>
        <v>115.38461538461539</v>
      </c>
      <c r="CU40" s="311">
        <f ca="1">IF($BI40&lt;&gt;"",IF('Capacity summary'!$D$14="Yes",IF(COUNTBLANK('Capacity summary'!$H159:$BG159)&lt;52,IF('Capacity summary'!AR159&lt;&gt;"",IF(LOWER('Capacity summary'!AR159)="x",$BI40*AR40,VALUE('Capacity summary'!AR159)),0),AR40*$BI40),AR40*$BI40),0)</f>
        <v>115.38461538461539</v>
      </c>
      <c r="CV40" s="311">
        <f ca="1">IF($BI40&lt;&gt;"",IF('Capacity summary'!$D$14="Yes",IF(COUNTBLANK('Capacity summary'!$H159:$BG159)&lt;52,IF('Capacity summary'!AS159&lt;&gt;"",IF(LOWER('Capacity summary'!AS159)="x",$BI40*AS40,VALUE('Capacity summary'!AS159)),0),AS40*$BI40),AS40*$BI40),0)</f>
        <v>115.38461538461539</v>
      </c>
      <c r="CW40" s="311">
        <f ca="1">IF($BI40&lt;&gt;"",IF('Capacity summary'!$D$14="Yes",IF(COUNTBLANK('Capacity summary'!$H159:$BG159)&lt;52,IF('Capacity summary'!AT159&lt;&gt;"",IF(LOWER('Capacity summary'!AT159)="x",$BI40*AT40,VALUE('Capacity summary'!AT159)),0),AT40*$BI40),AT40*$BI40),0)</f>
        <v>115.38461538461539</v>
      </c>
      <c r="CX40" s="311">
        <f ca="1">IF($BI40&lt;&gt;"",IF('Capacity summary'!$D$14="Yes",IF(COUNTBLANK('Capacity summary'!$H159:$BG159)&lt;52,IF('Capacity summary'!AU159&lt;&gt;"",IF(LOWER('Capacity summary'!AU159)="x",$BI40*AU40,VALUE('Capacity summary'!AU159)),0),AU40*$BI40),AU40*$BI40),0)</f>
        <v>115.38461538461539</v>
      </c>
      <c r="CY40" s="311">
        <f ca="1">IF($BI40&lt;&gt;"",IF('Capacity summary'!$D$14="Yes",IF(COUNTBLANK('Capacity summary'!$H159:$BG159)&lt;52,IF('Capacity summary'!AV159&lt;&gt;"",IF(LOWER('Capacity summary'!AV159)="x",$BI40*AV40,VALUE('Capacity summary'!AV159)),0),AV40*$BI40),AV40*$BI40),0)</f>
        <v>115.38461538461539</v>
      </c>
      <c r="CZ40" s="311">
        <f ca="1">IF($BI40&lt;&gt;"",IF('Capacity summary'!$D$14="Yes",IF(COUNTBLANK('Capacity summary'!$H159:$BG159)&lt;52,IF('Capacity summary'!AW159&lt;&gt;"",IF(LOWER('Capacity summary'!AW159)="x",$BI40*AW40,VALUE('Capacity summary'!AW159)),0),AW40*$BI40),AW40*$BI40),0)</f>
        <v>115.38461538461539</v>
      </c>
      <c r="DA40" s="311">
        <f ca="1">IF($BI40&lt;&gt;"",IF('Capacity summary'!$D$14="Yes",IF(COUNTBLANK('Capacity summary'!$H159:$BG159)&lt;52,IF('Capacity summary'!AX159&lt;&gt;"",IF(LOWER('Capacity summary'!AX159)="x",$BI40*AX40,VALUE('Capacity summary'!AX159)),0),AX40*$BI40),AX40*$BI40),0)</f>
        <v>115.38461538461539</v>
      </c>
      <c r="DB40" s="311">
        <f ca="1">IF($BI40&lt;&gt;"",IF('Capacity summary'!$D$14="Yes",IF(COUNTBLANK('Capacity summary'!$H159:$BG159)&lt;52,IF('Capacity summary'!AY159&lt;&gt;"",IF(LOWER('Capacity summary'!AY159)="x",$BI40*AY40,VALUE('Capacity summary'!AY159)),0),AY40*$BI40),AY40*$BI40),0)</f>
        <v>115.38461538461539</v>
      </c>
      <c r="DC40" s="311">
        <f ca="1">IF($BI40&lt;&gt;"",IF('Capacity summary'!$D$14="Yes",IF(COUNTBLANK('Capacity summary'!$H159:$BG159)&lt;52,IF('Capacity summary'!AZ159&lt;&gt;"",IF(LOWER('Capacity summary'!AZ159)="x",$BI40*AZ40,VALUE('Capacity summary'!AZ159)),0),AZ40*$BI40),AZ40*$BI40),0)</f>
        <v>115.38461538461539</v>
      </c>
      <c r="DD40" s="311">
        <f ca="1">IF($BI40&lt;&gt;"",IF('Capacity summary'!$D$14="Yes",IF(COUNTBLANK('Capacity summary'!$H159:$BG159)&lt;52,IF('Capacity summary'!BA159&lt;&gt;"",IF(LOWER('Capacity summary'!BA159)="x",$BI40*BA40,VALUE('Capacity summary'!BA159)),0),BA40*$BI40),BA40*$BI40),0)</f>
        <v>115.38461538461539</v>
      </c>
      <c r="DE40" s="311">
        <f ca="1">IF($BI40&lt;&gt;"",IF('Capacity summary'!$D$14="Yes",IF(COUNTBLANK('Capacity summary'!$H159:$BG159)&lt;52,IF('Capacity summary'!BB159&lt;&gt;"",IF(LOWER('Capacity summary'!BB159)="x",$BI40*BB40,VALUE('Capacity summary'!BB159)),0),BB40*$BI40),BB40*$BI40),0)</f>
        <v>115.38461538461539</v>
      </c>
      <c r="DF40" s="311">
        <f ca="1">IF($BI40&lt;&gt;"",IF('Capacity summary'!$D$14="Yes",IF(COUNTBLANK('Capacity summary'!$H159:$BG159)&lt;52,IF('Capacity summary'!BC159&lt;&gt;"",IF(LOWER('Capacity summary'!BC159)="x",$BI40*BC40,VALUE('Capacity summary'!BC159)),0),BC40*$BI40),BC40*$BI40),0)</f>
        <v>115.38461538461539</v>
      </c>
      <c r="DG40" s="311">
        <f ca="1">IF($BI40&lt;&gt;"",IF('Capacity summary'!$D$14="Yes",IF(COUNTBLANK('Capacity summary'!$H159:$BG159)&lt;52,IF('Capacity summary'!BD159&lt;&gt;"",IF(LOWER('Capacity summary'!BD159)="x",$BI40*BD40,VALUE('Capacity summary'!BD159)),0),BD40*$BI40),BD40*$BI40),0)</f>
        <v>115.38461538461539</v>
      </c>
      <c r="DH40" s="311">
        <f ca="1">IF($BI40&lt;&gt;"",IF('Capacity summary'!$D$14="Yes",IF(COUNTBLANK('Capacity summary'!$H159:$BG159)&lt;52,IF('Capacity summary'!BE159&lt;&gt;"",IF(LOWER('Capacity summary'!BE159)="x",$BI40*BE40,VALUE('Capacity summary'!BE159)),0),BE40*$BI40),BE40*$BI40),0)</f>
        <v>115.38461538461539</v>
      </c>
      <c r="DI40" s="311">
        <f ca="1">IF($BI40&lt;&gt;"",IF('Capacity summary'!$D$14="Yes",IF(COUNTBLANK('Capacity summary'!$H159:$BG159)&lt;52,IF('Capacity summary'!BF159&lt;&gt;"",IF(LOWER('Capacity summary'!BF159)="x",$BI40*BF40,VALUE('Capacity summary'!BF159)),0),BF40*$BI40),BF40*$BI40),0)</f>
        <v>115.38461538461539</v>
      </c>
      <c r="DJ40" s="311">
        <f ca="1">IF($BI40&lt;&gt;"",IF('Capacity summary'!$D$14="Yes",IF(COUNTBLANK('Capacity summary'!$H159:$BG159)&lt;52,IF('Capacity summary'!BG159&lt;&gt;"",IF(LOWER('Capacity summary'!BG159)="x",$BI40*BG40,VALUE('Capacity summary'!BG159)),0),BG40*$BI40),BG40*$BI40),0)</f>
        <v>115.38461538461539</v>
      </c>
      <c r="DK40" s="388">
        <f t="shared" ca="1" si="2"/>
        <v>115.38461538461539</v>
      </c>
      <c r="DL40" s="136">
        <f t="shared" ca="1" si="3"/>
        <v>5999.9999999999964</v>
      </c>
      <c r="DM40" s="311">
        <f>Capacity!H52</f>
        <v>6000</v>
      </c>
      <c r="DQ40" s="5"/>
    </row>
    <row r="41" spans="1:121" x14ac:dyDescent="0.2">
      <c r="A41" s="67">
        <f>IF(Capacity!L53='Capacity summary'!BI160,1,0)</f>
        <v>1</v>
      </c>
      <c r="B41" s="67">
        <f>IF(Capacity!V53='Capacity summary'!BI60,1,0)</f>
        <v>1</v>
      </c>
      <c r="C41" s="67" t="str">
        <f>ROW(A37)&amp;". "&amp;Capacity!B53</f>
        <v>37. PP</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 ca="1">IF(ROW(C37)&lt;=Capacity!$A$16,IF('Capacity summary'!$D$14="No",SUM(H41:BG41),'Capacity summary'!$E160),0)</f>
        <v>52</v>
      </c>
      <c r="BI41" s="5">
        <f ca="1">IF(BH41&gt;0,IF(BH41&lt;Capacity!E53,Capacity!F53,Capacity!H53/'Capacity calculation (hide)'!BH41),"")</f>
        <v>19.23076923076923</v>
      </c>
      <c r="BK41" s="311">
        <f ca="1">IF($BI41&lt;&gt;"",IF('Capacity summary'!$D$14="Yes",IF(COUNTBLANK('Capacity summary'!$H160:$BG160)&lt;52,IF('Capacity summary'!H160&lt;&gt;"",IF(LOWER('Capacity summary'!H160)="x",$BI41*H41,VALUE('Capacity summary'!H160)),0),H41*$BI41),H41*$BI41),0)</f>
        <v>19.23076923076923</v>
      </c>
      <c r="BL41" s="311">
        <f ca="1">IF($BI41&lt;&gt;"",IF('Capacity summary'!$D$14="Yes",IF(COUNTBLANK('Capacity summary'!$H160:$BG160)&lt;52,IF('Capacity summary'!I160&lt;&gt;"",IF(LOWER('Capacity summary'!I160)="x",$BI41*I41,VALUE('Capacity summary'!I160)),0),I41*$BI41),I41*$BI41),0)</f>
        <v>19.23076923076923</v>
      </c>
      <c r="BM41" s="311">
        <f ca="1">IF($BI41&lt;&gt;"",IF('Capacity summary'!$D$14="Yes",IF(COUNTBLANK('Capacity summary'!$H160:$BG160)&lt;52,IF('Capacity summary'!J160&lt;&gt;"",IF(LOWER('Capacity summary'!J160)="x",$BI41*J41,VALUE('Capacity summary'!J160)),0),J41*$BI41),J41*$BI41),0)</f>
        <v>19.23076923076923</v>
      </c>
      <c r="BN41" s="311">
        <f ca="1">IF($BI41&lt;&gt;"",IF('Capacity summary'!$D$14="Yes",IF(COUNTBLANK('Capacity summary'!$H160:$BG160)&lt;52,IF('Capacity summary'!K160&lt;&gt;"",IF(LOWER('Capacity summary'!K160)="x",$BI41*K41,VALUE('Capacity summary'!K160)),0),K41*$BI41),K41*$BI41),0)</f>
        <v>19.23076923076923</v>
      </c>
      <c r="BO41" s="311">
        <f ca="1">IF($BI41&lt;&gt;"",IF('Capacity summary'!$D$14="Yes",IF(COUNTBLANK('Capacity summary'!$H160:$BG160)&lt;52,IF('Capacity summary'!L160&lt;&gt;"",IF(LOWER('Capacity summary'!L160)="x",$BI41*L41,VALUE('Capacity summary'!L160)),0),L41*$BI41),L41*$BI41),0)</f>
        <v>19.23076923076923</v>
      </c>
      <c r="BP41" s="311">
        <f ca="1">IF($BI41&lt;&gt;"",IF('Capacity summary'!$D$14="Yes",IF(COUNTBLANK('Capacity summary'!$H160:$BG160)&lt;52,IF('Capacity summary'!M160&lt;&gt;"",IF(LOWER('Capacity summary'!M160)="x",$BI41*M41,VALUE('Capacity summary'!M160)),0),M41*$BI41),M41*$BI41),0)</f>
        <v>19.23076923076923</v>
      </c>
      <c r="BQ41" s="311">
        <f ca="1">IF($BI41&lt;&gt;"",IF('Capacity summary'!$D$14="Yes",IF(COUNTBLANK('Capacity summary'!$H160:$BG160)&lt;52,IF('Capacity summary'!N160&lt;&gt;"",IF(LOWER('Capacity summary'!N160)="x",$BI41*N41,VALUE('Capacity summary'!N160)),0),N41*$BI41),N41*$BI41),0)</f>
        <v>19.23076923076923</v>
      </c>
      <c r="BR41" s="311">
        <f ca="1">IF($BI41&lt;&gt;"",IF('Capacity summary'!$D$14="Yes",IF(COUNTBLANK('Capacity summary'!$H160:$BG160)&lt;52,IF('Capacity summary'!O160&lt;&gt;"",IF(LOWER('Capacity summary'!O160)="x",$BI41*O41,VALUE('Capacity summary'!O160)),0),O41*$BI41),O41*$BI41),0)</f>
        <v>19.23076923076923</v>
      </c>
      <c r="BS41" s="311">
        <f ca="1">IF($BI41&lt;&gt;"",IF('Capacity summary'!$D$14="Yes",IF(COUNTBLANK('Capacity summary'!$H160:$BG160)&lt;52,IF('Capacity summary'!P160&lt;&gt;"",IF(LOWER('Capacity summary'!P160)="x",$BI41*P41,VALUE('Capacity summary'!P160)),0),P41*$BI41),P41*$BI41),0)</f>
        <v>19.23076923076923</v>
      </c>
      <c r="BT41" s="311">
        <f ca="1">IF($BI41&lt;&gt;"",IF('Capacity summary'!$D$14="Yes",IF(COUNTBLANK('Capacity summary'!$H160:$BG160)&lt;52,IF('Capacity summary'!Q160&lt;&gt;"",IF(LOWER('Capacity summary'!Q160)="x",$BI41*Q41,VALUE('Capacity summary'!Q160)),0),Q41*$BI41),Q41*$BI41),0)</f>
        <v>19.23076923076923</v>
      </c>
      <c r="BU41" s="311">
        <f ca="1">IF($BI41&lt;&gt;"",IF('Capacity summary'!$D$14="Yes",IF(COUNTBLANK('Capacity summary'!$H160:$BG160)&lt;52,IF('Capacity summary'!R160&lt;&gt;"",IF(LOWER('Capacity summary'!R160)="x",$BI41*R41,VALUE('Capacity summary'!R160)),0),R41*$BI41),R41*$BI41),0)</f>
        <v>19.23076923076923</v>
      </c>
      <c r="BV41" s="311">
        <f ca="1">IF($BI41&lt;&gt;"",IF('Capacity summary'!$D$14="Yes",IF(COUNTBLANK('Capacity summary'!$H160:$BG160)&lt;52,IF('Capacity summary'!S160&lt;&gt;"",IF(LOWER('Capacity summary'!S160)="x",$BI41*S41,VALUE('Capacity summary'!S160)),0),S41*$BI41),S41*$BI41),0)</f>
        <v>19.23076923076923</v>
      </c>
      <c r="BW41" s="311">
        <f ca="1">IF($BI41&lt;&gt;"",IF('Capacity summary'!$D$14="Yes",IF(COUNTBLANK('Capacity summary'!$H160:$BG160)&lt;52,IF('Capacity summary'!T160&lt;&gt;"",IF(LOWER('Capacity summary'!T160)="x",$BI41*T41,VALUE('Capacity summary'!T160)),0),T41*$BI41),T41*$BI41),0)</f>
        <v>19.23076923076923</v>
      </c>
      <c r="BX41" s="311">
        <f ca="1">IF($BI41&lt;&gt;"",IF('Capacity summary'!$D$14="Yes",IF(COUNTBLANK('Capacity summary'!$H160:$BG160)&lt;52,IF('Capacity summary'!U160&lt;&gt;"",IF(LOWER('Capacity summary'!U160)="x",$BI41*U41,VALUE('Capacity summary'!U160)),0),U41*$BI41),U41*$BI41),0)</f>
        <v>19.23076923076923</v>
      </c>
      <c r="BY41" s="311">
        <f ca="1">IF($BI41&lt;&gt;"",IF('Capacity summary'!$D$14="Yes",IF(COUNTBLANK('Capacity summary'!$H160:$BG160)&lt;52,IF('Capacity summary'!V160&lt;&gt;"",IF(LOWER('Capacity summary'!V160)="x",$BI41*V41,VALUE('Capacity summary'!V160)),0),V41*$BI41),V41*$BI41),0)</f>
        <v>19.23076923076923</v>
      </c>
      <c r="BZ41" s="311">
        <f ca="1">IF($BI41&lt;&gt;"",IF('Capacity summary'!$D$14="Yes",IF(COUNTBLANK('Capacity summary'!$H160:$BG160)&lt;52,IF('Capacity summary'!W160&lt;&gt;"",IF(LOWER('Capacity summary'!W160)="x",$BI41*W41,VALUE('Capacity summary'!W160)),0),W41*$BI41),W41*$BI41),0)</f>
        <v>19.23076923076923</v>
      </c>
      <c r="CA41" s="311">
        <f ca="1">IF($BI41&lt;&gt;"",IF('Capacity summary'!$D$14="Yes",IF(COUNTBLANK('Capacity summary'!$H160:$BG160)&lt;52,IF('Capacity summary'!X160&lt;&gt;"",IF(LOWER('Capacity summary'!X160)="x",$BI41*X41,VALUE('Capacity summary'!X160)),0),X41*$BI41),X41*$BI41),0)</f>
        <v>19.23076923076923</v>
      </c>
      <c r="CB41" s="311">
        <f ca="1">IF($BI41&lt;&gt;"",IF('Capacity summary'!$D$14="Yes",IF(COUNTBLANK('Capacity summary'!$H160:$BG160)&lt;52,IF('Capacity summary'!Y160&lt;&gt;"",IF(LOWER('Capacity summary'!Y160)="x",$BI41*Y41,VALUE('Capacity summary'!Y160)),0),Y41*$BI41),Y41*$BI41),0)</f>
        <v>19.23076923076923</v>
      </c>
      <c r="CC41" s="311">
        <f ca="1">IF($BI41&lt;&gt;"",IF('Capacity summary'!$D$14="Yes",IF(COUNTBLANK('Capacity summary'!$H160:$BG160)&lt;52,IF('Capacity summary'!Z160&lt;&gt;"",IF(LOWER('Capacity summary'!Z160)="x",$BI41*Z41,VALUE('Capacity summary'!Z160)),0),Z41*$BI41),Z41*$BI41),0)</f>
        <v>19.23076923076923</v>
      </c>
      <c r="CD41" s="311">
        <f ca="1">IF($BI41&lt;&gt;"",IF('Capacity summary'!$D$14="Yes",IF(COUNTBLANK('Capacity summary'!$H160:$BG160)&lt;52,IF('Capacity summary'!AA160&lt;&gt;"",IF(LOWER('Capacity summary'!AA160)="x",$BI41*AA41,VALUE('Capacity summary'!AA160)),0),AA41*$BI41),AA41*$BI41),0)</f>
        <v>19.23076923076923</v>
      </c>
      <c r="CE41" s="311">
        <f ca="1">IF($BI41&lt;&gt;"",IF('Capacity summary'!$D$14="Yes",IF(COUNTBLANK('Capacity summary'!$H160:$BG160)&lt;52,IF('Capacity summary'!AB160&lt;&gt;"",IF(LOWER('Capacity summary'!AB160)="x",$BI41*AB41,VALUE('Capacity summary'!AB160)),0),AB41*$BI41),AB41*$BI41),0)</f>
        <v>19.23076923076923</v>
      </c>
      <c r="CF41" s="311">
        <f ca="1">IF($BI41&lt;&gt;"",IF('Capacity summary'!$D$14="Yes",IF(COUNTBLANK('Capacity summary'!$H160:$BG160)&lt;52,IF('Capacity summary'!AC160&lt;&gt;"",IF(LOWER('Capacity summary'!AC160)="x",$BI41*AC41,VALUE('Capacity summary'!AC160)),0),AC41*$BI41),AC41*$BI41),0)</f>
        <v>19.23076923076923</v>
      </c>
      <c r="CG41" s="311">
        <f ca="1">IF($BI41&lt;&gt;"",IF('Capacity summary'!$D$14="Yes",IF(COUNTBLANK('Capacity summary'!$H160:$BG160)&lt;52,IF('Capacity summary'!AD160&lt;&gt;"",IF(LOWER('Capacity summary'!AD160)="x",$BI41*AD41,VALUE('Capacity summary'!AD160)),0),AD41*$BI41),AD41*$BI41),0)</f>
        <v>19.23076923076923</v>
      </c>
      <c r="CH41" s="311">
        <f ca="1">IF($BI41&lt;&gt;"",IF('Capacity summary'!$D$14="Yes",IF(COUNTBLANK('Capacity summary'!$H160:$BG160)&lt;52,IF('Capacity summary'!AE160&lt;&gt;"",IF(LOWER('Capacity summary'!AE160)="x",$BI41*AE41,VALUE('Capacity summary'!AE160)),0),AE41*$BI41),AE41*$BI41),0)</f>
        <v>19.23076923076923</v>
      </c>
      <c r="CI41" s="311">
        <f ca="1">IF($BI41&lt;&gt;"",IF('Capacity summary'!$D$14="Yes",IF(COUNTBLANK('Capacity summary'!$H160:$BG160)&lt;52,IF('Capacity summary'!AF160&lt;&gt;"",IF(LOWER('Capacity summary'!AF160)="x",$BI41*AF41,VALUE('Capacity summary'!AF160)),0),AF41*$BI41),AF41*$BI41),0)</f>
        <v>19.23076923076923</v>
      </c>
      <c r="CJ41" s="311">
        <f ca="1">IF($BI41&lt;&gt;"",IF('Capacity summary'!$D$14="Yes",IF(COUNTBLANK('Capacity summary'!$H160:$BG160)&lt;52,IF('Capacity summary'!AG160&lt;&gt;"",IF(LOWER('Capacity summary'!AG160)="x",$BI41*AG41,VALUE('Capacity summary'!AG160)),0),AG41*$BI41),AG41*$BI41),0)</f>
        <v>19.23076923076923</v>
      </c>
      <c r="CK41" s="311">
        <f ca="1">IF($BI41&lt;&gt;"",IF('Capacity summary'!$D$14="Yes",IF(COUNTBLANK('Capacity summary'!$H160:$BG160)&lt;52,IF('Capacity summary'!AH160&lt;&gt;"",IF(LOWER('Capacity summary'!AH160)="x",$BI41*AH41,VALUE('Capacity summary'!AH160)),0),AH41*$BI41),AH41*$BI41),0)</f>
        <v>19.23076923076923</v>
      </c>
      <c r="CL41" s="311">
        <f ca="1">IF($BI41&lt;&gt;"",IF('Capacity summary'!$D$14="Yes",IF(COUNTBLANK('Capacity summary'!$H160:$BG160)&lt;52,IF('Capacity summary'!AI160&lt;&gt;"",IF(LOWER('Capacity summary'!AI160)="x",$BI41*AI41,VALUE('Capacity summary'!AI160)),0),AI41*$BI41),AI41*$BI41),0)</f>
        <v>19.23076923076923</v>
      </c>
      <c r="CM41" s="311">
        <f ca="1">IF($BI41&lt;&gt;"",IF('Capacity summary'!$D$14="Yes",IF(COUNTBLANK('Capacity summary'!$H160:$BG160)&lt;52,IF('Capacity summary'!AJ160&lt;&gt;"",IF(LOWER('Capacity summary'!AJ160)="x",$BI41*AJ41,VALUE('Capacity summary'!AJ160)),0),AJ41*$BI41),AJ41*$BI41),0)</f>
        <v>19.23076923076923</v>
      </c>
      <c r="CN41" s="311">
        <f ca="1">IF($BI41&lt;&gt;"",IF('Capacity summary'!$D$14="Yes",IF(COUNTBLANK('Capacity summary'!$H160:$BG160)&lt;52,IF('Capacity summary'!AK160&lt;&gt;"",IF(LOWER('Capacity summary'!AK160)="x",$BI41*AK41,VALUE('Capacity summary'!AK160)),0),AK41*$BI41),AK41*$BI41),0)</f>
        <v>19.23076923076923</v>
      </c>
      <c r="CO41" s="311">
        <f ca="1">IF($BI41&lt;&gt;"",IF('Capacity summary'!$D$14="Yes",IF(COUNTBLANK('Capacity summary'!$H160:$BG160)&lt;52,IF('Capacity summary'!AL160&lt;&gt;"",IF(LOWER('Capacity summary'!AL160)="x",$BI41*AL41,VALUE('Capacity summary'!AL160)),0),AL41*$BI41),AL41*$BI41),0)</f>
        <v>19.23076923076923</v>
      </c>
      <c r="CP41" s="311">
        <f ca="1">IF($BI41&lt;&gt;"",IF('Capacity summary'!$D$14="Yes",IF(COUNTBLANK('Capacity summary'!$H160:$BG160)&lt;52,IF('Capacity summary'!AM160&lt;&gt;"",IF(LOWER('Capacity summary'!AM160)="x",$BI41*AM41,VALUE('Capacity summary'!AM160)),0),AM41*$BI41),AM41*$BI41),0)</f>
        <v>19.23076923076923</v>
      </c>
      <c r="CQ41" s="311">
        <f ca="1">IF($BI41&lt;&gt;"",IF('Capacity summary'!$D$14="Yes",IF(COUNTBLANK('Capacity summary'!$H160:$BG160)&lt;52,IF('Capacity summary'!AN160&lt;&gt;"",IF(LOWER('Capacity summary'!AN160)="x",$BI41*AN41,VALUE('Capacity summary'!AN160)),0),AN41*$BI41),AN41*$BI41),0)</f>
        <v>19.23076923076923</v>
      </c>
      <c r="CR41" s="311">
        <f ca="1">IF($BI41&lt;&gt;"",IF('Capacity summary'!$D$14="Yes",IF(COUNTBLANK('Capacity summary'!$H160:$BG160)&lt;52,IF('Capacity summary'!AO160&lt;&gt;"",IF(LOWER('Capacity summary'!AO160)="x",$BI41*AO41,VALUE('Capacity summary'!AO160)),0),AO41*$BI41),AO41*$BI41),0)</f>
        <v>19.23076923076923</v>
      </c>
      <c r="CS41" s="311">
        <f ca="1">IF($BI41&lt;&gt;"",IF('Capacity summary'!$D$14="Yes",IF(COUNTBLANK('Capacity summary'!$H160:$BG160)&lt;52,IF('Capacity summary'!AP160&lt;&gt;"",IF(LOWER('Capacity summary'!AP160)="x",$BI41*AP41,VALUE('Capacity summary'!AP160)),0),AP41*$BI41),AP41*$BI41),0)</f>
        <v>19.23076923076923</v>
      </c>
      <c r="CT41" s="311">
        <f ca="1">IF($BI41&lt;&gt;"",IF('Capacity summary'!$D$14="Yes",IF(COUNTBLANK('Capacity summary'!$H160:$BG160)&lt;52,IF('Capacity summary'!AQ160&lt;&gt;"",IF(LOWER('Capacity summary'!AQ160)="x",$BI41*AQ41,VALUE('Capacity summary'!AQ160)),0),AQ41*$BI41),AQ41*$BI41),0)</f>
        <v>19.23076923076923</v>
      </c>
      <c r="CU41" s="311">
        <f ca="1">IF($BI41&lt;&gt;"",IF('Capacity summary'!$D$14="Yes",IF(COUNTBLANK('Capacity summary'!$H160:$BG160)&lt;52,IF('Capacity summary'!AR160&lt;&gt;"",IF(LOWER('Capacity summary'!AR160)="x",$BI41*AR41,VALUE('Capacity summary'!AR160)),0),AR41*$BI41),AR41*$BI41),0)</f>
        <v>19.23076923076923</v>
      </c>
      <c r="CV41" s="311">
        <f ca="1">IF($BI41&lt;&gt;"",IF('Capacity summary'!$D$14="Yes",IF(COUNTBLANK('Capacity summary'!$H160:$BG160)&lt;52,IF('Capacity summary'!AS160&lt;&gt;"",IF(LOWER('Capacity summary'!AS160)="x",$BI41*AS41,VALUE('Capacity summary'!AS160)),0),AS41*$BI41),AS41*$BI41),0)</f>
        <v>19.23076923076923</v>
      </c>
      <c r="CW41" s="311">
        <f ca="1">IF($BI41&lt;&gt;"",IF('Capacity summary'!$D$14="Yes",IF(COUNTBLANK('Capacity summary'!$H160:$BG160)&lt;52,IF('Capacity summary'!AT160&lt;&gt;"",IF(LOWER('Capacity summary'!AT160)="x",$BI41*AT41,VALUE('Capacity summary'!AT160)),0),AT41*$BI41),AT41*$BI41),0)</f>
        <v>19.23076923076923</v>
      </c>
      <c r="CX41" s="311">
        <f ca="1">IF($BI41&lt;&gt;"",IF('Capacity summary'!$D$14="Yes",IF(COUNTBLANK('Capacity summary'!$H160:$BG160)&lt;52,IF('Capacity summary'!AU160&lt;&gt;"",IF(LOWER('Capacity summary'!AU160)="x",$BI41*AU41,VALUE('Capacity summary'!AU160)),0),AU41*$BI41),AU41*$BI41),0)</f>
        <v>19.23076923076923</v>
      </c>
      <c r="CY41" s="311">
        <f ca="1">IF($BI41&lt;&gt;"",IF('Capacity summary'!$D$14="Yes",IF(COUNTBLANK('Capacity summary'!$H160:$BG160)&lt;52,IF('Capacity summary'!AV160&lt;&gt;"",IF(LOWER('Capacity summary'!AV160)="x",$BI41*AV41,VALUE('Capacity summary'!AV160)),0),AV41*$BI41),AV41*$BI41),0)</f>
        <v>19.23076923076923</v>
      </c>
      <c r="CZ41" s="311">
        <f ca="1">IF($BI41&lt;&gt;"",IF('Capacity summary'!$D$14="Yes",IF(COUNTBLANK('Capacity summary'!$H160:$BG160)&lt;52,IF('Capacity summary'!AW160&lt;&gt;"",IF(LOWER('Capacity summary'!AW160)="x",$BI41*AW41,VALUE('Capacity summary'!AW160)),0),AW41*$BI41),AW41*$BI41),0)</f>
        <v>19.23076923076923</v>
      </c>
      <c r="DA41" s="311">
        <f ca="1">IF($BI41&lt;&gt;"",IF('Capacity summary'!$D$14="Yes",IF(COUNTBLANK('Capacity summary'!$H160:$BG160)&lt;52,IF('Capacity summary'!AX160&lt;&gt;"",IF(LOWER('Capacity summary'!AX160)="x",$BI41*AX41,VALUE('Capacity summary'!AX160)),0),AX41*$BI41),AX41*$BI41),0)</f>
        <v>19.23076923076923</v>
      </c>
      <c r="DB41" s="311">
        <f ca="1">IF($BI41&lt;&gt;"",IF('Capacity summary'!$D$14="Yes",IF(COUNTBLANK('Capacity summary'!$H160:$BG160)&lt;52,IF('Capacity summary'!AY160&lt;&gt;"",IF(LOWER('Capacity summary'!AY160)="x",$BI41*AY41,VALUE('Capacity summary'!AY160)),0),AY41*$BI41),AY41*$BI41),0)</f>
        <v>19.23076923076923</v>
      </c>
      <c r="DC41" s="311">
        <f ca="1">IF($BI41&lt;&gt;"",IF('Capacity summary'!$D$14="Yes",IF(COUNTBLANK('Capacity summary'!$H160:$BG160)&lt;52,IF('Capacity summary'!AZ160&lt;&gt;"",IF(LOWER('Capacity summary'!AZ160)="x",$BI41*AZ41,VALUE('Capacity summary'!AZ160)),0),AZ41*$BI41),AZ41*$BI41),0)</f>
        <v>19.23076923076923</v>
      </c>
      <c r="DD41" s="311">
        <f ca="1">IF($BI41&lt;&gt;"",IF('Capacity summary'!$D$14="Yes",IF(COUNTBLANK('Capacity summary'!$H160:$BG160)&lt;52,IF('Capacity summary'!BA160&lt;&gt;"",IF(LOWER('Capacity summary'!BA160)="x",$BI41*BA41,VALUE('Capacity summary'!BA160)),0),BA41*$BI41),BA41*$BI41),0)</f>
        <v>19.23076923076923</v>
      </c>
      <c r="DE41" s="311">
        <f ca="1">IF($BI41&lt;&gt;"",IF('Capacity summary'!$D$14="Yes",IF(COUNTBLANK('Capacity summary'!$H160:$BG160)&lt;52,IF('Capacity summary'!BB160&lt;&gt;"",IF(LOWER('Capacity summary'!BB160)="x",$BI41*BB41,VALUE('Capacity summary'!BB160)),0),BB41*$BI41),BB41*$BI41),0)</f>
        <v>19.23076923076923</v>
      </c>
      <c r="DF41" s="311">
        <f ca="1">IF($BI41&lt;&gt;"",IF('Capacity summary'!$D$14="Yes",IF(COUNTBLANK('Capacity summary'!$H160:$BG160)&lt;52,IF('Capacity summary'!BC160&lt;&gt;"",IF(LOWER('Capacity summary'!BC160)="x",$BI41*BC41,VALUE('Capacity summary'!BC160)),0),BC41*$BI41),BC41*$BI41),0)</f>
        <v>19.23076923076923</v>
      </c>
      <c r="DG41" s="311">
        <f ca="1">IF($BI41&lt;&gt;"",IF('Capacity summary'!$D$14="Yes",IF(COUNTBLANK('Capacity summary'!$H160:$BG160)&lt;52,IF('Capacity summary'!BD160&lt;&gt;"",IF(LOWER('Capacity summary'!BD160)="x",$BI41*BD41,VALUE('Capacity summary'!BD160)),0),BD41*$BI41),BD41*$BI41),0)</f>
        <v>19.23076923076923</v>
      </c>
      <c r="DH41" s="311">
        <f ca="1">IF($BI41&lt;&gt;"",IF('Capacity summary'!$D$14="Yes",IF(COUNTBLANK('Capacity summary'!$H160:$BG160)&lt;52,IF('Capacity summary'!BE160&lt;&gt;"",IF(LOWER('Capacity summary'!BE160)="x",$BI41*BE41,VALUE('Capacity summary'!BE160)),0),BE41*$BI41),BE41*$BI41),0)</f>
        <v>19.23076923076923</v>
      </c>
      <c r="DI41" s="311">
        <f ca="1">IF($BI41&lt;&gt;"",IF('Capacity summary'!$D$14="Yes",IF(COUNTBLANK('Capacity summary'!$H160:$BG160)&lt;52,IF('Capacity summary'!BF160&lt;&gt;"",IF(LOWER('Capacity summary'!BF160)="x",$BI41*BF41,VALUE('Capacity summary'!BF160)),0),BF41*$BI41),BF41*$BI41),0)</f>
        <v>19.23076923076923</v>
      </c>
      <c r="DJ41" s="311">
        <f ca="1">IF($BI41&lt;&gt;"",IF('Capacity summary'!$D$14="Yes",IF(COUNTBLANK('Capacity summary'!$H160:$BG160)&lt;52,IF('Capacity summary'!BG160&lt;&gt;"",IF(LOWER('Capacity summary'!BG160)="x",$BI41*BG41,VALUE('Capacity summary'!BG160)),0),BG41*$BI41),BG41*$BI41),0)</f>
        <v>19.23076923076923</v>
      </c>
      <c r="DK41" s="388">
        <f t="shared" ca="1" si="2"/>
        <v>19.23076923076923</v>
      </c>
      <c r="DL41" s="136">
        <f t="shared" ca="1" si="3"/>
        <v>1000.0000000000013</v>
      </c>
      <c r="DM41" s="311">
        <f>Capacity!H53</f>
        <v>1000</v>
      </c>
      <c r="DQ41" s="5"/>
    </row>
    <row r="42" spans="1:121" x14ac:dyDescent="0.2">
      <c r="A42" s="67">
        <f>IF(Capacity!L54='Capacity summary'!BI161,1,0)</f>
        <v>1</v>
      </c>
      <c r="B42" s="67">
        <f>IF(Capacity!V54='Capacity summary'!BI61,1,0)</f>
        <v>1</v>
      </c>
      <c r="C42" s="67" t="str">
        <f>ROW(A38)&amp;". "&amp;Capacity!B54</f>
        <v>38. Slot A</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 ca="1">IF(ROW(C38)&lt;=Capacity!$A$16,IF('Capacity summary'!$D$14="No",SUM(H42:BG42),'Capacity summary'!$E161),0)</f>
        <v>52</v>
      </c>
      <c r="BI42" s="5">
        <f ca="1">IF(BH42&gt;0,IF(BH42&lt;Capacity!E54,Capacity!F54,Capacity!H54/'Capacity calculation (hide)'!BH42),"")</f>
        <v>91.34615384615384</v>
      </c>
      <c r="BK42" s="311">
        <f ca="1">IF($BI42&lt;&gt;"",IF('Capacity summary'!$D$14="Yes",IF(COUNTBLANK('Capacity summary'!$H161:$BG161)&lt;52,IF('Capacity summary'!H161&lt;&gt;"",IF(LOWER('Capacity summary'!H161)="x",$BI42*H42,VALUE('Capacity summary'!H161)),0),H42*$BI42),H42*$BI42),0)</f>
        <v>91.34615384615384</v>
      </c>
      <c r="BL42" s="311">
        <f ca="1">IF($BI42&lt;&gt;"",IF('Capacity summary'!$D$14="Yes",IF(COUNTBLANK('Capacity summary'!$H161:$BG161)&lt;52,IF('Capacity summary'!I161&lt;&gt;"",IF(LOWER('Capacity summary'!I161)="x",$BI42*I42,VALUE('Capacity summary'!I161)),0),I42*$BI42),I42*$BI42),0)</f>
        <v>91.34615384615384</v>
      </c>
      <c r="BM42" s="311">
        <f ca="1">IF($BI42&lt;&gt;"",IF('Capacity summary'!$D$14="Yes",IF(COUNTBLANK('Capacity summary'!$H161:$BG161)&lt;52,IF('Capacity summary'!J161&lt;&gt;"",IF(LOWER('Capacity summary'!J161)="x",$BI42*J42,VALUE('Capacity summary'!J161)),0),J42*$BI42),J42*$BI42),0)</f>
        <v>91.34615384615384</v>
      </c>
      <c r="BN42" s="311">
        <f ca="1">IF($BI42&lt;&gt;"",IF('Capacity summary'!$D$14="Yes",IF(COUNTBLANK('Capacity summary'!$H161:$BG161)&lt;52,IF('Capacity summary'!K161&lt;&gt;"",IF(LOWER('Capacity summary'!K161)="x",$BI42*K42,VALUE('Capacity summary'!K161)),0),K42*$BI42),K42*$BI42),0)</f>
        <v>91.34615384615384</v>
      </c>
      <c r="BO42" s="311">
        <f ca="1">IF($BI42&lt;&gt;"",IF('Capacity summary'!$D$14="Yes",IF(COUNTBLANK('Capacity summary'!$H161:$BG161)&lt;52,IF('Capacity summary'!L161&lt;&gt;"",IF(LOWER('Capacity summary'!L161)="x",$BI42*L42,VALUE('Capacity summary'!L161)),0),L42*$BI42),L42*$BI42),0)</f>
        <v>91.34615384615384</v>
      </c>
      <c r="BP42" s="311">
        <f ca="1">IF($BI42&lt;&gt;"",IF('Capacity summary'!$D$14="Yes",IF(COUNTBLANK('Capacity summary'!$H161:$BG161)&lt;52,IF('Capacity summary'!M161&lt;&gt;"",IF(LOWER('Capacity summary'!M161)="x",$BI42*M42,VALUE('Capacity summary'!M161)),0),M42*$BI42),M42*$BI42),0)</f>
        <v>91.34615384615384</v>
      </c>
      <c r="BQ42" s="311">
        <f ca="1">IF($BI42&lt;&gt;"",IF('Capacity summary'!$D$14="Yes",IF(COUNTBLANK('Capacity summary'!$H161:$BG161)&lt;52,IF('Capacity summary'!N161&lt;&gt;"",IF(LOWER('Capacity summary'!N161)="x",$BI42*N42,VALUE('Capacity summary'!N161)),0),N42*$BI42),N42*$BI42),0)</f>
        <v>91.34615384615384</v>
      </c>
      <c r="BR42" s="311">
        <f ca="1">IF($BI42&lt;&gt;"",IF('Capacity summary'!$D$14="Yes",IF(COUNTBLANK('Capacity summary'!$H161:$BG161)&lt;52,IF('Capacity summary'!O161&lt;&gt;"",IF(LOWER('Capacity summary'!O161)="x",$BI42*O42,VALUE('Capacity summary'!O161)),0),O42*$BI42),O42*$BI42),0)</f>
        <v>91.34615384615384</v>
      </c>
      <c r="BS42" s="311">
        <f ca="1">IF($BI42&lt;&gt;"",IF('Capacity summary'!$D$14="Yes",IF(COUNTBLANK('Capacity summary'!$H161:$BG161)&lt;52,IF('Capacity summary'!P161&lt;&gt;"",IF(LOWER('Capacity summary'!P161)="x",$BI42*P42,VALUE('Capacity summary'!P161)),0),P42*$BI42),P42*$BI42),0)</f>
        <v>91.34615384615384</v>
      </c>
      <c r="BT42" s="311">
        <f ca="1">IF($BI42&lt;&gt;"",IF('Capacity summary'!$D$14="Yes",IF(COUNTBLANK('Capacity summary'!$H161:$BG161)&lt;52,IF('Capacity summary'!Q161&lt;&gt;"",IF(LOWER('Capacity summary'!Q161)="x",$BI42*Q42,VALUE('Capacity summary'!Q161)),0),Q42*$BI42),Q42*$BI42),0)</f>
        <v>91.34615384615384</v>
      </c>
      <c r="BU42" s="311">
        <f ca="1">IF($BI42&lt;&gt;"",IF('Capacity summary'!$D$14="Yes",IF(COUNTBLANK('Capacity summary'!$H161:$BG161)&lt;52,IF('Capacity summary'!R161&lt;&gt;"",IF(LOWER('Capacity summary'!R161)="x",$BI42*R42,VALUE('Capacity summary'!R161)),0),R42*$BI42),R42*$BI42),0)</f>
        <v>91.34615384615384</v>
      </c>
      <c r="BV42" s="311">
        <f ca="1">IF($BI42&lt;&gt;"",IF('Capacity summary'!$D$14="Yes",IF(COUNTBLANK('Capacity summary'!$H161:$BG161)&lt;52,IF('Capacity summary'!S161&lt;&gt;"",IF(LOWER('Capacity summary'!S161)="x",$BI42*S42,VALUE('Capacity summary'!S161)),0),S42*$BI42),S42*$BI42),0)</f>
        <v>91.34615384615384</v>
      </c>
      <c r="BW42" s="311">
        <f ca="1">IF($BI42&lt;&gt;"",IF('Capacity summary'!$D$14="Yes",IF(COUNTBLANK('Capacity summary'!$H161:$BG161)&lt;52,IF('Capacity summary'!T161&lt;&gt;"",IF(LOWER('Capacity summary'!T161)="x",$BI42*T42,VALUE('Capacity summary'!T161)),0),T42*$BI42),T42*$BI42),0)</f>
        <v>91.34615384615384</v>
      </c>
      <c r="BX42" s="311">
        <f ca="1">IF($BI42&lt;&gt;"",IF('Capacity summary'!$D$14="Yes",IF(COUNTBLANK('Capacity summary'!$H161:$BG161)&lt;52,IF('Capacity summary'!U161&lt;&gt;"",IF(LOWER('Capacity summary'!U161)="x",$BI42*U42,VALUE('Capacity summary'!U161)),0),U42*$BI42),U42*$BI42),0)</f>
        <v>91.34615384615384</v>
      </c>
      <c r="BY42" s="311">
        <f ca="1">IF($BI42&lt;&gt;"",IF('Capacity summary'!$D$14="Yes",IF(COUNTBLANK('Capacity summary'!$H161:$BG161)&lt;52,IF('Capacity summary'!V161&lt;&gt;"",IF(LOWER('Capacity summary'!V161)="x",$BI42*V42,VALUE('Capacity summary'!V161)),0),V42*$BI42),V42*$BI42),0)</f>
        <v>91.34615384615384</v>
      </c>
      <c r="BZ42" s="311">
        <f ca="1">IF($BI42&lt;&gt;"",IF('Capacity summary'!$D$14="Yes",IF(COUNTBLANK('Capacity summary'!$H161:$BG161)&lt;52,IF('Capacity summary'!W161&lt;&gt;"",IF(LOWER('Capacity summary'!W161)="x",$BI42*W42,VALUE('Capacity summary'!W161)),0),W42*$BI42),W42*$BI42),0)</f>
        <v>91.34615384615384</v>
      </c>
      <c r="CA42" s="311">
        <f ca="1">IF($BI42&lt;&gt;"",IF('Capacity summary'!$D$14="Yes",IF(COUNTBLANK('Capacity summary'!$H161:$BG161)&lt;52,IF('Capacity summary'!X161&lt;&gt;"",IF(LOWER('Capacity summary'!X161)="x",$BI42*X42,VALUE('Capacity summary'!X161)),0),X42*$BI42),X42*$BI42),0)</f>
        <v>91.34615384615384</v>
      </c>
      <c r="CB42" s="311">
        <f ca="1">IF($BI42&lt;&gt;"",IF('Capacity summary'!$D$14="Yes",IF(COUNTBLANK('Capacity summary'!$H161:$BG161)&lt;52,IF('Capacity summary'!Y161&lt;&gt;"",IF(LOWER('Capacity summary'!Y161)="x",$BI42*Y42,VALUE('Capacity summary'!Y161)),0),Y42*$BI42),Y42*$BI42),0)</f>
        <v>91.34615384615384</v>
      </c>
      <c r="CC42" s="311">
        <f ca="1">IF($BI42&lt;&gt;"",IF('Capacity summary'!$D$14="Yes",IF(COUNTBLANK('Capacity summary'!$H161:$BG161)&lt;52,IF('Capacity summary'!Z161&lt;&gt;"",IF(LOWER('Capacity summary'!Z161)="x",$BI42*Z42,VALUE('Capacity summary'!Z161)),0),Z42*$BI42),Z42*$BI42),0)</f>
        <v>91.34615384615384</v>
      </c>
      <c r="CD42" s="311">
        <f ca="1">IF($BI42&lt;&gt;"",IF('Capacity summary'!$D$14="Yes",IF(COUNTBLANK('Capacity summary'!$H161:$BG161)&lt;52,IF('Capacity summary'!AA161&lt;&gt;"",IF(LOWER('Capacity summary'!AA161)="x",$BI42*AA42,VALUE('Capacity summary'!AA161)),0),AA42*$BI42),AA42*$BI42),0)</f>
        <v>91.34615384615384</v>
      </c>
      <c r="CE42" s="311">
        <f ca="1">IF($BI42&lt;&gt;"",IF('Capacity summary'!$D$14="Yes",IF(COUNTBLANK('Capacity summary'!$H161:$BG161)&lt;52,IF('Capacity summary'!AB161&lt;&gt;"",IF(LOWER('Capacity summary'!AB161)="x",$BI42*AB42,VALUE('Capacity summary'!AB161)),0),AB42*$BI42),AB42*$BI42),0)</f>
        <v>91.34615384615384</v>
      </c>
      <c r="CF42" s="311">
        <f ca="1">IF($BI42&lt;&gt;"",IF('Capacity summary'!$D$14="Yes",IF(COUNTBLANK('Capacity summary'!$H161:$BG161)&lt;52,IF('Capacity summary'!AC161&lt;&gt;"",IF(LOWER('Capacity summary'!AC161)="x",$BI42*AC42,VALUE('Capacity summary'!AC161)),0),AC42*$BI42),AC42*$BI42),0)</f>
        <v>91.34615384615384</v>
      </c>
      <c r="CG42" s="311">
        <f ca="1">IF($BI42&lt;&gt;"",IF('Capacity summary'!$D$14="Yes",IF(COUNTBLANK('Capacity summary'!$H161:$BG161)&lt;52,IF('Capacity summary'!AD161&lt;&gt;"",IF(LOWER('Capacity summary'!AD161)="x",$BI42*AD42,VALUE('Capacity summary'!AD161)),0),AD42*$BI42),AD42*$BI42),0)</f>
        <v>91.34615384615384</v>
      </c>
      <c r="CH42" s="311">
        <f ca="1">IF($BI42&lt;&gt;"",IF('Capacity summary'!$D$14="Yes",IF(COUNTBLANK('Capacity summary'!$H161:$BG161)&lt;52,IF('Capacity summary'!AE161&lt;&gt;"",IF(LOWER('Capacity summary'!AE161)="x",$BI42*AE42,VALUE('Capacity summary'!AE161)),0),AE42*$BI42),AE42*$BI42),0)</f>
        <v>91.34615384615384</v>
      </c>
      <c r="CI42" s="311">
        <f ca="1">IF($BI42&lt;&gt;"",IF('Capacity summary'!$D$14="Yes",IF(COUNTBLANK('Capacity summary'!$H161:$BG161)&lt;52,IF('Capacity summary'!AF161&lt;&gt;"",IF(LOWER('Capacity summary'!AF161)="x",$BI42*AF42,VALUE('Capacity summary'!AF161)),0),AF42*$BI42),AF42*$BI42),0)</f>
        <v>91.34615384615384</v>
      </c>
      <c r="CJ42" s="311">
        <f ca="1">IF($BI42&lt;&gt;"",IF('Capacity summary'!$D$14="Yes",IF(COUNTBLANK('Capacity summary'!$H161:$BG161)&lt;52,IF('Capacity summary'!AG161&lt;&gt;"",IF(LOWER('Capacity summary'!AG161)="x",$BI42*AG42,VALUE('Capacity summary'!AG161)),0),AG42*$BI42),AG42*$BI42),0)</f>
        <v>91.34615384615384</v>
      </c>
      <c r="CK42" s="311">
        <f ca="1">IF($BI42&lt;&gt;"",IF('Capacity summary'!$D$14="Yes",IF(COUNTBLANK('Capacity summary'!$H161:$BG161)&lt;52,IF('Capacity summary'!AH161&lt;&gt;"",IF(LOWER('Capacity summary'!AH161)="x",$BI42*AH42,VALUE('Capacity summary'!AH161)),0),AH42*$BI42),AH42*$BI42),0)</f>
        <v>91.34615384615384</v>
      </c>
      <c r="CL42" s="311">
        <f ca="1">IF($BI42&lt;&gt;"",IF('Capacity summary'!$D$14="Yes",IF(COUNTBLANK('Capacity summary'!$H161:$BG161)&lt;52,IF('Capacity summary'!AI161&lt;&gt;"",IF(LOWER('Capacity summary'!AI161)="x",$BI42*AI42,VALUE('Capacity summary'!AI161)),0),AI42*$BI42),AI42*$BI42),0)</f>
        <v>91.34615384615384</v>
      </c>
      <c r="CM42" s="311">
        <f ca="1">IF($BI42&lt;&gt;"",IF('Capacity summary'!$D$14="Yes",IF(COUNTBLANK('Capacity summary'!$H161:$BG161)&lt;52,IF('Capacity summary'!AJ161&lt;&gt;"",IF(LOWER('Capacity summary'!AJ161)="x",$BI42*AJ42,VALUE('Capacity summary'!AJ161)),0),AJ42*$BI42),AJ42*$BI42),0)</f>
        <v>91.34615384615384</v>
      </c>
      <c r="CN42" s="311">
        <f ca="1">IF($BI42&lt;&gt;"",IF('Capacity summary'!$D$14="Yes",IF(COUNTBLANK('Capacity summary'!$H161:$BG161)&lt;52,IF('Capacity summary'!AK161&lt;&gt;"",IF(LOWER('Capacity summary'!AK161)="x",$BI42*AK42,VALUE('Capacity summary'!AK161)),0),AK42*$BI42),AK42*$BI42),0)</f>
        <v>91.34615384615384</v>
      </c>
      <c r="CO42" s="311">
        <f ca="1">IF($BI42&lt;&gt;"",IF('Capacity summary'!$D$14="Yes",IF(COUNTBLANK('Capacity summary'!$H161:$BG161)&lt;52,IF('Capacity summary'!AL161&lt;&gt;"",IF(LOWER('Capacity summary'!AL161)="x",$BI42*AL42,VALUE('Capacity summary'!AL161)),0),AL42*$BI42),AL42*$BI42),0)</f>
        <v>91.34615384615384</v>
      </c>
      <c r="CP42" s="311">
        <f ca="1">IF($BI42&lt;&gt;"",IF('Capacity summary'!$D$14="Yes",IF(COUNTBLANK('Capacity summary'!$H161:$BG161)&lt;52,IF('Capacity summary'!AM161&lt;&gt;"",IF(LOWER('Capacity summary'!AM161)="x",$BI42*AM42,VALUE('Capacity summary'!AM161)),0),AM42*$BI42),AM42*$BI42),0)</f>
        <v>91.34615384615384</v>
      </c>
      <c r="CQ42" s="311">
        <f ca="1">IF($BI42&lt;&gt;"",IF('Capacity summary'!$D$14="Yes",IF(COUNTBLANK('Capacity summary'!$H161:$BG161)&lt;52,IF('Capacity summary'!AN161&lt;&gt;"",IF(LOWER('Capacity summary'!AN161)="x",$BI42*AN42,VALUE('Capacity summary'!AN161)),0),AN42*$BI42),AN42*$BI42),0)</f>
        <v>91.34615384615384</v>
      </c>
      <c r="CR42" s="311">
        <f ca="1">IF($BI42&lt;&gt;"",IF('Capacity summary'!$D$14="Yes",IF(COUNTBLANK('Capacity summary'!$H161:$BG161)&lt;52,IF('Capacity summary'!AO161&lt;&gt;"",IF(LOWER('Capacity summary'!AO161)="x",$BI42*AO42,VALUE('Capacity summary'!AO161)),0),AO42*$BI42),AO42*$BI42),0)</f>
        <v>91.34615384615384</v>
      </c>
      <c r="CS42" s="311">
        <f ca="1">IF($BI42&lt;&gt;"",IF('Capacity summary'!$D$14="Yes",IF(COUNTBLANK('Capacity summary'!$H161:$BG161)&lt;52,IF('Capacity summary'!AP161&lt;&gt;"",IF(LOWER('Capacity summary'!AP161)="x",$BI42*AP42,VALUE('Capacity summary'!AP161)),0),AP42*$BI42),AP42*$BI42),0)</f>
        <v>91.34615384615384</v>
      </c>
      <c r="CT42" s="311">
        <f ca="1">IF($BI42&lt;&gt;"",IF('Capacity summary'!$D$14="Yes",IF(COUNTBLANK('Capacity summary'!$H161:$BG161)&lt;52,IF('Capacity summary'!AQ161&lt;&gt;"",IF(LOWER('Capacity summary'!AQ161)="x",$BI42*AQ42,VALUE('Capacity summary'!AQ161)),0),AQ42*$BI42),AQ42*$BI42),0)</f>
        <v>91.34615384615384</v>
      </c>
      <c r="CU42" s="311">
        <f ca="1">IF($BI42&lt;&gt;"",IF('Capacity summary'!$D$14="Yes",IF(COUNTBLANK('Capacity summary'!$H161:$BG161)&lt;52,IF('Capacity summary'!AR161&lt;&gt;"",IF(LOWER('Capacity summary'!AR161)="x",$BI42*AR42,VALUE('Capacity summary'!AR161)),0),AR42*$BI42),AR42*$BI42),0)</f>
        <v>91.34615384615384</v>
      </c>
      <c r="CV42" s="311">
        <f ca="1">IF($BI42&lt;&gt;"",IF('Capacity summary'!$D$14="Yes",IF(COUNTBLANK('Capacity summary'!$H161:$BG161)&lt;52,IF('Capacity summary'!AS161&lt;&gt;"",IF(LOWER('Capacity summary'!AS161)="x",$BI42*AS42,VALUE('Capacity summary'!AS161)),0),AS42*$BI42),AS42*$BI42),0)</f>
        <v>91.34615384615384</v>
      </c>
      <c r="CW42" s="311">
        <f ca="1">IF($BI42&lt;&gt;"",IF('Capacity summary'!$D$14="Yes",IF(COUNTBLANK('Capacity summary'!$H161:$BG161)&lt;52,IF('Capacity summary'!AT161&lt;&gt;"",IF(LOWER('Capacity summary'!AT161)="x",$BI42*AT42,VALUE('Capacity summary'!AT161)),0),AT42*$BI42),AT42*$BI42),0)</f>
        <v>91.34615384615384</v>
      </c>
      <c r="CX42" s="311">
        <f ca="1">IF($BI42&lt;&gt;"",IF('Capacity summary'!$D$14="Yes",IF(COUNTBLANK('Capacity summary'!$H161:$BG161)&lt;52,IF('Capacity summary'!AU161&lt;&gt;"",IF(LOWER('Capacity summary'!AU161)="x",$BI42*AU42,VALUE('Capacity summary'!AU161)),0),AU42*$BI42),AU42*$BI42),0)</f>
        <v>91.34615384615384</v>
      </c>
      <c r="CY42" s="311">
        <f ca="1">IF($BI42&lt;&gt;"",IF('Capacity summary'!$D$14="Yes",IF(COUNTBLANK('Capacity summary'!$H161:$BG161)&lt;52,IF('Capacity summary'!AV161&lt;&gt;"",IF(LOWER('Capacity summary'!AV161)="x",$BI42*AV42,VALUE('Capacity summary'!AV161)),0),AV42*$BI42),AV42*$BI42),0)</f>
        <v>91.34615384615384</v>
      </c>
      <c r="CZ42" s="311">
        <f ca="1">IF($BI42&lt;&gt;"",IF('Capacity summary'!$D$14="Yes",IF(COUNTBLANK('Capacity summary'!$H161:$BG161)&lt;52,IF('Capacity summary'!AW161&lt;&gt;"",IF(LOWER('Capacity summary'!AW161)="x",$BI42*AW42,VALUE('Capacity summary'!AW161)),0),AW42*$BI42),AW42*$BI42),0)</f>
        <v>91.34615384615384</v>
      </c>
      <c r="DA42" s="311">
        <f ca="1">IF($BI42&lt;&gt;"",IF('Capacity summary'!$D$14="Yes",IF(COUNTBLANK('Capacity summary'!$H161:$BG161)&lt;52,IF('Capacity summary'!AX161&lt;&gt;"",IF(LOWER('Capacity summary'!AX161)="x",$BI42*AX42,VALUE('Capacity summary'!AX161)),0),AX42*$BI42),AX42*$BI42),0)</f>
        <v>91.34615384615384</v>
      </c>
      <c r="DB42" s="311">
        <f ca="1">IF($BI42&lt;&gt;"",IF('Capacity summary'!$D$14="Yes",IF(COUNTBLANK('Capacity summary'!$H161:$BG161)&lt;52,IF('Capacity summary'!AY161&lt;&gt;"",IF(LOWER('Capacity summary'!AY161)="x",$BI42*AY42,VALUE('Capacity summary'!AY161)),0),AY42*$BI42),AY42*$BI42),0)</f>
        <v>91.34615384615384</v>
      </c>
      <c r="DC42" s="311">
        <f ca="1">IF($BI42&lt;&gt;"",IF('Capacity summary'!$D$14="Yes",IF(COUNTBLANK('Capacity summary'!$H161:$BG161)&lt;52,IF('Capacity summary'!AZ161&lt;&gt;"",IF(LOWER('Capacity summary'!AZ161)="x",$BI42*AZ42,VALUE('Capacity summary'!AZ161)),0),AZ42*$BI42),AZ42*$BI42),0)</f>
        <v>91.34615384615384</v>
      </c>
      <c r="DD42" s="311">
        <f ca="1">IF($BI42&lt;&gt;"",IF('Capacity summary'!$D$14="Yes",IF(COUNTBLANK('Capacity summary'!$H161:$BG161)&lt;52,IF('Capacity summary'!BA161&lt;&gt;"",IF(LOWER('Capacity summary'!BA161)="x",$BI42*BA42,VALUE('Capacity summary'!BA161)),0),BA42*$BI42),BA42*$BI42),0)</f>
        <v>91.34615384615384</v>
      </c>
      <c r="DE42" s="311">
        <f ca="1">IF($BI42&lt;&gt;"",IF('Capacity summary'!$D$14="Yes",IF(COUNTBLANK('Capacity summary'!$H161:$BG161)&lt;52,IF('Capacity summary'!BB161&lt;&gt;"",IF(LOWER('Capacity summary'!BB161)="x",$BI42*BB42,VALUE('Capacity summary'!BB161)),0),BB42*$BI42),BB42*$BI42),0)</f>
        <v>91.34615384615384</v>
      </c>
      <c r="DF42" s="311">
        <f ca="1">IF($BI42&lt;&gt;"",IF('Capacity summary'!$D$14="Yes",IF(COUNTBLANK('Capacity summary'!$H161:$BG161)&lt;52,IF('Capacity summary'!BC161&lt;&gt;"",IF(LOWER('Capacity summary'!BC161)="x",$BI42*BC42,VALUE('Capacity summary'!BC161)),0),BC42*$BI42),BC42*$BI42),0)</f>
        <v>91.34615384615384</v>
      </c>
      <c r="DG42" s="311">
        <f ca="1">IF($BI42&lt;&gt;"",IF('Capacity summary'!$D$14="Yes",IF(COUNTBLANK('Capacity summary'!$H161:$BG161)&lt;52,IF('Capacity summary'!BD161&lt;&gt;"",IF(LOWER('Capacity summary'!BD161)="x",$BI42*BD42,VALUE('Capacity summary'!BD161)),0),BD42*$BI42),BD42*$BI42),0)</f>
        <v>91.34615384615384</v>
      </c>
      <c r="DH42" s="311">
        <f ca="1">IF($BI42&lt;&gt;"",IF('Capacity summary'!$D$14="Yes",IF(COUNTBLANK('Capacity summary'!$H161:$BG161)&lt;52,IF('Capacity summary'!BE161&lt;&gt;"",IF(LOWER('Capacity summary'!BE161)="x",$BI42*BE42,VALUE('Capacity summary'!BE161)),0),BE42*$BI42),BE42*$BI42),0)</f>
        <v>91.34615384615384</v>
      </c>
      <c r="DI42" s="311">
        <f ca="1">IF($BI42&lt;&gt;"",IF('Capacity summary'!$D$14="Yes",IF(COUNTBLANK('Capacity summary'!$H161:$BG161)&lt;52,IF('Capacity summary'!BF161&lt;&gt;"",IF(LOWER('Capacity summary'!BF161)="x",$BI42*BF42,VALUE('Capacity summary'!BF161)),0),BF42*$BI42),BF42*$BI42),0)</f>
        <v>91.34615384615384</v>
      </c>
      <c r="DJ42" s="311">
        <f ca="1">IF($BI42&lt;&gt;"",IF('Capacity summary'!$D$14="Yes",IF(COUNTBLANK('Capacity summary'!$H161:$BG161)&lt;52,IF('Capacity summary'!BG161&lt;&gt;"",IF(LOWER('Capacity summary'!BG161)="x",$BI42*BG42,VALUE('Capacity summary'!BG161)),0),BG42*$BI42),BG42*$BI42),0)</f>
        <v>91.34615384615384</v>
      </c>
      <c r="DK42" s="388">
        <f t="shared" ca="1" si="2"/>
        <v>91.34615384615384</v>
      </c>
      <c r="DL42" s="136">
        <f t="shared" ca="1" si="3"/>
        <v>4750.0000000000018</v>
      </c>
      <c r="DM42" s="311">
        <f>Capacity!H54</f>
        <v>4750</v>
      </c>
      <c r="DQ42" s="5"/>
    </row>
    <row r="43" spans="1:121" x14ac:dyDescent="0.2">
      <c r="A43" s="67">
        <f>IF(Capacity!L55='Capacity summary'!BI162,1,0)</f>
        <v>1</v>
      </c>
      <c r="B43" s="67">
        <f>IF(Capacity!V55='Capacity summary'!BI62,1,0)</f>
        <v>1</v>
      </c>
      <c r="C43" s="67" t="str">
        <f>ROW(A39)&amp;". "&amp;Capacity!B55</f>
        <v>39. 2 ww</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 ca="1">IF(ROW(C39)&lt;=Capacity!$A$16,IF('Capacity summary'!$D$14="No",SUM(H43:BG43),'Capacity summary'!$E162),0)</f>
        <v>52</v>
      </c>
      <c r="BI43" s="5">
        <f ca="1">IF(BH43&gt;0,IF(BH43&lt;Capacity!E55,Capacity!F55,Capacity!H55/'Capacity calculation (hide)'!BH43),"")</f>
        <v>91.34615384615384</v>
      </c>
      <c r="BK43" s="311">
        <f ca="1">IF($BI43&lt;&gt;"",IF('Capacity summary'!$D$14="Yes",IF(COUNTBLANK('Capacity summary'!$H162:$BG162)&lt;52,IF('Capacity summary'!H162&lt;&gt;"",IF(LOWER('Capacity summary'!H162)="x",$BI43*H43,VALUE('Capacity summary'!H162)),0),H43*$BI43),H43*$BI43),0)</f>
        <v>91.34615384615384</v>
      </c>
      <c r="BL43" s="311">
        <f ca="1">IF($BI43&lt;&gt;"",IF('Capacity summary'!$D$14="Yes",IF(COUNTBLANK('Capacity summary'!$H162:$BG162)&lt;52,IF('Capacity summary'!I162&lt;&gt;"",IF(LOWER('Capacity summary'!I162)="x",$BI43*I43,VALUE('Capacity summary'!I162)),0),I43*$BI43),I43*$BI43),0)</f>
        <v>91.34615384615384</v>
      </c>
      <c r="BM43" s="311">
        <f ca="1">IF($BI43&lt;&gt;"",IF('Capacity summary'!$D$14="Yes",IF(COUNTBLANK('Capacity summary'!$H162:$BG162)&lt;52,IF('Capacity summary'!J162&lt;&gt;"",IF(LOWER('Capacity summary'!J162)="x",$BI43*J43,VALUE('Capacity summary'!J162)),0),J43*$BI43),J43*$BI43),0)</f>
        <v>91.34615384615384</v>
      </c>
      <c r="BN43" s="311">
        <f ca="1">IF($BI43&lt;&gt;"",IF('Capacity summary'!$D$14="Yes",IF(COUNTBLANK('Capacity summary'!$H162:$BG162)&lt;52,IF('Capacity summary'!K162&lt;&gt;"",IF(LOWER('Capacity summary'!K162)="x",$BI43*K43,VALUE('Capacity summary'!K162)),0),K43*$BI43),K43*$BI43),0)</f>
        <v>91.34615384615384</v>
      </c>
      <c r="BO43" s="311">
        <f ca="1">IF($BI43&lt;&gt;"",IF('Capacity summary'!$D$14="Yes",IF(COUNTBLANK('Capacity summary'!$H162:$BG162)&lt;52,IF('Capacity summary'!L162&lt;&gt;"",IF(LOWER('Capacity summary'!L162)="x",$BI43*L43,VALUE('Capacity summary'!L162)),0),L43*$BI43),L43*$BI43),0)</f>
        <v>91.34615384615384</v>
      </c>
      <c r="BP43" s="311">
        <f ca="1">IF($BI43&lt;&gt;"",IF('Capacity summary'!$D$14="Yes",IF(COUNTBLANK('Capacity summary'!$H162:$BG162)&lt;52,IF('Capacity summary'!M162&lt;&gt;"",IF(LOWER('Capacity summary'!M162)="x",$BI43*M43,VALUE('Capacity summary'!M162)),0),M43*$BI43),M43*$BI43),0)</f>
        <v>91.34615384615384</v>
      </c>
      <c r="BQ43" s="311">
        <f ca="1">IF($BI43&lt;&gt;"",IF('Capacity summary'!$D$14="Yes",IF(COUNTBLANK('Capacity summary'!$H162:$BG162)&lt;52,IF('Capacity summary'!N162&lt;&gt;"",IF(LOWER('Capacity summary'!N162)="x",$BI43*N43,VALUE('Capacity summary'!N162)),0),N43*$BI43),N43*$BI43),0)</f>
        <v>91.34615384615384</v>
      </c>
      <c r="BR43" s="311">
        <f ca="1">IF($BI43&lt;&gt;"",IF('Capacity summary'!$D$14="Yes",IF(COUNTBLANK('Capacity summary'!$H162:$BG162)&lt;52,IF('Capacity summary'!O162&lt;&gt;"",IF(LOWER('Capacity summary'!O162)="x",$BI43*O43,VALUE('Capacity summary'!O162)),0),O43*$BI43),O43*$BI43),0)</f>
        <v>91.34615384615384</v>
      </c>
      <c r="BS43" s="311">
        <f ca="1">IF($BI43&lt;&gt;"",IF('Capacity summary'!$D$14="Yes",IF(COUNTBLANK('Capacity summary'!$H162:$BG162)&lt;52,IF('Capacity summary'!P162&lt;&gt;"",IF(LOWER('Capacity summary'!P162)="x",$BI43*P43,VALUE('Capacity summary'!P162)),0),P43*$BI43),P43*$BI43),0)</f>
        <v>91.34615384615384</v>
      </c>
      <c r="BT43" s="311">
        <f ca="1">IF($BI43&lt;&gt;"",IF('Capacity summary'!$D$14="Yes",IF(COUNTBLANK('Capacity summary'!$H162:$BG162)&lt;52,IF('Capacity summary'!Q162&lt;&gt;"",IF(LOWER('Capacity summary'!Q162)="x",$BI43*Q43,VALUE('Capacity summary'!Q162)),0),Q43*$BI43),Q43*$BI43),0)</f>
        <v>91.34615384615384</v>
      </c>
      <c r="BU43" s="311">
        <f ca="1">IF($BI43&lt;&gt;"",IF('Capacity summary'!$D$14="Yes",IF(COUNTBLANK('Capacity summary'!$H162:$BG162)&lt;52,IF('Capacity summary'!R162&lt;&gt;"",IF(LOWER('Capacity summary'!R162)="x",$BI43*R43,VALUE('Capacity summary'!R162)),0),R43*$BI43),R43*$BI43),0)</f>
        <v>91.34615384615384</v>
      </c>
      <c r="BV43" s="311">
        <f ca="1">IF($BI43&lt;&gt;"",IF('Capacity summary'!$D$14="Yes",IF(COUNTBLANK('Capacity summary'!$H162:$BG162)&lt;52,IF('Capacity summary'!S162&lt;&gt;"",IF(LOWER('Capacity summary'!S162)="x",$BI43*S43,VALUE('Capacity summary'!S162)),0),S43*$BI43),S43*$BI43),0)</f>
        <v>91.34615384615384</v>
      </c>
      <c r="BW43" s="311">
        <f ca="1">IF($BI43&lt;&gt;"",IF('Capacity summary'!$D$14="Yes",IF(COUNTBLANK('Capacity summary'!$H162:$BG162)&lt;52,IF('Capacity summary'!T162&lt;&gt;"",IF(LOWER('Capacity summary'!T162)="x",$BI43*T43,VALUE('Capacity summary'!T162)),0),T43*$BI43),T43*$BI43),0)</f>
        <v>91.34615384615384</v>
      </c>
      <c r="BX43" s="311">
        <f ca="1">IF($BI43&lt;&gt;"",IF('Capacity summary'!$D$14="Yes",IF(COUNTBLANK('Capacity summary'!$H162:$BG162)&lt;52,IF('Capacity summary'!U162&lt;&gt;"",IF(LOWER('Capacity summary'!U162)="x",$BI43*U43,VALUE('Capacity summary'!U162)),0),U43*$BI43),U43*$BI43),0)</f>
        <v>91.34615384615384</v>
      </c>
      <c r="BY43" s="311">
        <f ca="1">IF($BI43&lt;&gt;"",IF('Capacity summary'!$D$14="Yes",IF(COUNTBLANK('Capacity summary'!$H162:$BG162)&lt;52,IF('Capacity summary'!V162&lt;&gt;"",IF(LOWER('Capacity summary'!V162)="x",$BI43*V43,VALUE('Capacity summary'!V162)),0),V43*$BI43),V43*$BI43),0)</f>
        <v>91.34615384615384</v>
      </c>
      <c r="BZ43" s="311">
        <f ca="1">IF($BI43&lt;&gt;"",IF('Capacity summary'!$D$14="Yes",IF(COUNTBLANK('Capacity summary'!$H162:$BG162)&lt;52,IF('Capacity summary'!W162&lt;&gt;"",IF(LOWER('Capacity summary'!W162)="x",$BI43*W43,VALUE('Capacity summary'!W162)),0),W43*$BI43),W43*$BI43),0)</f>
        <v>91.34615384615384</v>
      </c>
      <c r="CA43" s="311">
        <f ca="1">IF($BI43&lt;&gt;"",IF('Capacity summary'!$D$14="Yes",IF(COUNTBLANK('Capacity summary'!$H162:$BG162)&lt;52,IF('Capacity summary'!X162&lt;&gt;"",IF(LOWER('Capacity summary'!X162)="x",$BI43*X43,VALUE('Capacity summary'!X162)),0),X43*$BI43),X43*$BI43),0)</f>
        <v>91.34615384615384</v>
      </c>
      <c r="CB43" s="311">
        <f ca="1">IF($BI43&lt;&gt;"",IF('Capacity summary'!$D$14="Yes",IF(COUNTBLANK('Capacity summary'!$H162:$BG162)&lt;52,IF('Capacity summary'!Y162&lt;&gt;"",IF(LOWER('Capacity summary'!Y162)="x",$BI43*Y43,VALUE('Capacity summary'!Y162)),0),Y43*$BI43),Y43*$BI43),0)</f>
        <v>91.34615384615384</v>
      </c>
      <c r="CC43" s="311">
        <f ca="1">IF($BI43&lt;&gt;"",IF('Capacity summary'!$D$14="Yes",IF(COUNTBLANK('Capacity summary'!$H162:$BG162)&lt;52,IF('Capacity summary'!Z162&lt;&gt;"",IF(LOWER('Capacity summary'!Z162)="x",$BI43*Z43,VALUE('Capacity summary'!Z162)),0),Z43*$BI43),Z43*$BI43),0)</f>
        <v>91.34615384615384</v>
      </c>
      <c r="CD43" s="311">
        <f ca="1">IF($BI43&lt;&gt;"",IF('Capacity summary'!$D$14="Yes",IF(COUNTBLANK('Capacity summary'!$H162:$BG162)&lt;52,IF('Capacity summary'!AA162&lt;&gt;"",IF(LOWER('Capacity summary'!AA162)="x",$BI43*AA43,VALUE('Capacity summary'!AA162)),0),AA43*$BI43),AA43*$BI43),0)</f>
        <v>91.34615384615384</v>
      </c>
      <c r="CE43" s="311">
        <f ca="1">IF($BI43&lt;&gt;"",IF('Capacity summary'!$D$14="Yes",IF(COUNTBLANK('Capacity summary'!$H162:$BG162)&lt;52,IF('Capacity summary'!AB162&lt;&gt;"",IF(LOWER('Capacity summary'!AB162)="x",$BI43*AB43,VALUE('Capacity summary'!AB162)),0),AB43*$BI43),AB43*$BI43),0)</f>
        <v>91.34615384615384</v>
      </c>
      <c r="CF43" s="311">
        <f ca="1">IF($BI43&lt;&gt;"",IF('Capacity summary'!$D$14="Yes",IF(COUNTBLANK('Capacity summary'!$H162:$BG162)&lt;52,IF('Capacity summary'!AC162&lt;&gt;"",IF(LOWER('Capacity summary'!AC162)="x",$BI43*AC43,VALUE('Capacity summary'!AC162)),0),AC43*$BI43),AC43*$BI43),0)</f>
        <v>91.34615384615384</v>
      </c>
      <c r="CG43" s="311">
        <f ca="1">IF($BI43&lt;&gt;"",IF('Capacity summary'!$D$14="Yes",IF(COUNTBLANK('Capacity summary'!$H162:$BG162)&lt;52,IF('Capacity summary'!AD162&lt;&gt;"",IF(LOWER('Capacity summary'!AD162)="x",$BI43*AD43,VALUE('Capacity summary'!AD162)),0),AD43*$BI43),AD43*$BI43),0)</f>
        <v>91.34615384615384</v>
      </c>
      <c r="CH43" s="311">
        <f ca="1">IF($BI43&lt;&gt;"",IF('Capacity summary'!$D$14="Yes",IF(COUNTBLANK('Capacity summary'!$H162:$BG162)&lt;52,IF('Capacity summary'!AE162&lt;&gt;"",IF(LOWER('Capacity summary'!AE162)="x",$BI43*AE43,VALUE('Capacity summary'!AE162)),0),AE43*$BI43),AE43*$BI43),0)</f>
        <v>91.34615384615384</v>
      </c>
      <c r="CI43" s="311">
        <f ca="1">IF($BI43&lt;&gt;"",IF('Capacity summary'!$D$14="Yes",IF(COUNTBLANK('Capacity summary'!$H162:$BG162)&lt;52,IF('Capacity summary'!AF162&lt;&gt;"",IF(LOWER('Capacity summary'!AF162)="x",$BI43*AF43,VALUE('Capacity summary'!AF162)),0),AF43*$BI43),AF43*$BI43),0)</f>
        <v>91.34615384615384</v>
      </c>
      <c r="CJ43" s="311">
        <f ca="1">IF($BI43&lt;&gt;"",IF('Capacity summary'!$D$14="Yes",IF(COUNTBLANK('Capacity summary'!$H162:$BG162)&lt;52,IF('Capacity summary'!AG162&lt;&gt;"",IF(LOWER('Capacity summary'!AG162)="x",$BI43*AG43,VALUE('Capacity summary'!AG162)),0),AG43*$BI43),AG43*$BI43),0)</f>
        <v>91.34615384615384</v>
      </c>
      <c r="CK43" s="311">
        <f ca="1">IF($BI43&lt;&gt;"",IF('Capacity summary'!$D$14="Yes",IF(COUNTBLANK('Capacity summary'!$H162:$BG162)&lt;52,IF('Capacity summary'!AH162&lt;&gt;"",IF(LOWER('Capacity summary'!AH162)="x",$BI43*AH43,VALUE('Capacity summary'!AH162)),0),AH43*$BI43),AH43*$BI43),0)</f>
        <v>91.34615384615384</v>
      </c>
      <c r="CL43" s="311">
        <f ca="1">IF($BI43&lt;&gt;"",IF('Capacity summary'!$D$14="Yes",IF(COUNTBLANK('Capacity summary'!$H162:$BG162)&lt;52,IF('Capacity summary'!AI162&lt;&gt;"",IF(LOWER('Capacity summary'!AI162)="x",$BI43*AI43,VALUE('Capacity summary'!AI162)),0),AI43*$BI43),AI43*$BI43),0)</f>
        <v>91.34615384615384</v>
      </c>
      <c r="CM43" s="311">
        <f ca="1">IF($BI43&lt;&gt;"",IF('Capacity summary'!$D$14="Yes",IF(COUNTBLANK('Capacity summary'!$H162:$BG162)&lt;52,IF('Capacity summary'!AJ162&lt;&gt;"",IF(LOWER('Capacity summary'!AJ162)="x",$BI43*AJ43,VALUE('Capacity summary'!AJ162)),0),AJ43*$BI43),AJ43*$BI43),0)</f>
        <v>91.34615384615384</v>
      </c>
      <c r="CN43" s="311">
        <f ca="1">IF($BI43&lt;&gt;"",IF('Capacity summary'!$D$14="Yes",IF(COUNTBLANK('Capacity summary'!$H162:$BG162)&lt;52,IF('Capacity summary'!AK162&lt;&gt;"",IF(LOWER('Capacity summary'!AK162)="x",$BI43*AK43,VALUE('Capacity summary'!AK162)),0),AK43*$BI43),AK43*$BI43),0)</f>
        <v>91.34615384615384</v>
      </c>
      <c r="CO43" s="311">
        <f ca="1">IF($BI43&lt;&gt;"",IF('Capacity summary'!$D$14="Yes",IF(COUNTBLANK('Capacity summary'!$H162:$BG162)&lt;52,IF('Capacity summary'!AL162&lt;&gt;"",IF(LOWER('Capacity summary'!AL162)="x",$BI43*AL43,VALUE('Capacity summary'!AL162)),0),AL43*$BI43),AL43*$BI43),0)</f>
        <v>91.34615384615384</v>
      </c>
      <c r="CP43" s="311">
        <f ca="1">IF($BI43&lt;&gt;"",IF('Capacity summary'!$D$14="Yes",IF(COUNTBLANK('Capacity summary'!$H162:$BG162)&lt;52,IF('Capacity summary'!AM162&lt;&gt;"",IF(LOWER('Capacity summary'!AM162)="x",$BI43*AM43,VALUE('Capacity summary'!AM162)),0),AM43*$BI43),AM43*$BI43),0)</f>
        <v>91.34615384615384</v>
      </c>
      <c r="CQ43" s="311">
        <f ca="1">IF($BI43&lt;&gt;"",IF('Capacity summary'!$D$14="Yes",IF(COUNTBLANK('Capacity summary'!$H162:$BG162)&lt;52,IF('Capacity summary'!AN162&lt;&gt;"",IF(LOWER('Capacity summary'!AN162)="x",$BI43*AN43,VALUE('Capacity summary'!AN162)),0),AN43*$BI43),AN43*$BI43),0)</f>
        <v>91.34615384615384</v>
      </c>
      <c r="CR43" s="311">
        <f ca="1">IF($BI43&lt;&gt;"",IF('Capacity summary'!$D$14="Yes",IF(COUNTBLANK('Capacity summary'!$H162:$BG162)&lt;52,IF('Capacity summary'!AO162&lt;&gt;"",IF(LOWER('Capacity summary'!AO162)="x",$BI43*AO43,VALUE('Capacity summary'!AO162)),0),AO43*$BI43),AO43*$BI43),0)</f>
        <v>91.34615384615384</v>
      </c>
      <c r="CS43" s="311">
        <f ca="1">IF($BI43&lt;&gt;"",IF('Capacity summary'!$D$14="Yes",IF(COUNTBLANK('Capacity summary'!$H162:$BG162)&lt;52,IF('Capacity summary'!AP162&lt;&gt;"",IF(LOWER('Capacity summary'!AP162)="x",$BI43*AP43,VALUE('Capacity summary'!AP162)),0),AP43*$BI43),AP43*$BI43),0)</f>
        <v>91.34615384615384</v>
      </c>
      <c r="CT43" s="311">
        <f ca="1">IF($BI43&lt;&gt;"",IF('Capacity summary'!$D$14="Yes",IF(COUNTBLANK('Capacity summary'!$H162:$BG162)&lt;52,IF('Capacity summary'!AQ162&lt;&gt;"",IF(LOWER('Capacity summary'!AQ162)="x",$BI43*AQ43,VALUE('Capacity summary'!AQ162)),0),AQ43*$BI43),AQ43*$BI43),0)</f>
        <v>91.34615384615384</v>
      </c>
      <c r="CU43" s="311">
        <f ca="1">IF($BI43&lt;&gt;"",IF('Capacity summary'!$D$14="Yes",IF(COUNTBLANK('Capacity summary'!$H162:$BG162)&lt;52,IF('Capacity summary'!AR162&lt;&gt;"",IF(LOWER('Capacity summary'!AR162)="x",$BI43*AR43,VALUE('Capacity summary'!AR162)),0),AR43*$BI43),AR43*$BI43),0)</f>
        <v>91.34615384615384</v>
      </c>
      <c r="CV43" s="311">
        <f ca="1">IF($BI43&lt;&gt;"",IF('Capacity summary'!$D$14="Yes",IF(COUNTBLANK('Capacity summary'!$H162:$BG162)&lt;52,IF('Capacity summary'!AS162&lt;&gt;"",IF(LOWER('Capacity summary'!AS162)="x",$BI43*AS43,VALUE('Capacity summary'!AS162)),0),AS43*$BI43),AS43*$BI43),0)</f>
        <v>91.34615384615384</v>
      </c>
      <c r="CW43" s="311">
        <f ca="1">IF($BI43&lt;&gt;"",IF('Capacity summary'!$D$14="Yes",IF(COUNTBLANK('Capacity summary'!$H162:$BG162)&lt;52,IF('Capacity summary'!AT162&lt;&gt;"",IF(LOWER('Capacity summary'!AT162)="x",$BI43*AT43,VALUE('Capacity summary'!AT162)),0),AT43*$BI43),AT43*$BI43),0)</f>
        <v>91.34615384615384</v>
      </c>
      <c r="CX43" s="311">
        <f ca="1">IF($BI43&lt;&gt;"",IF('Capacity summary'!$D$14="Yes",IF(COUNTBLANK('Capacity summary'!$H162:$BG162)&lt;52,IF('Capacity summary'!AU162&lt;&gt;"",IF(LOWER('Capacity summary'!AU162)="x",$BI43*AU43,VALUE('Capacity summary'!AU162)),0),AU43*$BI43),AU43*$BI43),0)</f>
        <v>91.34615384615384</v>
      </c>
      <c r="CY43" s="311">
        <f ca="1">IF($BI43&lt;&gt;"",IF('Capacity summary'!$D$14="Yes",IF(COUNTBLANK('Capacity summary'!$H162:$BG162)&lt;52,IF('Capacity summary'!AV162&lt;&gt;"",IF(LOWER('Capacity summary'!AV162)="x",$BI43*AV43,VALUE('Capacity summary'!AV162)),0),AV43*$BI43),AV43*$BI43),0)</f>
        <v>91.34615384615384</v>
      </c>
      <c r="CZ43" s="311">
        <f ca="1">IF($BI43&lt;&gt;"",IF('Capacity summary'!$D$14="Yes",IF(COUNTBLANK('Capacity summary'!$H162:$BG162)&lt;52,IF('Capacity summary'!AW162&lt;&gt;"",IF(LOWER('Capacity summary'!AW162)="x",$BI43*AW43,VALUE('Capacity summary'!AW162)),0),AW43*$BI43),AW43*$BI43),0)</f>
        <v>91.34615384615384</v>
      </c>
      <c r="DA43" s="311">
        <f ca="1">IF($BI43&lt;&gt;"",IF('Capacity summary'!$D$14="Yes",IF(COUNTBLANK('Capacity summary'!$H162:$BG162)&lt;52,IF('Capacity summary'!AX162&lt;&gt;"",IF(LOWER('Capacity summary'!AX162)="x",$BI43*AX43,VALUE('Capacity summary'!AX162)),0),AX43*$BI43),AX43*$BI43),0)</f>
        <v>91.34615384615384</v>
      </c>
      <c r="DB43" s="311">
        <f ca="1">IF($BI43&lt;&gt;"",IF('Capacity summary'!$D$14="Yes",IF(COUNTBLANK('Capacity summary'!$H162:$BG162)&lt;52,IF('Capacity summary'!AY162&lt;&gt;"",IF(LOWER('Capacity summary'!AY162)="x",$BI43*AY43,VALUE('Capacity summary'!AY162)),0),AY43*$BI43),AY43*$BI43),0)</f>
        <v>91.34615384615384</v>
      </c>
      <c r="DC43" s="311">
        <f ca="1">IF($BI43&lt;&gt;"",IF('Capacity summary'!$D$14="Yes",IF(COUNTBLANK('Capacity summary'!$H162:$BG162)&lt;52,IF('Capacity summary'!AZ162&lt;&gt;"",IF(LOWER('Capacity summary'!AZ162)="x",$BI43*AZ43,VALUE('Capacity summary'!AZ162)),0),AZ43*$BI43),AZ43*$BI43),0)</f>
        <v>91.34615384615384</v>
      </c>
      <c r="DD43" s="311">
        <f ca="1">IF($BI43&lt;&gt;"",IF('Capacity summary'!$D$14="Yes",IF(COUNTBLANK('Capacity summary'!$H162:$BG162)&lt;52,IF('Capacity summary'!BA162&lt;&gt;"",IF(LOWER('Capacity summary'!BA162)="x",$BI43*BA43,VALUE('Capacity summary'!BA162)),0),BA43*$BI43),BA43*$BI43),0)</f>
        <v>91.34615384615384</v>
      </c>
      <c r="DE43" s="311">
        <f ca="1">IF($BI43&lt;&gt;"",IF('Capacity summary'!$D$14="Yes",IF(COUNTBLANK('Capacity summary'!$H162:$BG162)&lt;52,IF('Capacity summary'!BB162&lt;&gt;"",IF(LOWER('Capacity summary'!BB162)="x",$BI43*BB43,VALUE('Capacity summary'!BB162)),0),BB43*$BI43),BB43*$BI43),0)</f>
        <v>91.34615384615384</v>
      </c>
      <c r="DF43" s="311">
        <f ca="1">IF($BI43&lt;&gt;"",IF('Capacity summary'!$D$14="Yes",IF(COUNTBLANK('Capacity summary'!$H162:$BG162)&lt;52,IF('Capacity summary'!BC162&lt;&gt;"",IF(LOWER('Capacity summary'!BC162)="x",$BI43*BC43,VALUE('Capacity summary'!BC162)),0),BC43*$BI43),BC43*$BI43),0)</f>
        <v>91.34615384615384</v>
      </c>
      <c r="DG43" s="311">
        <f ca="1">IF($BI43&lt;&gt;"",IF('Capacity summary'!$D$14="Yes",IF(COUNTBLANK('Capacity summary'!$H162:$BG162)&lt;52,IF('Capacity summary'!BD162&lt;&gt;"",IF(LOWER('Capacity summary'!BD162)="x",$BI43*BD43,VALUE('Capacity summary'!BD162)),0),BD43*$BI43),BD43*$BI43),0)</f>
        <v>91.34615384615384</v>
      </c>
      <c r="DH43" s="311">
        <f ca="1">IF($BI43&lt;&gt;"",IF('Capacity summary'!$D$14="Yes",IF(COUNTBLANK('Capacity summary'!$H162:$BG162)&lt;52,IF('Capacity summary'!BE162&lt;&gt;"",IF(LOWER('Capacity summary'!BE162)="x",$BI43*BE43,VALUE('Capacity summary'!BE162)),0),BE43*$BI43),BE43*$BI43),0)</f>
        <v>91.34615384615384</v>
      </c>
      <c r="DI43" s="311">
        <f ca="1">IF($BI43&lt;&gt;"",IF('Capacity summary'!$D$14="Yes",IF(COUNTBLANK('Capacity summary'!$H162:$BG162)&lt;52,IF('Capacity summary'!BF162&lt;&gt;"",IF(LOWER('Capacity summary'!BF162)="x",$BI43*BF43,VALUE('Capacity summary'!BF162)),0),BF43*$BI43),BF43*$BI43),0)</f>
        <v>91.34615384615384</v>
      </c>
      <c r="DJ43" s="311">
        <f ca="1">IF($BI43&lt;&gt;"",IF('Capacity summary'!$D$14="Yes",IF(COUNTBLANK('Capacity summary'!$H162:$BG162)&lt;52,IF('Capacity summary'!BG162&lt;&gt;"",IF(LOWER('Capacity summary'!BG162)="x",$BI43*BG43,VALUE('Capacity summary'!BG162)),0),BG43*$BI43),BG43*$BI43),0)</f>
        <v>91.34615384615384</v>
      </c>
      <c r="DK43" s="388">
        <f t="shared" ca="1" si="2"/>
        <v>91.34615384615384</v>
      </c>
      <c r="DL43" s="136">
        <f t="shared" ca="1" si="3"/>
        <v>4750.0000000000018</v>
      </c>
      <c r="DM43" s="311">
        <f>Capacity!H55</f>
        <v>4750</v>
      </c>
      <c r="DQ43" s="5"/>
    </row>
    <row r="44" spans="1:121" x14ac:dyDescent="0.2">
      <c r="A44" s="67">
        <f>IF(Capacity!L56='Capacity summary'!BI163,1,0)</f>
        <v>1</v>
      </c>
      <c r="B44" s="67">
        <f>IF(Capacity!V56='Capacity summary'!BI63,1,0)</f>
        <v>1</v>
      </c>
      <c r="C44" s="67" t="str">
        <f>ROW(A40)&amp;". "&amp;Capacity!B56</f>
        <v>40. Slot B</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 ca="1">IF(ROW(C40)&lt;=Capacity!$A$16,IF('Capacity summary'!$D$14="No",SUM(H44:BG44),'Capacity summary'!$E163),0)</f>
        <v>52</v>
      </c>
      <c r="BI44" s="5">
        <f ca="1">IF(BH44&gt;0,IF(BH44&lt;Capacity!E56,Capacity!F56,Capacity!H56/'Capacity calculation (hide)'!BH44),"")</f>
        <v>96.15384615384616</v>
      </c>
      <c r="BK44" s="311">
        <f ca="1">IF($BI44&lt;&gt;"",IF('Capacity summary'!$D$14="Yes",IF(COUNTBLANK('Capacity summary'!$H163:$BG163)&lt;52,IF('Capacity summary'!H163&lt;&gt;"",IF(LOWER('Capacity summary'!H163)="x",$BI44*H44,VALUE('Capacity summary'!H163)),0),H44*$BI44),H44*$BI44),0)</f>
        <v>96.15384615384616</v>
      </c>
      <c r="BL44" s="311">
        <f ca="1">IF($BI44&lt;&gt;"",IF('Capacity summary'!$D$14="Yes",IF(COUNTBLANK('Capacity summary'!$H163:$BG163)&lt;52,IF('Capacity summary'!I163&lt;&gt;"",IF(LOWER('Capacity summary'!I163)="x",$BI44*I44,VALUE('Capacity summary'!I163)),0),I44*$BI44),I44*$BI44),0)</f>
        <v>96.15384615384616</v>
      </c>
      <c r="BM44" s="311">
        <f ca="1">IF($BI44&lt;&gt;"",IF('Capacity summary'!$D$14="Yes",IF(COUNTBLANK('Capacity summary'!$H163:$BG163)&lt;52,IF('Capacity summary'!J163&lt;&gt;"",IF(LOWER('Capacity summary'!J163)="x",$BI44*J44,VALUE('Capacity summary'!J163)),0),J44*$BI44),J44*$BI44),0)</f>
        <v>96.15384615384616</v>
      </c>
      <c r="BN44" s="311">
        <f ca="1">IF($BI44&lt;&gt;"",IF('Capacity summary'!$D$14="Yes",IF(COUNTBLANK('Capacity summary'!$H163:$BG163)&lt;52,IF('Capacity summary'!K163&lt;&gt;"",IF(LOWER('Capacity summary'!K163)="x",$BI44*K44,VALUE('Capacity summary'!K163)),0),K44*$BI44),K44*$BI44),0)</f>
        <v>96.15384615384616</v>
      </c>
      <c r="BO44" s="311">
        <f ca="1">IF($BI44&lt;&gt;"",IF('Capacity summary'!$D$14="Yes",IF(COUNTBLANK('Capacity summary'!$H163:$BG163)&lt;52,IF('Capacity summary'!L163&lt;&gt;"",IF(LOWER('Capacity summary'!L163)="x",$BI44*L44,VALUE('Capacity summary'!L163)),0),L44*$BI44),L44*$BI44),0)</f>
        <v>96.15384615384616</v>
      </c>
      <c r="BP44" s="311">
        <f ca="1">IF($BI44&lt;&gt;"",IF('Capacity summary'!$D$14="Yes",IF(COUNTBLANK('Capacity summary'!$H163:$BG163)&lt;52,IF('Capacity summary'!M163&lt;&gt;"",IF(LOWER('Capacity summary'!M163)="x",$BI44*M44,VALUE('Capacity summary'!M163)),0),M44*$BI44),M44*$BI44),0)</f>
        <v>96.15384615384616</v>
      </c>
      <c r="BQ44" s="311">
        <f ca="1">IF($BI44&lt;&gt;"",IF('Capacity summary'!$D$14="Yes",IF(COUNTBLANK('Capacity summary'!$H163:$BG163)&lt;52,IF('Capacity summary'!N163&lt;&gt;"",IF(LOWER('Capacity summary'!N163)="x",$BI44*N44,VALUE('Capacity summary'!N163)),0),N44*$BI44),N44*$BI44),0)</f>
        <v>96.15384615384616</v>
      </c>
      <c r="BR44" s="311">
        <f ca="1">IF($BI44&lt;&gt;"",IF('Capacity summary'!$D$14="Yes",IF(COUNTBLANK('Capacity summary'!$H163:$BG163)&lt;52,IF('Capacity summary'!O163&lt;&gt;"",IF(LOWER('Capacity summary'!O163)="x",$BI44*O44,VALUE('Capacity summary'!O163)),0),O44*$BI44),O44*$BI44),0)</f>
        <v>96.15384615384616</v>
      </c>
      <c r="BS44" s="311">
        <f ca="1">IF($BI44&lt;&gt;"",IF('Capacity summary'!$D$14="Yes",IF(COUNTBLANK('Capacity summary'!$H163:$BG163)&lt;52,IF('Capacity summary'!P163&lt;&gt;"",IF(LOWER('Capacity summary'!P163)="x",$BI44*P44,VALUE('Capacity summary'!P163)),0),P44*$BI44),P44*$BI44),0)</f>
        <v>96.15384615384616</v>
      </c>
      <c r="BT44" s="311">
        <f ca="1">IF($BI44&lt;&gt;"",IF('Capacity summary'!$D$14="Yes",IF(COUNTBLANK('Capacity summary'!$H163:$BG163)&lt;52,IF('Capacity summary'!Q163&lt;&gt;"",IF(LOWER('Capacity summary'!Q163)="x",$BI44*Q44,VALUE('Capacity summary'!Q163)),0),Q44*$BI44),Q44*$BI44),0)</f>
        <v>96.15384615384616</v>
      </c>
      <c r="BU44" s="311">
        <f ca="1">IF($BI44&lt;&gt;"",IF('Capacity summary'!$D$14="Yes",IF(COUNTBLANK('Capacity summary'!$H163:$BG163)&lt;52,IF('Capacity summary'!R163&lt;&gt;"",IF(LOWER('Capacity summary'!R163)="x",$BI44*R44,VALUE('Capacity summary'!R163)),0),R44*$BI44),R44*$BI44),0)</f>
        <v>96.15384615384616</v>
      </c>
      <c r="BV44" s="311">
        <f ca="1">IF($BI44&lt;&gt;"",IF('Capacity summary'!$D$14="Yes",IF(COUNTBLANK('Capacity summary'!$H163:$BG163)&lt;52,IF('Capacity summary'!S163&lt;&gt;"",IF(LOWER('Capacity summary'!S163)="x",$BI44*S44,VALUE('Capacity summary'!S163)),0),S44*$BI44),S44*$BI44),0)</f>
        <v>96.15384615384616</v>
      </c>
      <c r="BW44" s="311">
        <f ca="1">IF($BI44&lt;&gt;"",IF('Capacity summary'!$D$14="Yes",IF(COUNTBLANK('Capacity summary'!$H163:$BG163)&lt;52,IF('Capacity summary'!T163&lt;&gt;"",IF(LOWER('Capacity summary'!T163)="x",$BI44*T44,VALUE('Capacity summary'!T163)),0),T44*$BI44),T44*$BI44),0)</f>
        <v>96.15384615384616</v>
      </c>
      <c r="BX44" s="311">
        <f ca="1">IF($BI44&lt;&gt;"",IF('Capacity summary'!$D$14="Yes",IF(COUNTBLANK('Capacity summary'!$H163:$BG163)&lt;52,IF('Capacity summary'!U163&lt;&gt;"",IF(LOWER('Capacity summary'!U163)="x",$BI44*U44,VALUE('Capacity summary'!U163)),0),U44*$BI44),U44*$BI44),0)</f>
        <v>96.15384615384616</v>
      </c>
      <c r="BY44" s="311">
        <f ca="1">IF($BI44&lt;&gt;"",IF('Capacity summary'!$D$14="Yes",IF(COUNTBLANK('Capacity summary'!$H163:$BG163)&lt;52,IF('Capacity summary'!V163&lt;&gt;"",IF(LOWER('Capacity summary'!V163)="x",$BI44*V44,VALUE('Capacity summary'!V163)),0),V44*$BI44),V44*$BI44),0)</f>
        <v>96.15384615384616</v>
      </c>
      <c r="BZ44" s="311">
        <f ca="1">IF($BI44&lt;&gt;"",IF('Capacity summary'!$D$14="Yes",IF(COUNTBLANK('Capacity summary'!$H163:$BG163)&lt;52,IF('Capacity summary'!W163&lt;&gt;"",IF(LOWER('Capacity summary'!W163)="x",$BI44*W44,VALUE('Capacity summary'!W163)),0),W44*$BI44),W44*$BI44),0)</f>
        <v>96.15384615384616</v>
      </c>
      <c r="CA44" s="311">
        <f ca="1">IF($BI44&lt;&gt;"",IF('Capacity summary'!$D$14="Yes",IF(COUNTBLANK('Capacity summary'!$H163:$BG163)&lt;52,IF('Capacity summary'!X163&lt;&gt;"",IF(LOWER('Capacity summary'!X163)="x",$BI44*X44,VALUE('Capacity summary'!X163)),0),X44*$BI44),X44*$BI44),0)</f>
        <v>96.15384615384616</v>
      </c>
      <c r="CB44" s="311">
        <f ca="1">IF($BI44&lt;&gt;"",IF('Capacity summary'!$D$14="Yes",IF(COUNTBLANK('Capacity summary'!$H163:$BG163)&lt;52,IF('Capacity summary'!Y163&lt;&gt;"",IF(LOWER('Capacity summary'!Y163)="x",$BI44*Y44,VALUE('Capacity summary'!Y163)),0),Y44*$BI44),Y44*$BI44),0)</f>
        <v>96.15384615384616</v>
      </c>
      <c r="CC44" s="311">
        <f ca="1">IF($BI44&lt;&gt;"",IF('Capacity summary'!$D$14="Yes",IF(COUNTBLANK('Capacity summary'!$H163:$BG163)&lt;52,IF('Capacity summary'!Z163&lt;&gt;"",IF(LOWER('Capacity summary'!Z163)="x",$BI44*Z44,VALUE('Capacity summary'!Z163)),0),Z44*$BI44),Z44*$BI44),0)</f>
        <v>96.15384615384616</v>
      </c>
      <c r="CD44" s="311">
        <f ca="1">IF($BI44&lt;&gt;"",IF('Capacity summary'!$D$14="Yes",IF(COUNTBLANK('Capacity summary'!$H163:$BG163)&lt;52,IF('Capacity summary'!AA163&lt;&gt;"",IF(LOWER('Capacity summary'!AA163)="x",$BI44*AA44,VALUE('Capacity summary'!AA163)),0),AA44*$BI44),AA44*$BI44),0)</f>
        <v>96.15384615384616</v>
      </c>
      <c r="CE44" s="311">
        <f ca="1">IF($BI44&lt;&gt;"",IF('Capacity summary'!$D$14="Yes",IF(COUNTBLANK('Capacity summary'!$H163:$BG163)&lt;52,IF('Capacity summary'!AB163&lt;&gt;"",IF(LOWER('Capacity summary'!AB163)="x",$BI44*AB44,VALUE('Capacity summary'!AB163)),0),AB44*$BI44),AB44*$BI44),0)</f>
        <v>96.15384615384616</v>
      </c>
      <c r="CF44" s="311">
        <f ca="1">IF($BI44&lt;&gt;"",IF('Capacity summary'!$D$14="Yes",IF(COUNTBLANK('Capacity summary'!$H163:$BG163)&lt;52,IF('Capacity summary'!AC163&lt;&gt;"",IF(LOWER('Capacity summary'!AC163)="x",$BI44*AC44,VALUE('Capacity summary'!AC163)),0),AC44*$BI44),AC44*$BI44),0)</f>
        <v>96.15384615384616</v>
      </c>
      <c r="CG44" s="311">
        <f ca="1">IF($BI44&lt;&gt;"",IF('Capacity summary'!$D$14="Yes",IF(COUNTBLANK('Capacity summary'!$H163:$BG163)&lt;52,IF('Capacity summary'!AD163&lt;&gt;"",IF(LOWER('Capacity summary'!AD163)="x",$BI44*AD44,VALUE('Capacity summary'!AD163)),0),AD44*$BI44),AD44*$BI44),0)</f>
        <v>96.15384615384616</v>
      </c>
      <c r="CH44" s="311">
        <f ca="1">IF($BI44&lt;&gt;"",IF('Capacity summary'!$D$14="Yes",IF(COUNTBLANK('Capacity summary'!$H163:$BG163)&lt;52,IF('Capacity summary'!AE163&lt;&gt;"",IF(LOWER('Capacity summary'!AE163)="x",$BI44*AE44,VALUE('Capacity summary'!AE163)),0),AE44*$BI44),AE44*$BI44),0)</f>
        <v>96.15384615384616</v>
      </c>
      <c r="CI44" s="311">
        <f ca="1">IF($BI44&lt;&gt;"",IF('Capacity summary'!$D$14="Yes",IF(COUNTBLANK('Capacity summary'!$H163:$BG163)&lt;52,IF('Capacity summary'!AF163&lt;&gt;"",IF(LOWER('Capacity summary'!AF163)="x",$BI44*AF44,VALUE('Capacity summary'!AF163)),0),AF44*$BI44),AF44*$BI44),0)</f>
        <v>96.15384615384616</v>
      </c>
      <c r="CJ44" s="311">
        <f ca="1">IF($BI44&lt;&gt;"",IF('Capacity summary'!$D$14="Yes",IF(COUNTBLANK('Capacity summary'!$H163:$BG163)&lt;52,IF('Capacity summary'!AG163&lt;&gt;"",IF(LOWER('Capacity summary'!AG163)="x",$BI44*AG44,VALUE('Capacity summary'!AG163)),0),AG44*$BI44),AG44*$BI44),0)</f>
        <v>96.15384615384616</v>
      </c>
      <c r="CK44" s="311">
        <f ca="1">IF($BI44&lt;&gt;"",IF('Capacity summary'!$D$14="Yes",IF(COUNTBLANK('Capacity summary'!$H163:$BG163)&lt;52,IF('Capacity summary'!AH163&lt;&gt;"",IF(LOWER('Capacity summary'!AH163)="x",$BI44*AH44,VALUE('Capacity summary'!AH163)),0),AH44*$BI44),AH44*$BI44),0)</f>
        <v>96.15384615384616</v>
      </c>
      <c r="CL44" s="311">
        <f ca="1">IF($BI44&lt;&gt;"",IF('Capacity summary'!$D$14="Yes",IF(COUNTBLANK('Capacity summary'!$H163:$BG163)&lt;52,IF('Capacity summary'!AI163&lt;&gt;"",IF(LOWER('Capacity summary'!AI163)="x",$BI44*AI44,VALUE('Capacity summary'!AI163)),0),AI44*$BI44),AI44*$BI44),0)</f>
        <v>96.15384615384616</v>
      </c>
      <c r="CM44" s="311">
        <f ca="1">IF($BI44&lt;&gt;"",IF('Capacity summary'!$D$14="Yes",IF(COUNTBLANK('Capacity summary'!$H163:$BG163)&lt;52,IF('Capacity summary'!AJ163&lt;&gt;"",IF(LOWER('Capacity summary'!AJ163)="x",$BI44*AJ44,VALUE('Capacity summary'!AJ163)),0),AJ44*$BI44),AJ44*$BI44),0)</f>
        <v>96.15384615384616</v>
      </c>
      <c r="CN44" s="311">
        <f ca="1">IF($BI44&lt;&gt;"",IF('Capacity summary'!$D$14="Yes",IF(COUNTBLANK('Capacity summary'!$H163:$BG163)&lt;52,IF('Capacity summary'!AK163&lt;&gt;"",IF(LOWER('Capacity summary'!AK163)="x",$BI44*AK44,VALUE('Capacity summary'!AK163)),0),AK44*$BI44),AK44*$BI44),0)</f>
        <v>96.15384615384616</v>
      </c>
      <c r="CO44" s="311">
        <f ca="1">IF($BI44&lt;&gt;"",IF('Capacity summary'!$D$14="Yes",IF(COUNTBLANK('Capacity summary'!$H163:$BG163)&lt;52,IF('Capacity summary'!AL163&lt;&gt;"",IF(LOWER('Capacity summary'!AL163)="x",$BI44*AL44,VALUE('Capacity summary'!AL163)),0),AL44*$BI44),AL44*$BI44),0)</f>
        <v>96.15384615384616</v>
      </c>
      <c r="CP44" s="311">
        <f ca="1">IF($BI44&lt;&gt;"",IF('Capacity summary'!$D$14="Yes",IF(COUNTBLANK('Capacity summary'!$H163:$BG163)&lt;52,IF('Capacity summary'!AM163&lt;&gt;"",IF(LOWER('Capacity summary'!AM163)="x",$BI44*AM44,VALUE('Capacity summary'!AM163)),0),AM44*$BI44),AM44*$BI44),0)</f>
        <v>96.15384615384616</v>
      </c>
      <c r="CQ44" s="311">
        <f ca="1">IF($BI44&lt;&gt;"",IF('Capacity summary'!$D$14="Yes",IF(COUNTBLANK('Capacity summary'!$H163:$BG163)&lt;52,IF('Capacity summary'!AN163&lt;&gt;"",IF(LOWER('Capacity summary'!AN163)="x",$BI44*AN44,VALUE('Capacity summary'!AN163)),0),AN44*$BI44),AN44*$BI44),0)</f>
        <v>96.15384615384616</v>
      </c>
      <c r="CR44" s="311">
        <f ca="1">IF($BI44&lt;&gt;"",IF('Capacity summary'!$D$14="Yes",IF(COUNTBLANK('Capacity summary'!$H163:$BG163)&lt;52,IF('Capacity summary'!AO163&lt;&gt;"",IF(LOWER('Capacity summary'!AO163)="x",$BI44*AO44,VALUE('Capacity summary'!AO163)),0),AO44*$BI44),AO44*$BI44),0)</f>
        <v>96.15384615384616</v>
      </c>
      <c r="CS44" s="311">
        <f ca="1">IF($BI44&lt;&gt;"",IF('Capacity summary'!$D$14="Yes",IF(COUNTBLANK('Capacity summary'!$H163:$BG163)&lt;52,IF('Capacity summary'!AP163&lt;&gt;"",IF(LOWER('Capacity summary'!AP163)="x",$BI44*AP44,VALUE('Capacity summary'!AP163)),0),AP44*$BI44),AP44*$BI44),0)</f>
        <v>96.15384615384616</v>
      </c>
      <c r="CT44" s="311">
        <f ca="1">IF($BI44&lt;&gt;"",IF('Capacity summary'!$D$14="Yes",IF(COUNTBLANK('Capacity summary'!$H163:$BG163)&lt;52,IF('Capacity summary'!AQ163&lt;&gt;"",IF(LOWER('Capacity summary'!AQ163)="x",$BI44*AQ44,VALUE('Capacity summary'!AQ163)),0),AQ44*$BI44),AQ44*$BI44),0)</f>
        <v>96.15384615384616</v>
      </c>
      <c r="CU44" s="311">
        <f ca="1">IF($BI44&lt;&gt;"",IF('Capacity summary'!$D$14="Yes",IF(COUNTBLANK('Capacity summary'!$H163:$BG163)&lt;52,IF('Capacity summary'!AR163&lt;&gt;"",IF(LOWER('Capacity summary'!AR163)="x",$BI44*AR44,VALUE('Capacity summary'!AR163)),0),AR44*$BI44),AR44*$BI44),0)</f>
        <v>96.15384615384616</v>
      </c>
      <c r="CV44" s="311">
        <f ca="1">IF($BI44&lt;&gt;"",IF('Capacity summary'!$D$14="Yes",IF(COUNTBLANK('Capacity summary'!$H163:$BG163)&lt;52,IF('Capacity summary'!AS163&lt;&gt;"",IF(LOWER('Capacity summary'!AS163)="x",$BI44*AS44,VALUE('Capacity summary'!AS163)),0),AS44*$BI44),AS44*$BI44),0)</f>
        <v>96.15384615384616</v>
      </c>
      <c r="CW44" s="311">
        <f ca="1">IF($BI44&lt;&gt;"",IF('Capacity summary'!$D$14="Yes",IF(COUNTBLANK('Capacity summary'!$H163:$BG163)&lt;52,IF('Capacity summary'!AT163&lt;&gt;"",IF(LOWER('Capacity summary'!AT163)="x",$BI44*AT44,VALUE('Capacity summary'!AT163)),0),AT44*$BI44),AT44*$BI44),0)</f>
        <v>96.15384615384616</v>
      </c>
      <c r="CX44" s="311">
        <f ca="1">IF($BI44&lt;&gt;"",IF('Capacity summary'!$D$14="Yes",IF(COUNTBLANK('Capacity summary'!$H163:$BG163)&lt;52,IF('Capacity summary'!AU163&lt;&gt;"",IF(LOWER('Capacity summary'!AU163)="x",$BI44*AU44,VALUE('Capacity summary'!AU163)),0),AU44*$BI44),AU44*$BI44),0)</f>
        <v>96.15384615384616</v>
      </c>
      <c r="CY44" s="311">
        <f ca="1">IF($BI44&lt;&gt;"",IF('Capacity summary'!$D$14="Yes",IF(COUNTBLANK('Capacity summary'!$H163:$BG163)&lt;52,IF('Capacity summary'!AV163&lt;&gt;"",IF(LOWER('Capacity summary'!AV163)="x",$BI44*AV44,VALUE('Capacity summary'!AV163)),0),AV44*$BI44),AV44*$BI44),0)</f>
        <v>96.15384615384616</v>
      </c>
      <c r="CZ44" s="311">
        <f ca="1">IF($BI44&lt;&gt;"",IF('Capacity summary'!$D$14="Yes",IF(COUNTBLANK('Capacity summary'!$H163:$BG163)&lt;52,IF('Capacity summary'!AW163&lt;&gt;"",IF(LOWER('Capacity summary'!AW163)="x",$BI44*AW44,VALUE('Capacity summary'!AW163)),0),AW44*$BI44),AW44*$BI44),0)</f>
        <v>96.15384615384616</v>
      </c>
      <c r="DA44" s="311">
        <f ca="1">IF($BI44&lt;&gt;"",IF('Capacity summary'!$D$14="Yes",IF(COUNTBLANK('Capacity summary'!$H163:$BG163)&lt;52,IF('Capacity summary'!AX163&lt;&gt;"",IF(LOWER('Capacity summary'!AX163)="x",$BI44*AX44,VALUE('Capacity summary'!AX163)),0),AX44*$BI44),AX44*$BI44),0)</f>
        <v>96.15384615384616</v>
      </c>
      <c r="DB44" s="311">
        <f ca="1">IF($BI44&lt;&gt;"",IF('Capacity summary'!$D$14="Yes",IF(COUNTBLANK('Capacity summary'!$H163:$BG163)&lt;52,IF('Capacity summary'!AY163&lt;&gt;"",IF(LOWER('Capacity summary'!AY163)="x",$BI44*AY44,VALUE('Capacity summary'!AY163)),0),AY44*$BI44),AY44*$BI44),0)</f>
        <v>96.15384615384616</v>
      </c>
      <c r="DC44" s="311">
        <f ca="1">IF($BI44&lt;&gt;"",IF('Capacity summary'!$D$14="Yes",IF(COUNTBLANK('Capacity summary'!$H163:$BG163)&lt;52,IF('Capacity summary'!AZ163&lt;&gt;"",IF(LOWER('Capacity summary'!AZ163)="x",$BI44*AZ44,VALUE('Capacity summary'!AZ163)),0),AZ44*$BI44),AZ44*$BI44),0)</f>
        <v>96.15384615384616</v>
      </c>
      <c r="DD44" s="311">
        <f ca="1">IF($BI44&lt;&gt;"",IF('Capacity summary'!$D$14="Yes",IF(COUNTBLANK('Capacity summary'!$H163:$BG163)&lt;52,IF('Capacity summary'!BA163&lt;&gt;"",IF(LOWER('Capacity summary'!BA163)="x",$BI44*BA44,VALUE('Capacity summary'!BA163)),0),BA44*$BI44),BA44*$BI44),0)</f>
        <v>96.15384615384616</v>
      </c>
      <c r="DE44" s="311">
        <f ca="1">IF($BI44&lt;&gt;"",IF('Capacity summary'!$D$14="Yes",IF(COUNTBLANK('Capacity summary'!$H163:$BG163)&lt;52,IF('Capacity summary'!BB163&lt;&gt;"",IF(LOWER('Capacity summary'!BB163)="x",$BI44*BB44,VALUE('Capacity summary'!BB163)),0),BB44*$BI44),BB44*$BI44),0)</f>
        <v>96.15384615384616</v>
      </c>
      <c r="DF44" s="311">
        <f ca="1">IF($BI44&lt;&gt;"",IF('Capacity summary'!$D$14="Yes",IF(COUNTBLANK('Capacity summary'!$H163:$BG163)&lt;52,IF('Capacity summary'!BC163&lt;&gt;"",IF(LOWER('Capacity summary'!BC163)="x",$BI44*BC44,VALUE('Capacity summary'!BC163)),0),BC44*$BI44),BC44*$BI44),0)</f>
        <v>96.15384615384616</v>
      </c>
      <c r="DG44" s="311">
        <f ca="1">IF($BI44&lt;&gt;"",IF('Capacity summary'!$D$14="Yes",IF(COUNTBLANK('Capacity summary'!$H163:$BG163)&lt;52,IF('Capacity summary'!BD163&lt;&gt;"",IF(LOWER('Capacity summary'!BD163)="x",$BI44*BD44,VALUE('Capacity summary'!BD163)),0),BD44*$BI44),BD44*$BI44),0)</f>
        <v>96.15384615384616</v>
      </c>
      <c r="DH44" s="311">
        <f ca="1">IF($BI44&lt;&gt;"",IF('Capacity summary'!$D$14="Yes",IF(COUNTBLANK('Capacity summary'!$H163:$BG163)&lt;52,IF('Capacity summary'!BE163&lt;&gt;"",IF(LOWER('Capacity summary'!BE163)="x",$BI44*BE44,VALUE('Capacity summary'!BE163)),0),BE44*$BI44),BE44*$BI44),0)</f>
        <v>96.15384615384616</v>
      </c>
      <c r="DI44" s="311">
        <f ca="1">IF($BI44&lt;&gt;"",IF('Capacity summary'!$D$14="Yes",IF(COUNTBLANK('Capacity summary'!$H163:$BG163)&lt;52,IF('Capacity summary'!BF163&lt;&gt;"",IF(LOWER('Capacity summary'!BF163)="x",$BI44*BF44,VALUE('Capacity summary'!BF163)),0),BF44*$BI44),BF44*$BI44),0)</f>
        <v>96.15384615384616</v>
      </c>
      <c r="DJ44" s="311">
        <f ca="1">IF($BI44&lt;&gt;"",IF('Capacity summary'!$D$14="Yes",IF(COUNTBLANK('Capacity summary'!$H163:$BG163)&lt;52,IF('Capacity summary'!BG163&lt;&gt;"",IF(LOWER('Capacity summary'!BG163)="x",$BI44*BG44,VALUE('Capacity summary'!BG163)),0),BG44*$BI44),BG44*$BI44),0)</f>
        <v>96.15384615384616</v>
      </c>
      <c r="DK44" s="388">
        <f t="shared" ca="1" si="2"/>
        <v>96.15384615384616</v>
      </c>
      <c r="DL44" s="136">
        <f t="shared" ca="1" si="3"/>
        <v>4999.9999999999973</v>
      </c>
      <c r="DM44" s="311">
        <f>Capacity!H56</f>
        <v>5000</v>
      </c>
      <c r="DQ44" s="5"/>
    </row>
    <row r="45" spans="1:121" x14ac:dyDescent="0.2">
      <c r="A45" s="67">
        <f>IF(Capacity!L57='Capacity summary'!BI164,1,0)</f>
        <v>1</v>
      </c>
      <c r="B45" s="67">
        <f>IF(Capacity!V57='Capacity summary'!BI64,1,0)</f>
        <v>1</v>
      </c>
      <c r="C45" s="67" t="str">
        <f>ROW(A41)&amp;". "&amp;Capacity!B57</f>
        <v>41. PP</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 ca="1">IF(ROW(C41)&lt;=Capacity!$A$16,IF('Capacity summary'!$D$14="No",SUM(H45:BG45),'Capacity summary'!$E164),0)</f>
        <v>52</v>
      </c>
      <c r="BI45" s="5">
        <f ca="1">IF(BH45&gt;0,IF(BH45&lt;Capacity!E57,Capacity!F57,Capacity!H57/'Capacity calculation (hide)'!BH45),"")</f>
        <v>19.23076923076923</v>
      </c>
      <c r="BK45" s="311">
        <f ca="1">IF($BI45&lt;&gt;"",IF('Capacity summary'!$D$14="Yes",IF(COUNTBLANK('Capacity summary'!$H164:$BG164)&lt;52,IF('Capacity summary'!H164&lt;&gt;"",IF(LOWER('Capacity summary'!H164)="x",$BI45*H45,VALUE('Capacity summary'!H164)),0),H45*$BI45),H45*$BI45),0)</f>
        <v>19.23076923076923</v>
      </c>
      <c r="BL45" s="311">
        <f ca="1">IF($BI45&lt;&gt;"",IF('Capacity summary'!$D$14="Yes",IF(COUNTBLANK('Capacity summary'!$H164:$BG164)&lt;52,IF('Capacity summary'!I164&lt;&gt;"",IF(LOWER('Capacity summary'!I164)="x",$BI45*I45,VALUE('Capacity summary'!I164)),0),I45*$BI45),I45*$BI45),0)</f>
        <v>19.23076923076923</v>
      </c>
      <c r="BM45" s="311">
        <f ca="1">IF($BI45&lt;&gt;"",IF('Capacity summary'!$D$14="Yes",IF(COUNTBLANK('Capacity summary'!$H164:$BG164)&lt;52,IF('Capacity summary'!J164&lt;&gt;"",IF(LOWER('Capacity summary'!J164)="x",$BI45*J45,VALUE('Capacity summary'!J164)),0),J45*$BI45),J45*$BI45),0)</f>
        <v>19.23076923076923</v>
      </c>
      <c r="BN45" s="311">
        <f ca="1">IF($BI45&lt;&gt;"",IF('Capacity summary'!$D$14="Yes",IF(COUNTBLANK('Capacity summary'!$H164:$BG164)&lt;52,IF('Capacity summary'!K164&lt;&gt;"",IF(LOWER('Capacity summary'!K164)="x",$BI45*K45,VALUE('Capacity summary'!K164)),0),K45*$BI45),K45*$BI45),0)</f>
        <v>19.23076923076923</v>
      </c>
      <c r="BO45" s="311">
        <f ca="1">IF($BI45&lt;&gt;"",IF('Capacity summary'!$D$14="Yes",IF(COUNTBLANK('Capacity summary'!$H164:$BG164)&lt;52,IF('Capacity summary'!L164&lt;&gt;"",IF(LOWER('Capacity summary'!L164)="x",$BI45*L45,VALUE('Capacity summary'!L164)),0),L45*$BI45),L45*$BI45),0)</f>
        <v>19.23076923076923</v>
      </c>
      <c r="BP45" s="311">
        <f ca="1">IF($BI45&lt;&gt;"",IF('Capacity summary'!$D$14="Yes",IF(COUNTBLANK('Capacity summary'!$H164:$BG164)&lt;52,IF('Capacity summary'!M164&lt;&gt;"",IF(LOWER('Capacity summary'!M164)="x",$BI45*M45,VALUE('Capacity summary'!M164)),0),M45*$BI45),M45*$BI45),0)</f>
        <v>19.23076923076923</v>
      </c>
      <c r="BQ45" s="311">
        <f ca="1">IF($BI45&lt;&gt;"",IF('Capacity summary'!$D$14="Yes",IF(COUNTBLANK('Capacity summary'!$H164:$BG164)&lt;52,IF('Capacity summary'!N164&lt;&gt;"",IF(LOWER('Capacity summary'!N164)="x",$BI45*N45,VALUE('Capacity summary'!N164)),0),N45*$BI45),N45*$BI45),0)</f>
        <v>19.23076923076923</v>
      </c>
      <c r="BR45" s="311">
        <f ca="1">IF($BI45&lt;&gt;"",IF('Capacity summary'!$D$14="Yes",IF(COUNTBLANK('Capacity summary'!$H164:$BG164)&lt;52,IF('Capacity summary'!O164&lt;&gt;"",IF(LOWER('Capacity summary'!O164)="x",$BI45*O45,VALUE('Capacity summary'!O164)),0),O45*$BI45),O45*$BI45),0)</f>
        <v>19.23076923076923</v>
      </c>
      <c r="BS45" s="311">
        <f ca="1">IF($BI45&lt;&gt;"",IF('Capacity summary'!$D$14="Yes",IF(COUNTBLANK('Capacity summary'!$H164:$BG164)&lt;52,IF('Capacity summary'!P164&lt;&gt;"",IF(LOWER('Capacity summary'!P164)="x",$BI45*P45,VALUE('Capacity summary'!P164)),0),P45*$BI45),P45*$BI45),0)</f>
        <v>19.23076923076923</v>
      </c>
      <c r="BT45" s="311">
        <f ca="1">IF($BI45&lt;&gt;"",IF('Capacity summary'!$D$14="Yes",IF(COUNTBLANK('Capacity summary'!$H164:$BG164)&lt;52,IF('Capacity summary'!Q164&lt;&gt;"",IF(LOWER('Capacity summary'!Q164)="x",$BI45*Q45,VALUE('Capacity summary'!Q164)),0),Q45*$BI45),Q45*$BI45),0)</f>
        <v>19.23076923076923</v>
      </c>
      <c r="BU45" s="311">
        <f ca="1">IF($BI45&lt;&gt;"",IF('Capacity summary'!$D$14="Yes",IF(COUNTBLANK('Capacity summary'!$H164:$BG164)&lt;52,IF('Capacity summary'!R164&lt;&gt;"",IF(LOWER('Capacity summary'!R164)="x",$BI45*R45,VALUE('Capacity summary'!R164)),0),R45*$BI45),R45*$BI45),0)</f>
        <v>19.23076923076923</v>
      </c>
      <c r="BV45" s="311">
        <f ca="1">IF($BI45&lt;&gt;"",IF('Capacity summary'!$D$14="Yes",IF(COUNTBLANK('Capacity summary'!$H164:$BG164)&lt;52,IF('Capacity summary'!S164&lt;&gt;"",IF(LOWER('Capacity summary'!S164)="x",$BI45*S45,VALUE('Capacity summary'!S164)),0),S45*$BI45),S45*$BI45),0)</f>
        <v>19.23076923076923</v>
      </c>
      <c r="BW45" s="311">
        <f ca="1">IF($BI45&lt;&gt;"",IF('Capacity summary'!$D$14="Yes",IF(COUNTBLANK('Capacity summary'!$H164:$BG164)&lt;52,IF('Capacity summary'!T164&lt;&gt;"",IF(LOWER('Capacity summary'!T164)="x",$BI45*T45,VALUE('Capacity summary'!T164)),0),T45*$BI45),T45*$BI45),0)</f>
        <v>19.23076923076923</v>
      </c>
      <c r="BX45" s="311">
        <f ca="1">IF($BI45&lt;&gt;"",IF('Capacity summary'!$D$14="Yes",IF(COUNTBLANK('Capacity summary'!$H164:$BG164)&lt;52,IF('Capacity summary'!U164&lt;&gt;"",IF(LOWER('Capacity summary'!U164)="x",$BI45*U45,VALUE('Capacity summary'!U164)),0),U45*$BI45),U45*$BI45),0)</f>
        <v>19.23076923076923</v>
      </c>
      <c r="BY45" s="311">
        <f ca="1">IF($BI45&lt;&gt;"",IF('Capacity summary'!$D$14="Yes",IF(COUNTBLANK('Capacity summary'!$H164:$BG164)&lt;52,IF('Capacity summary'!V164&lt;&gt;"",IF(LOWER('Capacity summary'!V164)="x",$BI45*V45,VALUE('Capacity summary'!V164)),0),V45*$BI45),V45*$BI45),0)</f>
        <v>19.23076923076923</v>
      </c>
      <c r="BZ45" s="311">
        <f ca="1">IF($BI45&lt;&gt;"",IF('Capacity summary'!$D$14="Yes",IF(COUNTBLANK('Capacity summary'!$H164:$BG164)&lt;52,IF('Capacity summary'!W164&lt;&gt;"",IF(LOWER('Capacity summary'!W164)="x",$BI45*W45,VALUE('Capacity summary'!W164)),0),W45*$BI45),W45*$BI45),0)</f>
        <v>19.23076923076923</v>
      </c>
      <c r="CA45" s="311">
        <f ca="1">IF($BI45&lt;&gt;"",IF('Capacity summary'!$D$14="Yes",IF(COUNTBLANK('Capacity summary'!$H164:$BG164)&lt;52,IF('Capacity summary'!X164&lt;&gt;"",IF(LOWER('Capacity summary'!X164)="x",$BI45*X45,VALUE('Capacity summary'!X164)),0),X45*$BI45),X45*$BI45),0)</f>
        <v>19.23076923076923</v>
      </c>
      <c r="CB45" s="311">
        <f ca="1">IF($BI45&lt;&gt;"",IF('Capacity summary'!$D$14="Yes",IF(COUNTBLANK('Capacity summary'!$H164:$BG164)&lt;52,IF('Capacity summary'!Y164&lt;&gt;"",IF(LOWER('Capacity summary'!Y164)="x",$BI45*Y45,VALUE('Capacity summary'!Y164)),0),Y45*$BI45),Y45*$BI45),0)</f>
        <v>19.23076923076923</v>
      </c>
      <c r="CC45" s="311">
        <f ca="1">IF($BI45&lt;&gt;"",IF('Capacity summary'!$D$14="Yes",IF(COUNTBLANK('Capacity summary'!$H164:$BG164)&lt;52,IF('Capacity summary'!Z164&lt;&gt;"",IF(LOWER('Capacity summary'!Z164)="x",$BI45*Z45,VALUE('Capacity summary'!Z164)),0),Z45*$BI45),Z45*$BI45),0)</f>
        <v>19.23076923076923</v>
      </c>
      <c r="CD45" s="311">
        <f ca="1">IF($BI45&lt;&gt;"",IF('Capacity summary'!$D$14="Yes",IF(COUNTBLANK('Capacity summary'!$H164:$BG164)&lt;52,IF('Capacity summary'!AA164&lt;&gt;"",IF(LOWER('Capacity summary'!AA164)="x",$BI45*AA45,VALUE('Capacity summary'!AA164)),0),AA45*$BI45),AA45*$BI45),0)</f>
        <v>19.23076923076923</v>
      </c>
      <c r="CE45" s="311">
        <f ca="1">IF($BI45&lt;&gt;"",IF('Capacity summary'!$D$14="Yes",IF(COUNTBLANK('Capacity summary'!$H164:$BG164)&lt;52,IF('Capacity summary'!AB164&lt;&gt;"",IF(LOWER('Capacity summary'!AB164)="x",$BI45*AB45,VALUE('Capacity summary'!AB164)),0),AB45*$BI45),AB45*$BI45),0)</f>
        <v>19.23076923076923</v>
      </c>
      <c r="CF45" s="311">
        <f ca="1">IF($BI45&lt;&gt;"",IF('Capacity summary'!$D$14="Yes",IF(COUNTBLANK('Capacity summary'!$H164:$BG164)&lt;52,IF('Capacity summary'!AC164&lt;&gt;"",IF(LOWER('Capacity summary'!AC164)="x",$BI45*AC45,VALUE('Capacity summary'!AC164)),0),AC45*$BI45),AC45*$BI45),0)</f>
        <v>19.23076923076923</v>
      </c>
      <c r="CG45" s="311">
        <f ca="1">IF($BI45&lt;&gt;"",IF('Capacity summary'!$D$14="Yes",IF(COUNTBLANK('Capacity summary'!$H164:$BG164)&lt;52,IF('Capacity summary'!AD164&lt;&gt;"",IF(LOWER('Capacity summary'!AD164)="x",$BI45*AD45,VALUE('Capacity summary'!AD164)),0),AD45*$BI45),AD45*$BI45),0)</f>
        <v>19.23076923076923</v>
      </c>
      <c r="CH45" s="311">
        <f ca="1">IF($BI45&lt;&gt;"",IF('Capacity summary'!$D$14="Yes",IF(COUNTBLANK('Capacity summary'!$H164:$BG164)&lt;52,IF('Capacity summary'!AE164&lt;&gt;"",IF(LOWER('Capacity summary'!AE164)="x",$BI45*AE45,VALUE('Capacity summary'!AE164)),0),AE45*$BI45),AE45*$BI45),0)</f>
        <v>19.23076923076923</v>
      </c>
      <c r="CI45" s="311">
        <f ca="1">IF($BI45&lt;&gt;"",IF('Capacity summary'!$D$14="Yes",IF(COUNTBLANK('Capacity summary'!$H164:$BG164)&lt;52,IF('Capacity summary'!AF164&lt;&gt;"",IF(LOWER('Capacity summary'!AF164)="x",$BI45*AF45,VALUE('Capacity summary'!AF164)),0),AF45*$BI45),AF45*$BI45),0)</f>
        <v>19.23076923076923</v>
      </c>
      <c r="CJ45" s="311">
        <f ca="1">IF($BI45&lt;&gt;"",IF('Capacity summary'!$D$14="Yes",IF(COUNTBLANK('Capacity summary'!$H164:$BG164)&lt;52,IF('Capacity summary'!AG164&lt;&gt;"",IF(LOWER('Capacity summary'!AG164)="x",$BI45*AG45,VALUE('Capacity summary'!AG164)),0),AG45*$BI45),AG45*$BI45),0)</f>
        <v>19.23076923076923</v>
      </c>
      <c r="CK45" s="311">
        <f ca="1">IF($BI45&lt;&gt;"",IF('Capacity summary'!$D$14="Yes",IF(COUNTBLANK('Capacity summary'!$H164:$BG164)&lt;52,IF('Capacity summary'!AH164&lt;&gt;"",IF(LOWER('Capacity summary'!AH164)="x",$BI45*AH45,VALUE('Capacity summary'!AH164)),0),AH45*$BI45),AH45*$BI45),0)</f>
        <v>19.23076923076923</v>
      </c>
      <c r="CL45" s="311">
        <f ca="1">IF($BI45&lt;&gt;"",IF('Capacity summary'!$D$14="Yes",IF(COUNTBLANK('Capacity summary'!$H164:$BG164)&lt;52,IF('Capacity summary'!AI164&lt;&gt;"",IF(LOWER('Capacity summary'!AI164)="x",$BI45*AI45,VALUE('Capacity summary'!AI164)),0),AI45*$BI45),AI45*$BI45),0)</f>
        <v>19.23076923076923</v>
      </c>
      <c r="CM45" s="311">
        <f ca="1">IF($BI45&lt;&gt;"",IF('Capacity summary'!$D$14="Yes",IF(COUNTBLANK('Capacity summary'!$H164:$BG164)&lt;52,IF('Capacity summary'!AJ164&lt;&gt;"",IF(LOWER('Capacity summary'!AJ164)="x",$BI45*AJ45,VALUE('Capacity summary'!AJ164)),0),AJ45*$BI45),AJ45*$BI45),0)</f>
        <v>19.23076923076923</v>
      </c>
      <c r="CN45" s="311">
        <f ca="1">IF($BI45&lt;&gt;"",IF('Capacity summary'!$D$14="Yes",IF(COUNTBLANK('Capacity summary'!$H164:$BG164)&lt;52,IF('Capacity summary'!AK164&lt;&gt;"",IF(LOWER('Capacity summary'!AK164)="x",$BI45*AK45,VALUE('Capacity summary'!AK164)),0),AK45*$BI45),AK45*$BI45),0)</f>
        <v>19.23076923076923</v>
      </c>
      <c r="CO45" s="311">
        <f ca="1">IF($BI45&lt;&gt;"",IF('Capacity summary'!$D$14="Yes",IF(COUNTBLANK('Capacity summary'!$H164:$BG164)&lt;52,IF('Capacity summary'!AL164&lt;&gt;"",IF(LOWER('Capacity summary'!AL164)="x",$BI45*AL45,VALUE('Capacity summary'!AL164)),0),AL45*$BI45),AL45*$BI45),0)</f>
        <v>19.23076923076923</v>
      </c>
      <c r="CP45" s="311">
        <f ca="1">IF($BI45&lt;&gt;"",IF('Capacity summary'!$D$14="Yes",IF(COUNTBLANK('Capacity summary'!$H164:$BG164)&lt;52,IF('Capacity summary'!AM164&lt;&gt;"",IF(LOWER('Capacity summary'!AM164)="x",$BI45*AM45,VALUE('Capacity summary'!AM164)),0),AM45*$BI45),AM45*$BI45),0)</f>
        <v>19.23076923076923</v>
      </c>
      <c r="CQ45" s="311">
        <f ca="1">IF($BI45&lt;&gt;"",IF('Capacity summary'!$D$14="Yes",IF(COUNTBLANK('Capacity summary'!$H164:$BG164)&lt;52,IF('Capacity summary'!AN164&lt;&gt;"",IF(LOWER('Capacity summary'!AN164)="x",$BI45*AN45,VALUE('Capacity summary'!AN164)),0),AN45*$BI45),AN45*$BI45),0)</f>
        <v>19.23076923076923</v>
      </c>
      <c r="CR45" s="311">
        <f ca="1">IF($BI45&lt;&gt;"",IF('Capacity summary'!$D$14="Yes",IF(COUNTBLANK('Capacity summary'!$H164:$BG164)&lt;52,IF('Capacity summary'!AO164&lt;&gt;"",IF(LOWER('Capacity summary'!AO164)="x",$BI45*AO45,VALUE('Capacity summary'!AO164)),0),AO45*$BI45),AO45*$BI45),0)</f>
        <v>19.23076923076923</v>
      </c>
      <c r="CS45" s="311">
        <f ca="1">IF($BI45&lt;&gt;"",IF('Capacity summary'!$D$14="Yes",IF(COUNTBLANK('Capacity summary'!$H164:$BG164)&lt;52,IF('Capacity summary'!AP164&lt;&gt;"",IF(LOWER('Capacity summary'!AP164)="x",$BI45*AP45,VALUE('Capacity summary'!AP164)),0),AP45*$BI45),AP45*$BI45),0)</f>
        <v>19.23076923076923</v>
      </c>
      <c r="CT45" s="311">
        <f ca="1">IF($BI45&lt;&gt;"",IF('Capacity summary'!$D$14="Yes",IF(COUNTBLANK('Capacity summary'!$H164:$BG164)&lt;52,IF('Capacity summary'!AQ164&lt;&gt;"",IF(LOWER('Capacity summary'!AQ164)="x",$BI45*AQ45,VALUE('Capacity summary'!AQ164)),0),AQ45*$BI45),AQ45*$BI45),0)</f>
        <v>19.23076923076923</v>
      </c>
      <c r="CU45" s="311">
        <f ca="1">IF($BI45&lt;&gt;"",IF('Capacity summary'!$D$14="Yes",IF(COUNTBLANK('Capacity summary'!$H164:$BG164)&lt;52,IF('Capacity summary'!AR164&lt;&gt;"",IF(LOWER('Capacity summary'!AR164)="x",$BI45*AR45,VALUE('Capacity summary'!AR164)),0),AR45*$BI45),AR45*$BI45),0)</f>
        <v>19.23076923076923</v>
      </c>
      <c r="CV45" s="311">
        <f ca="1">IF($BI45&lt;&gt;"",IF('Capacity summary'!$D$14="Yes",IF(COUNTBLANK('Capacity summary'!$H164:$BG164)&lt;52,IF('Capacity summary'!AS164&lt;&gt;"",IF(LOWER('Capacity summary'!AS164)="x",$BI45*AS45,VALUE('Capacity summary'!AS164)),0),AS45*$BI45),AS45*$BI45),0)</f>
        <v>19.23076923076923</v>
      </c>
      <c r="CW45" s="311">
        <f ca="1">IF($BI45&lt;&gt;"",IF('Capacity summary'!$D$14="Yes",IF(COUNTBLANK('Capacity summary'!$H164:$BG164)&lt;52,IF('Capacity summary'!AT164&lt;&gt;"",IF(LOWER('Capacity summary'!AT164)="x",$BI45*AT45,VALUE('Capacity summary'!AT164)),0),AT45*$BI45),AT45*$BI45),0)</f>
        <v>19.23076923076923</v>
      </c>
      <c r="CX45" s="311">
        <f ca="1">IF($BI45&lt;&gt;"",IF('Capacity summary'!$D$14="Yes",IF(COUNTBLANK('Capacity summary'!$H164:$BG164)&lt;52,IF('Capacity summary'!AU164&lt;&gt;"",IF(LOWER('Capacity summary'!AU164)="x",$BI45*AU45,VALUE('Capacity summary'!AU164)),0),AU45*$BI45),AU45*$BI45),0)</f>
        <v>19.23076923076923</v>
      </c>
      <c r="CY45" s="311">
        <f ca="1">IF($BI45&lt;&gt;"",IF('Capacity summary'!$D$14="Yes",IF(COUNTBLANK('Capacity summary'!$H164:$BG164)&lt;52,IF('Capacity summary'!AV164&lt;&gt;"",IF(LOWER('Capacity summary'!AV164)="x",$BI45*AV45,VALUE('Capacity summary'!AV164)),0),AV45*$BI45),AV45*$BI45),0)</f>
        <v>19.23076923076923</v>
      </c>
      <c r="CZ45" s="311">
        <f ca="1">IF($BI45&lt;&gt;"",IF('Capacity summary'!$D$14="Yes",IF(COUNTBLANK('Capacity summary'!$H164:$BG164)&lt;52,IF('Capacity summary'!AW164&lt;&gt;"",IF(LOWER('Capacity summary'!AW164)="x",$BI45*AW45,VALUE('Capacity summary'!AW164)),0),AW45*$BI45),AW45*$BI45),0)</f>
        <v>19.23076923076923</v>
      </c>
      <c r="DA45" s="311">
        <f ca="1">IF($BI45&lt;&gt;"",IF('Capacity summary'!$D$14="Yes",IF(COUNTBLANK('Capacity summary'!$H164:$BG164)&lt;52,IF('Capacity summary'!AX164&lt;&gt;"",IF(LOWER('Capacity summary'!AX164)="x",$BI45*AX45,VALUE('Capacity summary'!AX164)),0),AX45*$BI45),AX45*$BI45),0)</f>
        <v>19.23076923076923</v>
      </c>
      <c r="DB45" s="311">
        <f ca="1">IF($BI45&lt;&gt;"",IF('Capacity summary'!$D$14="Yes",IF(COUNTBLANK('Capacity summary'!$H164:$BG164)&lt;52,IF('Capacity summary'!AY164&lt;&gt;"",IF(LOWER('Capacity summary'!AY164)="x",$BI45*AY45,VALUE('Capacity summary'!AY164)),0),AY45*$BI45),AY45*$BI45),0)</f>
        <v>19.23076923076923</v>
      </c>
      <c r="DC45" s="311">
        <f ca="1">IF($BI45&lt;&gt;"",IF('Capacity summary'!$D$14="Yes",IF(COUNTBLANK('Capacity summary'!$H164:$BG164)&lt;52,IF('Capacity summary'!AZ164&lt;&gt;"",IF(LOWER('Capacity summary'!AZ164)="x",$BI45*AZ45,VALUE('Capacity summary'!AZ164)),0),AZ45*$BI45),AZ45*$BI45),0)</f>
        <v>19.23076923076923</v>
      </c>
      <c r="DD45" s="311">
        <f ca="1">IF($BI45&lt;&gt;"",IF('Capacity summary'!$D$14="Yes",IF(COUNTBLANK('Capacity summary'!$H164:$BG164)&lt;52,IF('Capacity summary'!BA164&lt;&gt;"",IF(LOWER('Capacity summary'!BA164)="x",$BI45*BA45,VALUE('Capacity summary'!BA164)),0),BA45*$BI45),BA45*$BI45),0)</f>
        <v>19.23076923076923</v>
      </c>
      <c r="DE45" s="311">
        <f ca="1">IF($BI45&lt;&gt;"",IF('Capacity summary'!$D$14="Yes",IF(COUNTBLANK('Capacity summary'!$H164:$BG164)&lt;52,IF('Capacity summary'!BB164&lt;&gt;"",IF(LOWER('Capacity summary'!BB164)="x",$BI45*BB45,VALUE('Capacity summary'!BB164)),0),BB45*$BI45),BB45*$BI45),0)</f>
        <v>19.23076923076923</v>
      </c>
      <c r="DF45" s="311">
        <f ca="1">IF($BI45&lt;&gt;"",IF('Capacity summary'!$D$14="Yes",IF(COUNTBLANK('Capacity summary'!$H164:$BG164)&lt;52,IF('Capacity summary'!BC164&lt;&gt;"",IF(LOWER('Capacity summary'!BC164)="x",$BI45*BC45,VALUE('Capacity summary'!BC164)),0),BC45*$BI45),BC45*$BI45),0)</f>
        <v>19.23076923076923</v>
      </c>
      <c r="DG45" s="311">
        <f ca="1">IF($BI45&lt;&gt;"",IF('Capacity summary'!$D$14="Yes",IF(COUNTBLANK('Capacity summary'!$H164:$BG164)&lt;52,IF('Capacity summary'!BD164&lt;&gt;"",IF(LOWER('Capacity summary'!BD164)="x",$BI45*BD45,VALUE('Capacity summary'!BD164)),0),BD45*$BI45),BD45*$BI45),0)</f>
        <v>19.23076923076923</v>
      </c>
      <c r="DH45" s="311">
        <f ca="1">IF($BI45&lt;&gt;"",IF('Capacity summary'!$D$14="Yes",IF(COUNTBLANK('Capacity summary'!$H164:$BG164)&lt;52,IF('Capacity summary'!BE164&lt;&gt;"",IF(LOWER('Capacity summary'!BE164)="x",$BI45*BE45,VALUE('Capacity summary'!BE164)),0),BE45*$BI45),BE45*$BI45),0)</f>
        <v>19.23076923076923</v>
      </c>
      <c r="DI45" s="311">
        <f ca="1">IF($BI45&lt;&gt;"",IF('Capacity summary'!$D$14="Yes",IF(COUNTBLANK('Capacity summary'!$H164:$BG164)&lt;52,IF('Capacity summary'!BF164&lt;&gt;"",IF(LOWER('Capacity summary'!BF164)="x",$BI45*BF45,VALUE('Capacity summary'!BF164)),0),BF45*$BI45),BF45*$BI45),0)</f>
        <v>19.23076923076923</v>
      </c>
      <c r="DJ45" s="311">
        <f ca="1">IF($BI45&lt;&gt;"",IF('Capacity summary'!$D$14="Yes",IF(COUNTBLANK('Capacity summary'!$H164:$BG164)&lt;52,IF('Capacity summary'!BG164&lt;&gt;"",IF(LOWER('Capacity summary'!BG164)="x",$BI45*BG45,VALUE('Capacity summary'!BG164)),0),BG45*$BI45),BG45*$BI45),0)</f>
        <v>19.23076923076923</v>
      </c>
      <c r="DK45" s="388">
        <f t="shared" ca="1" si="2"/>
        <v>19.23076923076923</v>
      </c>
      <c r="DL45" s="136">
        <f t="shared" ca="1" si="3"/>
        <v>1000.0000000000013</v>
      </c>
      <c r="DM45" s="311">
        <f>Capacity!H57</f>
        <v>1000</v>
      </c>
      <c r="DQ45" s="5"/>
    </row>
    <row r="46" spans="1:121" x14ac:dyDescent="0.2">
      <c r="A46" s="67">
        <f>IF(Capacity!L58='Capacity summary'!BI165,1,0)</f>
        <v>1</v>
      </c>
      <c r="B46" s="67">
        <f>IF(Capacity!V58='Capacity summary'!BI65,1,0)</f>
        <v>1</v>
      </c>
      <c r="C46" s="67" t="str">
        <f>ROW(A42)&amp;". "&amp;Capacity!B58</f>
        <v>42. Slot A</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 ca="1">IF(ROW(C42)&lt;=Capacity!$A$16,IF('Capacity summary'!$D$14="No",SUM(H46:BG46),'Capacity summary'!$E165),0)</f>
        <v>52</v>
      </c>
      <c r="BI46" s="5">
        <f ca="1">IF(BH46&gt;0,IF(BH46&lt;Capacity!E58,Capacity!F58,Capacity!H58/'Capacity calculation (hide)'!BH46),"")</f>
        <v>91.34615384615384</v>
      </c>
      <c r="BK46" s="311">
        <f ca="1">IF($BI46&lt;&gt;"",IF('Capacity summary'!$D$14="Yes",IF(COUNTBLANK('Capacity summary'!$H165:$BG165)&lt;52,IF('Capacity summary'!H165&lt;&gt;"",IF(LOWER('Capacity summary'!H165)="x",$BI46*H46,VALUE('Capacity summary'!H165)),0),H46*$BI46),H46*$BI46),0)</f>
        <v>91.34615384615384</v>
      </c>
      <c r="BL46" s="311">
        <f ca="1">IF($BI46&lt;&gt;"",IF('Capacity summary'!$D$14="Yes",IF(COUNTBLANK('Capacity summary'!$H165:$BG165)&lt;52,IF('Capacity summary'!I165&lt;&gt;"",IF(LOWER('Capacity summary'!I165)="x",$BI46*I46,VALUE('Capacity summary'!I165)),0),I46*$BI46),I46*$BI46),0)</f>
        <v>91.34615384615384</v>
      </c>
      <c r="BM46" s="311">
        <f ca="1">IF($BI46&lt;&gt;"",IF('Capacity summary'!$D$14="Yes",IF(COUNTBLANK('Capacity summary'!$H165:$BG165)&lt;52,IF('Capacity summary'!J165&lt;&gt;"",IF(LOWER('Capacity summary'!J165)="x",$BI46*J46,VALUE('Capacity summary'!J165)),0),J46*$BI46),J46*$BI46),0)</f>
        <v>91.34615384615384</v>
      </c>
      <c r="BN46" s="311">
        <f ca="1">IF($BI46&lt;&gt;"",IF('Capacity summary'!$D$14="Yes",IF(COUNTBLANK('Capacity summary'!$H165:$BG165)&lt;52,IF('Capacity summary'!K165&lt;&gt;"",IF(LOWER('Capacity summary'!K165)="x",$BI46*K46,VALUE('Capacity summary'!K165)),0),K46*$BI46),K46*$BI46),0)</f>
        <v>91.34615384615384</v>
      </c>
      <c r="BO46" s="311">
        <f ca="1">IF($BI46&lt;&gt;"",IF('Capacity summary'!$D$14="Yes",IF(COUNTBLANK('Capacity summary'!$H165:$BG165)&lt;52,IF('Capacity summary'!L165&lt;&gt;"",IF(LOWER('Capacity summary'!L165)="x",$BI46*L46,VALUE('Capacity summary'!L165)),0),L46*$BI46),L46*$BI46),0)</f>
        <v>91.34615384615384</v>
      </c>
      <c r="BP46" s="311">
        <f ca="1">IF($BI46&lt;&gt;"",IF('Capacity summary'!$D$14="Yes",IF(COUNTBLANK('Capacity summary'!$H165:$BG165)&lt;52,IF('Capacity summary'!M165&lt;&gt;"",IF(LOWER('Capacity summary'!M165)="x",$BI46*M46,VALUE('Capacity summary'!M165)),0),M46*$BI46),M46*$BI46),0)</f>
        <v>91.34615384615384</v>
      </c>
      <c r="BQ46" s="311">
        <f ca="1">IF($BI46&lt;&gt;"",IF('Capacity summary'!$D$14="Yes",IF(COUNTBLANK('Capacity summary'!$H165:$BG165)&lt;52,IF('Capacity summary'!N165&lt;&gt;"",IF(LOWER('Capacity summary'!N165)="x",$BI46*N46,VALUE('Capacity summary'!N165)),0),N46*$BI46),N46*$BI46),0)</f>
        <v>91.34615384615384</v>
      </c>
      <c r="BR46" s="311">
        <f ca="1">IF($BI46&lt;&gt;"",IF('Capacity summary'!$D$14="Yes",IF(COUNTBLANK('Capacity summary'!$H165:$BG165)&lt;52,IF('Capacity summary'!O165&lt;&gt;"",IF(LOWER('Capacity summary'!O165)="x",$BI46*O46,VALUE('Capacity summary'!O165)),0),O46*$BI46),O46*$BI46),0)</f>
        <v>91.34615384615384</v>
      </c>
      <c r="BS46" s="311">
        <f ca="1">IF($BI46&lt;&gt;"",IF('Capacity summary'!$D$14="Yes",IF(COUNTBLANK('Capacity summary'!$H165:$BG165)&lt;52,IF('Capacity summary'!P165&lt;&gt;"",IF(LOWER('Capacity summary'!P165)="x",$BI46*P46,VALUE('Capacity summary'!P165)),0),P46*$BI46),P46*$BI46),0)</f>
        <v>91.34615384615384</v>
      </c>
      <c r="BT46" s="311">
        <f ca="1">IF($BI46&lt;&gt;"",IF('Capacity summary'!$D$14="Yes",IF(COUNTBLANK('Capacity summary'!$H165:$BG165)&lt;52,IF('Capacity summary'!Q165&lt;&gt;"",IF(LOWER('Capacity summary'!Q165)="x",$BI46*Q46,VALUE('Capacity summary'!Q165)),0),Q46*$BI46),Q46*$BI46),0)</f>
        <v>91.34615384615384</v>
      </c>
      <c r="BU46" s="311">
        <f ca="1">IF($BI46&lt;&gt;"",IF('Capacity summary'!$D$14="Yes",IF(COUNTBLANK('Capacity summary'!$H165:$BG165)&lt;52,IF('Capacity summary'!R165&lt;&gt;"",IF(LOWER('Capacity summary'!R165)="x",$BI46*R46,VALUE('Capacity summary'!R165)),0),R46*$BI46),R46*$BI46),0)</f>
        <v>91.34615384615384</v>
      </c>
      <c r="BV46" s="311">
        <f ca="1">IF($BI46&lt;&gt;"",IF('Capacity summary'!$D$14="Yes",IF(COUNTBLANK('Capacity summary'!$H165:$BG165)&lt;52,IF('Capacity summary'!S165&lt;&gt;"",IF(LOWER('Capacity summary'!S165)="x",$BI46*S46,VALUE('Capacity summary'!S165)),0),S46*$BI46),S46*$BI46),0)</f>
        <v>91.34615384615384</v>
      </c>
      <c r="BW46" s="311">
        <f ca="1">IF($BI46&lt;&gt;"",IF('Capacity summary'!$D$14="Yes",IF(COUNTBLANK('Capacity summary'!$H165:$BG165)&lt;52,IF('Capacity summary'!T165&lt;&gt;"",IF(LOWER('Capacity summary'!T165)="x",$BI46*T46,VALUE('Capacity summary'!T165)),0),T46*$BI46),T46*$BI46),0)</f>
        <v>91.34615384615384</v>
      </c>
      <c r="BX46" s="311">
        <f ca="1">IF($BI46&lt;&gt;"",IF('Capacity summary'!$D$14="Yes",IF(COUNTBLANK('Capacity summary'!$H165:$BG165)&lt;52,IF('Capacity summary'!U165&lt;&gt;"",IF(LOWER('Capacity summary'!U165)="x",$BI46*U46,VALUE('Capacity summary'!U165)),0),U46*$BI46),U46*$BI46),0)</f>
        <v>91.34615384615384</v>
      </c>
      <c r="BY46" s="311">
        <f ca="1">IF($BI46&lt;&gt;"",IF('Capacity summary'!$D$14="Yes",IF(COUNTBLANK('Capacity summary'!$H165:$BG165)&lt;52,IF('Capacity summary'!V165&lt;&gt;"",IF(LOWER('Capacity summary'!V165)="x",$BI46*V46,VALUE('Capacity summary'!V165)),0),V46*$BI46),V46*$BI46),0)</f>
        <v>91.34615384615384</v>
      </c>
      <c r="BZ46" s="311">
        <f ca="1">IF($BI46&lt;&gt;"",IF('Capacity summary'!$D$14="Yes",IF(COUNTBLANK('Capacity summary'!$H165:$BG165)&lt;52,IF('Capacity summary'!W165&lt;&gt;"",IF(LOWER('Capacity summary'!W165)="x",$BI46*W46,VALUE('Capacity summary'!W165)),0),W46*$BI46),W46*$BI46),0)</f>
        <v>91.34615384615384</v>
      </c>
      <c r="CA46" s="311">
        <f ca="1">IF($BI46&lt;&gt;"",IF('Capacity summary'!$D$14="Yes",IF(COUNTBLANK('Capacity summary'!$H165:$BG165)&lt;52,IF('Capacity summary'!X165&lt;&gt;"",IF(LOWER('Capacity summary'!X165)="x",$BI46*X46,VALUE('Capacity summary'!X165)),0),X46*$BI46),X46*$BI46),0)</f>
        <v>91.34615384615384</v>
      </c>
      <c r="CB46" s="311">
        <f ca="1">IF($BI46&lt;&gt;"",IF('Capacity summary'!$D$14="Yes",IF(COUNTBLANK('Capacity summary'!$H165:$BG165)&lt;52,IF('Capacity summary'!Y165&lt;&gt;"",IF(LOWER('Capacity summary'!Y165)="x",$BI46*Y46,VALUE('Capacity summary'!Y165)),0),Y46*$BI46),Y46*$BI46),0)</f>
        <v>91.34615384615384</v>
      </c>
      <c r="CC46" s="311">
        <f ca="1">IF($BI46&lt;&gt;"",IF('Capacity summary'!$D$14="Yes",IF(COUNTBLANK('Capacity summary'!$H165:$BG165)&lt;52,IF('Capacity summary'!Z165&lt;&gt;"",IF(LOWER('Capacity summary'!Z165)="x",$BI46*Z46,VALUE('Capacity summary'!Z165)),0),Z46*$BI46),Z46*$BI46),0)</f>
        <v>91.34615384615384</v>
      </c>
      <c r="CD46" s="311">
        <f ca="1">IF($BI46&lt;&gt;"",IF('Capacity summary'!$D$14="Yes",IF(COUNTBLANK('Capacity summary'!$H165:$BG165)&lt;52,IF('Capacity summary'!AA165&lt;&gt;"",IF(LOWER('Capacity summary'!AA165)="x",$BI46*AA46,VALUE('Capacity summary'!AA165)),0),AA46*$BI46),AA46*$BI46),0)</f>
        <v>91.34615384615384</v>
      </c>
      <c r="CE46" s="311">
        <f ca="1">IF($BI46&lt;&gt;"",IF('Capacity summary'!$D$14="Yes",IF(COUNTBLANK('Capacity summary'!$H165:$BG165)&lt;52,IF('Capacity summary'!AB165&lt;&gt;"",IF(LOWER('Capacity summary'!AB165)="x",$BI46*AB46,VALUE('Capacity summary'!AB165)),0),AB46*$BI46),AB46*$BI46),0)</f>
        <v>91.34615384615384</v>
      </c>
      <c r="CF46" s="311">
        <f ca="1">IF($BI46&lt;&gt;"",IF('Capacity summary'!$D$14="Yes",IF(COUNTBLANK('Capacity summary'!$H165:$BG165)&lt;52,IF('Capacity summary'!AC165&lt;&gt;"",IF(LOWER('Capacity summary'!AC165)="x",$BI46*AC46,VALUE('Capacity summary'!AC165)),0),AC46*$BI46),AC46*$BI46),0)</f>
        <v>91.34615384615384</v>
      </c>
      <c r="CG46" s="311">
        <f ca="1">IF($BI46&lt;&gt;"",IF('Capacity summary'!$D$14="Yes",IF(COUNTBLANK('Capacity summary'!$H165:$BG165)&lt;52,IF('Capacity summary'!AD165&lt;&gt;"",IF(LOWER('Capacity summary'!AD165)="x",$BI46*AD46,VALUE('Capacity summary'!AD165)),0),AD46*$BI46),AD46*$BI46),0)</f>
        <v>91.34615384615384</v>
      </c>
      <c r="CH46" s="311">
        <f ca="1">IF($BI46&lt;&gt;"",IF('Capacity summary'!$D$14="Yes",IF(COUNTBLANK('Capacity summary'!$H165:$BG165)&lt;52,IF('Capacity summary'!AE165&lt;&gt;"",IF(LOWER('Capacity summary'!AE165)="x",$BI46*AE46,VALUE('Capacity summary'!AE165)),0),AE46*$BI46),AE46*$BI46),0)</f>
        <v>91.34615384615384</v>
      </c>
      <c r="CI46" s="311">
        <f ca="1">IF($BI46&lt;&gt;"",IF('Capacity summary'!$D$14="Yes",IF(COUNTBLANK('Capacity summary'!$H165:$BG165)&lt;52,IF('Capacity summary'!AF165&lt;&gt;"",IF(LOWER('Capacity summary'!AF165)="x",$BI46*AF46,VALUE('Capacity summary'!AF165)),0),AF46*$BI46),AF46*$BI46),0)</f>
        <v>91.34615384615384</v>
      </c>
      <c r="CJ46" s="311">
        <f ca="1">IF($BI46&lt;&gt;"",IF('Capacity summary'!$D$14="Yes",IF(COUNTBLANK('Capacity summary'!$H165:$BG165)&lt;52,IF('Capacity summary'!AG165&lt;&gt;"",IF(LOWER('Capacity summary'!AG165)="x",$BI46*AG46,VALUE('Capacity summary'!AG165)),0),AG46*$BI46),AG46*$BI46),0)</f>
        <v>91.34615384615384</v>
      </c>
      <c r="CK46" s="311">
        <f ca="1">IF($BI46&lt;&gt;"",IF('Capacity summary'!$D$14="Yes",IF(COUNTBLANK('Capacity summary'!$H165:$BG165)&lt;52,IF('Capacity summary'!AH165&lt;&gt;"",IF(LOWER('Capacity summary'!AH165)="x",$BI46*AH46,VALUE('Capacity summary'!AH165)),0),AH46*$BI46),AH46*$BI46),0)</f>
        <v>91.34615384615384</v>
      </c>
      <c r="CL46" s="311">
        <f ca="1">IF($BI46&lt;&gt;"",IF('Capacity summary'!$D$14="Yes",IF(COUNTBLANK('Capacity summary'!$H165:$BG165)&lt;52,IF('Capacity summary'!AI165&lt;&gt;"",IF(LOWER('Capacity summary'!AI165)="x",$BI46*AI46,VALUE('Capacity summary'!AI165)),0),AI46*$BI46),AI46*$BI46),0)</f>
        <v>91.34615384615384</v>
      </c>
      <c r="CM46" s="311">
        <f ca="1">IF($BI46&lt;&gt;"",IF('Capacity summary'!$D$14="Yes",IF(COUNTBLANK('Capacity summary'!$H165:$BG165)&lt;52,IF('Capacity summary'!AJ165&lt;&gt;"",IF(LOWER('Capacity summary'!AJ165)="x",$BI46*AJ46,VALUE('Capacity summary'!AJ165)),0),AJ46*$BI46),AJ46*$BI46),0)</f>
        <v>91.34615384615384</v>
      </c>
      <c r="CN46" s="311">
        <f ca="1">IF($BI46&lt;&gt;"",IF('Capacity summary'!$D$14="Yes",IF(COUNTBLANK('Capacity summary'!$H165:$BG165)&lt;52,IF('Capacity summary'!AK165&lt;&gt;"",IF(LOWER('Capacity summary'!AK165)="x",$BI46*AK46,VALUE('Capacity summary'!AK165)),0),AK46*$BI46),AK46*$BI46),0)</f>
        <v>91.34615384615384</v>
      </c>
      <c r="CO46" s="311">
        <f ca="1">IF($BI46&lt;&gt;"",IF('Capacity summary'!$D$14="Yes",IF(COUNTBLANK('Capacity summary'!$H165:$BG165)&lt;52,IF('Capacity summary'!AL165&lt;&gt;"",IF(LOWER('Capacity summary'!AL165)="x",$BI46*AL46,VALUE('Capacity summary'!AL165)),0),AL46*$BI46),AL46*$BI46),0)</f>
        <v>91.34615384615384</v>
      </c>
      <c r="CP46" s="311">
        <f ca="1">IF($BI46&lt;&gt;"",IF('Capacity summary'!$D$14="Yes",IF(COUNTBLANK('Capacity summary'!$H165:$BG165)&lt;52,IF('Capacity summary'!AM165&lt;&gt;"",IF(LOWER('Capacity summary'!AM165)="x",$BI46*AM46,VALUE('Capacity summary'!AM165)),0),AM46*$BI46),AM46*$BI46),0)</f>
        <v>91.34615384615384</v>
      </c>
      <c r="CQ46" s="311">
        <f ca="1">IF($BI46&lt;&gt;"",IF('Capacity summary'!$D$14="Yes",IF(COUNTBLANK('Capacity summary'!$H165:$BG165)&lt;52,IF('Capacity summary'!AN165&lt;&gt;"",IF(LOWER('Capacity summary'!AN165)="x",$BI46*AN46,VALUE('Capacity summary'!AN165)),0),AN46*$BI46),AN46*$BI46),0)</f>
        <v>91.34615384615384</v>
      </c>
      <c r="CR46" s="311">
        <f ca="1">IF($BI46&lt;&gt;"",IF('Capacity summary'!$D$14="Yes",IF(COUNTBLANK('Capacity summary'!$H165:$BG165)&lt;52,IF('Capacity summary'!AO165&lt;&gt;"",IF(LOWER('Capacity summary'!AO165)="x",$BI46*AO46,VALUE('Capacity summary'!AO165)),0),AO46*$BI46),AO46*$BI46),0)</f>
        <v>91.34615384615384</v>
      </c>
      <c r="CS46" s="311">
        <f ca="1">IF($BI46&lt;&gt;"",IF('Capacity summary'!$D$14="Yes",IF(COUNTBLANK('Capacity summary'!$H165:$BG165)&lt;52,IF('Capacity summary'!AP165&lt;&gt;"",IF(LOWER('Capacity summary'!AP165)="x",$BI46*AP46,VALUE('Capacity summary'!AP165)),0),AP46*$BI46),AP46*$BI46),0)</f>
        <v>91.34615384615384</v>
      </c>
      <c r="CT46" s="311">
        <f ca="1">IF($BI46&lt;&gt;"",IF('Capacity summary'!$D$14="Yes",IF(COUNTBLANK('Capacity summary'!$H165:$BG165)&lt;52,IF('Capacity summary'!AQ165&lt;&gt;"",IF(LOWER('Capacity summary'!AQ165)="x",$BI46*AQ46,VALUE('Capacity summary'!AQ165)),0),AQ46*$BI46),AQ46*$BI46),0)</f>
        <v>91.34615384615384</v>
      </c>
      <c r="CU46" s="311">
        <f ca="1">IF($BI46&lt;&gt;"",IF('Capacity summary'!$D$14="Yes",IF(COUNTBLANK('Capacity summary'!$H165:$BG165)&lt;52,IF('Capacity summary'!AR165&lt;&gt;"",IF(LOWER('Capacity summary'!AR165)="x",$BI46*AR46,VALUE('Capacity summary'!AR165)),0),AR46*$BI46),AR46*$BI46),0)</f>
        <v>91.34615384615384</v>
      </c>
      <c r="CV46" s="311">
        <f ca="1">IF($BI46&lt;&gt;"",IF('Capacity summary'!$D$14="Yes",IF(COUNTBLANK('Capacity summary'!$H165:$BG165)&lt;52,IF('Capacity summary'!AS165&lt;&gt;"",IF(LOWER('Capacity summary'!AS165)="x",$BI46*AS46,VALUE('Capacity summary'!AS165)),0),AS46*$BI46),AS46*$BI46),0)</f>
        <v>91.34615384615384</v>
      </c>
      <c r="CW46" s="311">
        <f ca="1">IF($BI46&lt;&gt;"",IF('Capacity summary'!$D$14="Yes",IF(COUNTBLANK('Capacity summary'!$H165:$BG165)&lt;52,IF('Capacity summary'!AT165&lt;&gt;"",IF(LOWER('Capacity summary'!AT165)="x",$BI46*AT46,VALUE('Capacity summary'!AT165)),0),AT46*$BI46),AT46*$BI46),0)</f>
        <v>91.34615384615384</v>
      </c>
      <c r="CX46" s="311">
        <f ca="1">IF($BI46&lt;&gt;"",IF('Capacity summary'!$D$14="Yes",IF(COUNTBLANK('Capacity summary'!$H165:$BG165)&lt;52,IF('Capacity summary'!AU165&lt;&gt;"",IF(LOWER('Capacity summary'!AU165)="x",$BI46*AU46,VALUE('Capacity summary'!AU165)),0),AU46*$BI46),AU46*$BI46),0)</f>
        <v>91.34615384615384</v>
      </c>
      <c r="CY46" s="311">
        <f ca="1">IF($BI46&lt;&gt;"",IF('Capacity summary'!$D$14="Yes",IF(COUNTBLANK('Capacity summary'!$H165:$BG165)&lt;52,IF('Capacity summary'!AV165&lt;&gt;"",IF(LOWER('Capacity summary'!AV165)="x",$BI46*AV46,VALUE('Capacity summary'!AV165)),0),AV46*$BI46),AV46*$BI46),0)</f>
        <v>91.34615384615384</v>
      </c>
      <c r="CZ46" s="311">
        <f ca="1">IF($BI46&lt;&gt;"",IF('Capacity summary'!$D$14="Yes",IF(COUNTBLANK('Capacity summary'!$H165:$BG165)&lt;52,IF('Capacity summary'!AW165&lt;&gt;"",IF(LOWER('Capacity summary'!AW165)="x",$BI46*AW46,VALUE('Capacity summary'!AW165)),0),AW46*$BI46),AW46*$BI46),0)</f>
        <v>91.34615384615384</v>
      </c>
      <c r="DA46" s="311">
        <f ca="1">IF($BI46&lt;&gt;"",IF('Capacity summary'!$D$14="Yes",IF(COUNTBLANK('Capacity summary'!$H165:$BG165)&lt;52,IF('Capacity summary'!AX165&lt;&gt;"",IF(LOWER('Capacity summary'!AX165)="x",$BI46*AX46,VALUE('Capacity summary'!AX165)),0),AX46*$BI46),AX46*$BI46),0)</f>
        <v>91.34615384615384</v>
      </c>
      <c r="DB46" s="311">
        <f ca="1">IF($BI46&lt;&gt;"",IF('Capacity summary'!$D$14="Yes",IF(COUNTBLANK('Capacity summary'!$H165:$BG165)&lt;52,IF('Capacity summary'!AY165&lt;&gt;"",IF(LOWER('Capacity summary'!AY165)="x",$BI46*AY46,VALUE('Capacity summary'!AY165)),0),AY46*$BI46),AY46*$BI46),0)</f>
        <v>91.34615384615384</v>
      </c>
      <c r="DC46" s="311">
        <f ca="1">IF($BI46&lt;&gt;"",IF('Capacity summary'!$D$14="Yes",IF(COUNTBLANK('Capacity summary'!$H165:$BG165)&lt;52,IF('Capacity summary'!AZ165&lt;&gt;"",IF(LOWER('Capacity summary'!AZ165)="x",$BI46*AZ46,VALUE('Capacity summary'!AZ165)),0),AZ46*$BI46),AZ46*$BI46),0)</f>
        <v>91.34615384615384</v>
      </c>
      <c r="DD46" s="311">
        <f ca="1">IF($BI46&lt;&gt;"",IF('Capacity summary'!$D$14="Yes",IF(COUNTBLANK('Capacity summary'!$H165:$BG165)&lt;52,IF('Capacity summary'!BA165&lt;&gt;"",IF(LOWER('Capacity summary'!BA165)="x",$BI46*BA46,VALUE('Capacity summary'!BA165)),0),BA46*$BI46),BA46*$BI46),0)</f>
        <v>91.34615384615384</v>
      </c>
      <c r="DE46" s="311">
        <f ca="1">IF($BI46&lt;&gt;"",IF('Capacity summary'!$D$14="Yes",IF(COUNTBLANK('Capacity summary'!$H165:$BG165)&lt;52,IF('Capacity summary'!BB165&lt;&gt;"",IF(LOWER('Capacity summary'!BB165)="x",$BI46*BB46,VALUE('Capacity summary'!BB165)),0),BB46*$BI46),BB46*$BI46),0)</f>
        <v>91.34615384615384</v>
      </c>
      <c r="DF46" s="311">
        <f ca="1">IF($BI46&lt;&gt;"",IF('Capacity summary'!$D$14="Yes",IF(COUNTBLANK('Capacity summary'!$H165:$BG165)&lt;52,IF('Capacity summary'!BC165&lt;&gt;"",IF(LOWER('Capacity summary'!BC165)="x",$BI46*BC46,VALUE('Capacity summary'!BC165)),0),BC46*$BI46),BC46*$BI46),0)</f>
        <v>91.34615384615384</v>
      </c>
      <c r="DG46" s="311">
        <f ca="1">IF($BI46&lt;&gt;"",IF('Capacity summary'!$D$14="Yes",IF(COUNTBLANK('Capacity summary'!$H165:$BG165)&lt;52,IF('Capacity summary'!BD165&lt;&gt;"",IF(LOWER('Capacity summary'!BD165)="x",$BI46*BD46,VALUE('Capacity summary'!BD165)),0),BD46*$BI46),BD46*$BI46),0)</f>
        <v>91.34615384615384</v>
      </c>
      <c r="DH46" s="311">
        <f ca="1">IF($BI46&lt;&gt;"",IF('Capacity summary'!$D$14="Yes",IF(COUNTBLANK('Capacity summary'!$H165:$BG165)&lt;52,IF('Capacity summary'!BE165&lt;&gt;"",IF(LOWER('Capacity summary'!BE165)="x",$BI46*BE46,VALUE('Capacity summary'!BE165)),0),BE46*$BI46),BE46*$BI46),0)</f>
        <v>91.34615384615384</v>
      </c>
      <c r="DI46" s="311">
        <f ca="1">IF($BI46&lt;&gt;"",IF('Capacity summary'!$D$14="Yes",IF(COUNTBLANK('Capacity summary'!$H165:$BG165)&lt;52,IF('Capacity summary'!BF165&lt;&gt;"",IF(LOWER('Capacity summary'!BF165)="x",$BI46*BF46,VALUE('Capacity summary'!BF165)),0),BF46*$BI46),BF46*$BI46),0)</f>
        <v>91.34615384615384</v>
      </c>
      <c r="DJ46" s="311">
        <f ca="1">IF($BI46&lt;&gt;"",IF('Capacity summary'!$D$14="Yes",IF(COUNTBLANK('Capacity summary'!$H165:$BG165)&lt;52,IF('Capacity summary'!BG165&lt;&gt;"",IF(LOWER('Capacity summary'!BG165)="x",$BI46*BG46,VALUE('Capacity summary'!BG165)),0),BG46*$BI46),BG46*$BI46),0)</f>
        <v>91.34615384615384</v>
      </c>
      <c r="DK46" s="388">
        <f t="shared" ca="1" si="2"/>
        <v>91.34615384615384</v>
      </c>
      <c r="DL46" s="136">
        <f t="shared" ca="1" si="3"/>
        <v>4750.0000000000018</v>
      </c>
      <c r="DM46" s="311">
        <f>Capacity!H58</f>
        <v>4750</v>
      </c>
      <c r="DQ46" s="5"/>
    </row>
    <row r="47" spans="1:121" x14ac:dyDescent="0.2">
      <c r="A47" s="67">
        <f>IF(Capacity!L59='Capacity summary'!BI166,1,0)</f>
        <v>1</v>
      </c>
      <c r="B47" s="67">
        <f>IF(Capacity!V59='Capacity summary'!BI66,1,0)</f>
        <v>1</v>
      </c>
      <c r="C47" s="67" t="str">
        <f>ROW(A43)&amp;". "&amp;Capacity!B59</f>
        <v>43. 2 ww</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 ca="1">IF(ROW(C43)&lt;=Capacity!$A$16,IF('Capacity summary'!$D$14="No",SUM(H47:BG47),'Capacity summary'!$E166),0)</f>
        <v>52</v>
      </c>
      <c r="BI47" s="5">
        <f ca="1">IF(BH47&gt;0,IF(BH47&lt;Capacity!E59,Capacity!F59,Capacity!H59/'Capacity calculation (hide)'!BH47),"")</f>
        <v>153.84615384615384</v>
      </c>
      <c r="BK47" s="311">
        <f ca="1">IF($BI47&lt;&gt;"",IF('Capacity summary'!$D$14="Yes",IF(COUNTBLANK('Capacity summary'!$H166:$BG166)&lt;52,IF('Capacity summary'!H166&lt;&gt;"",IF(LOWER('Capacity summary'!H166)="x",$BI47*H47,VALUE('Capacity summary'!H166)),0),H47*$BI47),H47*$BI47),0)</f>
        <v>153.84615384615384</v>
      </c>
      <c r="BL47" s="311">
        <f ca="1">IF($BI47&lt;&gt;"",IF('Capacity summary'!$D$14="Yes",IF(COUNTBLANK('Capacity summary'!$H166:$BG166)&lt;52,IF('Capacity summary'!I166&lt;&gt;"",IF(LOWER('Capacity summary'!I166)="x",$BI47*I47,VALUE('Capacity summary'!I166)),0),I47*$BI47),I47*$BI47),0)</f>
        <v>153.84615384615384</v>
      </c>
      <c r="BM47" s="311">
        <f ca="1">IF($BI47&lt;&gt;"",IF('Capacity summary'!$D$14="Yes",IF(COUNTBLANK('Capacity summary'!$H166:$BG166)&lt;52,IF('Capacity summary'!J166&lt;&gt;"",IF(LOWER('Capacity summary'!J166)="x",$BI47*J47,VALUE('Capacity summary'!J166)),0),J47*$BI47),J47*$BI47),0)</f>
        <v>153.84615384615384</v>
      </c>
      <c r="BN47" s="311">
        <f ca="1">IF($BI47&lt;&gt;"",IF('Capacity summary'!$D$14="Yes",IF(COUNTBLANK('Capacity summary'!$H166:$BG166)&lt;52,IF('Capacity summary'!K166&lt;&gt;"",IF(LOWER('Capacity summary'!K166)="x",$BI47*K47,VALUE('Capacity summary'!K166)),0),K47*$BI47),K47*$BI47),0)</f>
        <v>153.84615384615384</v>
      </c>
      <c r="BO47" s="311">
        <f ca="1">IF($BI47&lt;&gt;"",IF('Capacity summary'!$D$14="Yes",IF(COUNTBLANK('Capacity summary'!$H166:$BG166)&lt;52,IF('Capacity summary'!L166&lt;&gt;"",IF(LOWER('Capacity summary'!L166)="x",$BI47*L47,VALUE('Capacity summary'!L166)),0),L47*$BI47),L47*$BI47),0)</f>
        <v>153.84615384615384</v>
      </c>
      <c r="BP47" s="311">
        <f ca="1">IF($BI47&lt;&gt;"",IF('Capacity summary'!$D$14="Yes",IF(COUNTBLANK('Capacity summary'!$H166:$BG166)&lt;52,IF('Capacity summary'!M166&lt;&gt;"",IF(LOWER('Capacity summary'!M166)="x",$BI47*M47,VALUE('Capacity summary'!M166)),0),M47*$BI47),M47*$BI47),0)</f>
        <v>153.84615384615384</v>
      </c>
      <c r="BQ47" s="311">
        <f ca="1">IF($BI47&lt;&gt;"",IF('Capacity summary'!$D$14="Yes",IF(COUNTBLANK('Capacity summary'!$H166:$BG166)&lt;52,IF('Capacity summary'!N166&lt;&gt;"",IF(LOWER('Capacity summary'!N166)="x",$BI47*N47,VALUE('Capacity summary'!N166)),0),N47*$BI47),N47*$BI47),0)</f>
        <v>153.84615384615384</v>
      </c>
      <c r="BR47" s="311">
        <f ca="1">IF($BI47&lt;&gt;"",IF('Capacity summary'!$D$14="Yes",IF(COUNTBLANK('Capacity summary'!$H166:$BG166)&lt;52,IF('Capacity summary'!O166&lt;&gt;"",IF(LOWER('Capacity summary'!O166)="x",$BI47*O47,VALUE('Capacity summary'!O166)),0),O47*$BI47),O47*$BI47),0)</f>
        <v>153.84615384615384</v>
      </c>
      <c r="BS47" s="311">
        <f ca="1">IF($BI47&lt;&gt;"",IF('Capacity summary'!$D$14="Yes",IF(COUNTBLANK('Capacity summary'!$H166:$BG166)&lt;52,IF('Capacity summary'!P166&lt;&gt;"",IF(LOWER('Capacity summary'!P166)="x",$BI47*P47,VALUE('Capacity summary'!P166)),0),P47*$BI47),P47*$BI47),0)</f>
        <v>153.84615384615384</v>
      </c>
      <c r="BT47" s="311">
        <f ca="1">IF($BI47&lt;&gt;"",IF('Capacity summary'!$D$14="Yes",IF(COUNTBLANK('Capacity summary'!$H166:$BG166)&lt;52,IF('Capacity summary'!Q166&lt;&gt;"",IF(LOWER('Capacity summary'!Q166)="x",$BI47*Q47,VALUE('Capacity summary'!Q166)),0),Q47*$BI47),Q47*$BI47),0)</f>
        <v>153.84615384615384</v>
      </c>
      <c r="BU47" s="311">
        <f ca="1">IF($BI47&lt;&gt;"",IF('Capacity summary'!$D$14="Yes",IF(COUNTBLANK('Capacity summary'!$H166:$BG166)&lt;52,IF('Capacity summary'!R166&lt;&gt;"",IF(LOWER('Capacity summary'!R166)="x",$BI47*R47,VALUE('Capacity summary'!R166)),0),R47*$BI47),R47*$BI47),0)</f>
        <v>153.84615384615384</v>
      </c>
      <c r="BV47" s="311">
        <f ca="1">IF($BI47&lt;&gt;"",IF('Capacity summary'!$D$14="Yes",IF(COUNTBLANK('Capacity summary'!$H166:$BG166)&lt;52,IF('Capacity summary'!S166&lt;&gt;"",IF(LOWER('Capacity summary'!S166)="x",$BI47*S47,VALUE('Capacity summary'!S166)),0),S47*$BI47),S47*$BI47),0)</f>
        <v>153.84615384615384</v>
      </c>
      <c r="BW47" s="311">
        <f ca="1">IF($BI47&lt;&gt;"",IF('Capacity summary'!$D$14="Yes",IF(COUNTBLANK('Capacity summary'!$H166:$BG166)&lt;52,IF('Capacity summary'!T166&lt;&gt;"",IF(LOWER('Capacity summary'!T166)="x",$BI47*T47,VALUE('Capacity summary'!T166)),0),T47*$BI47),T47*$BI47),0)</f>
        <v>153.84615384615384</v>
      </c>
      <c r="BX47" s="311">
        <f ca="1">IF($BI47&lt;&gt;"",IF('Capacity summary'!$D$14="Yes",IF(COUNTBLANK('Capacity summary'!$H166:$BG166)&lt;52,IF('Capacity summary'!U166&lt;&gt;"",IF(LOWER('Capacity summary'!U166)="x",$BI47*U47,VALUE('Capacity summary'!U166)),0),U47*$BI47),U47*$BI47),0)</f>
        <v>153.84615384615384</v>
      </c>
      <c r="BY47" s="311">
        <f ca="1">IF($BI47&lt;&gt;"",IF('Capacity summary'!$D$14="Yes",IF(COUNTBLANK('Capacity summary'!$H166:$BG166)&lt;52,IF('Capacity summary'!V166&lt;&gt;"",IF(LOWER('Capacity summary'!V166)="x",$BI47*V47,VALUE('Capacity summary'!V166)),0),V47*$BI47),V47*$BI47),0)</f>
        <v>153.84615384615384</v>
      </c>
      <c r="BZ47" s="311">
        <f ca="1">IF($BI47&lt;&gt;"",IF('Capacity summary'!$D$14="Yes",IF(COUNTBLANK('Capacity summary'!$H166:$BG166)&lt;52,IF('Capacity summary'!W166&lt;&gt;"",IF(LOWER('Capacity summary'!W166)="x",$BI47*W47,VALUE('Capacity summary'!W166)),0),W47*$BI47),W47*$BI47),0)</f>
        <v>153.84615384615384</v>
      </c>
      <c r="CA47" s="311">
        <f ca="1">IF($BI47&lt;&gt;"",IF('Capacity summary'!$D$14="Yes",IF(COUNTBLANK('Capacity summary'!$H166:$BG166)&lt;52,IF('Capacity summary'!X166&lt;&gt;"",IF(LOWER('Capacity summary'!X166)="x",$BI47*X47,VALUE('Capacity summary'!X166)),0),X47*$BI47),X47*$BI47),0)</f>
        <v>153.84615384615384</v>
      </c>
      <c r="CB47" s="311">
        <f ca="1">IF($BI47&lt;&gt;"",IF('Capacity summary'!$D$14="Yes",IF(COUNTBLANK('Capacity summary'!$H166:$BG166)&lt;52,IF('Capacity summary'!Y166&lt;&gt;"",IF(LOWER('Capacity summary'!Y166)="x",$BI47*Y47,VALUE('Capacity summary'!Y166)),0),Y47*$BI47),Y47*$BI47),0)</f>
        <v>153.84615384615384</v>
      </c>
      <c r="CC47" s="311">
        <f ca="1">IF($BI47&lt;&gt;"",IF('Capacity summary'!$D$14="Yes",IF(COUNTBLANK('Capacity summary'!$H166:$BG166)&lt;52,IF('Capacity summary'!Z166&lt;&gt;"",IF(LOWER('Capacity summary'!Z166)="x",$BI47*Z47,VALUE('Capacity summary'!Z166)),0),Z47*$BI47),Z47*$BI47),0)</f>
        <v>153.84615384615384</v>
      </c>
      <c r="CD47" s="311">
        <f ca="1">IF($BI47&lt;&gt;"",IF('Capacity summary'!$D$14="Yes",IF(COUNTBLANK('Capacity summary'!$H166:$BG166)&lt;52,IF('Capacity summary'!AA166&lt;&gt;"",IF(LOWER('Capacity summary'!AA166)="x",$BI47*AA47,VALUE('Capacity summary'!AA166)),0),AA47*$BI47),AA47*$BI47),0)</f>
        <v>153.84615384615384</v>
      </c>
      <c r="CE47" s="311">
        <f ca="1">IF($BI47&lt;&gt;"",IF('Capacity summary'!$D$14="Yes",IF(COUNTBLANK('Capacity summary'!$H166:$BG166)&lt;52,IF('Capacity summary'!AB166&lt;&gt;"",IF(LOWER('Capacity summary'!AB166)="x",$BI47*AB47,VALUE('Capacity summary'!AB166)),0),AB47*$BI47),AB47*$BI47),0)</f>
        <v>153.84615384615384</v>
      </c>
      <c r="CF47" s="311">
        <f ca="1">IF($BI47&lt;&gt;"",IF('Capacity summary'!$D$14="Yes",IF(COUNTBLANK('Capacity summary'!$H166:$BG166)&lt;52,IF('Capacity summary'!AC166&lt;&gt;"",IF(LOWER('Capacity summary'!AC166)="x",$BI47*AC47,VALUE('Capacity summary'!AC166)),0),AC47*$BI47),AC47*$BI47),0)</f>
        <v>153.84615384615384</v>
      </c>
      <c r="CG47" s="311">
        <f ca="1">IF($BI47&lt;&gt;"",IF('Capacity summary'!$D$14="Yes",IF(COUNTBLANK('Capacity summary'!$H166:$BG166)&lt;52,IF('Capacity summary'!AD166&lt;&gt;"",IF(LOWER('Capacity summary'!AD166)="x",$BI47*AD47,VALUE('Capacity summary'!AD166)),0),AD47*$BI47),AD47*$BI47),0)</f>
        <v>153.84615384615384</v>
      </c>
      <c r="CH47" s="311">
        <f ca="1">IF($BI47&lt;&gt;"",IF('Capacity summary'!$D$14="Yes",IF(COUNTBLANK('Capacity summary'!$H166:$BG166)&lt;52,IF('Capacity summary'!AE166&lt;&gt;"",IF(LOWER('Capacity summary'!AE166)="x",$BI47*AE47,VALUE('Capacity summary'!AE166)),0),AE47*$BI47),AE47*$BI47),0)</f>
        <v>153.84615384615384</v>
      </c>
      <c r="CI47" s="311">
        <f ca="1">IF($BI47&lt;&gt;"",IF('Capacity summary'!$D$14="Yes",IF(COUNTBLANK('Capacity summary'!$H166:$BG166)&lt;52,IF('Capacity summary'!AF166&lt;&gt;"",IF(LOWER('Capacity summary'!AF166)="x",$BI47*AF47,VALUE('Capacity summary'!AF166)),0),AF47*$BI47),AF47*$BI47),0)</f>
        <v>153.84615384615384</v>
      </c>
      <c r="CJ47" s="311">
        <f ca="1">IF($BI47&lt;&gt;"",IF('Capacity summary'!$D$14="Yes",IF(COUNTBLANK('Capacity summary'!$H166:$BG166)&lt;52,IF('Capacity summary'!AG166&lt;&gt;"",IF(LOWER('Capacity summary'!AG166)="x",$BI47*AG47,VALUE('Capacity summary'!AG166)),0),AG47*$BI47),AG47*$BI47),0)</f>
        <v>153.84615384615384</v>
      </c>
      <c r="CK47" s="311">
        <f ca="1">IF($BI47&lt;&gt;"",IF('Capacity summary'!$D$14="Yes",IF(COUNTBLANK('Capacity summary'!$H166:$BG166)&lt;52,IF('Capacity summary'!AH166&lt;&gt;"",IF(LOWER('Capacity summary'!AH166)="x",$BI47*AH47,VALUE('Capacity summary'!AH166)),0),AH47*$BI47),AH47*$BI47),0)</f>
        <v>153.84615384615384</v>
      </c>
      <c r="CL47" s="311">
        <f ca="1">IF($BI47&lt;&gt;"",IF('Capacity summary'!$D$14="Yes",IF(COUNTBLANK('Capacity summary'!$H166:$BG166)&lt;52,IF('Capacity summary'!AI166&lt;&gt;"",IF(LOWER('Capacity summary'!AI166)="x",$BI47*AI47,VALUE('Capacity summary'!AI166)),0),AI47*$BI47),AI47*$BI47),0)</f>
        <v>153.84615384615384</v>
      </c>
      <c r="CM47" s="311">
        <f ca="1">IF($BI47&lt;&gt;"",IF('Capacity summary'!$D$14="Yes",IF(COUNTBLANK('Capacity summary'!$H166:$BG166)&lt;52,IF('Capacity summary'!AJ166&lt;&gt;"",IF(LOWER('Capacity summary'!AJ166)="x",$BI47*AJ47,VALUE('Capacity summary'!AJ166)),0),AJ47*$BI47),AJ47*$BI47),0)</f>
        <v>153.84615384615384</v>
      </c>
      <c r="CN47" s="311">
        <f ca="1">IF($BI47&lt;&gt;"",IF('Capacity summary'!$D$14="Yes",IF(COUNTBLANK('Capacity summary'!$H166:$BG166)&lt;52,IF('Capacity summary'!AK166&lt;&gt;"",IF(LOWER('Capacity summary'!AK166)="x",$BI47*AK47,VALUE('Capacity summary'!AK166)),0),AK47*$BI47),AK47*$BI47),0)</f>
        <v>153.84615384615384</v>
      </c>
      <c r="CO47" s="311">
        <f ca="1">IF($BI47&lt;&gt;"",IF('Capacity summary'!$D$14="Yes",IF(COUNTBLANK('Capacity summary'!$H166:$BG166)&lt;52,IF('Capacity summary'!AL166&lt;&gt;"",IF(LOWER('Capacity summary'!AL166)="x",$BI47*AL47,VALUE('Capacity summary'!AL166)),0),AL47*$BI47),AL47*$BI47),0)</f>
        <v>153.84615384615384</v>
      </c>
      <c r="CP47" s="311">
        <f ca="1">IF($BI47&lt;&gt;"",IF('Capacity summary'!$D$14="Yes",IF(COUNTBLANK('Capacity summary'!$H166:$BG166)&lt;52,IF('Capacity summary'!AM166&lt;&gt;"",IF(LOWER('Capacity summary'!AM166)="x",$BI47*AM47,VALUE('Capacity summary'!AM166)),0),AM47*$BI47),AM47*$BI47),0)</f>
        <v>153.84615384615384</v>
      </c>
      <c r="CQ47" s="311">
        <f ca="1">IF($BI47&lt;&gt;"",IF('Capacity summary'!$D$14="Yes",IF(COUNTBLANK('Capacity summary'!$H166:$BG166)&lt;52,IF('Capacity summary'!AN166&lt;&gt;"",IF(LOWER('Capacity summary'!AN166)="x",$BI47*AN47,VALUE('Capacity summary'!AN166)),0),AN47*$BI47),AN47*$BI47),0)</f>
        <v>153.84615384615384</v>
      </c>
      <c r="CR47" s="311">
        <f ca="1">IF($BI47&lt;&gt;"",IF('Capacity summary'!$D$14="Yes",IF(COUNTBLANK('Capacity summary'!$H166:$BG166)&lt;52,IF('Capacity summary'!AO166&lt;&gt;"",IF(LOWER('Capacity summary'!AO166)="x",$BI47*AO47,VALUE('Capacity summary'!AO166)),0),AO47*$BI47),AO47*$BI47),0)</f>
        <v>153.84615384615384</v>
      </c>
      <c r="CS47" s="311">
        <f ca="1">IF($BI47&lt;&gt;"",IF('Capacity summary'!$D$14="Yes",IF(COUNTBLANK('Capacity summary'!$H166:$BG166)&lt;52,IF('Capacity summary'!AP166&lt;&gt;"",IF(LOWER('Capacity summary'!AP166)="x",$BI47*AP47,VALUE('Capacity summary'!AP166)),0),AP47*$BI47),AP47*$BI47),0)</f>
        <v>153.84615384615384</v>
      </c>
      <c r="CT47" s="311">
        <f ca="1">IF($BI47&lt;&gt;"",IF('Capacity summary'!$D$14="Yes",IF(COUNTBLANK('Capacity summary'!$H166:$BG166)&lt;52,IF('Capacity summary'!AQ166&lt;&gt;"",IF(LOWER('Capacity summary'!AQ166)="x",$BI47*AQ47,VALUE('Capacity summary'!AQ166)),0),AQ47*$BI47),AQ47*$BI47),0)</f>
        <v>153.84615384615384</v>
      </c>
      <c r="CU47" s="311">
        <f ca="1">IF($BI47&lt;&gt;"",IF('Capacity summary'!$D$14="Yes",IF(COUNTBLANK('Capacity summary'!$H166:$BG166)&lt;52,IF('Capacity summary'!AR166&lt;&gt;"",IF(LOWER('Capacity summary'!AR166)="x",$BI47*AR47,VALUE('Capacity summary'!AR166)),0),AR47*$BI47),AR47*$BI47),0)</f>
        <v>153.84615384615384</v>
      </c>
      <c r="CV47" s="311">
        <f ca="1">IF($BI47&lt;&gt;"",IF('Capacity summary'!$D$14="Yes",IF(COUNTBLANK('Capacity summary'!$H166:$BG166)&lt;52,IF('Capacity summary'!AS166&lt;&gt;"",IF(LOWER('Capacity summary'!AS166)="x",$BI47*AS47,VALUE('Capacity summary'!AS166)),0),AS47*$BI47),AS47*$BI47),0)</f>
        <v>153.84615384615384</v>
      </c>
      <c r="CW47" s="311">
        <f ca="1">IF($BI47&lt;&gt;"",IF('Capacity summary'!$D$14="Yes",IF(COUNTBLANK('Capacity summary'!$H166:$BG166)&lt;52,IF('Capacity summary'!AT166&lt;&gt;"",IF(LOWER('Capacity summary'!AT166)="x",$BI47*AT47,VALUE('Capacity summary'!AT166)),0),AT47*$BI47),AT47*$BI47),0)</f>
        <v>153.84615384615384</v>
      </c>
      <c r="CX47" s="311">
        <f ca="1">IF($BI47&lt;&gt;"",IF('Capacity summary'!$D$14="Yes",IF(COUNTBLANK('Capacity summary'!$H166:$BG166)&lt;52,IF('Capacity summary'!AU166&lt;&gt;"",IF(LOWER('Capacity summary'!AU166)="x",$BI47*AU47,VALUE('Capacity summary'!AU166)),0),AU47*$BI47),AU47*$BI47),0)</f>
        <v>153.84615384615384</v>
      </c>
      <c r="CY47" s="311">
        <f ca="1">IF($BI47&lt;&gt;"",IF('Capacity summary'!$D$14="Yes",IF(COUNTBLANK('Capacity summary'!$H166:$BG166)&lt;52,IF('Capacity summary'!AV166&lt;&gt;"",IF(LOWER('Capacity summary'!AV166)="x",$BI47*AV47,VALUE('Capacity summary'!AV166)),0),AV47*$BI47),AV47*$BI47),0)</f>
        <v>153.84615384615384</v>
      </c>
      <c r="CZ47" s="311">
        <f ca="1">IF($BI47&lt;&gt;"",IF('Capacity summary'!$D$14="Yes",IF(COUNTBLANK('Capacity summary'!$H166:$BG166)&lt;52,IF('Capacity summary'!AW166&lt;&gt;"",IF(LOWER('Capacity summary'!AW166)="x",$BI47*AW47,VALUE('Capacity summary'!AW166)),0),AW47*$BI47),AW47*$BI47),0)</f>
        <v>153.84615384615384</v>
      </c>
      <c r="DA47" s="311">
        <f ca="1">IF($BI47&lt;&gt;"",IF('Capacity summary'!$D$14="Yes",IF(COUNTBLANK('Capacity summary'!$H166:$BG166)&lt;52,IF('Capacity summary'!AX166&lt;&gt;"",IF(LOWER('Capacity summary'!AX166)="x",$BI47*AX47,VALUE('Capacity summary'!AX166)),0),AX47*$BI47),AX47*$BI47),0)</f>
        <v>153.84615384615384</v>
      </c>
      <c r="DB47" s="311">
        <f ca="1">IF($BI47&lt;&gt;"",IF('Capacity summary'!$D$14="Yes",IF(COUNTBLANK('Capacity summary'!$H166:$BG166)&lt;52,IF('Capacity summary'!AY166&lt;&gt;"",IF(LOWER('Capacity summary'!AY166)="x",$BI47*AY47,VALUE('Capacity summary'!AY166)),0),AY47*$BI47),AY47*$BI47),0)</f>
        <v>153.84615384615384</v>
      </c>
      <c r="DC47" s="311">
        <f ca="1">IF($BI47&lt;&gt;"",IF('Capacity summary'!$D$14="Yes",IF(COUNTBLANK('Capacity summary'!$H166:$BG166)&lt;52,IF('Capacity summary'!AZ166&lt;&gt;"",IF(LOWER('Capacity summary'!AZ166)="x",$BI47*AZ47,VALUE('Capacity summary'!AZ166)),0),AZ47*$BI47),AZ47*$BI47),0)</f>
        <v>153.84615384615384</v>
      </c>
      <c r="DD47" s="311">
        <f ca="1">IF($BI47&lt;&gt;"",IF('Capacity summary'!$D$14="Yes",IF(COUNTBLANK('Capacity summary'!$H166:$BG166)&lt;52,IF('Capacity summary'!BA166&lt;&gt;"",IF(LOWER('Capacity summary'!BA166)="x",$BI47*BA47,VALUE('Capacity summary'!BA166)),0),BA47*$BI47),BA47*$BI47),0)</f>
        <v>153.84615384615384</v>
      </c>
      <c r="DE47" s="311">
        <f ca="1">IF($BI47&lt;&gt;"",IF('Capacity summary'!$D$14="Yes",IF(COUNTBLANK('Capacity summary'!$H166:$BG166)&lt;52,IF('Capacity summary'!BB166&lt;&gt;"",IF(LOWER('Capacity summary'!BB166)="x",$BI47*BB47,VALUE('Capacity summary'!BB166)),0),BB47*$BI47),BB47*$BI47),0)</f>
        <v>153.84615384615384</v>
      </c>
      <c r="DF47" s="311">
        <f ca="1">IF($BI47&lt;&gt;"",IF('Capacity summary'!$D$14="Yes",IF(COUNTBLANK('Capacity summary'!$H166:$BG166)&lt;52,IF('Capacity summary'!BC166&lt;&gt;"",IF(LOWER('Capacity summary'!BC166)="x",$BI47*BC47,VALUE('Capacity summary'!BC166)),0),BC47*$BI47),BC47*$BI47),0)</f>
        <v>153.84615384615384</v>
      </c>
      <c r="DG47" s="311">
        <f ca="1">IF($BI47&lt;&gt;"",IF('Capacity summary'!$D$14="Yes",IF(COUNTBLANK('Capacity summary'!$H166:$BG166)&lt;52,IF('Capacity summary'!BD166&lt;&gt;"",IF(LOWER('Capacity summary'!BD166)="x",$BI47*BD47,VALUE('Capacity summary'!BD166)),0),BD47*$BI47),BD47*$BI47),0)</f>
        <v>153.84615384615384</v>
      </c>
      <c r="DH47" s="311">
        <f ca="1">IF($BI47&lt;&gt;"",IF('Capacity summary'!$D$14="Yes",IF(COUNTBLANK('Capacity summary'!$H166:$BG166)&lt;52,IF('Capacity summary'!BE166&lt;&gt;"",IF(LOWER('Capacity summary'!BE166)="x",$BI47*BE47,VALUE('Capacity summary'!BE166)),0),BE47*$BI47),BE47*$BI47),0)</f>
        <v>153.84615384615384</v>
      </c>
      <c r="DI47" s="311">
        <f ca="1">IF($BI47&lt;&gt;"",IF('Capacity summary'!$D$14="Yes",IF(COUNTBLANK('Capacity summary'!$H166:$BG166)&lt;52,IF('Capacity summary'!BF166&lt;&gt;"",IF(LOWER('Capacity summary'!BF166)="x",$BI47*BF47,VALUE('Capacity summary'!BF166)),0),BF47*$BI47),BF47*$BI47),0)</f>
        <v>153.84615384615384</v>
      </c>
      <c r="DJ47" s="311">
        <f ca="1">IF($BI47&lt;&gt;"",IF('Capacity summary'!$D$14="Yes",IF(COUNTBLANK('Capacity summary'!$H166:$BG166)&lt;52,IF('Capacity summary'!BG166&lt;&gt;"",IF(LOWER('Capacity summary'!BG166)="x",$BI47*BG47,VALUE('Capacity summary'!BG166)),0),BG47*$BI47),BG47*$BI47),0)</f>
        <v>153.84615384615384</v>
      </c>
      <c r="DK47" s="388">
        <f t="shared" ca="1" si="2"/>
        <v>153.84615384615384</v>
      </c>
      <c r="DL47" s="136">
        <f t="shared" ca="1" si="3"/>
        <v>8000.00000000001</v>
      </c>
      <c r="DM47" s="311">
        <f>Capacity!H59</f>
        <v>8000</v>
      </c>
      <c r="DQ47" s="5"/>
    </row>
    <row r="48" spans="1:121" x14ac:dyDescent="0.2">
      <c r="A48" s="67">
        <f>IF(Capacity!L60='Capacity summary'!BI167,1,0)</f>
        <v>1</v>
      </c>
      <c r="B48" s="67">
        <f>IF(Capacity!V60='Capacity summary'!BI67,1,0)</f>
        <v>1</v>
      </c>
      <c r="C48" s="67" t="str">
        <f>ROW(A44)&amp;". "&amp;Capacity!B60</f>
        <v>44. Slot B</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 ca="1">IF(ROW(C44)&lt;=Capacity!$A$16,IF('Capacity summary'!$D$14="No",SUM(H48:BG48),'Capacity summary'!$E167),0)</f>
        <v>52</v>
      </c>
      <c r="BI48" s="5">
        <f ca="1">IF(BH48&gt;0,IF(BH48&lt;Capacity!E60,Capacity!F60,Capacity!H60/'Capacity calculation (hide)'!BH48),"")</f>
        <v>134.61538461538461</v>
      </c>
      <c r="BK48" s="311">
        <f ca="1">IF($BI48&lt;&gt;"",IF('Capacity summary'!$D$14="Yes",IF(COUNTBLANK('Capacity summary'!$H167:$BG167)&lt;52,IF('Capacity summary'!H167&lt;&gt;"",IF(LOWER('Capacity summary'!H167)="x",$BI48*H48,VALUE('Capacity summary'!H167)),0),H48*$BI48),H48*$BI48),0)</f>
        <v>134.61538461538461</v>
      </c>
      <c r="BL48" s="311">
        <f ca="1">IF($BI48&lt;&gt;"",IF('Capacity summary'!$D$14="Yes",IF(COUNTBLANK('Capacity summary'!$H167:$BG167)&lt;52,IF('Capacity summary'!I167&lt;&gt;"",IF(LOWER('Capacity summary'!I167)="x",$BI48*I48,VALUE('Capacity summary'!I167)),0),I48*$BI48),I48*$BI48),0)</f>
        <v>134.61538461538461</v>
      </c>
      <c r="BM48" s="311">
        <f ca="1">IF($BI48&lt;&gt;"",IF('Capacity summary'!$D$14="Yes",IF(COUNTBLANK('Capacity summary'!$H167:$BG167)&lt;52,IF('Capacity summary'!J167&lt;&gt;"",IF(LOWER('Capacity summary'!J167)="x",$BI48*J48,VALUE('Capacity summary'!J167)),0),J48*$BI48),J48*$BI48),0)</f>
        <v>134.61538461538461</v>
      </c>
      <c r="BN48" s="311">
        <f ca="1">IF($BI48&lt;&gt;"",IF('Capacity summary'!$D$14="Yes",IF(COUNTBLANK('Capacity summary'!$H167:$BG167)&lt;52,IF('Capacity summary'!K167&lt;&gt;"",IF(LOWER('Capacity summary'!K167)="x",$BI48*K48,VALUE('Capacity summary'!K167)),0),K48*$BI48),K48*$BI48),0)</f>
        <v>134.61538461538461</v>
      </c>
      <c r="BO48" s="311">
        <f ca="1">IF($BI48&lt;&gt;"",IF('Capacity summary'!$D$14="Yes",IF(COUNTBLANK('Capacity summary'!$H167:$BG167)&lt;52,IF('Capacity summary'!L167&lt;&gt;"",IF(LOWER('Capacity summary'!L167)="x",$BI48*L48,VALUE('Capacity summary'!L167)),0),L48*$BI48),L48*$BI48),0)</f>
        <v>134.61538461538461</v>
      </c>
      <c r="BP48" s="311">
        <f ca="1">IF($BI48&lt;&gt;"",IF('Capacity summary'!$D$14="Yes",IF(COUNTBLANK('Capacity summary'!$H167:$BG167)&lt;52,IF('Capacity summary'!M167&lt;&gt;"",IF(LOWER('Capacity summary'!M167)="x",$BI48*M48,VALUE('Capacity summary'!M167)),0),M48*$BI48),M48*$BI48),0)</f>
        <v>134.61538461538461</v>
      </c>
      <c r="BQ48" s="311">
        <f ca="1">IF($BI48&lt;&gt;"",IF('Capacity summary'!$D$14="Yes",IF(COUNTBLANK('Capacity summary'!$H167:$BG167)&lt;52,IF('Capacity summary'!N167&lt;&gt;"",IF(LOWER('Capacity summary'!N167)="x",$BI48*N48,VALUE('Capacity summary'!N167)),0),N48*$BI48),N48*$BI48),0)</f>
        <v>134.61538461538461</v>
      </c>
      <c r="BR48" s="311">
        <f ca="1">IF($BI48&lt;&gt;"",IF('Capacity summary'!$D$14="Yes",IF(COUNTBLANK('Capacity summary'!$H167:$BG167)&lt;52,IF('Capacity summary'!O167&lt;&gt;"",IF(LOWER('Capacity summary'!O167)="x",$BI48*O48,VALUE('Capacity summary'!O167)),0),O48*$BI48),O48*$BI48),0)</f>
        <v>134.61538461538461</v>
      </c>
      <c r="BS48" s="311">
        <f ca="1">IF($BI48&lt;&gt;"",IF('Capacity summary'!$D$14="Yes",IF(COUNTBLANK('Capacity summary'!$H167:$BG167)&lt;52,IF('Capacity summary'!P167&lt;&gt;"",IF(LOWER('Capacity summary'!P167)="x",$BI48*P48,VALUE('Capacity summary'!P167)),0),P48*$BI48),P48*$BI48),0)</f>
        <v>134.61538461538461</v>
      </c>
      <c r="BT48" s="311">
        <f ca="1">IF($BI48&lt;&gt;"",IF('Capacity summary'!$D$14="Yes",IF(COUNTBLANK('Capacity summary'!$H167:$BG167)&lt;52,IF('Capacity summary'!Q167&lt;&gt;"",IF(LOWER('Capacity summary'!Q167)="x",$BI48*Q48,VALUE('Capacity summary'!Q167)),0),Q48*$BI48),Q48*$BI48),0)</f>
        <v>134.61538461538461</v>
      </c>
      <c r="BU48" s="311">
        <f ca="1">IF($BI48&lt;&gt;"",IF('Capacity summary'!$D$14="Yes",IF(COUNTBLANK('Capacity summary'!$H167:$BG167)&lt;52,IF('Capacity summary'!R167&lt;&gt;"",IF(LOWER('Capacity summary'!R167)="x",$BI48*R48,VALUE('Capacity summary'!R167)),0),R48*$BI48),R48*$BI48),0)</f>
        <v>134.61538461538461</v>
      </c>
      <c r="BV48" s="311">
        <f ca="1">IF($BI48&lt;&gt;"",IF('Capacity summary'!$D$14="Yes",IF(COUNTBLANK('Capacity summary'!$H167:$BG167)&lt;52,IF('Capacity summary'!S167&lt;&gt;"",IF(LOWER('Capacity summary'!S167)="x",$BI48*S48,VALUE('Capacity summary'!S167)),0),S48*$BI48),S48*$BI48),0)</f>
        <v>134.61538461538461</v>
      </c>
      <c r="BW48" s="311">
        <f ca="1">IF($BI48&lt;&gt;"",IF('Capacity summary'!$D$14="Yes",IF(COUNTBLANK('Capacity summary'!$H167:$BG167)&lt;52,IF('Capacity summary'!T167&lt;&gt;"",IF(LOWER('Capacity summary'!T167)="x",$BI48*T48,VALUE('Capacity summary'!T167)),0),T48*$BI48),T48*$BI48),0)</f>
        <v>134.61538461538461</v>
      </c>
      <c r="BX48" s="311">
        <f ca="1">IF($BI48&lt;&gt;"",IF('Capacity summary'!$D$14="Yes",IF(COUNTBLANK('Capacity summary'!$H167:$BG167)&lt;52,IF('Capacity summary'!U167&lt;&gt;"",IF(LOWER('Capacity summary'!U167)="x",$BI48*U48,VALUE('Capacity summary'!U167)),0),U48*$BI48),U48*$BI48),0)</f>
        <v>134.61538461538461</v>
      </c>
      <c r="BY48" s="311">
        <f ca="1">IF($BI48&lt;&gt;"",IF('Capacity summary'!$D$14="Yes",IF(COUNTBLANK('Capacity summary'!$H167:$BG167)&lt;52,IF('Capacity summary'!V167&lt;&gt;"",IF(LOWER('Capacity summary'!V167)="x",$BI48*V48,VALUE('Capacity summary'!V167)),0),V48*$BI48),V48*$BI48),0)</f>
        <v>134.61538461538461</v>
      </c>
      <c r="BZ48" s="311">
        <f ca="1">IF($BI48&lt;&gt;"",IF('Capacity summary'!$D$14="Yes",IF(COUNTBLANK('Capacity summary'!$H167:$BG167)&lt;52,IF('Capacity summary'!W167&lt;&gt;"",IF(LOWER('Capacity summary'!W167)="x",$BI48*W48,VALUE('Capacity summary'!W167)),0),W48*$BI48),W48*$BI48),0)</f>
        <v>134.61538461538461</v>
      </c>
      <c r="CA48" s="311">
        <f ca="1">IF($BI48&lt;&gt;"",IF('Capacity summary'!$D$14="Yes",IF(COUNTBLANK('Capacity summary'!$H167:$BG167)&lt;52,IF('Capacity summary'!X167&lt;&gt;"",IF(LOWER('Capacity summary'!X167)="x",$BI48*X48,VALUE('Capacity summary'!X167)),0),X48*$BI48),X48*$BI48),0)</f>
        <v>134.61538461538461</v>
      </c>
      <c r="CB48" s="311">
        <f ca="1">IF($BI48&lt;&gt;"",IF('Capacity summary'!$D$14="Yes",IF(COUNTBLANK('Capacity summary'!$H167:$BG167)&lt;52,IF('Capacity summary'!Y167&lt;&gt;"",IF(LOWER('Capacity summary'!Y167)="x",$BI48*Y48,VALUE('Capacity summary'!Y167)),0),Y48*$BI48),Y48*$BI48),0)</f>
        <v>134.61538461538461</v>
      </c>
      <c r="CC48" s="311">
        <f ca="1">IF($BI48&lt;&gt;"",IF('Capacity summary'!$D$14="Yes",IF(COUNTBLANK('Capacity summary'!$H167:$BG167)&lt;52,IF('Capacity summary'!Z167&lt;&gt;"",IF(LOWER('Capacity summary'!Z167)="x",$BI48*Z48,VALUE('Capacity summary'!Z167)),0),Z48*$BI48),Z48*$BI48),0)</f>
        <v>134.61538461538461</v>
      </c>
      <c r="CD48" s="311">
        <f ca="1">IF($BI48&lt;&gt;"",IF('Capacity summary'!$D$14="Yes",IF(COUNTBLANK('Capacity summary'!$H167:$BG167)&lt;52,IF('Capacity summary'!AA167&lt;&gt;"",IF(LOWER('Capacity summary'!AA167)="x",$BI48*AA48,VALUE('Capacity summary'!AA167)),0),AA48*$BI48),AA48*$BI48),0)</f>
        <v>134.61538461538461</v>
      </c>
      <c r="CE48" s="311">
        <f ca="1">IF($BI48&lt;&gt;"",IF('Capacity summary'!$D$14="Yes",IF(COUNTBLANK('Capacity summary'!$H167:$BG167)&lt;52,IF('Capacity summary'!AB167&lt;&gt;"",IF(LOWER('Capacity summary'!AB167)="x",$BI48*AB48,VALUE('Capacity summary'!AB167)),0),AB48*$BI48),AB48*$BI48),0)</f>
        <v>134.61538461538461</v>
      </c>
      <c r="CF48" s="311">
        <f ca="1">IF($BI48&lt;&gt;"",IF('Capacity summary'!$D$14="Yes",IF(COUNTBLANK('Capacity summary'!$H167:$BG167)&lt;52,IF('Capacity summary'!AC167&lt;&gt;"",IF(LOWER('Capacity summary'!AC167)="x",$BI48*AC48,VALUE('Capacity summary'!AC167)),0),AC48*$BI48),AC48*$BI48),0)</f>
        <v>134.61538461538461</v>
      </c>
      <c r="CG48" s="311">
        <f ca="1">IF($BI48&lt;&gt;"",IF('Capacity summary'!$D$14="Yes",IF(COUNTBLANK('Capacity summary'!$H167:$BG167)&lt;52,IF('Capacity summary'!AD167&lt;&gt;"",IF(LOWER('Capacity summary'!AD167)="x",$BI48*AD48,VALUE('Capacity summary'!AD167)),0),AD48*$BI48),AD48*$BI48),0)</f>
        <v>134.61538461538461</v>
      </c>
      <c r="CH48" s="311">
        <f ca="1">IF($BI48&lt;&gt;"",IF('Capacity summary'!$D$14="Yes",IF(COUNTBLANK('Capacity summary'!$H167:$BG167)&lt;52,IF('Capacity summary'!AE167&lt;&gt;"",IF(LOWER('Capacity summary'!AE167)="x",$BI48*AE48,VALUE('Capacity summary'!AE167)),0),AE48*$BI48),AE48*$BI48),0)</f>
        <v>134.61538461538461</v>
      </c>
      <c r="CI48" s="311">
        <f ca="1">IF($BI48&lt;&gt;"",IF('Capacity summary'!$D$14="Yes",IF(COUNTBLANK('Capacity summary'!$H167:$BG167)&lt;52,IF('Capacity summary'!AF167&lt;&gt;"",IF(LOWER('Capacity summary'!AF167)="x",$BI48*AF48,VALUE('Capacity summary'!AF167)),0),AF48*$BI48),AF48*$BI48),0)</f>
        <v>134.61538461538461</v>
      </c>
      <c r="CJ48" s="311">
        <f ca="1">IF($BI48&lt;&gt;"",IF('Capacity summary'!$D$14="Yes",IF(COUNTBLANK('Capacity summary'!$H167:$BG167)&lt;52,IF('Capacity summary'!AG167&lt;&gt;"",IF(LOWER('Capacity summary'!AG167)="x",$BI48*AG48,VALUE('Capacity summary'!AG167)),0),AG48*$BI48),AG48*$BI48),0)</f>
        <v>134.61538461538461</v>
      </c>
      <c r="CK48" s="311">
        <f ca="1">IF($BI48&lt;&gt;"",IF('Capacity summary'!$D$14="Yes",IF(COUNTBLANK('Capacity summary'!$H167:$BG167)&lt;52,IF('Capacity summary'!AH167&lt;&gt;"",IF(LOWER('Capacity summary'!AH167)="x",$BI48*AH48,VALUE('Capacity summary'!AH167)),0),AH48*$BI48),AH48*$BI48),0)</f>
        <v>134.61538461538461</v>
      </c>
      <c r="CL48" s="311">
        <f ca="1">IF($BI48&lt;&gt;"",IF('Capacity summary'!$D$14="Yes",IF(COUNTBLANK('Capacity summary'!$H167:$BG167)&lt;52,IF('Capacity summary'!AI167&lt;&gt;"",IF(LOWER('Capacity summary'!AI167)="x",$BI48*AI48,VALUE('Capacity summary'!AI167)),0),AI48*$BI48),AI48*$BI48),0)</f>
        <v>134.61538461538461</v>
      </c>
      <c r="CM48" s="311">
        <f ca="1">IF($BI48&lt;&gt;"",IF('Capacity summary'!$D$14="Yes",IF(COUNTBLANK('Capacity summary'!$H167:$BG167)&lt;52,IF('Capacity summary'!AJ167&lt;&gt;"",IF(LOWER('Capacity summary'!AJ167)="x",$BI48*AJ48,VALUE('Capacity summary'!AJ167)),0),AJ48*$BI48),AJ48*$BI48),0)</f>
        <v>134.61538461538461</v>
      </c>
      <c r="CN48" s="311">
        <f ca="1">IF($BI48&lt;&gt;"",IF('Capacity summary'!$D$14="Yes",IF(COUNTBLANK('Capacity summary'!$H167:$BG167)&lt;52,IF('Capacity summary'!AK167&lt;&gt;"",IF(LOWER('Capacity summary'!AK167)="x",$BI48*AK48,VALUE('Capacity summary'!AK167)),0),AK48*$BI48),AK48*$BI48),0)</f>
        <v>134.61538461538461</v>
      </c>
      <c r="CO48" s="311">
        <f ca="1">IF($BI48&lt;&gt;"",IF('Capacity summary'!$D$14="Yes",IF(COUNTBLANK('Capacity summary'!$H167:$BG167)&lt;52,IF('Capacity summary'!AL167&lt;&gt;"",IF(LOWER('Capacity summary'!AL167)="x",$BI48*AL48,VALUE('Capacity summary'!AL167)),0),AL48*$BI48),AL48*$BI48),0)</f>
        <v>134.61538461538461</v>
      </c>
      <c r="CP48" s="311">
        <f ca="1">IF($BI48&lt;&gt;"",IF('Capacity summary'!$D$14="Yes",IF(COUNTBLANK('Capacity summary'!$H167:$BG167)&lt;52,IF('Capacity summary'!AM167&lt;&gt;"",IF(LOWER('Capacity summary'!AM167)="x",$BI48*AM48,VALUE('Capacity summary'!AM167)),0),AM48*$BI48),AM48*$BI48),0)</f>
        <v>134.61538461538461</v>
      </c>
      <c r="CQ48" s="311">
        <f ca="1">IF($BI48&lt;&gt;"",IF('Capacity summary'!$D$14="Yes",IF(COUNTBLANK('Capacity summary'!$H167:$BG167)&lt;52,IF('Capacity summary'!AN167&lt;&gt;"",IF(LOWER('Capacity summary'!AN167)="x",$BI48*AN48,VALUE('Capacity summary'!AN167)),0),AN48*$BI48),AN48*$BI48),0)</f>
        <v>134.61538461538461</v>
      </c>
      <c r="CR48" s="311">
        <f ca="1">IF($BI48&lt;&gt;"",IF('Capacity summary'!$D$14="Yes",IF(COUNTBLANK('Capacity summary'!$H167:$BG167)&lt;52,IF('Capacity summary'!AO167&lt;&gt;"",IF(LOWER('Capacity summary'!AO167)="x",$BI48*AO48,VALUE('Capacity summary'!AO167)),0),AO48*$BI48),AO48*$BI48),0)</f>
        <v>134.61538461538461</v>
      </c>
      <c r="CS48" s="311">
        <f ca="1">IF($BI48&lt;&gt;"",IF('Capacity summary'!$D$14="Yes",IF(COUNTBLANK('Capacity summary'!$H167:$BG167)&lt;52,IF('Capacity summary'!AP167&lt;&gt;"",IF(LOWER('Capacity summary'!AP167)="x",$BI48*AP48,VALUE('Capacity summary'!AP167)),0),AP48*$BI48),AP48*$BI48),0)</f>
        <v>134.61538461538461</v>
      </c>
      <c r="CT48" s="311">
        <f ca="1">IF($BI48&lt;&gt;"",IF('Capacity summary'!$D$14="Yes",IF(COUNTBLANK('Capacity summary'!$H167:$BG167)&lt;52,IF('Capacity summary'!AQ167&lt;&gt;"",IF(LOWER('Capacity summary'!AQ167)="x",$BI48*AQ48,VALUE('Capacity summary'!AQ167)),0),AQ48*$BI48),AQ48*$BI48),0)</f>
        <v>134.61538461538461</v>
      </c>
      <c r="CU48" s="311">
        <f ca="1">IF($BI48&lt;&gt;"",IF('Capacity summary'!$D$14="Yes",IF(COUNTBLANK('Capacity summary'!$H167:$BG167)&lt;52,IF('Capacity summary'!AR167&lt;&gt;"",IF(LOWER('Capacity summary'!AR167)="x",$BI48*AR48,VALUE('Capacity summary'!AR167)),0),AR48*$BI48),AR48*$BI48),0)</f>
        <v>134.61538461538461</v>
      </c>
      <c r="CV48" s="311">
        <f ca="1">IF($BI48&lt;&gt;"",IF('Capacity summary'!$D$14="Yes",IF(COUNTBLANK('Capacity summary'!$H167:$BG167)&lt;52,IF('Capacity summary'!AS167&lt;&gt;"",IF(LOWER('Capacity summary'!AS167)="x",$BI48*AS48,VALUE('Capacity summary'!AS167)),0),AS48*$BI48),AS48*$BI48),0)</f>
        <v>134.61538461538461</v>
      </c>
      <c r="CW48" s="311">
        <f ca="1">IF($BI48&lt;&gt;"",IF('Capacity summary'!$D$14="Yes",IF(COUNTBLANK('Capacity summary'!$H167:$BG167)&lt;52,IF('Capacity summary'!AT167&lt;&gt;"",IF(LOWER('Capacity summary'!AT167)="x",$BI48*AT48,VALUE('Capacity summary'!AT167)),0),AT48*$BI48),AT48*$BI48),0)</f>
        <v>134.61538461538461</v>
      </c>
      <c r="CX48" s="311">
        <f ca="1">IF($BI48&lt;&gt;"",IF('Capacity summary'!$D$14="Yes",IF(COUNTBLANK('Capacity summary'!$H167:$BG167)&lt;52,IF('Capacity summary'!AU167&lt;&gt;"",IF(LOWER('Capacity summary'!AU167)="x",$BI48*AU48,VALUE('Capacity summary'!AU167)),0),AU48*$BI48),AU48*$BI48),0)</f>
        <v>134.61538461538461</v>
      </c>
      <c r="CY48" s="311">
        <f ca="1">IF($BI48&lt;&gt;"",IF('Capacity summary'!$D$14="Yes",IF(COUNTBLANK('Capacity summary'!$H167:$BG167)&lt;52,IF('Capacity summary'!AV167&lt;&gt;"",IF(LOWER('Capacity summary'!AV167)="x",$BI48*AV48,VALUE('Capacity summary'!AV167)),0),AV48*$BI48),AV48*$BI48),0)</f>
        <v>134.61538461538461</v>
      </c>
      <c r="CZ48" s="311">
        <f ca="1">IF($BI48&lt;&gt;"",IF('Capacity summary'!$D$14="Yes",IF(COUNTBLANK('Capacity summary'!$H167:$BG167)&lt;52,IF('Capacity summary'!AW167&lt;&gt;"",IF(LOWER('Capacity summary'!AW167)="x",$BI48*AW48,VALUE('Capacity summary'!AW167)),0),AW48*$BI48),AW48*$BI48),0)</f>
        <v>134.61538461538461</v>
      </c>
      <c r="DA48" s="311">
        <f ca="1">IF($BI48&lt;&gt;"",IF('Capacity summary'!$D$14="Yes",IF(COUNTBLANK('Capacity summary'!$H167:$BG167)&lt;52,IF('Capacity summary'!AX167&lt;&gt;"",IF(LOWER('Capacity summary'!AX167)="x",$BI48*AX48,VALUE('Capacity summary'!AX167)),0),AX48*$BI48),AX48*$BI48),0)</f>
        <v>134.61538461538461</v>
      </c>
      <c r="DB48" s="311">
        <f ca="1">IF($BI48&lt;&gt;"",IF('Capacity summary'!$D$14="Yes",IF(COUNTBLANK('Capacity summary'!$H167:$BG167)&lt;52,IF('Capacity summary'!AY167&lt;&gt;"",IF(LOWER('Capacity summary'!AY167)="x",$BI48*AY48,VALUE('Capacity summary'!AY167)),0),AY48*$BI48),AY48*$BI48),0)</f>
        <v>134.61538461538461</v>
      </c>
      <c r="DC48" s="311">
        <f ca="1">IF($BI48&lt;&gt;"",IF('Capacity summary'!$D$14="Yes",IF(COUNTBLANK('Capacity summary'!$H167:$BG167)&lt;52,IF('Capacity summary'!AZ167&lt;&gt;"",IF(LOWER('Capacity summary'!AZ167)="x",$BI48*AZ48,VALUE('Capacity summary'!AZ167)),0),AZ48*$BI48),AZ48*$BI48),0)</f>
        <v>134.61538461538461</v>
      </c>
      <c r="DD48" s="311">
        <f ca="1">IF($BI48&lt;&gt;"",IF('Capacity summary'!$D$14="Yes",IF(COUNTBLANK('Capacity summary'!$H167:$BG167)&lt;52,IF('Capacity summary'!BA167&lt;&gt;"",IF(LOWER('Capacity summary'!BA167)="x",$BI48*BA48,VALUE('Capacity summary'!BA167)),0),BA48*$BI48),BA48*$BI48),0)</f>
        <v>134.61538461538461</v>
      </c>
      <c r="DE48" s="311">
        <f ca="1">IF($BI48&lt;&gt;"",IF('Capacity summary'!$D$14="Yes",IF(COUNTBLANK('Capacity summary'!$H167:$BG167)&lt;52,IF('Capacity summary'!BB167&lt;&gt;"",IF(LOWER('Capacity summary'!BB167)="x",$BI48*BB48,VALUE('Capacity summary'!BB167)),0),BB48*$BI48),BB48*$BI48),0)</f>
        <v>134.61538461538461</v>
      </c>
      <c r="DF48" s="311">
        <f ca="1">IF($BI48&lt;&gt;"",IF('Capacity summary'!$D$14="Yes",IF(COUNTBLANK('Capacity summary'!$H167:$BG167)&lt;52,IF('Capacity summary'!BC167&lt;&gt;"",IF(LOWER('Capacity summary'!BC167)="x",$BI48*BC48,VALUE('Capacity summary'!BC167)),0),BC48*$BI48),BC48*$BI48),0)</f>
        <v>134.61538461538461</v>
      </c>
      <c r="DG48" s="311">
        <f ca="1">IF($BI48&lt;&gt;"",IF('Capacity summary'!$D$14="Yes",IF(COUNTBLANK('Capacity summary'!$H167:$BG167)&lt;52,IF('Capacity summary'!BD167&lt;&gt;"",IF(LOWER('Capacity summary'!BD167)="x",$BI48*BD48,VALUE('Capacity summary'!BD167)),0),BD48*$BI48),BD48*$BI48),0)</f>
        <v>134.61538461538461</v>
      </c>
      <c r="DH48" s="311">
        <f ca="1">IF($BI48&lt;&gt;"",IF('Capacity summary'!$D$14="Yes",IF(COUNTBLANK('Capacity summary'!$H167:$BG167)&lt;52,IF('Capacity summary'!BE167&lt;&gt;"",IF(LOWER('Capacity summary'!BE167)="x",$BI48*BE48,VALUE('Capacity summary'!BE167)),0),BE48*$BI48),BE48*$BI48),0)</f>
        <v>134.61538461538461</v>
      </c>
      <c r="DI48" s="311">
        <f ca="1">IF($BI48&lt;&gt;"",IF('Capacity summary'!$D$14="Yes",IF(COUNTBLANK('Capacity summary'!$H167:$BG167)&lt;52,IF('Capacity summary'!BF167&lt;&gt;"",IF(LOWER('Capacity summary'!BF167)="x",$BI48*BF48,VALUE('Capacity summary'!BF167)),0),BF48*$BI48),BF48*$BI48),0)</f>
        <v>134.61538461538461</v>
      </c>
      <c r="DJ48" s="311">
        <f ca="1">IF($BI48&lt;&gt;"",IF('Capacity summary'!$D$14="Yes",IF(COUNTBLANK('Capacity summary'!$H167:$BG167)&lt;52,IF('Capacity summary'!BG167&lt;&gt;"",IF(LOWER('Capacity summary'!BG167)="x",$BI48*BG48,VALUE('Capacity summary'!BG167)),0),BG48*$BI48),BG48*$BI48),0)</f>
        <v>134.61538461538461</v>
      </c>
      <c r="DK48" s="388">
        <f t="shared" ca="1" si="2"/>
        <v>134.61538461538461</v>
      </c>
      <c r="DL48" s="136">
        <f t="shared" ca="1" si="3"/>
        <v>7000.0000000000045</v>
      </c>
      <c r="DM48" s="311">
        <f>Capacity!H60</f>
        <v>7000</v>
      </c>
      <c r="DQ48" s="5"/>
    </row>
    <row r="49" spans="1:121" x14ac:dyDescent="0.2">
      <c r="A49" s="67">
        <f>IF(Capacity!L61='Capacity summary'!BI168,1,0)</f>
        <v>1</v>
      </c>
      <c r="B49" s="67">
        <f>IF(Capacity!V61='Capacity summary'!BI68,1,0)</f>
        <v>1</v>
      </c>
      <c r="C49" s="67" t="str">
        <f>ROW(A45)&amp;". "&amp;Capacity!B61</f>
        <v>45. Slot A</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 ca="1">IF(ROW(C45)&lt;=Capacity!$A$16,IF('Capacity summary'!$D$14="No",SUM(H49:BG49),'Capacity summary'!$E168),0)</f>
        <v>52</v>
      </c>
      <c r="BI49" s="5">
        <f ca="1">IF(BH49&gt;0,IF(BH49&lt;Capacity!E61,Capacity!F61,Capacity!H61/'Capacity calculation (hide)'!BH49),"")</f>
        <v>70.67307692307692</v>
      </c>
      <c r="BK49" s="311">
        <f ca="1">IF($BI49&lt;&gt;"",IF('Capacity summary'!$D$14="Yes",IF(COUNTBLANK('Capacity summary'!$H168:$BG168)&lt;52,IF('Capacity summary'!H168&lt;&gt;"",IF(LOWER('Capacity summary'!H168)="x",$BI49*H49,VALUE('Capacity summary'!H168)),0),H49*$BI49),H49*$BI49),0)</f>
        <v>70.67307692307692</v>
      </c>
      <c r="BL49" s="311">
        <f ca="1">IF($BI49&lt;&gt;"",IF('Capacity summary'!$D$14="Yes",IF(COUNTBLANK('Capacity summary'!$H168:$BG168)&lt;52,IF('Capacity summary'!I168&lt;&gt;"",IF(LOWER('Capacity summary'!I168)="x",$BI49*I49,VALUE('Capacity summary'!I168)),0),I49*$BI49),I49*$BI49),0)</f>
        <v>70.67307692307692</v>
      </c>
      <c r="BM49" s="311">
        <f ca="1">IF($BI49&lt;&gt;"",IF('Capacity summary'!$D$14="Yes",IF(COUNTBLANK('Capacity summary'!$H168:$BG168)&lt;52,IF('Capacity summary'!J168&lt;&gt;"",IF(LOWER('Capacity summary'!J168)="x",$BI49*J49,VALUE('Capacity summary'!J168)),0),J49*$BI49),J49*$BI49),0)</f>
        <v>70.67307692307692</v>
      </c>
      <c r="BN49" s="311">
        <f ca="1">IF($BI49&lt;&gt;"",IF('Capacity summary'!$D$14="Yes",IF(COUNTBLANK('Capacity summary'!$H168:$BG168)&lt;52,IF('Capacity summary'!K168&lt;&gt;"",IF(LOWER('Capacity summary'!K168)="x",$BI49*K49,VALUE('Capacity summary'!K168)),0),K49*$BI49),K49*$BI49),0)</f>
        <v>70.67307692307692</v>
      </c>
      <c r="BO49" s="311">
        <f ca="1">IF($BI49&lt;&gt;"",IF('Capacity summary'!$D$14="Yes",IF(COUNTBLANK('Capacity summary'!$H168:$BG168)&lt;52,IF('Capacity summary'!L168&lt;&gt;"",IF(LOWER('Capacity summary'!L168)="x",$BI49*L49,VALUE('Capacity summary'!L168)),0),L49*$BI49),L49*$BI49),0)</f>
        <v>70.67307692307692</v>
      </c>
      <c r="BP49" s="311">
        <f ca="1">IF($BI49&lt;&gt;"",IF('Capacity summary'!$D$14="Yes",IF(COUNTBLANK('Capacity summary'!$H168:$BG168)&lt;52,IF('Capacity summary'!M168&lt;&gt;"",IF(LOWER('Capacity summary'!M168)="x",$BI49*M49,VALUE('Capacity summary'!M168)),0),M49*$BI49),M49*$BI49),0)</f>
        <v>70.67307692307692</v>
      </c>
      <c r="BQ49" s="311">
        <f ca="1">IF($BI49&lt;&gt;"",IF('Capacity summary'!$D$14="Yes",IF(COUNTBLANK('Capacity summary'!$H168:$BG168)&lt;52,IF('Capacity summary'!N168&lt;&gt;"",IF(LOWER('Capacity summary'!N168)="x",$BI49*N49,VALUE('Capacity summary'!N168)),0),N49*$BI49),N49*$BI49),0)</f>
        <v>70.67307692307692</v>
      </c>
      <c r="BR49" s="311">
        <f ca="1">IF($BI49&lt;&gt;"",IF('Capacity summary'!$D$14="Yes",IF(COUNTBLANK('Capacity summary'!$H168:$BG168)&lt;52,IF('Capacity summary'!O168&lt;&gt;"",IF(LOWER('Capacity summary'!O168)="x",$BI49*O49,VALUE('Capacity summary'!O168)),0),O49*$BI49),O49*$BI49),0)</f>
        <v>70.67307692307692</v>
      </c>
      <c r="BS49" s="311">
        <f ca="1">IF($BI49&lt;&gt;"",IF('Capacity summary'!$D$14="Yes",IF(COUNTBLANK('Capacity summary'!$H168:$BG168)&lt;52,IF('Capacity summary'!P168&lt;&gt;"",IF(LOWER('Capacity summary'!P168)="x",$BI49*P49,VALUE('Capacity summary'!P168)),0),P49*$BI49),P49*$BI49),0)</f>
        <v>70.67307692307692</v>
      </c>
      <c r="BT49" s="311">
        <f ca="1">IF($BI49&lt;&gt;"",IF('Capacity summary'!$D$14="Yes",IF(COUNTBLANK('Capacity summary'!$H168:$BG168)&lt;52,IF('Capacity summary'!Q168&lt;&gt;"",IF(LOWER('Capacity summary'!Q168)="x",$BI49*Q49,VALUE('Capacity summary'!Q168)),0),Q49*$BI49),Q49*$BI49),0)</f>
        <v>70.67307692307692</v>
      </c>
      <c r="BU49" s="311">
        <f ca="1">IF($BI49&lt;&gt;"",IF('Capacity summary'!$D$14="Yes",IF(COUNTBLANK('Capacity summary'!$H168:$BG168)&lt;52,IF('Capacity summary'!R168&lt;&gt;"",IF(LOWER('Capacity summary'!R168)="x",$BI49*R49,VALUE('Capacity summary'!R168)),0),R49*$BI49),R49*$BI49),0)</f>
        <v>70.67307692307692</v>
      </c>
      <c r="BV49" s="311">
        <f ca="1">IF($BI49&lt;&gt;"",IF('Capacity summary'!$D$14="Yes",IF(COUNTBLANK('Capacity summary'!$H168:$BG168)&lt;52,IF('Capacity summary'!S168&lt;&gt;"",IF(LOWER('Capacity summary'!S168)="x",$BI49*S49,VALUE('Capacity summary'!S168)),0),S49*$BI49),S49*$BI49),0)</f>
        <v>70.67307692307692</v>
      </c>
      <c r="BW49" s="311">
        <f ca="1">IF($BI49&lt;&gt;"",IF('Capacity summary'!$D$14="Yes",IF(COUNTBLANK('Capacity summary'!$H168:$BG168)&lt;52,IF('Capacity summary'!T168&lt;&gt;"",IF(LOWER('Capacity summary'!T168)="x",$BI49*T49,VALUE('Capacity summary'!T168)),0),T49*$BI49),T49*$BI49),0)</f>
        <v>70.67307692307692</v>
      </c>
      <c r="BX49" s="311">
        <f ca="1">IF($BI49&lt;&gt;"",IF('Capacity summary'!$D$14="Yes",IF(COUNTBLANK('Capacity summary'!$H168:$BG168)&lt;52,IF('Capacity summary'!U168&lt;&gt;"",IF(LOWER('Capacity summary'!U168)="x",$BI49*U49,VALUE('Capacity summary'!U168)),0),U49*$BI49),U49*$BI49),0)</f>
        <v>70.67307692307692</v>
      </c>
      <c r="BY49" s="311">
        <f ca="1">IF($BI49&lt;&gt;"",IF('Capacity summary'!$D$14="Yes",IF(COUNTBLANK('Capacity summary'!$H168:$BG168)&lt;52,IF('Capacity summary'!V168&lt;&gt;"",IF(LOWER('Capacity summary'!V168)="x",$BI49*V49,VALUE('Capacity summary'!V168)),0),V49*$BI49),V49*$BI49),0)</f>
        <v>70.67307692307692</v>
      </c>
      <c r="BZ49" s="311">
        <f ca="1">IF($BI49&lt;&gt;"",IF('Capacity summary'!$D$14="Yes",IF(COUNTBLANK('Capacity summary'!$H168:$BG168)&lt;52,IF('Capacity summary'!W168&lt;&gt;"",IF(LOWER('Capacity summary'!W168)="x",$BI49*W49,VALUE('Capacity summary'!W168)),0),W49*$BI49),W49*$BI49),0)</f>
        <v>70.67307692307692</v>
      </c>
      <c r="CA49" s="311">
        <f ca="1">IF($BI49&lt;&gt;"",IF('Capacity summary'!$D$14="Yes",IF(COUNTBLANK('Capacity summary'!$H168:$BG168)&lt;52,IF('Capacity summary'!X168&lt;&gt;"",IF(LOWER('Capacity summary'!X168)="x",$BI49*X49,VALUE('Capacity summary'!X168)),0),X49*$BI49),X49*$BI49),0)</f>
        <v>70.67307692307692</v>
      </c>
      <c r="CB49" s="311">
        <f ca="1">IF($BI49&lt;&gt;"",IF('Capacity summary'!$D$14="Yes",IF(COUNTBLANK('Capacity summary'!$H168:$BG168)&lt;52,IF('Capacity summary'!Y168&lt;&gt;"",IF(LOWER('Capacity summary'!Y168)="x",$BI49*Y49,VALUE('Capacity summary'!Y168)),0),Y49*$BI49),Y49*$BI49),0)</f>
        <v>70.67307692307692</v>
      </c>
      <c r="CC49" s="311">
        <f ca="1">IF($BI49&lt;&gt;"",IF('Capacity summary'!$D$14="Yes",IF(COUNTBLANK('Capacity summary'!$H168:$BG168)&lt;52,IF('Capacity summary'!Z168&lt;&gt;"",IF(LOWER('Capacity summary'!Z168)="x",$BI49*Z49,VALUE('Capacity summary'!Z168)),0),Z49*$BI49),Z49*$BI49),0)</f>
        <v>70.67307692307692</v>
      </c>
      <c r="CD49" s="311">
        <f ca="1">IF($BI49&lt;&gt;"",IF('Capacity summary'!$D$14="Yes",IF(COUNTBLANK('Capacity summary'!$H168:$BG168)&lt;52,IF('Capacity summary'!AA168&lt;&gt;"",IF(LOWER('Capacity summary'!AA168)="x",$BI49*AA49,VALUE('Capacity summary'!AA168)),0),AA49*$BI49),AA49*$BI49),0)</f>
        <v>70.67307692307692</v>
      </c>
      <c r="CE49" s="311">
        <f ca="1">IF($BI49&lt;&gt;"",IF('Capacity summary'!$D$14="Yes",IF(COUNTBLANK('Capacity summary'!$H168:$BG168)&lt;52,IF('Capacity summary'!AB168&lt;&gt;"",IF(LOWER('Capacity summary'!AB168)="x",$BI49*AB49,VALUE('Capacity summary'!AB168)),0),AB49*$BI49),AB49*$BI49),0)</f>
        <v>70.67307692307692</v>
      </c>
      <c r="CF49" s="311">
        <f ca="1">IF($BI49&lt;&gt;"",IF('Capacity summary'!$D$14="Yes",IF(COUNTBLANK('Capacity summary'!$H168:$BG168)&lt;52,IF('Capacity summary'!AC168&lt;&gt;"",IF(LOWER('Capacity summary'!AC168)="x",$BI49*AC49,VALUE('Capacity summary'!AC168)),0),AC49*$BI49),AC49*$BI49),0)</f>
        <v>70.67307692307692</v>
      </c>
      <c r="CG49" s="311">
        <f ca="1">IF($BI49&lt;&gt;"",IF('Capacity summary'!$D$14="Yes",IF(COUNTBLANK('Capacity summary'!$H168:$BG168)&lt;52,IF('Capacity summary'!AD168&lt;&gt;"",IF(LOWER('Capacity summary'!AD168)="x",$BI49*AD49,VALUE('Capacity summary'!AD168)),0),AD49*$BI49),AD49*$BI49),0)</f>
        <v>70.67307692307692</v>
      </c>
      <c r="CH49" s="311">
        <f ca="1">IF($BI49&lt;&gt;"",IF('Capacity summary'!$D$14="Yes",IF(COUNTBLANK('Capacity summary'!$H168:$BG168)&lt;52,IF('Capacity summary'!AE168&lt;&gt;"",IF(LOWER('Capacity summary'!AE168)="x",$BI49*AE49,VALUE('Capacity summary'!AE168)),0),AE49*$BI49),AE49*$BI49),0)</f>
        <v>70.67307692307692</v>
      </c>
      <c r="CI49" s="311">
        <f ca="1">IF($BI49&lt;&gt;"",IF('Capacity summary'!$D$14="Yes",IF(COUNTBLANK('Capacity summary'!$H168:$BG168)&lt;52,IF('Capacity summary'!AF168&lt;&gt;"",IF(LOWER('Capacity summary'!AF168)="x",$BI49*AF49,VALUE('Capacity summary'!AF168)),0),AF49*$BI49),AF49*$BI49),0)</f>
        <v>70.67307692307692</v>
      </c>
      <c r="CJ49" s="311">
        <f ca="1">IF($BI49&lt;&gt;"",IF('Capacity summary'!$D$14="Yes",IF(COUNTBLANK('Capacity summary'!$H168:$BG168)&lt;52,IF('Capacity summary'!AG168&lt;&gt;"",IF(LOWER('Capacity summary'!AG168)="x",$BI49*AG49,VALUE('Capacity summary'!AG168)),0),AG49*$BI49),AG49*$BI49),0)</f>
        <v>70.67307692307692</v>
      </c>
      <c r="CK49" s="311">
        <f ca="1">IF($BI49&lt;&gt;"",IF('Capacity summary'!$D$14="Yes",IF(COUNTBLANK('Capacity summary'!$H168:$BG168)&lt;52,IF('Capacity summary'!AH168&lt;&gt;"",IF(LOWER('Capacity summary'!AH168)="x",$BI49*AH49,VALUE('Capacity summary'!AH168)),0),AH49*$BI49),AH49*$BI49),0)</f>
        <v>70.67307692307692</v>
      </c>
      <c r="CL49" s="311">
        <f ca="1">IF($BI49&lt;&gt;"",IF('Capacity summary'!$D$14="Yes",IF(COUNTBLANK('Capacity summary'!$H168:$BG168)&lt;52,IF('Capacity summary'!AI168&lt;&gt;"",IF(LOWER('Capacity summary'!AI168)="x",$BI49*AI49,VALUE('Capacity summary'!AI168)),0),AI49*$BI49),AI49*$BI49),0)</f>
        <v>70.67307692307692</v>
      </c>
      <c r="CM49" s="311">
        <f ca="1">IF($BI49&lt;&gt;"",IF('Capacity summary'!$D$14="Yes",IF(COUNTBLANK('Capacity summary'!$H168:$BG168)&lt;52,IF('Capacity summary'!AJ168&lt;&gt;"",IF(LOWER('Capacity summary'!AJ168)="x",$BI49*AJ49,VALUE('Capacity summary'!AJ168)),0),AJ49*$BI49),AJ49*$BI49),0)</f>
        <v>70.67307692307692</v>
      </c>
      <c r="CN49" s="311">
        <f ca="1">IF($BI49&lt;&gt;"",IF('Capacity summary'!$D$14="Yes",IF(COUNTBLANK('Capacity summary'!$H168:$BG168)&lt;52,IF('Capacity summary'!AK168&lt;&gt;"",IF(LOWER('Capacity summary'!AK168)="x",$BI49*AK49,VALUE('Capacity summary'!AK168)),0),AK49*$BI49),AK49*$BI49),0)</f>
        <v>70.67307692307692</v>
      </c>
      <c r="CO49" s="311">
        <f ca="1">IF($BI49&lt;&gt;"",IF('Capacity summary'!$D$14="Yes",IF(COUNTBLANK('Capacity summary'!$H168:$BG168)&lt;52,IF('Capacity summary'!AL168&lt;&gt;"",IF(LOWER('Capacity summary'!AL168)="x",$BI49*AL49,VALUE('Capacity summary'!AL168)),0),AL49*$BI49),AL49*$BI49),0)</f>
        <v>70.67307692307692</v>
      </c>
      <c r="CP49" s="311">
        <f ca="1">IF($BI49&lt;&gt;"",IF('Capacity summary'!$D$14="Yes",IF(COUNTBLANK('Capacity summary'!$H168:$BG168)&lt;52,IF('Capacity summary'!AM168&lt;&gt;"",IF(LOWER('Capacity summary'!AM168)="x",$BI49*AM49,VALUE('Capacity summary'!AM168)),0),AM49*$BI49),AM49*$BI49),0)</f>
        <v>70.67307692307692</v>
      </c>
      <c r="CQ49" s="311">
        <f ca="1">IF($BI49&lt;&gt;"",IF('Capacity summary'!$D$14="Yes",IF(COUNTBLANK('Capacity summary'!$H168:$BG168)&lt;52,IF('Capacity summary'!AN168&lt;&gt;"",IF(LOWER('Capacity summary'!AN168)="x",$BI49*AN49,VALUE('Capacity summary'!AN168)),0),AN49*$BI49),AN49*$BI49),0)</f>
        <v>70.67307692307692</v>
      </c>
      <c r="CR49" s="311">
        <f ca="1">IF($BI49&lt;&gt;"",IF('Capacity summary'!$D$14="Yes",IF(COUNTBLANK('Capacity summary'!$H168:$BG168)&lt;52,IF('Capacity summary'!AO168&lt;&gt;"",IF(LOWER('Capacity summary'!AO168)="x",$BI49*AO49,VALUE('Capacity summary'!AO168)),0),AO49*$BI49),AO49*$BI49),0)</f>
        <v>70.67307692307692</v>
      </c>
      <c r="CS49" s="311">
        <f ca="1">IF($BI49&lt;&gt;"",IF('Capacity summary'!$D$14="Yes",IF(COUNTBLANK('Capacity summary'!$H168:$BG168)&lt;52,IF('Capacity summary'!AP168&lt;&gt;"",IF(LOWER('Capacity summary'!AP168)="x",$BI49*AP49,VALUE('Capacity summary'!AP168)),0),AP49*$BI49),AP49*$BI49),0)</f>
        <v>70.67307692307692</v>
      </c>
      <c r="CT49" s="311">
        <f ca="1">IF($BI49&lt;&gt;"",IF('Capacity summary'!$D$14="Yes",IF(COUNTBLANK('Capacity summary'!$H168:$BG168)&lt;52,IF('Capacity summary'!AQ168&lt;&gt;"",IF(LOWER('Capacity summary'!AQ168)="x",$BI49*AQ49,VALUE('Capacity summary'!AQ168)),0),AQ49*$BI49),AQ49*$BI49),0)</f>
        <v>70.67307692307692</v>
      </c>
      <c r="CU49" s="311">
        <f ca="1">IF($BI49&lt;&gt;"",IF('Capacity summary'!$D$14="Yes",IF(COUNTBLANK('Capacity summary'!$H168:$BG168)&lt;52,IF('Capacity summary'!AR168&lt;&gt;"",IF(LOWER('Capacity summary'!AR168)="x",$BI49*AR49,VALUE('Capacity summary'!AR168)),0),AR49*$BI49),AR49*$BI49),0)</f>
        <v>70.67307692307692</v>
      </c>
      <c r="CV49" s="311">
        <f ca="1">IF($BI49&lt;&gt;"",IF('Capacity summary'!$D$14="Yes",IF(COUNTBLANK('Capacity summary'!$H168:$BG168)&lt;52,IF('Capacity summary'!AS168&lt;&gt;"",IF(LOWER('Capacity summary'!AS168)="x",$BI49*AS49,VALUE('Capacity summary'!AS168)),0),AS49*$BI49),AS49*$BI49),0)</f>
        <v>70.67307692307692</v>
      </c>
      <c r="CW49" s="311">
        <f ca="1">IF($BI49&lt;&gt;"",IF('Capacity summary'!$D$14="Yes",IF(COUNTBLANK('Capacity summary'!$H168:$BG168)&lt;52,IF('Capacity summary'!AT168&lt;&gt;"",IF(LOWER('Capacity summary'!AT168)="x",$BI49*AT49,VALUE('Capacity summary'!AT168)),0),AT49*$BI49),AT49*$BI49),0)</f>
        <v>70.67307692307692</v>
      </c>
      <c r="CX49" s="311">
        <f ca="1">IF($BI49&lt;&gt;"",IF('Capacity summary'!$D$14="Yes",IF(COUNTBLANK('Capacity summary'!$H168:$BG168)&lt;52,IF('Capacity summary'!AU168&lt;&gt;"",IF(LOWER('Capacity summary'!AU168)="x",$BI49*AU49,VALUE('Capacity summary'!AU168)),0),AU49*$BI49),AU49*$BI49),0)</f>
        <v>70.67307692307692</v>
      </c>
      <c r="CY49" s="311">
        <f ca="1">IF($BI49&lt;&gt;"",IF('Capacity summary'!$D$14="Yes",IF(COUNTBLANK('Capacity summary'!$H168:$BG168)&lt;52,IF('Capacity summary'!AV168&lt;&gt;"",IF(LOWER('Capacity summary'!AV168)="x",$BI49*AV49,VALUE('Capacity summary'!AV168)),0),AV49*$BI49),AV49*$BI49),0)</f>
        <v>70.67307692307692</v>
      </c>
      <c r="CZ49" s="311">
        <f ca="1">IF($BI49&lt;&gt;"",IF('Capacity summary'!$D$14="Yes",IF(COUNTBLANK('Capacity summary'!$H168:$BG168)&lt;52,IF('Capacity summary'!AW168&lt;&gt;"",IF(LOWER('Capacity summary'!AW168)="x",$BI49*AW49,VALUE('Capacity summary'!AW168)),0),AW49*$BI49),AW49*$BI49),0)</f>
        <v>70.67307692307692</v>
      </c>
      <c r="DA49" s="311">
        <f ca="1">IF($BI49&lt;&gt;"",IF('Capacity summary'!$D$14="Yes",IF(COUNTBLANK('Capacity summary'!$H168:$BG168)&lt;52,IF('Capacity summary'!AX168&lt;&gt;"",IF(LOWER('Capacity summary'!AX168)="x",$BI49*AX49,VALUE('Capacity summary'!AX168)),0),AX49*$BI49),AX49*$BI49),0)</f>
        <v>70.67307692307692</v>
      </c>
      <c r="DB49" s="311">
        <f ca="1">IF($BI49&lt;&gt;"",IF('Capacity summary'!$D$14="Yes",IF(COUNTBLANK('Capacity summary'!$H168:$BG168)&lt;52,IF('Capacity summary'!AY168&lt;&gt;"",IF(LOWER('Capacity summary'!AY168)="x",$BI49*AY49,VALUE('Capacity summary'!AY168)),0),AY49*$BI49),AY49*$BI49),0)</f>
        <v>70.67307692307692</v>
      </c>
      <c r="DC49" s="311">
        <f ca="1">IF($BI49&lt;&gt;"",IF('Capacity summary'!$D$14="Yes",IF(COUNTBLANK('Capacity summary'!$H168:$BG168)&lt;52,IF('Capacity summary'!AZ168&lt;&gt;"",IF(LOWER('Capacity summary'!AZ168)="x",$BI49*AZ49,VALUE('Capacity summary'!AZ168)),0),AZ49*$BI49),AZ49*$BI49),0)</f>
        <v>70.67307692307692</v>
      </c>
      <c r="DD49" s="311">
        <f ca="1">IF($BI49&lt;&gt;"",IF('Capacity summary'!$D$14="Yes",IF(COUNTBLANK('Capacity summary'!$H168:$BG168)&lt;52,IF('Capacity summary'!BA168&lt;&gt;"",IF(LOWER('Capacity summary'!BA168)="x",$BI49*BA49,VALUE('Capacity summary'!BA168)),0),BA49*$BI49),BA49*$BI49),0)</f>
        <v>70.67307692307692</v>
      </c>
      <c r="DE49" s="311">
        <f ca="1">IF($BI49&lt;&gt;"",IF('Capacity summary'!$D$14="Yes",IF(COUNTBLANK('Capacity summary'!$H168:$BG168)&lt;52,IF('Capacity summary'!BB168&lt;&gt;"",IF(LOWER('Capacity summary'!BB168)="x",$BI49*BB49,VALUE('Capacity summary'!BB168)),0),BB49*$BI49),BB49*$BI49),0)</f>
        <v>70.67307692307692</v>
      </c>
      <c r="DF49" s="311">
        <f ca="1">IF($BI49&lt;&gt;"",IF('Capacity summary'!$D$14="Yes",IF(COUNTBLANK('Capacity summary'!$H168:$BG168)&lt;52,IF('Capacity summary'!BC168&lt;&gt;"",IF(LOWER('Capacity summary'!BC168)="x",$BI49*BC49,VALUE('Capacity summary'!BC168)),0),BC49*$BI49),BC49*$BI49),0)</f>
        <v>70.67307692307692</v>
      </c>
      <c r="DG49" s="311">
        <f ca="1">IF($BI49&lt;&gt;"",IF('Capacity summary'!$D$14="Yes",IF(COUNTBLANK('Capacity summary'!$H168:$BG168)&lt;52,IF('Capacity summary'!BD168&lt;&gt;"",IF(LOWER('Capacity summary'!BD168)="x",$BI49*BD49,VALUE('Capacity summary'!BD168)),0),BD49*$BI49),BD49*$BI49),0)</f>
        <v>70.67307692307692</v>
      </c>
      <c r="DH49" s="311">
        <f ca="1">IF($BI49&lt;&gt;"",IF('Capacity summary'!$D$14="Yes",IF(COUNTBLANK('Capacity summary'!$H168:$BG168)&lt;52,IF('Capacity summary'!BE168&lt;&gt;"",IF(LOWER('Capacity summary'!BE168)="x",$BI49*BE49,VALUE('Capacity summary'!BE168)),0),BE49*$BI49),BE49*$BI49),0)</f>
        <v>70.67307692307692</v>
      </c>
      <c r="DI49" s="311">
        <f ca="1">IF($BI49&lt;&gt;"",IF('Capacity summary'!$D$14="Yes",IF(COUNTBLANK('Capacity summary'!$H168:$BG168)&lt;52,IF('Capacity summary'!BF168&lt;&gt;"",IF(LOWER('Capacity summary'!BF168)="x",$BI49*BF49,VALUE('Capacity summary'!BF168)),0),BF49*$BI49),BF49*$BI49),0)</f>
        <v>70.67307692307692</v>
      </c>
      <c r="DJ49" s="311">
        <f ca="1">IF($BI49&lt;&gt;"",IF('Capacity summary'!$D$14="Yes",IF(COUNTBLANK('Capacity summary'!$H168:$BG168)&lt;52,IF('Capacity summary'!BG168&lt;&gt;"",IF(LOWER('Capacity summary'!BG168)="x",$BI49*BG49,VALUE('Capacity summary'!BG168)),0),BG49*$BI49),BG49*$BI49),0)</f>
        <v>70.67307692307692</v>
      </c>
      <c r="DK49" s="388">
        <f t="shared" ca="1" si="2"/>
        <v>70.67307692307692</v>
      </c>
      <c r="DL49" s="136">
        <f t="shared" ca="1" si="3"/>
        <v>3675.0000000000045</v>
      </c>
      <c r="DM49" s="311">
        <f>Capacity!H61</f>
        <v>3675</v>
      </c>
      <c r="DQ49" s="5"/>
    </row>
    <row r="50" spans="1:121" x14ac:dyDescent="0.2">
      <c r="A50" s="67">
        <f>IF(Capacity!L62='Capacity summary'!BI169,1,0)</f>
        <v>1</v>
      </c>
      <c r="B50" s="67">
        <f>IF(Capacity!V62='Capacity summary'!BI69,1,0)</f>
        <v>1</v>
      </c>
      <c r="C50" s="67" t="str">
        <f>ROW(A46)&amp;". "&amp;Capacity!B62</f>
        <v>46. CT Colon</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 ca="1">IF(ROW(C46)&lt;=Capacity!$A$16,IF('Capacity summary'!$D$14="No",SUM(H50:BG50),'Capacity summary'!$E169),0)</f>
        <v>52</v>
      </c>
      <c r="BI50" s="5">
        <f ca="1">IF(BH50&gt;0,IF(BH50&lt;Capacity!E62,Capacity!F62,Capacity!H62/'Capacity calculation (hide)'!BH50),"")</f>
        <v>113.07692307692308</v>
      </c>
      <c r="BK50" s="311">
        <f ca="1">IF($BI50&lt;&gt;"",IF('Capacity summary'!$D$14="Yes",IF(COUNTBLANK('Capacity summary'!$H169:$BG169)&lt;52,IF('Capacity summary'!H169&lt;&gt;"",IF(LOWER('Capacity summary'!H169)="x",$BI50*H50,VALUE('Capacity summary'!H169)),0),H50*$BI50),H50*$BI50),0)</f>
        <v>113.07692307692308</v>
      </c>
      <c r="BL50" s="311">
        <f ca="1">IF($BI50&lt;&gt;"",IF('Capacity summary'!$D$14="Yes",IF(COUNTBLANK('Capacity summary'!$H169:$BG169)&lt;52,IF('Capacity summary'!I169&lt;&gt;"",IF(LOWER('Capacity summary'!I169)="x",$BI50*I50,VALUE('Capacity summary'!I169)),0),I50*$BI50),I50*$BI50),0)</f>
        <v>113.07692307692308</v>
      </c>
      <c r="BM50" s="311">
        <f ca="1">IF($BI50&lt;&gt;"",IF('Capacity summary'!$D$14="Yes",IF(COUNTBLANK('Capacity summary'!$H169:$BG169)&lt;52,IF('Capacity summary'!J169&lt;&gt;"",IF(LOWER('Capacity summary'!J169)="x",$BI50*J50,VALUE('Capacity summary'!J169)),0),J50*$BI50),J50*$BI50),0)</f>
        <v>113.07692307692308</v>
      </c>
      <c r="BN50" s="311">
        <f ca="1">IF($BI50&lt;&gt;"",IF('Capacity summary'!$D$14="Yes",IF(COUNTBLANK('Capacity summary'!$H169:$BG169)&lt;52,IF('Capacity summary'!K169&lt;&gt;"",IF(LOWER('Capacity summary'!K169)="x",$BI50*K50,VALUE('Capacity summary'!K169)),0),K50*$BI50),K50*$BI50),0)</f>
        <v>113.07692307692308</v>
      </c>
      <c r="BO50" s="311">
        <f ca="1">IF($BI50&lt;&gt;"",IF('Capacity summary'!$D$14="Yes",IF(COUNTBLANK('Capacity summary'!$H169:$BG169)&lt;52,IF('Capacity summary'!L169&lt;&gt;"",IF(LOWER('Capacity summary'!L169)="x",$BI50*L50,VALUE('Capacity summary'!L169)),0),L50*$BI50),L50*$BI50),0)</f>
        <v>113.07692307692308</v>
      </c>
      <c r="BP50" s="311">
        <f ca="1">IF($BI50&lt;&gt;"",IF('Capacity summary'!$D$14="Yes",IF(COUNTBLANK('Capacity summary'!$H169:$BG169)&lt;52,IF('Capacity summary'!M169&lt;&gt;"",IF(LOWER('Capacity summary'!M169)="x",$BI50*M50,VALUE('Capacity summary'!M169)),0),M50*$BI50),M50*$BI50),0)</f>
        <v>113.07692307692308</v>
      </c>
      <c r="BQ50" s="311">
        <f ca="1">IF($BI50&lt;&gt;"",IF('Capacity summary'!$D$14="Yes",IF(COUNTBLANK('Capacity summary'!$H169:$BG169)&lt;52,IF('Capacity summary'!N169&lt;&gt;"",IF(LOWER('Capacity summary'!N169)="x",$BI50*N50,VALUE('Capacity summary'!N169)),0),N50*$BI50),N50*$BI50),0)</f>
        <v>113.07692307692308</v>
      </c>
      <c r="BR50" s="311">
        <f ca="1">IF($BI50&lt;&gt;"",IF('Capacity summary'!$D$14="Yes",IF(COUNTBLANK('Capacity summary'!$H169:$BG169)&lt;52,IF('Capacity summary'!O169&lt;&gt;"",IF(LOWER('Capacity summary'!O169)="x",$BI50*O50,VALUE('Capacity summary'!O169)),0),O50*$BI50),O50*$BI50),0)</f>
        <v>113.07692307692308</v>
      </c>
      <c r="BS50" s="311">
        <f ca="1">IF($BI50&lt;&gt;"",IF('Capacity summary'!$D$14="Yes",IF(COUNTBLANK('Capacity summary'!$H169:$BG169)&lt;52,IF('Capacity summary'!P169&lt;&gt;"",IF(LOWER('Capacity summary'!P169)="x",$BI50*P50,VALUE('Capacity summary'!P169)),0),P50*$BI50),P50*$BI50),0)</f>
        <v>113.07692307692308</v>
      </c>
      <c r="BT50" s="311">
        <f ca="1">IF($BI50&lt;&gt;"",IF('Capacity summary'!$D$14="Yes",IF(COUNTBLANK('Capacity summary'!$H169:$BG169)&lt;52,IF('Capacity summary'!Q169&lt;&gt;"",IF(LOWER('Capacity summary'!Q169)="x",$BI50*Q50,VALUE('Capacity summary'!Q169)),0),Q50*$BI50),Q50*$BI50),0)</f>
        <v>113.07692307692308</v>
      </c>
      <c r="BU50" s="311">
        <f ca="1">IF($BI50&lt;&gt;"",IF('Capacity summary'!$D$14="Yes",IF(COUNTBLANK('Capacity summary'!$H169:$BG169)&lt;52,IF('Capacity summary'!R169&lt;&gt;"",IF(LOWER('Capacity summary'!R169)="x",$BI50*R50,VALUE('Capacity summary'!R169)),0),R50*$BI50),R50*$BI50),0)</f>
        <v>113.07692307692308</v>
      </c>
      <c r="BV50" s="311">
        <f ca="1">IF($BI50&lt;&gt;"",IF('Capacity summary'!$D$14="Yes",IF(COUNTBLANK('Capacity summary'!$H169:$BG169)&lt;52,IF('Capacity summary'!S169&lt;&gt;"",IF(LOWER('Capacity summary'!S169)="x",$BI50*S50,VALUE('Capacity summary'!S169)),0),S50*$BI50),S50*$BI50),0)</f>
        <v>113.07692307692308</v>
      </c>
      <c r="BW50" s="311">
        <f ca="1">IF($BI50&lt;&gt;"",IF('Capacity summary'!$D$14="Yes",IF(COUNTBLANK('Capacity summary'!$H169:$BG169)&lt;52,IF('Capacity summary'!T169&lt;&gt;"",IF(LOWER('Capacity summary'!T169)="x",$BI50*T50,VALUE('Capacity summary'!T169)),0),T50*$BI50),T50*$BI50),0)</f>
        <v>113.07692307692308</v>
      </c>
      <c r="BX50" s="311">
        <f ca="1">IF($BI50&lt;&gt;"",IF('Capacity summary'!$D$14="Yes",IF(COUNTBLANK('Capacity summary'!$H169:$BG169)&lt;52,IF('Capacity summary'!U169&lt;&gt;"",IF(LOWER('Capacity summary'!U169)="x",$BI50*U50,VALUE('Capacity summary'!U169)),0),U50*$BI50),U50*$BI50),0)</f>
        <v>113.07692307692308</v>
      </c>
      <c r="BY50" s="311">
        <f ca="1">IF($BI50&lt;&gt;"",IF('Capacity summary'!$D$14="Yes",IF(COUNTBLANK('Capacity summary'!$H169:$BG169)&lt;52,IF('Capacity summary'!V169&lt;&gt;"",IF(LOWER('Capacity summary'!V169)="x",$BI50*V50,VALUE('Capacity summary'!V169)),0),V50*$BI50),V50*$BI50),0)</f>
        <v>113.07692307692308</v>
      </c>
      <c r="BZ50" s="311">
        <f ca="1">IF($BI50&lt;&gt;"",IF('Capacity summary'!$D$14="Yes",IF(COUNTBLANK('Capacity summary'!$H169:$BG169)&lt;52,IF('Capacity summary'!W169&lt;&gt;"",IF(LOWER('Capacity summary'!W169)="x",$BI50*W50,VALUE('Capacity summary'!W169)),0),W50*$BI50),W50*$BI50),0)</f>
        <v>113.07692307692308</v>
      </c>
      <c r="CA50" s="311">
        <f ca="1">IF($BI50&lt;&gt;"",IF('Capacity summary'!$D$14="Yes",IF(COUNTBLANK('Capacity summary'!$H169:$BG169)&lt;52,IF('Capacity summary'!X169&lt;&gt;"",IF(LOWER('Capacity summary'!X169)="x",$BI50*X50,VALUE('Capacity summary'!X169)),0),X50*$BI50),X50*$BI50),0)</f>
        <v>113.07692307692308</v>
      </c>
      <c r="CB50" s="311">
        <f ca="1">IF($BI50&lt;&gt;"",IF('Capacity summary'!$D$14="Yes",IF(COUNTBLANK('Capacity summary'!$H169:$BG169)&lt;52,IF('Capacity summary'!Y169&lt;&gt;"",IF(LOWER('Capacity summary'!Y169)="x",$BI50*Y50,VALUE('Capacity summary'!Y169)),0),Y50*$BI50),Y50*$BI50),0)</f>
        <v>113.07692307692308</v>
      </c>
      <c r="CC50" s="311">
        <f ca="1">IF($BI50&lt;&gt;"",IF('Capacity summary'!$D$14="Yes",IF(COUNTBLANK('Capacity summary'!$H169:$BG169)&lt;52,IF('Capacity summary'!Z169&lt;&gt;"",IF(LOWER('Capacity summary'!Z169)="x",$BI50*Z50,VALUE('Capacity summary'!Z169)),0),Z50*$BI50),Z50*$BI50),0)</f>
        <v>113.07692307692308</v>
      </c>
      <c r="CD50" s="311">
        <f ca="1">IF($BI50&lt;&gt;"",IF('Capacity summary'!$D$14="Yes",IF(COUNTBLANK('Capacity summary'!$H169:$BG169)&lt;52,IF('Capacity summary'!AA169&lt;&gt;"",IF(LOWER('Capacity summary'!AA169)="x",$BI50*AA50,VALUE('Capacity summary'!AA169)),0),AA50*$BI50),AA50*$BI50),0)</f>
        <v>113.07692307692308</v>
      </c>
      <c r="CE50" s="311">
        <f ca="1">IF($BI50&lt;&gt;"",IF('Capacity summary'!$D$14="Yes",IF(COUNTBLANK('Capacity summary'!$H169:$BG169)&lt;52,IF('Capacity summary'!AB169&lt;&gt;"",IF(LOWER('Capacity summary'!AB169)="x",$BI50*AB50,VALUE('Capacity summary'!AB169)),0),AB50*$BI50),AB50*$BI50),0)</f>
        <v>113.07692307692308</v>
      </c>
      <c r="CF50" s="311">
        <f ca="1">IF($BI50&lt;&gt;"",IF('Capacity summary'!$D$14="Yes",IF(COUNTBLANK('Capacity summary'!$H169:$BG169)&lt;52,IF('Capacity summary'!AC169&lt;&gt;"",IF(LOWER('Capacity summary'!AC169)="x",$BI50*AC50,VALUE('Capacity summary'!AC169)),0),AC50*$BI50),AC50*$BI50),0)</f>
        <v>113.07692307692308</v>
      </c>
      <c r="CG50" s="311">
        <f ca="1">IF($BI50&lt;&gt;"",IF('Capacity summary'!$D$14="Yes",IF(COUNTBLANK('Capacity summary'!$H169:$BG169)&lt;52,IF('Capacity summary'!AD169&lt;&gt;"",IF(LOWER('Capacity summary'!AD169)="x",$BI50*AD50,VALUE('Capacity summary'!AD169)),0),AD50*$BI50),AD50*$BI50),0)</f>
        <v>113.07692307692308</v>
      </c>
      <c r="CH50" s="311">
        <f ca="1">IF($BI50&lt;&gt;"",IF('Capacity summary'!$D$14="Yes",IF(COUNTBLANK('Capacity summary'!$H169:$BG169)&lt;52,IF('Capacity summary'!AE169&lt;&gt;"",IF(LOWER('Capacity summary'!AE169)="x",$BI50*AE50,VALUE('Capacity summary'!AE169)),0),AE50*$BI50),AE50*$BI50),0)</f>
        <v>113.07692307692308</v>
      </c>
      <c r="CI50" s="311">
        <f ca="1">IF($BI50&lt;&gt;"",IF('Capacity summary'!$D$14="Yes",IF(COUNTBLANK('Capacity summary'!$H169:$BG169)&lt;52,IF('Capacity summary'!AF169&lt;&gt;"",IF(LOWER('Capacity summary'!AF169)="x",$BI50*AF50,VALUE('Capacity summary'!AF169)),0),AF50*$BI50),AF50*$BI50),0)</f>
        <v>113.07692307692308</v>
      </c>
      <c r="CJ50" s="311">
        <f ca="1">IF($BI50&lt;&gt;"",IF('Capacity summary'!$D$14="Yes",IF(COUNTBLANK('Capacity summary'!$H169:$BG169)&lt;52,IF('Capacity summary'!AG169&lt;&gt;"",IF(LOWER('Capacity summary'!AG169)="x",$BI50*AG50,VALUE('Capacity summary'!AG169)),0),AG50*$BI50),AG50*$BI50),0)</f>
        <v>113.07692307692308</v>
      </c>
      <c r="CK50" s="311">
        <f ca="1">IF($BI50&lt;&gt;"",IF('Capacity summary'!$D$14="Yes",IF(COUNTBLANK('Capacity summary'!$H169:$BG169)&lt;52,IF('Capacity summary'!AH169&lt;&gt;"",IF(LOWER('Capacity summary'!AH169)="x",$BI50*AH50,VALUE('Capacity summary'!AH169)),0),AH50*$BI50),AH50*$BI50),0)</f>
        <v>113.07692307692308</v>
      </c>
      <c r="CL50" s="311">
        <f ca="1">IF($BI50&lt;&gt;"",IF('Capacity summary'!$D$14="Yes",IF(COUNTBLANK('Capacity summary'!$H169:$BG169)&lt;52,IF('Capacity summary'!AI169&lt;&gt;"",IF(LOWER('Capacity summary'!AI169)="x",$BI50*AI50,VALUE('Capacity summary'!AI169)),0),AI50*$BI50),AI50*$BI50),0)</f>
        <v>113.07692307692308</v>
      </c>
      <c r="CM50" s="311">
        <f ca="1">IF($BI50&lt;&gt;"",IF('Capacity summary'!$D$14="Yes",IF(COUNTBLANK('Capacity summary'!$H169:$BG169)&lt;52,IF('Capacity summary'!AJ169&lt;&gt;"",IF(LOWER('Capacity summary'!AJ169)="x",$BI50*AJ50,VALUE('Capacity summary'!AJ169)),0),AJ50*$BI50),AJ50*$BI50),0)</f>
        <v>113.07692307692308</v>
      </c>
      <c r="CN50" s="311">
        <f ca="1">IF($BI50&lt;&gt;"",IF('Capacity summary'!$D$14="Yes",IF(COUNTBLANK('Capacity summary'!$H169:$BG169)&lt;52,IF('Capacity summary'!AK169&lt;&gt;"",IF(LOWER('Capacity summary'!AK169)="x",$BI50*AK50,VALUE('Capacity summary'!AK169)),0),AK50*$BI50),AK50*$BI50),0)</f>
        <v>113.07692307692308</v>
      </c>
      <c r="CO50" s="311">
        <f ca="1">IF($BI50&lt;&gt;"",IF('Capacity summary'!$D$14="Yes",IF(COUNTBLANK('Capacity summary'!$H169:$BG169)&lt;52,IF('Capacity summary'!AL169&lt;&gt;"",IF(LOWER('Capacity summary'!AL169)="x",$BI50*AL50,VALUE('Capacity summary'!AL169)),0),AL50*$BI50),AL50*$BI50),0)</f>
        <v>113.07692307692308</v>
      </c>
      <c r="CP50" s="311">
        <f ca="1">IF($BI50&lt;&gt;"",IF('Capacity summary'!$D$14="Yes",IF(COUNTBLANK('Capacity summary'!$H169:$BG169)&lt;52,IF('Capacity summary'!AM169&lt;&gt;"",IF(LOWER('Capacity summary'!AM169)="x",$BI50*AM50,VALUE('Capacity summary'!AM169)),0),AM50*$BI50),AM50*$BI50),0)</f>
        <v>113.07692307692308</v>
      </c>
      <c r="CQ50" s="311">
        <f ca="1">IF($BI50&lt;&gt;"",IF('Capacity summary'!$D$14="Yes",IF(COUNTBLANK('Capacity summary'!$H169:$BG169)&lt;52,IF('Capacity summary'!AN169&lt;&gt;"",IF(LOWER('Capacity summary'!AN169)="x",$BI50*AN50,VALUE('Capacity summary'!AN169)),0),AN50*$BI50),AN50*$BI50),0)</f>
        <v>113.07692307692308</v>
      </c>
      <c r="CR50" s="311">
        <f ca="1">IF($BI50&lt;&gt;"",IF('Capacity summary'!$D$14="Yes",IF(COUNTBLANK('Capacity summary'!$H169:$BG169)&lt;52,IF('Capacity summary'!AO169&lt;&gt;"",IF(LOWER('Capacity summary'!AO169)="x",$BI50*AO50,VALUE('Capacity summary'!AO169)),0),AO50*$BI50),AO50*$BI50),0)</f>
        <v>113.07692307692308</v>
      </c>
      <c r="CS50" s="311">
        <f ca="1">IF($BI50&lt;&gt;"",IF('Capacity summary'!$D$14="Yes",IF(COUNTBLANK('Capacity summary'!$H169:$BG169)&lt;52,IF('Capacity summary'!AP169&lt;&gt;"",IF(LOWER('Capacity summary'!AP169)="x",$BI50*AP50,VALUE('Capacity summary'!AP169)),0),AP50*$BI50),AP50*$BI50),0)</f>
        <v>113.07692307692308</v>
      </c>
      <c r="CT50" s="311">
        <f ca="1">IF($BI50&lt;&gt;"",IF('Capacity summary'!$D$14="Yes",IF(COUNTBLANK('Capacity summary'!$H169:$BG169)&lt;52,IF('Capacity summary'!AQ169&lt;&gt;"",IF(LOWER('Capacity summary'!AQ169)="x",$BI50*AQ50,VALUE('Capacity summary'!AQ169)),0),AQ50*$BI50),AQ50*$BI50),0)</f>
        <v>113.07692307692308</v>
      </c>
      <c r="CU50" s="311">
        <f ca="1">IF($BI50&lt;&gt;"",IF('Capacity summary'!$D$14="Yes",IF(COUNTBLANK('Capacity summary'!$H169:$BG169)&lt;52,IF('Capacity summary'!AR169&lt;&gt;"",IF(LOWER('Capacity summary'!AR169)="x",$BI50*AR50,VALUE('Capacity summary'!AR169)),0),AR50*$BI50),AR50*$BI50),0)</f>
        <v>113.07692307692308</v>
      </c>
      <c r="CV50" s="311">
        <f ca="1">IF($BI50&lt;&gt;"",IF('Capacity summary'!$D$14="Yes",IF(COUNTBLANK('Capacity summary'!$H169:$BG169)&lt;52,IF('Capacity summary'!AS169&lt;&gt;"",IF(LOWER('Capacity summary'!AS169)="x",$BI50*AS50,VALUE('Capacity summary'!AS169)),0),AS50*$BI50),AS50*$BI50),0)</f>
        <v>113.07692307692308</v>
      </c>
      <c r="CW50" s="311">
        <f ca="1">IF($BI50&lt;&gt;"",IF('Capacity summary'!$D$14="Yes",IF(COUNTBLANK('Capacity summary'!$H169:$BG169)&lt;52,IF('Capacity summary'!AT169&lt;&gt;"",IF(LOWER('Capacity summary'!AT169)="x",$BI50*AT50,VALUE('Capacity summary'!AT169)),0),AT50*$BI50),AT50*$BI50),0)</f>
        <v>113.07692307692308</v>
      </c>
      <c r="CX50" s="311">
        <f ca="1">IF($BI50&lt;&gt;"",IF('Capacity summary'!$D$14="Yes",IF(COUNTBLANK('Capacity summary'!$H169:$BG169)&lt;52,IF('Capacity summary'!AU169&lt;&gt;"",IF(LOWER('Capacity summary'!AU169)="x",$BI50*AU50,VALUE('Capacity summary'!AU169)),0),AU50*$BI50),AU50*$BI50),0)</f>
        <v>113.07692307692308</v>
      </c>
      <c r="CY50" s="311">
        <f ca="1">IF($BI50&lt;&gt;"",IF('Capacity summary'!$D$14="Yes",IF(COUNTBLANK('Capacity summary'!$H169:$BG169)&lt;52,IF('Capacity summary'!AV169&lt;&gt;"",IF(LOWER('Capacity summary'!AV169)="x",$BI50*AV50,VALUE('Capacity summary'!AV169)),0),AV50*$BI50),AV50*$BI50),0)</f>
        <v>113.07692307692308</v>
      </c>
      <c r="CZ50" s="311">
        <f ca="1">IF($BI50&lt;&gt;"",IF('Capacity summary'!$D$14="Yes",IF(COUNTBLANK('Capacity summary'!$H169:$BG169)&lt;52,IF('Capacity summary'!AW169&lt;&gt;"",IF(LOWER('Capacity summary'!AW169)="x",$BI50*AW50,VALUE('Capacity summary'!AW169)),0),AW50*$BI50),AW50*$BI50),0)</f>
        <v>113.07692307692308</v>
      </c>
      <c r="DA50" s="311">
        <f ca="1">IF($BI50&lt;&gt;"",IF('Capacity summary'!$D$14="Yes",IF(COUNTBLANK('Capacity summary'!$H169:$BG169)&lt;52,IF('Capacity summary'!AX169&lt;&gt;"",IF(LOWER('Capacity summary'!AX169)="x",$BI50*AX50,VALUE('Capacity summary'!AX169)),0),AX50*$BI50),AX50*$BI50),0)</f>
        <v>113.07692307692308</v>
      </c>
      <c r="DB50" s="311">
        <f ca="1">IF($BI50&lt;&gt;"",IF('Capacity summary'!$D$14="Yes",IF(COUNTBLANK('Capacity summary'!$H169:$BG169)&lt;52,IF('Capacity summary'!AY169&lt;&gt;"",IF(LOWER('Capacity summary'!AY169)="x",$BI50*AY50,VALUE('Capacity summary'!AY169)),0),AY50*$BI50),AY50*$BI50),0)</f>
        <v>113.07692307692308</v>
      </c>
      <c r="DC50" s="311">
        <f ca="1">IF($BI50&lt;&gt;"",IF('Capacity summary'!$D$14="Yes",IF(COUNTBLANK('Capacity summary'!$H169:$BG169)&lt;52,IF('Capacity summary'!AZ169&lt;&gt;"",IF(LOWER('Capacity summary'!AZ169)="x",$BI50*AZ50,VALUE('Capacity summary'!AZ169)),0),AZ50*$BI50),AZ50*$BI50),0)</f>
        <v>113.07692307692308</v>
      </c>
      <c r="DD50" s="311">
        <f ca="1">IF($BI50&lt;&gt;"",IF('Capacity summary'!$D$14="Yes",IF(COUNTBLANK('Capacity summary'!$H169:$BG169)&lt;52,IF('Capacity summary'!BA169&lt;&gt;"",IF(LOWER('Capacity summary'!BA169)="x",$BI50*BA50,VALUE('Capacity summary'!BA169)),0),BA50*$BI50),BA50*$BI50),0)</f>
        <v>113.07692307692308</v>
      </c>
      <c r="DE50" s="311">
        <f ca="1">IF($BI50&lt;&gt;"",IF('Capacity summary'!$D$14="Yes",IF(COUNTBLANK('Capacity summary'!$H169:$BG169)&lt;52,IF('Capacity summary'!BB169&lt;&gt;"",IF(LOWER('Capacity summary'!BB169)="x",$BI50*BB50,VALUE('Capacity summary'!BB169)),0),BB50*$BI50),BB50*$BI50),0)</f>
        <v>113.07692307692308</v>
      </c>
      <c r="DF50" s="311">
        <f ca="1">IF($BI50&lt;&gt;"",IF('Capacity summary'!$D$14="Yes",IF(COUNTBLANK('Capacity summary'!$H169:$BG169)&lt;52,IF('Capacity summary'!BC169&lt;&gt;"",IF(LOWER('Capacity summary'!BC169)="x",$BI50*BC50,VALUE('Capacity summary'!BC169)),0),BC50*$BI50),BC50*$BI50),0)</f>
        <v>113.07692307692308</v>
      </c>
      <c r="DG50" s="311">
        <f ca="1">IF($BI50&lt;&gt;"",IF('Capacity summary'!$D$14="Yes",IF(COUNTBLANK('Capacity summary'!$H169:$BG169)&lt;52,IF('Capacity summary'!BD169&lt;&gt;"",IF(LOWER('Capacity summary'!BD169)="x",$BI50*BD50,VALUE('Capacity summary'!BD169)),0),BD50*$BI50),BD50*$BI50),0)</f>
        <v>113.07692307692308</v>
      </c>
      <c r="DH50" s="311">
        <f ca="1">IF($BI50&lt;&gt;"",IF('Capacity summary'!$D$14="Yes",IF(COUNTBLANK('Capacity summary'!$H169:$BG169)&lt;52,IF('Capacity summary'!BE169&lt;&gt;"",IF(LOWER('Capacity summary'!BE169)="x",$BI50*BE50,VALUE('Capacity summary'!BE169)),0),BE50*$BI50),BE50*$BI50),0)</f>
        <v>113.07692307692308</v>
      </c>
      <c r="DI50" s="311">
        <f ca="1">IF($BI50&lt;&gt;"",IF('Capacity summary'!$D$14="Yes",IF(COUNTBLANK('Capacity summary'!$H169:$BG169)&lt;52,IF('Capacity summary'!BF169&lt;&gt;"",IF(LOWER('Capacity summary'!BF169)="x",$BI50*BF50,VALUE('Capacity summary'!BF169)),0),BF50*$BI50),BF50*$BI50),0)</f>
        <v>113.07692307692308</v>
      </c>
      <c r="DJ50" s="311">
        <f ca="1">IF($BI50&lt;&gt;"",IF('Capacity summary'!$D$14="Yes",IF(COUNTBLANK('Capacity summary'!$H169:$BG169)&lt;52,IF('Capacity summary'!BG169&lt;&gt;"",IF(LOWER('Capacity summary'!BG169)="x",$BI50*BG50,VALUE('Capacity summary'!BG169)),0),BG50*$BI50),BG50*$BI50),0)</f>
        <v>113.07692307692308</v>
      </c>
      <c r="DK50" s="388">
        <f t="shared" ca="1" si="2"/>
        <v>113.07692307692308</v>
      </c>
      <c r="DL50" s="136">
        <f t="shared" ca="1" si="3"/>
        <v>5879.9999999999936</v>
      </c>
      <c r="DM50" s="311">
        <f>Capacity!H62</f>
        <v>5880</v>
      </c>
      <c r="DQ50" s="5"/>
    </row>
    <row r="51" spans="1:121" x14ac:dyDescent="0.2">
      <c r="A51" s="67">
        <f>IF(Capacity!L63='Capacity summary'!BI170,1,0)</f>
        <v>1</v>
      </c>
      <c r="B51" s="67">
        <f>IF(Capacity!V63='Capacity summary'!BI70,1,0)</f>
        <v>1</v>
      </c>
      <c r="C51" s="67" t="str">
        <f>ROW(A47)&amp;". "&amp;Capacity!B63</f>
        <v>47. 2 ww</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 ca="1">IF(ROW(C47)&lt;=Capacity!$A$16,IF('Capacity summary'!$D$14="No",SUM(H51:BG51),'Capacity summary'!$E170),0)</f>
        <v>52</v>
      </c>
      <c r="BI51" s="5">
        <f ca="1">IF(BH51&gt;0,IF(BH51&lt;Capacity!E63,Capacity!F63,Capacity!H63/'Capacity calculation (hide)'!BH51),"")</f>
        <v>94.230769230769226</v>
      </c>
      <c r="BK51" s="311">
        <f ca="1">IF($BI51&lt;&gt;"",IF('Capacity summary'!$D$14="Yes",IF(COUNTBLANK('Capacity summary'!$H170:$BG170)&lt;52,IF('Capacity summary'!H170&lt;&gt;"",IF(LOWER('Capacity summary'!H170)="x",$BI51*H51,VALUE('Capacity summary'!H170)),0),H51*$BI51),H51*$BI51),0)</f>
        <v>94.230769230769226</v>
      </c>
      <c r="BL51" s="311">
        <f ca="1">IF($BI51&lt;&gt;"",IF('Capacity summary'!$D$14="Yes",IF(COUNTBLANK('Capacity summary'!$H170:$BG170)&lt;52,IF('Capacity summary'!I170&lt;&gt;"",IF(LOWER('Capacity summary'!I170)="x",$BI51*I51,VALUE('Capacity summary'!I170)),0),I51*$BI51),I51*$BI51),0)</f>
        <v>94.230769230769226</v>
      </c>
      <c r="BM51" s="311">
        <f ca="1">IF($BI51&lt;&gt;"",IF('Capacity summary'!$D$14="Yes",IF(COUNTBLANK('Capacity summary'!$H170:$BG170)&lt;52,IF('Capacity summary'!J170&lt;&gt;"",IF(LOWER('Capacity summary'!J170)="x",$BI51*J51,VALUE('Capacity summary'!J170)),0),J51*$BI51),J51*$BI51),0)</f>
        <v>94.230769230769226</v>
      </c>
      <c r="BN51" s="311">
        <f ca="1">IF($BI51&lt;&gt;"",IF('Capacity summary'!$D$14="Yes",IF(COUNTBLANK('Capacity summary'!$H170:$BG170)&lt;52,IF('Capacity summary'!K170&lt;&gt;"",IF(LOWER('Capacity summary'!K170)="x",$BI51*K51,VALUE('Capacity summary'!K170)),0),K51*$BI51),K51*$BI51),0)</f>
        <v>94.230769230769226</v>
      </c>
      <c r="BO51" s="311">
        <f ca="1">IF($BI51&lt;&gt;"",IF('Capacity summary'!$D$14="Yes",IF(COUNTBLANK('Capacity summary'!$H170:$BG170)&lt;52,IF('Capacity summary'!L170&lt;&gt;"",IF(LOWER('Capacity summary'!L170)="x",$BI51*L51,VALUE('Capacity summary'!L170)),0),L51*$BI51),L51*$BI51),0)</f>
        <v>94.230769230769226</v>
      </c>
      <c r="BP51" s="311">
        <f ca="1">IF($BI51&lt;&gt;"",IF('Capacity summary'!$D$14="Yes",IF(COUNTBLANK('Capacity summary'!$H170:$BG170)&lt;52,IF('Capacity summary'!M170&lt;&gt;"",IF(LOWER('Capacity summary'!M170)="x",$BI51*M51,VALUE('Capacity summary'!M170)),0),M51*$BI51),M51*$BI51),0)</f>
        <v>94.230769230769226</v>
      </c>
      <c r="BQ51" s="311">
        <f ca="1">IF($BI51&lt;&gt;"",IF('Capacity summary'!$D$14="Yes",IF(COUNTBLANK('Capacity summary'!$H170:$BG170)&lt;52,IF('Capacity summary'!N170&lt;&gt;"",IF(LOWER('Capacity summary'!N170)="x",$BI51*N51,VALUE('Capacity summary'!N170)),0),N51*$BI51),N51*$BI51),0)</f>
        <v>94.230769230769226</v>
      </c>
      <c r="BR51" s="311">
        <f ca="1">IF($BI51&lt;&gt;"",IF('Capacity summary'!$D$14="Yes",IF(COUNTBLANK('Capacity summary'!$H170:$BG170)&lt;52,IF('Capacity summary'!O170&lt;&gt;"",IF(LOWER('Capacity summary'!O170)="x",$BI51*O51,VALUE('Capacity summary'!O170)),0),O51*$BI51),O51*$BI51),0)</f>
        <v>94.230769230769226</v>
      </c>
      <c r="BS51" s="311">
        <f ca="1">IF($BI51&lt;&gt;"",IF('Capacity summary'!$D$14="Yes",IF(COUNTBLANK('Capacity summary'!$H170:$BG170)&lt;52,IF('Capacity summary'!P170&lt;&gt;"",IF(LOWER('Capacity summary'!P170)="x",$BI51*P51,VALUE('Capacity summary'!P170)),0),P51*$BI51),P51*$BI51),0)</f>
        <v>94.230769230769226</v>
      </c>
      <c r="BT51" s="311">
        <f ca="1">IF($BI51&lt;&gt;"",IF('Capacity summary'!$D$14="Yes",IF(COUNTBLANK('Capacity summary'!$H170:$BG170)&lt;52,IF('Capacity summary'!Q170&lt;&gt;"",IF(LOWER('Capacity summary'!Q170)="x",$BI51*Q51,VALUE('Capacity summary'!Q170)),0),Q51*$BI51),Q51*$BI51),0)</f>
        <v>94.230769230769226</v>
      </c>
      <c r="BU51" s="311">
        <f ca="1">IF($BI51&lt;&gt;"",IF('Capacity summary'!$D$14="Yes",IF(COUNTBLANK('Capacity summary'!$H170:$BG170)&lt;52,IF('Capacity summary'!R170&lt;&gt;"",IF(LOWER('Capacity summary'!R170)="x",$BI51*R51,VALUE('Capacity summary'!R170)),0),R51*$BI51),R51*$BI51),0)</f>
        <v>94.230769230769226</v>
      </c>
      <c r="BV51" s="311">
        <f ca="1">IF($BI51&lt;&gt;"",IF('Capacity summary'!$D$14="Yes",IF(COUNTBLANK('Capacity summary'!$H170:$BG170)&lt;52,IF('Capacity summary'!S170&lt;&gt;"",IF(LOWER('Capacity summary'!S170)="x",$BI51*S51,VALUE('Capacity summary'!S170)),0),S51*$BI51),S51*$BI51),0)</f>
        <v>94.230769230769226</v>
      </c>
      <c r="BW51" s="311">
        <f ca="1">IF($BI51&lt;&gt;"",IF('Capacity summary'!$D$14="Yes",IF(COUNTBLANK('Capacity summary'!$H170:$BG170)&lt;52,IF('Capacity summary'!T170&lt;&gt;"",IF(LOWER('Capacity summary'!T170)="x",$BI51*T51,VALUE('Capacity summary'!T170)),0),T51*$BI51),T51*$BI51),0)</f>
        <v>94.230769230769226</v>
      </c>
      <c r="BX51" s="311">
        <f ca="1">IF($BI51&lt;&gt;"",IF('Capacity summary'!$D$14="Yes",IF(COUNTBLANK('Capacity summary'!$H170:$BG170)&lt;52,IF('Capacity summary'!U170&lt;&gt;"",IF(LOWER('Capacity summary'!U170)="x",$BI51*U51,VALUE('Capacity summary'!U170)),0),U51*$BI51),U51*$BI51),0)</f>
        <v>94.230769230769226</v>
      </c>
      <c r="BY51" s="311">
        <f ca="1">IF($BI51&lt;&gt;"",IF('Capacity summary'!$D$14="Yes",IF(COUNTBLANK('Capacity summary'!$H170:$BG170)&lt;52,IF('Capacity summary'!V170&lt;&gt;"",IF(LOWER('Capacity summary'!V170)="x",$BI51*V51,VALUE('Capacity summary'!V170)),0),V51*$BI51),V51*$BI51),0)</f>
        <v>94.230769230769226</v>
      </c>
      <c r="BZ51" s="311">
        <f ca="1">IF($BI51&lt;&gt;"",IF('Capacity summary'!$D$14="Yes",IF(COUNTBLANK('Capacity summary'!$H170:$BG170)&lt;52,IF('Capacity summary'!W170&lt;&gt;"",IF(LOWER('Capacity summary'!W170)="x",$BI51*W51,VALUE('Capacity summary'!W170)),0),W51*$BI51),W51*$BI51),0)</f>
        <v>94.230769230769226</v>
      </c>
      <c r="CA51" s="311">
        <f ca="1">IF($BI51&lt;&gt;"",IF('Capacity summary'!$D$14="Yes",IF(COUNTBLANK('Capacity summary'!$H170:$BG170)&lt;52,IF('Capacity summary'!X170&lt;&gt;"",IF(LOWER('Capacity summary'!X170)="x",$BI51*X51,VALUE('Capacity summary'!X170)),0),X51*$BI51),X51*$BI51),0)</f>
        <v>94.230769230769226</v>
      </c>
      <c r="CB51" s="311">
        <f ca="1">IF($BI51&lt;&gt;"",IF('Capacity summary'!$D$14="Yes",IF(COUNTBLANK('Capacity summary'!$H170:$BG170)&lt;52,IF('Capacity summary'!Y170&lt;&gt;"",IF(LOWER('Capacity summary'!Y170)="x",$BI51*Y51,VALUE('Capacity summary'!Y170)),0),Y51*$BI51),Y51*$BI51),0)</f>
        <v>94.230769230769226</v>
      </c>
      <c r="CC51" s="311">
        <f ca="1">IF($BI51&lt;&gt;"",IF('Capacity summary'!$D$14="Yes",IF(COUNTBLANK('Capacity summary'!$H170:$BG170)&lt;52,IF('Capacity summary'!Z170&lt;&gt;"",IF(LOWER('Capacity summary'!Z170)="x",$BI51*Z51,VALUE('Capacity summary'!Z170)),0),Z51*$BI51),Z51*$BI51),0)</f>
        <v>94.230769230769226</v>
      </c>
      <c r="CD51" s="311">
        <f ca="1">IF($BI51&lt;&gt;"",IF('Capacity summary'!$D$14="Yes",IF(COUNTBLANK('Capacity summary'!$H170:$BG170)&lt;52,IF('Capacity summary'!AA170&lt;&gt;"",IF(LOWER('Capacity summary'!AA170)="x",$BI51*AA51,VALUE('Capacity summary'!AA170)),0),AA51*$BI51),AA51*$BI51),0)</f>
        <v>94.230769230769226</v>
      </c>
      <c r="CE51" s="311">
        <f ca="1">IF($BI51&lt;&gt;"",IF('Capacity summary'!$D$14="Yes",IF(COUNTBLANK('Capacity summary'!$H170:$BG170)&lt;52,IF('Capacity summary'!AB170&lt;&gt;"",IF(LOWER('Capacity summary'!AB170)="x",$BI51*AB51,VALUE('Capacity summary'!AB170)),0),AB51*$BI51),AB51*$BI51),0)</f>
        <v>94.230769230769226</v>
      </c>
      <c r="CF51" s="311">
        <f ca="1">IF($BI51&lt;&gt;"",IF('Capacity summary'!$D$14="Yes",IF(COUNTBLANK('Capacity summary'!$H170:$BG170)&lt;52,IF('Capacity summary'!AC170&lt;&gt;"",IF(LOWER('Capacity summary'!AC170)="x",$BI51*AC51,VALUE('Capacity summary'!AC170)),0),AC51*$BI51),AC51*$BI51),0)</f>
        <v>94.230769230769226</v>
      </c>
      <c r="CG51" s="311">
        <f ca="1">IF($BI51&lt;&gt;"",IF('Capacity summary'!$D$14="Yes",IF(COUNTBLANK('Capacity summary'!$H170:$BG170)&lt;52,IF('Capacity summary'!AD170&lt;&gt;"",IF(LOWER('Capacity summary'!AD170)="x",$BI51*AD51,VALUE('Capacity summary'!AD170)),0),AD51*$BI51),AD51*$BI51),0)</f>
        <v>94.230769230769226</v>
      </c>
      <c r="CH51" s="311">
        <f ca="1">IF($BI51&lt;&gt;"",IF('Capacity summary'!$D$14="Yes",IF(COUNTBLANK('Capacity summary'!$H170:$BG170)&lt;52,IF('Capacity summary'!AE170&lt;&gt;"",IF(LOWER('Capacity summary'!AE170)="x",$BI51*AE51,VALUE('Capacity summary'!AE170)),0),AE51*$BI51),AE51*$BI51),0)</f>
        <v>94.230769230769226</v>
      </c>
      <c r="CI51" s="311">
        <f ca="1">IF($BI51&lt;&gt;"",IF('Capacity summary'!$D$14="Yes",IF(COUNTBLANK('Capacity summary'!$H170:$BG170)&lt;52,IF('Capacity summary'!AF170&lt;&gt;"",IF(LOWER('Capacity summary'!AF170)="x",$BI51*AF51,VALUE('Capacity summary'!AF170)),0),AF51*$BI51),AF51*$BI51),0)</f>
        <v>94.230769230769226</v>
      </c>
      <c r="CJ51" s="311">
        <f ca="1">IF($BI51&lt;&gt;"",IF('Capacity summary'!$D$14="Yes",IF(COUNTBLANK('Capacity summary'!$H170:$BG170)&lt;52,IF('Capacity summary'!AG170&lt;&gt;"",IF(LOWER('Capacity summary'!AG170)="x",$BI51*AG51,VALUE('Capacity summary'!AG170)),0),AG51*$BI51),AG51*$BI51),0)</f>
        <v>94.230769230769226</v>
      </c>
      <c r="CK51" s="311">
        <f ca="1">IF($BI51&lt;&gt;"",IF('Capacity summary'!$D$14="Yes",IF(COUNTBLANK('Capacity summary'!$H170:$BG170)&lt;52,IF('Capacity summary'!AH170&lt;&gt;"",IF(LOWER('Capacity summary'!AH170)="x",$BI51*AH51,VALUE('Capacity summary'!AH170)),0),AH51*$BI51),AH51*$BI51),0)</f>
        <v>94.230769230769226</v>
      </c>
      <c r="CL51" s="311">
        <f ca="1">IF($BI51&lt;&gt;"",IF('Capacity summary'!$D$14="Yes",IF(COUNTBLANK('Capacity summary'!$H170:$BG170)&lt;52,IF('Capacity summary'!AI170&lt;&gt;"",IF(LOWER('Capacity summary'!AI170)="x",$BI51*AI51,VALUE('Capacity summary'!AI170)),0),AI51*$BI51),AI51*$BI51),0)</f>
        <v>94.230769230769226</v>
      </c>
      <c r="CM51" s="311">
        <f ca="1">IF($BI51&lt;&gt;"",IF('Capacity summary'!$D$14="Yes",IF(COUNTBLANK('Capacity summary'!$H170:$BG170)&lt;52,IF('Capacity summary'!AJ170&lt;&gt;"",IF(LOWER('Capacity summary'!AJ170)="x",$BI51*AJ51,VALUE('Capacity summary'!AJ170)),0),AJ51*$BI51),AJ51*$BI51),0)</f>
        <v>94.230769230769226</v>
      </c>
      <c r="CN51" s="311">
        <f ca="1">IF($BI51&lt;&gt;"",IF('Capacity summary'!$D$14="Yes",IF(COUNTBLANK('Capacity summary'!$H170:$BG170)&lt;52,IF('Capacity summary'!AK170&lt;&gt;"",IF(LOWER('Capacity summary'!AK170)="x",$BI51*AK51,VALUE('Capacity summary'!AK170)),0),AK51*$BI51),AK51*$BI51),0)</f>
        <v>94.230769230769226</v>
      </c>
      <c r="CO51" s="311">
        <f ca="1">IF($BI51&lt;&gt;"",IF('Capacity summary'!$D$14="Yes",IF(COUNTBLANK('Capacity summary'!$H170:$BG170)&lt;52,IF('Capacity summary'!AL170&lt;&gt;"",IF(LOWER('Capacity summary'!AL170)="x",$BI51*AL51,VALUE('Capacity summary'!AL170)),0),AL51*$BI51),AL51*$BI51),0)</f>
        <v>94.230769230769226</v>
      </c>
      <c r="CP51" s="311">
        <f ca="1">IF($BI51&lt;&gt;"",IF('Capacity summary'!$D$14="Yes",IF(COUNTBLANK('Capacity summary'!$H170:$BG170)&lt;52,IF('Capacity summary'!AM170&lt;&gt;"",IF(LOWER('Capacity summary'!AM170)="x",$BI51*AM51,VALUE('Capacity summary'!AM170)),0),AM51*$BI51),AM51*$BI51),0)</f>
        <v>94.230769230769226</v>
      </c>
      <c r="CQ51" s="311">
        <f ca="1">IF($BI51&lt;&gt;"",IF('Capacity summary'!$D$14="Yes",IF(COUNTBLANK('Capacity summary'!$H170:$BG170)&lt;52,IF('Capacity summary'!AN170&lt;&gt;"",IF(LOWER('Capacity summary'!AN170)="x",$BI51*AN51,VALUE('Capacity summary'!AN170)),0),AN51*$BI51),AN51*$BI51),0)</f>
        <v>94.230769230769226</v>
      </c>
      <c r="CR51" s="311">
        <f ca="1">IF($BI51&lt;&gt;"",IF('Capacity summary'!$D$14="Yes",IF(COUNTBLANK('Capacity summary'!$H170:$BG170)&lt;52,IF('Capacity summary'!AO170&lt;&gt;"",IF(LOWER('Capacity summary'!AO170)="x",$BI51*AO51,VALUE('Capacity summary'!AO170)),0),AO51*$BI51),AO51*$BI51),0)</f>
        <v>94.230769230769226</v>
      </c>
      <c r="CS51" s="311">
        <f ca="1">IF($BI51&lt;&gt;"",IF('Capacity summary'!$D$14="Yes",IF(COUNTBLANK('Capacity summary'!$H170:$BG170)&lt;52,IF('Capacity summary'!AP170&lt;&gt;"",IF(LOWER('Capacity summary'!AP170)="x",$BI51*AP51,VALUE('Capacity summary'!AP170)),0),AP51*$BI51),AP51*$BI51),0)</f>
        <v>94.230769230769226</v>
      </c>
      <c r="CT51" s="311">
        <f ca="1">IF($BI51&lt;&gt;"",IF('Capacity summary'!$D$14="Yes",IF(COUNTBLANK('Capacity summary'!$H170:$BG170)&lt;52,IF('Capacity summary'!AQ170&lt;&gt;"",IF(LOWER('Capacity summary'!AQ170)="x",$BI51*AQ51,VALUE('Capacity summary'!AQ170)),0),AQ51*$BI51),AQ51*$BI51),0)</f>
        <v>94.230769230769226</v>
      </c>
      <c r="CU51" s="311">
        <f ca="1">IF($BI51&lt;&gt;"",IF('Capacity summary'!$D$14="Yes",IF(COUNTBLANK('Capacity summary'!$H170:$BG170)&lt;52,IF('Capacity summary'!AR170&lt;&gt;"",IF(LOWER('Capacity summary'!AR170)="x",$BI51*AR51,VALUE('Capacity summary'!AR170)),0),AR51*$BI51),AR51*$BI51),0)</f>
        <v>94.230769230769226</v>
      </c>
      <c r="CV51" s="311">
        <f ca="1">IF($BI51&lt;&gt;"",IF('Capacity summary'!$D$14="Yes",IF(COUNTBLANK('Capacity summary'!$H170:$BG170)&lt;52,IF('Capacity summary'!AS170&lt;&gt;"",IF(LOWER('Capacity summary'!AS170)="x",$BI51*AS51,VALUE('Capacity summary'!AS170)),0),AS51*$BI51),AS51*$BI51),0)</f>
        <v>94.230769230769226</v>
      </c>
      <c r="CW51" s="311">
        <f ca="1">IF($BI51&lt;&gt;"",IF('Capacity summary'!$D$14="Yes",IF(COUNTBLANK('Capacity summary'!$H170:$BG170)&lt;52,IF('Capacity summary'!AT170&lt;&gt;"",IF(LOWER('Capacity summary'!AT170)="x",$BI51*AT51,VALUE('Capacity summary'!AT170)),0),AT51*$BI51),AT51*$BI51),0)</f>
        <v>94.230769230769226</v>
      </c>
      <c r="CX51" s="311">
        <f ca="1">IF($BI51&lt;&gt;"",IF('Capacity summary'!$D$14="Yes",IF(COUNTBLANK('Capacity summary'!$H170:$BG170)&lt;52,IF('Capacity summary'!AU170&lt;&gt;"",IF(LOWER('Capacity summary'!AU170)="x",$BI51*AU51,VALUE('Capacity summary'!AU170)),0),AU51*$BI51),AU51*$BI51),0)</f>
        <v>94.230769230769226</v>
      </c>
      <c r="CY51" s="311">
        <f ca="1">IF($BI51&lt;&gt;"",IF('Capacity summary'!$D$14="Yes",IF(COUNTBLANK('Capacity summary'!$H170:$BG170)&lt;52,IF('Capacity summary'!AV170&lt;&gt;"",IF(LOWER('Capacity summary'!AV170)="x",$BI51*AV51,VALUE('Capacity summary'!AV170)),0),AV51*$BI51),AV51*$BI51),0)</f>
        <v>94.230769230769226</v>
      </c>
      <c r="CZ51" s="311">
        <f ca="1">IF($BI51&lt;&gt;"",IF('Capacity summary'!$D$14="Yes",IF(COUNTBLANK('Capacity summary'!$H170:$BG170)&lt;52,IF('Capacity summary'!AW170&lt;&gt;"",IF(LOWER('Capacity summary'!AW170)="x",$BI51*AW51,VALUE('Capacity summary'!AW170)),0),AW51*$BI51),AW51*$BI51),0)</f>
        <v>94.230769230769226</v>
      </c>
      <c r="DA51" s="311">
        <f ca="1">IF($BI51&lt;&gt;"",IF('Capacity summary'!$D$14="Yes",IF(COUNTBLANK('Capacity summary'!$H170:$BG170)&lt;52,IF('Capacity summary'!AX170&lt;&gt;"",IF(LOWER('Capacity summary'!AX170)="x",$BI51*AX51,VALUE('Capacity summary'!AX170)),0),AX51*$BI51),AX51*$BI51),0)</f>
        <v>94.230769230769226</v>
      </c>
      <c r="DB51" s="311">
        <f ca="1">IF($BI51&lt;&gt;"",IF('Capacity summary'!$D$14="Yes",IF(COUNTBLANK('Capacity summary'!$H170:$BG170)&lt;52,IF('Capacity summary'!AY170&lt;&gt;"",IF(LOWER('Capacity summary'!AY170)="x",$BI51*AY51,VALUE('Capacity summary'!AY170)),0),AY51*$BI51),AY51*$BI51),0)</f>
        <v>94.230769230769226</v>
      </c>
      <c r="DC51" s="311">
        <f ca="1">IF($BI51&lt;&gt;"",IF('Capacity summary'!$D$14="Yes",IF(COUNTBLANK('Capacity summary'!$H170:$BG170)&lt;52,IF('Capacity summary'!AZ170&lt;&gt;"",IF(LOWER('Capacity summary'!AZ170)="x",$BI51*AZ51,VALUE('Capacity summary'!AZ170)),0),AZ51*$BI51),AZ51*$BI51),0)</f>
        <v>94.230769230769226</v>
      </c>
      <c r="DD51" s="311">
        <f ca="1">IF($BI51&lt;&gt;"",IF('Capacity summary'!$D$14="Yes",IF(COUNTBLANK('Capacity summary'!$H170:$BG170)&lt;52,IF('Capacity summary'!BA170&lt;&gt;"",IF(LOWER('Capacity summary'!BA170)="x",$BI51*BA51,VALUE('Capacity summary'!BA170)),0),BA51*$BI51),BA51*$BI51),0)</f>
        <v>94.230769230769226</v>
      </c>
      <c r="DE51" s="311">
        <f ca="1">IF($BI51&lt;&gt;"",IF('Capacity summary'!$D$14="Yes",IF(COUNTBLANK('Capacity summary'!$H170:$BG170)&lt;52,IF('Capacity summary'!BB170&lt;&gt;"",IF(LOWER('Capacity summary'!BB170)="x",$BI51*BB51,VALUE('Capacity summary'!BB170)),0),BB51*$BI51),BB51*$BI51),0)</f>
        <v>94.230769230769226</v>
      </c>
      <c r="DF51" s="311">
        <f ca="1">IF($BI51&lt;&gt;"",IF('Capacity summary'!$D$14="Yes",IF(COUNTBLANK('Capacity summary'!$H170:$BG170)&lt;52,IF('Capacity summary'!BC170&lt;&gt;"",IF(LOWER('Capacity summary'!BC170)="x",$BI51*BC51,VALUE('Capacity summary'!BC170)),0),BC51*$BI51),BC51*$BI51),0)</f>
        <v>94.230769230769226</v>
      </c>
      <c r="DG51" s="311">
        <f ca="1">IF($BI51&lt;&gt;"",IF('Capacity summary'!$D$14="Yes",IF(COUNTBLANK('Capacity summary'!$H170:$BG170)&lt;52,IF('Capacity summary'!BD170&lt;&gt;"",IF(LOWER('Capacity summary'!BD170)="x",$BI51*BD51,VALUE('Capacity summary'!BD170)),0),BD51*$BI51),BD51*$BI51),0)</f>
        <v>94.230769230769226</v>
      </c>
      <c r="DH51" s="311">
        <f ca="1">IF($BI51&lt;&gt;"",IF('Capacity summary'!$D$14="Yes",IF(COUNTBLANK('Capacity summary'!$H170:$BG170)&lt;52,IF('Capacity summary'!BE170&lt;&gt;"",IF(LOWER('Capacity summary'!BE170)="x",$BI51*BE51,VALUE('Capacity summary'!BE170)),0),BE51*$BI51),BE51*$BI51),0)</f>
        <v>94.230769230769226</v>
      </c>
      <c r="DI51" s="311">
        <f ca="1">IF($BI51&lt;&gt;"",IF('Capacity summary'!$D$14="Yes",IF(COUNTBLANK('Capacity summary'!$H170:$BG170)&lt;52,IF('Capacity summary'!BF170&lt;&gt;"",IF(LOWER('Capacity summary'!BF170)="x",$BI51*BF51,VALUE('Capacity summary'!BF170)),0),BF51*$BI51),BF51*$BI51),0)</f>
        <v>94.230769230769226</v>
      </c>
      <c r="DJ51" s="311">
        <f ca="1">IF($BI51&lt;&gt;"",IF('Capacity summary'!$D$14="Yes",IF(COUNTBLANK('Capacity summary'!$H170:$BG170)&lt;52,IF('Capacity summary'!BG170&lt;&gt;"",IF(LOWER('Capacity summary'!BG170)="x",$BI51*BG51,VALUE('Capacity summary'!BG170)),0),BG51*$BI51),BG51*$BI51),0)</f>
        <v>94.230769230769226</v>
      </c>
      <c r="DK51" s="388">
        <f t="shared" ca="1" si="2"/>
        <v>94.230769230769226</v>
      </c>
      <c r="DL51" s="136">
        <f t="shared" ca="1" si="3"/>
        <v>4899.9999999999991</v>
      </c>
      <c r="DM51" s="311">
        <f>Capacity!H63</f>
        <v>4900</v>
      </c>
      <c r="DQ51" s="5"/>
    </row>
    <row r="52" spans="1:121" x14ac:dyDescent="0.2">
      <c r="A52" s="67">
        <f>IF(Capacity!L64='Capacity summary'!BI171,1,0)</f>
        <v>1</v>
      </c>
      <c r="B52" s="67">
        <f>IF(Capacity!V64='Capacity summary'!BI71,1,0)</f>
        <v>1</v>
      </c>
      <c r="C52" s="67" t="str">
        <f>ROW(A48)&amp;". "&amp;Capacity!B64</f>
        <v>48. Slot B</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 ca="1">IF(ROW(C48)&lt;=Capacity!$A$16,IF('Capacity summary'!$D$14="No",SUM(H52:BG52),'Capacity summary'!$E171),0)</f>
        <v>52</v>
      </c>
      <c r="BI52" s="5">
        <f ca="1">IF(BH52&gt;0,IF(BH52&lt;Capacity!E64,Capacity!F64,Capacity!H64/'Capacity calculation (hide)'!BH52),"")</f>
        <v>94.230769230769226</v>
      </c>
      <c r="BK52" s="311">
        <f ca="1">IF($BI52&lt;&gt;"",IF('Capacity summary'!$D$14="Yes",IF(COUNTBLANK('Capacity summary'!$H171:$BG171)&lt;52,IF('Capacity summary'!H171&lt;&gt;"",IF(LOWER('Capacity summary'!H171)="x",$BI52*H52,VALUE('Capacity summary'!H171)),0),H52*$BI52),H52*$BI52),0)</f>
        <v>94.230769230769226</v>
      </c>
      <c r="BL52" s="311">
        <f ca="1">IF($BI52&lt;&gt;"",IF('Capacity summary'!$D$14="Yes",IF(COUNTBLANK('Capacity summary'!$H171:$BG171)&lt;52,IF('Capacity summary'!I171&lt;&gt;"",IF(LOWER('Capacity summary'!I171)="x",$BI52*I52,VALUE('Capacity summary'!I171)),0),I52*$BI52),I52*$BI52),0)</f>
        <v>94.230769230769226</v>
      </c>
      <c r="BM52" s="311">
        <f ca="1">IF($BI52&lt;&gt;"",IF('Capacity summary'!$D$14="Yes",IF(COUNTBLANK('Capacity summary'!$H171:$BG171)&lt;52,IF('Capacity summary'!J171&lt;&gt;"",IF(LOWER('Capacity summary'!J171)="x",$BI52*J52,VALUE('Capacity summary'!J171)),0),J52*$BI52),J52*$BI52),0)</f>
        <v>94.230769230769226</v>
      </c>
      <c r="BN52" s="311">
        <f ca="1">IF($BI52&lt;&gt;"",IF('Capacity summary'!$D$14="Yes",IF(COUNTBLANK('Capacity summary'!$H171:$BG171)&lt;52,IF('Capacity summary'!K171&lt;&gt;"",IF(LOWER('Capacity summary'!K171)="x",$BI52*K52,VALUE('Capacity summary'!K171)),0),K52*$BI52),K52*$BI52),0)</f>
        <v>94.230769230769226</v>
      </c>
      <c r="BO52" s="311">
        <f ca="1">IF($BI52&lt;&gt;"",IF('Capacity summary'!$D$14="Yes",IF(COUNTBLANK('Capacity summary'!$H171:$BG171)&lt;52,IF('Capacity summary'!L171&lt;&gt;"",IF(LOWER('Capacity summary'!L171)="x",$BI52*L52,VALUE('Capacity summary'!L171)),0),L52*$BI52),L52*$BI52),0)</f>
        <v>94.230769230769226</v>
      </c>
      <c r="BP52" s="311">
        <f ca="1">IF($BI52&lt;&gt;"",IF('Capacity summary'!$D$14="Yes",IF(COUNTBLANK('Capacity summary'!$H171:$BG171)&lt;52,IF('Capacity summary'!M171&lt;&gt;"",IF(LOWER('Capacity summary'!M171)="x",$BI52*M52,VALUE('Capacity summary'!M171)),0),M52*$BI52),M52*$BI52),0)</f>
        <v>94.230769230769226</v>
      </c>
      <c r="BQ52" s="311">
        <f ca="1">IF($BI52&lt;&gt;"",IF('Capacity summary'!$D$14="Yes",IF(COUNTBLANK('Capacity summary'!$H171:$BG171)&lt;52,IF('Capacity summary'!N171&lt;&gt;"",IF(LOWER('Capacity summary'!N171)="x",$BI52*N52,VALUE('Capacity summary'!N171)),0),N52*$BI52),N52*$BI52),0)</f>
        <v>94.230769230769226</v>
      </c>
      <c r="BR52" s="311">
        <f ca="1">IF($BI52&lt;&gt;"",IF('Capacity summary'!$D$14="Yes",IF(COUNTBLANK('Capacity summary'!$H171:$BG171)&lt;52,IF('Capacity summary'!O171&lt;&gt;"",IF(LOWER('Capacity summary'!O171)="x",$BI52*O52,VALUE('Capacity summary'!O171)),0),O52*$BI52),O52*$BI52),0)</f>
        <v>94.230769230769226</v>
      </c>
      <c r="BS52" s="311">
        <f ca="1">IF($BI52&lt;&gt;"",IF('Capacity summary'!$D$14="Yes",IF(COUNTBLANK('Capacity summary'!$H171:$BG171)&lt;52,IF('Capacity summary'!P171&lt;&gt;"",IF(LOWER('Capacity summary'!P171)="x",$BI52*P52,VALUE('Capacity summary'!P171)),0),P52*$BI52),P52*$BI52),0)</f>
        <v>94.230769230769226</v>
      </c>
      <c r="BT52" s="311">
        <f ca="1">IF($BI52&lt;&gt;"",IF('Capacity summary'!$D$14="Yes",IF(COUNTBLANK('Capacity summary'!$H171:$BG171)&lt;52,IF('Capacity summary'!Q171&lt;&gt;"",IF(LOWER('Capacity summary'!Q171)="x",$BI52*Q52,VALUE('Capacity summary'!Q171)),0),Q52*$BI52),Q52*$BI52),0)</f>
        <v>94.230769230769226</v>
      </c>
      <c r="BU52" s="311">
        <f ca="1">IF($BI52&lt;&gt;"",IF('Capacity summary'!$D$14="Yes",IF(COUNTBLANK('Capacity summary'!$H171:$BG171)&lt;52,IF('Capacity summary'!R171&lt;&gt;"",IF(LOWER('Capacity summary'!R171)="x",$BI52*R52,VALUE('Capacity summary'!R171)),0),R52*$BI52),R52*$BI52),0)</f>
        <v>94.230769230769226</v>
      </c>
      <c r="BV52" s="311">
        <f ca="1">IF($BI52&lt;&gt;"",IF('Capacity summary'!$D$14="Yes",IF(COUNTBLANK('Capacity summary'!$H171:$BG171)&lt;52,IF('Capacity summary'!S171&lt;&gt;"",IF(LOWER('Capacity summary'!S171)="x",$BI52*S52,VALUE('Capacity summary'!S171)),0),S52*$BI52),S52*$BI52),0)</f>
        <v>94.230769230769226</v>
      </c>
      <c r="BW52" s="311">
        <f ca="1">IF($BI52&lt;&gt;"",IF('Capacity summary'!$D$14="Yes",IF(COUNTBLANK('Capacity summary'!$H171:$BG171)&lt;52,IF('Capacity summary'!T171&lt;&gt;"",IF(LOWER('Capacity summary'!T171)="x",$BI52*T52,VALUE('Capacity summary'!T171)),0),T52*$BI52),T52*$BI52),0)</f>
        <v>94.230769230769226</v>
      </c>
      <c r="BX52" s="311">
        <f ca="1">IF($BI52&lt;&gt;"",IF('Capacity summary'!$D$14="Yes",IF(COUNTBLANK('Capacity summary'!$H171:$BG171)&lt;52,IF('Capacity summary'!U171&lt;&gt;"",IF(LOWER('Capacity summary'!U171)="x",$BI52*U52,VALUE('Capacity summary'!U171)),0),U52*$BI52),U52*$BI52),0)</f>
        <v>94.230769230769226</v>
      </c>
      <c r="BY52" s="311">
        <f ca="1">IF($BI52&lt;&gt;"",IF('Capacity summary'!$D$14="Yes",IF(COUNTBLANK('Capacity summary'!$H171:$BG171)&lt;52,IF('Capacity summary'!V171&lt;&gt;"",IF(LOWER('Capacity summary'!V171)="x",$BI52*V52,VALUE('Capacity summary'!V171)),0),V52*$BI52),V52*$BI52),0)</f>
        <v>94.230769230769226</v>
      </c>
      <c r="BZ52" s="311">
        <f ca="1">IF($BI52&lt;&gt;"",IF('Capacity summary'!$D$14="Yes",IF(COUNTBLANK('Capacity summary'!$H171:$BG171)&lt;52,IF('Capacity summary'!W171&lt;&gt;"",IF(LOWER('Capacity summary'!W171)="x",$BI52*W52,VALUE('Capacity summary'!W171)),0),W52*$BI52),W52*$BI52),0)</f>
        <v>94.230769230769226</v>
      </c>
      <c r="CA52" s="311">
        <f ca="1">IF($BI52&lt;&gt;"",IF('Capacity summary'!$D$14="Yes",IF(COUNTBLANK('Capacity summary'!$H171:$BG171)&lt;52,IF('Capacity summary'!X171&lt;&gt;"",IF(LOWER('Capacity summary'!X171)="x",$BI52*X52,VALUE('Capacity summary'!X171)),0),X52*$BI52),X52*$BI52),0)</f>
        <v>94.230769230769226</v>
      </c>
      <c r="CB52" s="311">
        <f ca="1">IF($BI52&lt;&gt;"",IF('Capacity summary'!$D$14="Yes",IF(COUNTBLANK('Capacity summary'!$H171:$BG171)&lt;52,IF('Capacity summary'!Y171&lt;&gt;"",IF(LOWER('Capacity summary'!Y171)="x",$BI52*Y52,VALUE('Capacity summary'!Y171)),0),Y52*$BI52),Y52*$BI52),0)</f>
        <v>94.230769230769226</v>
      </c>
      <c r="CC52" s="311">
        <f ca="1">IF($BI52&lt;&gt;"",IF('Capacity summary'!$D$14="Yes",IF(COUNTBLANK('Capacity summary'!$H171:$BG171)&lt;52,IF('Capacity summary'!Z171&lt;&gt;"",IF(LOWER('Capacity summary'!Z171)="x",$BI52*Z52,VALUE('Capacity summary'!Z171)),0),Z52*$BI52),Z52*$BI52),0)</f>
        <v>94.230769230769226</v>
      </c>
      <c r="CD52" s="311">
        <f ca="1">IF($BI52&lt;&gt;"",IF('Capacity summary'!$D$14="Yes",IF(COUNTBLANK('Capacity summary'!$H171:$BG171)&lt;52,IF('Capacity summary'!AA171&lt;&gt;"",IF(LOWER('Capacity summary'!AA171)="x",$BI52*AA52,VALUE('Capacity summary'!AA171)),0),AA52*$BI52),AA52*$BI52),0)</f>
        <v>94.230769230769226</v>
      </c>
      <c r="CE52" s="311">
        <f ca="1">IF($BI52&lt;&gt;"",IF('Capacity summary'!$D$14="Yes",IF(COUNTBLANK('Capacity summary'!$H171:$BG171)&lt;52,IF('Capacity summary'!AB171&lt;&gt;"",IF(LOWER('Capacity summary'!AB171)="x",$BI52*AB52,VALUE('Capacity summary'!AB171)),0),AB52*$BI52),AB52*$BI52),0)</f>
        <v>94.230769230769226</v>
      </c>
      <c r="CF52" s="311">
        <f ca="1">IF($BI52&lt;&gt;"",IF('Capacity summary'!$D$14="Yes",IF(COUNTBLANK('Capacity summary'!$H171:$BG171)&lt;52,IF('Capacity summary'!AC171&lt;&gt;"",IF(LOWER('Capacity summary'!AC171)="x",$BI52*AC52,VALUE('Capacity summary'!AC171)),0),AC52*$BI52),AC52*$BI52),0)</f>
        <v>94.230769230769226</v>
      </c>
      <c r="CG52" s="311">
        <f ca="1">IF($BI52&lt;&gt;"",IF('Capacity summary'!$D$14="Yes",IF(COUNTBLANK('Capacity summary'!$H171:$BG171)&lt;52,IF('Capacity summary'!AD171&lt;&gt;"",IF(LOWER('Capacity summary'!AD171)="x",$BI52*AD52,VALUE('Capacity summary'!AD171)),0),AD52*$BI52),AD52*$BI52),0)</f>
        <v>94.230769230769226</v>
      </c>
      <c r="CH52" s="311">
        <f ca="1">IF($BI52&lt;&gt;"",IF('Capacity summary'!$D$14="Yes",IF(COUNTBLANK('Capacity summary'!$H171:$BG171)&lt;52,IF('Capacity summary'!AE171&lt;&gt;"",IF(LOWER('Capacity summary'!AE171)="x",$BI52*AE52,VALUE('Capacity summary'!AE171)),0),AE52*$BI52),AE52*$BI52),0)</f>
        <v>94.230769230769226</v>
      </c>
      <c r="CI52" s="311">
        <f ca="1">IF($BI52&lt;&gt;"",IF('Capacity summary'!$D$14="Yes",IF(COUNTBLANK('Capacity summary'!$H171:$BG171)&lt;52,IF('Capacity summary'!AF171&lt;&gt;"",IF(LOWER('Capacity summary'!AF171)="x",$BI52*AF52,VALUE('Capacity summary'!AF171)),0),AF52*$BI52),AF52*$BI52),0)</f>
        <v>94.230769230769226</v>
      </c>
      <c r="CJ52" s="311">
        <f ca="1">IF($BI52&lt;&gt;"",IF('Capacity summary'!$D$14="Yes",IF(COUNTBLANK('Capacity summary'!$H171:$BG171)&lt;52,IF('Capacity summary'!AG171&lt;&gt;"",IF(LOWER('Capacity summary'!AG171)="x",$BI52*AG52,VALUE('Capacity summary'!AG171)),0),AG52*$BI52),AG52*$BI52),0)</f>
        <v>94.230769230769226</v>
      </c>
      <c r="CK52" s="311">
        <f ca="1">IF($BI52&lt;&gt;"",IF('Capacity summary'!$D$14="Yes",IF(COUNTBLANK('Capacity summary'!$H171:$BG171)&lt;52,IF('Capacity summary'!AH171&lt;&gt;"",IF(LOWER('Capacity summary'!AH171)="x",$BI52*AH52,VALUE('Capacity summary'!AH171)),0),AH52*$BI52),AH52*$BI52),0)</f>
        <v>94.230769230769226</v>
      </c>
      <c r="CL52" s="311">
        <f ca="1">IF($BI52&lt;&gt;"",IF('Capacity summary'!$D$14="Yes",IF(COUNTBLANK('Capacity summary'!$H171:$BG171)&lt;52,IF('Capacity summary'!AI171&lt;&gt;"",IF(LOWER('Capacity summary'!AI171)="x",$BI52*AI52,VALUE('Capacity summary'!AI171)),0),AI52*$BI52),AI52*$BI52),0)</f>
        <v>94.230769230769226</v>
      </c>
      <c r="CM52" s="311">
        <f ca="1">IF($BI52&lt;&gt;"",IF('Capacity summary'!$D$14="Yes",IF(COUNTBLANK('Capacity summary'!$H171:$BG171)&lt;52,IF('Capacity summary'!AJ171&lt;&gt;"",IF(LOWER('Capacity summary'!AJ171)="x",$BI52*AJ52,VALUE('Capacity summary'!AJ171)),0),AJ52*$BI52),AJ52*$BI52),0)</f>
        <v>94.230769230769226</v>
      </c>
      <c r="CN52" s="311">
        <f ca="1">IF($BI52&lt;&gt;"",IF('Capacity summary'!$D$14="Yes",IF(COUNTBLANK('Capacity summary'!$H171:$BG171)&lt;52,IF('Capacity summary'!AK171&lt;&gt;"",IF(LOWER('Capacity summary'!AK171)="x",$BI52*AK52,VALUE('Capacity summary'!AK171)),0),AK52*$BI52),AK52*$BI52),0)</f>
        <v>94.230769230769226</v>
      </c>
      <c r="CO52" s="311">
        <f ca="1">IF($BI52&lt;&gt;"",IF('Capacity summary'!$D$14="Yes",IF(COUNTBLANK('Capacity summary'!$H171:$BG171)&lt;52,IF('Capacity summary'!AL171&lt;&gt;"",IF(LOWER('Capacity summary'!AL171)="x",$BI52*AL52,VALUE('Capacity summary'!AL171)),0),AL52*$BI52),AL52*$BI52),0)</f>
        <v>94.230769230769226</v>
      </c>
      <c r="CP52" s="311">
        <f ca="1">IF($BI52&lt;&gt;"",IF('Capacity summary'!$D$14="Yes",IF(COUNTBLANK('Capacity summary'!$H171:$BG171)&lt;52,IF('Capacity summary'!AM171&lt;&gt;"",IF(LOWER('Capacity summary'!AM171)="x",$BI52*AM52,VALUE('Capacity summary'!AM171)),0),AM52*$BI52),AM52*$BI52),0)</f>
        <v>94.230769230769226</v>
      </c>
      <c r="CQ52" s="311">
        <f ca="1">IF($BI52&lt;&gt;"",IF('Capacity summary'!$D$14="Yes",IF(COUNTBLANK('Capacity summary'!$H171:$BG171)&lt;52,IF('Capacity summary'!AN171&lt;&gt;"",IF(LOWER('Capacity summary'!AN171)="x",$BI52*AN52,VALUE('Capacity summary'!AN171)),0),AN52*$BI52),AN52*$BI52),0)</f>
        <v>94.230769230769226</v>
      </c>
      <c r="CR52" s="311">
        <f ca="1">IF($BI52&lt;&gt;"",IF('Capacity summary'!$D$14="Yes",IF(COUNTBLANK('Capacity summary'!$H171:$BG171)&lt;52,IF('Capacity summary'!AO171&lt;&gt;"",IF(LOWER('Capacity summary'!AO171)="x",$BI52*AO52,VALUE('Capacity summary'!AO171)),0),AO52*$BI52),AO52*$BI52),0)</f>
        <v>94.230769230769226</v>
      </c>
      <c r="CS52" s="311">
        <f ca="1">IF($BI52&lt;&gt;"",IF('Capacity summary'!$D$14="Yes",IF(COUNTBLANK('Capacity summary'!$H171:$BG171)&lt;52,IF('Capacity summary'!AP171&lt;&gt;"",IF(LOWER('Capacity summary'!AP171)="x",$BI52*AP52,VALUE('Capacity summary'!AP171)),0),AP52*$BI52),AP52*$BI52),0)</f>
        <v>94.230769230769226</v>
      </c>
      <c r="CT52" s="311">
        <f ca="1">IF($BI52&lt;&gt;"",IF('Capacity summary'!$D$14="Yes",IF(COUNTBLANK('Capacity summary'!$H171:$BG171)&lt;52,IF('Capacity summary'!AQ171&lt;&gt;"",IF(LOWER('Capacity summary'!AQ171)="x",$BI52*AQ52,VALUE('Capacity summary'!AQ171)),0),AQ52*$BI52),AQ52*$BI52),0)</f>
        <v>94.230769230769226</v>
      </c>
      <c r="CU52" s="311">
        <f ca="1">IF($BI52&lt;&gt;"",IF('Capacity summary'!$D$14="Yes",IF(COUNTBLANK('Capacity summary'!$H171:$BG171)&lt;52,IF('Capacity summary'!AR171&lt;&gt;"",IF(LOWER('Capacity summary'!AR171)="x",$BI52*AR52,VALUE('Capacity summary'!AR171)),0),AR52*$BI52),AR52*$BI52),0)</f>
        <v>94.230769230769226</v>
      </c>
      <c r="CV52" s="311">
        <f ca="1">IF($BI52&lt;&gt;"",IF('Capacity summary'!$D$14="Yes",IF(COUNTBLANK('Capacity summary'!$H171:$BG171)&lt;52,IF('Capacity summary'!AS171&lt;&gt;"",IF(LOWER('Capacity summary'!AS171)="x",$BI52*AS52,VALUE('Capacity summary'!AS171)),0),AS52*$BI52),AS52*$BI52),0)</f>
        <v>94.230769230769226</v>
      </c>
      <c r="CW52" s="311">
        <f ca="1">IF($BI52&lt;&gt;"",IF('Capacity summary'!$D$14="Yes",IF(COUNTBLANK('Capacity summary'!$H171:$BG171)&lt;52,IF('Capacity summary'!AT171&lt;&gt;"",IF(LOWER('Capacity summary'!AT171)="x",$BI52*AT52,VALUE('Capacity summary'!AT171)),0),AT52*$BI52),AT52*$BI52),0)</f>
        <v>94.230769230769226</v>
      </c>
      <c r="CX52" s="311">
        <f ca="1">IF($BI52&lt;&gt;"",IF('Capacity summary'!$D$14="Yes",IF(COUNTBLANK('Capacity summary'!$H171:$BG171)&lt;52,IF('Capacity summary'!AU171&lt;&gt;"",IF(LOWER('Capacity summary'!AU171)="x",$BI52*AU52,VALUE('Capacity summary'!AU171)),0),AU52*$BI52),AU52*$BI52),0)</f>
        <v>94.230769230769226</v>
      </c>
      <c r="CY52" s="311">
        <f ca="1">IF($BI52&lt;&gt;"",IF('Capacity summary'!$D$14="Yes",IF(COUNTBLANK('Capacity summary'!$H171:$BG171)&lt;52,IF('Capacity summary'!AV171&lt;&gt;"",IF(LOWER('Capacity summary'!AV171)="x",$BI52*AV52,VALUE('Capacity summary'!AV171)),0),AV52*$BI52),AV52*$BI52),0)</f>
        <v>94.230769230769226</v>
      </c>
      <c r="CZ52" s="311">
        <f ca="1">IF($BI52&lt;&gt;"",IF('Capacity summary'!$D$14="Yes",IF(COUNTBLANK('Capacity summary'!$H171:$BG171)&lt;52,IF('Capacity summary'!AW171&lt;&gt;"",IF(LOWER('Capacity summary'!AW171)="x",$BI52*AW52,VALUE('Capacity summary'!AW171)),0),AW52*$BI52),AW52*$BI52),0)</f>
        <v>94.230769230769226</v>
      </c>
      <c r="DA52" s="311">
        <f ca="1">IF($BI52&lt;&gt;"",IF('Capacity summary'!$D$14="Yes",IF(COUNTBLANK('Capacity summary'!$H171:$BG171)&lt;52,IF('Capacity summary'!AX171&lt;&gt;"",IF(LOWER('Capacity summary'!AX171)="x",$BI52*AX52,VALUE('Capacity summary'!AX171)),0),AX52*$BI52),AX52*$BI52),0)</f>
        <v>94.230769230769226</v>
      </c>
      <c r="DB52" s="311">
        <f ca="1">IF($BI52&lt;&gt;"",IF('Capacity summary'!$D$14="Yes",IF(COUNTBLANK('Capacity summary'!$H171:$BG171)&lt;52,IF('Capacity summary'!AY171&lt;&gt;"",IF(LOWER('Capacity summary'!AY171)="x",$BI52*AY52,VALUE('Capacity summary'!AY171)),0),AY52*$BI52),AY52*$BI52),0)</f>
        <v>94.230769230769226</v>
      </c>
      <c r="DC52" s="311">
        <f ca="1">IF($BI52&lt;&gt;"",IF('Capacity summary'!$D$14="Yes",IF(COUNTBLANK('Capacity summary'!$H171:$BG171)&lt;52,IF('Capacity summary'!AZ171&lt;&gt;"",IF(LOWER('Capacity summary'!AZ171)="x",$BI52*AZ52,VALUE('Capacity summary'!AZ171)),0),AZ52*$BI52),AZ52*$BI52),0)</f>
        <v>94.230769230769226</v>
      </c>
      <c r="DD52" s="311">
        <f ca="1">IF($BI52&lt;&gt;"",IF('Capacity summary'!$D$14="Yes",IF(COUNTBLANK('Capacity summary'!$H171:$BG171)&lt;52,IF('Capacity summary'!BA171&lt;&gt;"",IF(LOWER('Capacity summary'!BA171)="x",$BI52*BA52,VALUE('Capacity summary'!BA171)),0),BA52*$BI52),BA52*$BI52),0)</f>
        <v>94.230769230769226</v>
      </c>
      <c r="DE52" s="311">
        <f ca="1">IF($BI52&lt;&gt;"",IF('Capacity summary'!$D$14="Yes",IF(COUNTBLANK('Capacity summary'!$H171:$BG171)&lt;52,IF('Capacity summary'!BB171&lt;&gt;"",IF(LOWER('Capacity summary'!BB171)="x",$BI52*BB52,VALUE('Capacity summary'!BB171)),0),BB52*$BI52),BB52*$BI52),0)</f>
        <v>94.230769230769226</v>
      </c>
      <c r="DF52" s="311">
        <f ca="1">IF($BI52&lt;&gt;"",IF('Capacity summary'!$D$14="Yes",IF(COUNTBLANK('Capacity summary'!$H171:$BG171)&lt;52,IF('Capacity summary'!BC171&lt;&gt;"",IF(LOWER('Capacity summary'!BC171)="x",$BI52*BC52,VALUE('Capacity summary'!BC171)),0),BC52*$BI52),BC52*$BI52),0)</f>
        <v>94.230769230769226</v>
      </c>
      <c r="DG52" s="311">
        <f ca="1">IF($BI52&lt;&gt;"",IF('Capacity summary'!$D$14="Yes",IF(COUNTBLANK('Capacity summary'!$H171:$BG171)&lt;52,IF('Capacity summary'!BD171&lt;&gt;"",IF(LOWER('Capacity summary'!BD171)="x",$BI52*BD52,VALUE('Capacity summary'!BD171)),0),BD52*$BI52),BD52*$BI52),0)</f>
        <v>94.230769230769226</v>
      </c>
      <c r="DH52" s="311">
        <f ca="1">IF($BI52&lt;&gt;"",IF('Capacity summary'!$D$14="Yes",IF(COUNTBLANK('Capacity summary'!$H171:$BG171)&lt;52,IF('Capacity summary'!BE171&lt;&gt;"",IF(LOWER('Capacity summary'!BE171)="x",$BI52*BE52,VALUE('Capacity summary'!BE171)),0),BE52*$BI52),BE52*$BI52),0)</f>
        <v>94.230769230769226</v>
      </c>
      <c r="DI52" s="311">
        <f ca="1">IF($BI52&lt;&gt;"",IF('Capacity summary'!$D$14="Yes",IF(COUNTBLANK('Capacity summary'!$H171:$BG171)&lt;52,IF('Capacity summary'!BF171&lt;&gt;"",IF(LOWER('Capacity summary'!BF171)="x",$BI52*BF52,VALUE('Capacity summary'!BF171)),0),BF52*$BI52),BF52*$BI52),0)</f>
        <v>94.230769230769226</v>
      </c>
      <c r="DJ52" s="311">
        <f ca="1">IF($BI52&lt;&gt;"",IF('Capacity summary'!$D$14="Yes",IF(COUNTBLANK('Capacity summary'!$H171:$BG171)&lt;52,IF('Capacity summary'!BG171&lt;&gt;"",IF(LOWER('Capacity summary'!BG171)="x",$BI52*BG52,VALUE('Capacity summary'!BG171)),0),BG52*$BI52),BG52*$BI52),0)</f>
        <v>94.230769230769226</v>
      </c>
      <c r="DK52" s="388">
        <f t="shared" ca="1" si="2"/>
        <v>94.230769230769226</v>
      </c>
      <c r="DL52" s="136">
        <f t="shared" ca="1" si="3"/>
        <v>4899.9999999999991</v>
      </c>
      <c r="DM52" s="311">
        <f>Capacity!H64</f>
        <v>4900</v>
      </c>
      <c r="DQ52" s="5"/>
    </row>
    <row r="53" spans="1:121" x14ac:dyDescent="0.2">
      <c r="A53" s="67">
        <f>IF(Capacity!L65='Capacity summary'!BI172,1,0)</f>
        <v>1</v>
      </c>
      <c r="B53" s="67">
        <f>IF(Capacity!V65='Capacity summary'!BI72,1,0)</f>
        <v>1</v>
      </c>
      <c r="C53" s="67" t="str">
        <f>ROW(A49)&amp;". "&amp;Capacity!B65</f>
        <v>49. Slot A</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 ca="1">IF(ROW(C49)&lt;=Capacity!$A$16,IF('Capacity summary'!$D$14="No",SUM(H53:BG53),'Capacity summary'!$E172),0)</f>
        <v>52</v>
      </c>
      <c r="BI53" s="5">
        <f ca="1">IF(BH53&gt;0,IF(BH53&lt;Capacity!E65,Capacity!F65,Capacity!H65/'Capacity calculation (hide)'!BH53),"")</f>
        <v>153.84615384615384</v>
      </c>
      <c r="BK53" s="311">
        <f ca="1">IF($BI53&lt;&gt;"",IF('Capacity summary'!$D$14="Yes",IF(COUNTBLANK('Capacity summary'!$H172:$BG172)&lt;52,IF('Capacity summary'!H172&lt;&gt;"",IF(LOWER('Capacity summary'!H172)="x",$BI53*H53,VALUE('Capacity summary'!H172)),0),H53*$BI53),H53*$BI53),0)</f>
        <v>153.84615384615384</v>
      </c>
      <c r="BL53" s="311">
        <f ca="1">IF($BI53&lt;&gt;"",IF('Capacity summary'!$D$14="Yes",IF(COUNTBLANK('Capacity summary'!$H172:$BG172)&lt;52,IF('Capacity summary'!I172&lt;&gt;"",IF(LOWER('Capacity summary'!I172)="x",$BI53*I53,VALUE('Capacity summary'!I172)),0),I53*$BI53),I53*$BI53),0)</f>
        <v>153.84615384615384</v>
      </c>
      <c r="BM53" s="311">
        <f ca="1">IF($BI53&lt;&gt;"",IF('Capacity summary'!$D$14="Yes",IF(COUNTBLANK('Capacity summary'!$H172:$BG172)&lt;52,IF('Capacity summary'!J172&lt;&gt;"",IF(LOWER('Capacity summary'!J172)="x",$BI53*J53,VALUE('Capacity summary'!J172)),0),J53*$BI53),J53*$BI53),0)</f>
        <v>153.84615384615384</v>
      </c>
      <c r="BN53" s="311">
        <f ca="1">IF($BI53&lt;&gt;"",IF('Capacity summary'!$D$14="Yes",IF(COUNTBLANK('Capacity summary'!$H172:$BG172)&lt;52,IF('Capacity summary'!K172&lt;&gt;"",IF(LOWER('Capacity summary'!K172)="x",$BI53*K53,VALUE('Capacity summary'!K172)),0),K53*$BI53),K53*$BI53),0)</f>
        <v>153.84615384615384</v>
      </c>
      <c r="BO53" s="311">
        <f ca="1">IF($BI53&lt;&gt;"",IF('Capacity summary'!$D$14="Yes",IF(COUNTBLANK('Capacity summary'!$H172:$BG172)&lt;52,IF('Capacity summary'!L172&lt;&gt;"",IF(LOWER('Capacity summary'!L172)="x",$BI53*L53,VALUE('Capacity summary'!L172)),0),L53*$BI53),L53*$BI53),0)</f>
        <v>153.84615384615384</v>
      </c>
      <c r="BP53" s="311">
        <f ca="1">IF($BI53&lt;&gt;"",IF('Capacity summary'!$D$14="Yes",IF(COUNTBLANK('Capacity summary'!$H172:$BG172)&lt;52,IF('Capacity summary'!M172&lt;&gt;"",IF(LOWER('Capacity summary'!M172)="x",$BI53*M53,VALUE('Capacity summary'!M172)),0),M53*$BI53),M53*$BI53),0)</f>
        <v>153.84615384615384</v>
      </c>
      <c r="BQ53" s="311">
        <f ca="1">IF($BI53&lt;&gt;"",IF('Capacity summary'!$D$14="Yes",IF(COUNTBLANK('Capacity summary'!$H172:$BG172)&lt;52,IF('Capacity summary'!N172&lt;&gt;"",IF(LOWER('Capacity summary'!N172)="x",$BI53*N53,VALUE('Capacity summary'!N172)),0),N53*$BI53),N53*$BI53),0)</f>
        <v>153.84615384615384</v>
      </c>
      <c r="BR53" s="311">
        <f ca="1">IF($BI53&lt;&gt;"",IF('Capacity summary'!$D$14="Yes",IF(COUNTBLANK('Capacity summary'!$H172:$BG172)&lt;52,IF('Capacity summary'!O172&lt;&gt;"",IF(LOWER('Capacity summary'!O172)="x",$BI53*O53,VALUE('Capacity summary'!O172)),0),O53*$BI53),O53*$BI53),0)</f>
        <v>153.84615384615384</v>
      </c>
      <c r="BS53" s="311">
        <f ca="1">IF($BI53&lt;&gt;"",IF('Capacity summary'!$D$14="Yes",IF(COUNTBLANK('Capacity summary'!$H172:$BG172)&lt;52,IF('Capacity summary'!P172&lt;&gt;"",IF(LOWER('Capacity summary'!P172)="x",$BI53*P53,VALUE('Capacity summary'!P172)),0),P53*$BI53),P53*$BI53),0)</f>
        <v>153.84615384615384</v>
      </c>
      <c r="BT53" s="311">
        <f ca="1">IF($BI53&lt;&gt;"",IF('Capacity summary'!$D$14="Yes",IF(COUNTBLANK('Capacity summary'!$H172:$BG172)&lt;52,IF('Capacity summary'!Q172&lt;&gt;"",IF(LOWER('Capacity summary'!Q172)="x",$BI53*Q53,VALUE('Capacity summary'!Q172)),0),Q53*$BI53),Q53*$BI53),0)</f>
        <v>153.84615384615384</v>
      </c>
      <c r="BU53" s="311">
        <f ca="1">IF($BI53&lt;&gt;"",IF('Capacity summary'!$D$14="Yes",IF(COUNTBLANK('Capacity summary'!$H172:$BG172)&lt;52,IF('Capacity summary'!R172&lt;&gt;"",IF(LOWER('Capacity summary'!R172)="x",$BI53*R53,VALUE('Capacity summary'!R172)),0),R53*$BI53),R53*$BI53),0)</f>
        <v>153.84615384615384</v>
      </c>
      <c r="BV53" s="311">
        <f ca="1">IF($BI53&lt;&gt;"",IF('Capacity summary'!$D$14="Yes",IF(COUNTBLANK('Capacity summary'!$H172:$BG172)&lt;52,IF('Capacity summary'!S172&lt;&gt;"",IF(LOWER('Capacity summary'!S172)="x",$BI53*S53,VALUE('Capacity summary'!S172)),0),S53*$BI53),S53*$BI53),0)</f>
        <v>153.84615384615384</v>
      </c>
      <c r="BW53" s="311">
        <f ca="1">IF($BI53&lt;&gt;"",IF('Capacity summary'!$D$14="Yes",IF(COUNTBLANK('Capacity summary'!$H172:$BG172)&lt;52,IF('Capacity summary'!T172&lt;&gt;"",IF(LOWER('Capacity summary'!T172)="x",$BI53*T53,VALUE('Capacity summary'!T172)),0),T53*$BI53),T53*$BI53),0)</f>
        <v>153.84615384615384</v>
      </c>
      <c r="BX53" s="311">
        <f ca="1">IF($BI53&lt;&gt;"",IF('Capacity summary'!$D$14="Yes",IF(COUNTBLANK('Capacity summary'!$H172:$BG172)&lt;52,IF('Capacity summary'!U172&lt;&gt;"",IF(LOWER('Capacity summary'!U172)="x",$BI53*U53,VALUE('Capacity summary'!U172)),0),U53*$BI53),U53*$BI53),0)</f>
        <v>153.84615384615384</v>
      </c>
      <c r="BY53" s="311">
        <f ca="1">IF($BI53&lt;&gt;"",IF('Capacity summary'!$D$14="Yes",IF(COUNTBLANK('Capacity summary'!$H172:$BG172)&lt;52,IF('Capacity summary'!V172&lt;&gt;"",IF(LOWER('Capacity summary'!V172)="x",$BI53*V53,VALUE('Capacity summary'!V172)),0),V53*$BI53),V53*$BI53),0)</f>
        <v>153.84615384615384</v>
      </c>
      <c r="BZ53" s="311">
        <f ca="1">IF($BI53&lt;&gt;"",IF('Capacity summary'!$D$14="Yes",IF(COUNTBLANK('Capacity summary'!$H172:$BG172)&lt;52,IF('Capacity summary'!W172&lt;&gt;"",IF(LOWER('Capacity summary'!W172)="x",$BI53*W53,VALUE('Capacity summary'!W172)),0),W53*$BI53),W53*$BI53),0)</f>
        <v>153.84615384615384</v>
      </c>
      <c r="CA53" s="311">
        <f ca="1">IF($BI53&lt;&gt;"",IF('Capacity summary'!$D$14="Yes",IF(COUNTBLANK('Capacity summary'!$H172:$BG172)&lt;52,IF('Capacity summary'!X172&lt;&gt;"",IF(LOWER('Capacity summary'!X172)="x",$BI53*X53,VALUE('Capacity summary'!X172)),0),X53*$BI53),X53*$BI53),0)</f>
        <v>153.84615384615384</v>
      </c>
      <c r="CB53" s="311">
        <f ca="1">IF($BI53&lt;&gt;"",IF('Capacity summary'!$D$14="Yes",IF(COUNTBLANK('Capacity summary'!$H172:$BG172)&lt;52,IF('Capacity summary'!Y172&lt;&gt;"",IF(LOWER('Capacity summary'!Y172)="x",$BI53*Y53,VALUE('Capacity summary'!Y172)),0),Y53*$BI53),Y53*$BI53),0)</f>
        <v>153.84615384615384</v>
      </c>
      <c r="CC53" s="311">
        <f ca="1">IF($BI53&lt;&gt;"",IF('Capacity summary'!$D$14="Yes",IF(COUNTBLANK('Capacity summary'!$H172:$BG172)&lt;52,IF('Capacity summary'!Z172&lt;&gt;"",IF(LOWER('Capacity summary'!Z172)="x",$BI53*Z53,VALUE('Capacity summary'!Z172)),0),Z53*$BI53),Z53*$BI53),0)</f>
        <v>153.84615384615384</v>
      </c>
      <c r="CD53" s="311">
        <f ca="1">IF($BI53&lt;&gt;"",IF('Capacity summary'!$D$14="Yes",IF(COUNTBLANK('Capacity summary'!$H172:$BG172)&lt;52,IF('Capacity summary'!AA172&lt;&gt;"",IF(LOWER('Capacity summary'!AA172)="x",$BI53*AA53,VALUE('Capacity summary'!AA172)),0),AA53*$BI53),AA53*$BI53),0)</f>
        <v>153.84615384615384</v>
      </c>
      <c r="CE53" s="311">
        <f ca="1">IF($BI53&lt;&gt;"",IF('Capacity summary'!$D$14="Yes",IF(COUNTBLANK('Capacity summary'!$H172:$BG172)&lt;52,IF('Capacity summary'!AB172&lt;&gt;"",IF(LOWER('Capacity summary'!AB172)="x",$BI53*AB53,VALUE('Capacity summary'!AB172)),0),AB53*$BI53),AB53*$BI53),0)</f>
        <v>153.84615384615384</v>
      </c>
      <c r="CF53" s="311">
        <f ca="1">IF($BI53&lt;&gt;"",IF('Capacity summary'!$D$14="Yes",IF(COUNTBLANK('Capacity summary'!$H172:$BG172)&lt;52,IF('Capacity summary'!AC172&lt;&gt;"",IF(LOWER('Capacity summary'!AC172)="x",$BI53*AC53,VALUE('Capacity summary'!AC172)),0),AC53*$BI53),AC53*$BI53),0)</f>
        <v>153.84615384615384</v>
      </c>
      <c r="CG53" s="311">
        <f ca="1">IF($BI53&lt;&gt;"",IF('Capacity summary'!$D$14="Yes",IF(COUNTBLANK('Capacity summary'!$H172:$BG172)&lt;52,IF('Capacity summary'!AD172&lt;&gt;"",IF(LOWER('Capacity summary'!AD172)="x",$BI53*AD53,VALUE('Capacity summary'!AD172)),0),AD53*$BI53),AD53*$BI53),0)</f>
        <v>153.84615384615384</v>
      </c>
      <c r="CH53" s="311">
        <f ca="1">IF($BI53&lt;&gt;"",IF('Capacity summary'!$D$14="Yes",IF(COUNTBLANK('Capacity summary'!$H172:$BG172)&lt;52,IF('Capacity summary'!AE172&lt;&gt;"",IF(LOWER('Capacity summary'!AE172)="x",$BI53*AE53,VALUE('Capacity summary'!AE172)),0),AE53*$BI53),AE53*$BI53),0)</f>
        <v>153.84615384615384</v>
      </c>
      <c r="CI53" s="311">
        <f ca="1">IF($BI53&lt;&gt;"",IF('Capacity summary'!$D$14="Yes",IF(COUNTBLANK('Capacity summary'!$H172:$BG172)&lt;52,IF('Capacity summary'!AF172&lt;&gt;"",IF(LOWER('Capacity summary'!AF172)="x",$BI53*AF53,VALUE('Capacity summary'!AF172)),0),AF53*$BI53),AF53*$BI53),0)</f>
        <v>153.84615384615384</v>
      </c>
      <c r="CJ53" s="311">
        <f ca="1">IF($BI53&lt;&gt;"",IF('Capacity summary'!$D$14="Yes",IF(COUNTBLANK('Capacity summary'!$H172:$BG172)&lt;52,IF('Capacity summary'!AG172&lt;&gt;"",IF(LOWER('Capacity summary'!AG172)="x",$BI53*AG53,VALUE('Capacity summary'!AG172)),0),AG53*$BI53),AG53*$BI53),0)</f>
        <v>153.84615384615384</v>
      </c>
      <c r="CK53" s="311">
        <f ca="1">IF($BI53&lt;&gt;"",IF('Capacity summary'!$D$14="Yes",IF(COUNTBLANK('Capacity summary'!$H172:$BG172)&lt;52,IF('Capacity summary'!AH172&lt;&gt;"",IF(LOWER('Capacity summary'!AH172)="x",$BI53*AH53,VALUE('Capacity summary'!AH172)),0),AH53*$BI53),AH53*$BI53),0)</f>
        <v>153.84615384615384</v>
      </c>
      <c r="CL53" s="311">
        <f ca="1">IF($BI53&lt;&gt;"",IF('Capacity summary'!$D$14="Yes",IF(COUNTBLANK('Capacity summary'!$H172:$BG172)&lt;52,IF('Capacity summary'!AI172&lt;&gt;"",IF(LOWER('Capacity summary'!AI172)="x",$BI53*AI53,VALUE('Capacity summary'!AI172)),0),AI53*$BI53),AI53*$BI53),0)</f>
        <v>153.84615384615384</v>
      </c>
      <c r="CM53" s="311">
        <f ca="1">IF($BI53&lt;&gt;"",IF('Capacity summary'!$D$14="Yes",IF(COUNTBLANK('Capacity summary'!$H172:$BG172)&lt;52,IF('Capacity summary'!AJ172&lt;&gt;"",IF(LOWER('Capacity summary'!AJ172)="x",$BI53*AJ53,VALUE('Capacity summary'!AJ172)),0),AJ53*$BI53),AJ53*$BI53),0)</f>
        <v>153.84615384615384</v>
      </c>
      <c r="CN53" s="311">
        <f ca="1">IF($BI53&lt;&gt;"",IF('Capacity summary'!$D$14="Yes",IF(COUNTBLANK('Capacity summary'!$H172:$BG172)&lt;52,IF('Capacity summary'!AK172&lt;&gt;"",IF(LOWER('Capacity summary'!AK172)="x",$BI53*AK53,VALUE('Capacity summary'!AK172)),0),AK53*$BI53),AK53*$BI53),0)</f>
        <v>153.84615384615384</v>
      </c>
      <c r="CO53" s="311">
        <f ca="1">IF($BI53&lt;&gt;"",IF('Capacity summary'!$D$14="Yes",IF(COUNTBLANK('Capacity summary'!$H172:$BG172)&lt;52,IF('Capacity summary'!AL172&lt;&gt;"",IF(LOWER('Capacity summary'!AL172)="x",$BI53*AL53,VALUE('Capacity summary'!AL172)),0),AL53*$BI53),AL53*$BI53),0)</f>
        <v>153.84615384615384</v>
      </c>
      <c r="CP53" s="311">
        <f ca="1">IF($BI53&lt;&gt;"",IF('Capacity summary'!$D$14="Yes",IF(COUNTBLANK('Capacity summary'!$H172:$BG172)&lt;52,IF('Capacity summary'!AM172&lt;&gt;"",IF(LOWER('Capacity summary'!AM172)="x",$BI53*AM53,VALUE('Capacity summary'!AM172)),0),AM53*$BI53),AM53*$BI53),0)</f>
        <v>153.84615384615384</v>
      </c>
      <c r="CQ53" s="311">
        <f ca="1">IF($BI53&lt;&gt;"",IF('Capacity summary'!$D$14="Yes",IF(COUNTBLANK('Capacity summary'!$H172:$BG172)&lt;52,IF('Capacity summary'!AN172&lt;&gt;"",IF(LOWER('Capacity summary'!AN172)="x",$BI53*AN53,VALUE('Capacity summary'!AN172)),0),AN53*$BI53),AN53*$BI53),0)</f>
        <v>153.84615384615384</v>
      </c>
      <c r="CR53" s="311">
        <f ca="1">IF($BI53&lt;&gt;"",IF('Capacity summary'!$D$14="Yes",IF(COUNTBLANK('Capacity summary'!$H172:$BG172)&lt;52,IF('Capacity summary'!AO172&lt;&gt;"",IF(LOWER('Capacity summary'!AO172)="x",$BI53*AO53,VALUE('Capacity summary'!AO172)),0),AO53*$BI53),AO53*$BI53),0)</f>
        <v>153.84615384615384</v>
      </c>
      <c r="CS53" s="311">
        <f ca="1">IF($BI53&lt;&gt;"",IF('Capacity summary'!$D$14="Yes",IF(COUNTBLANK('Capacity summary'!$H172:$BG172)&lt;52,IF('Capacity summary'!AP172&lt;&gt;"",IF(LOWER('Capacity summary'!AP172)="x",$BI53*AP53,VALUE('Capacity summary'!AP172)),0),AP53*$BI53),AP53*$BI53),0)</f>
        <v>153.84615384615384</v>
      </c>
      <c r="CT53" s="311">
        <f ca="1">IF($BI53&lt;&gt;"",IF('Capacity summary'!$D$14="Yes",IF(COUNTBLANK('Capacity summary'!$H172:$BG172)&lt;52,IF('Capacity summary'!AQ172&lt;&gt;"",IF(LOWER('Capacity summary'!AQ172)="x",$BI53*AQ53,VALUE('Capacity summary'!AQ172)),0),AQ53*$BI53),AQ53*$BI53),0)</f>
        <v>153.84615384615384</v>
      </c>
      <c r="CU53" s="311">
        <f ca="1">IF($BI53&lt;&gt;"",IF('Capacity summary'!$D$14="Yes",IF(COUNTBLANK('Capacity summary'!$H172:$BG172)&lt;52,IF('Capacity summary'!AR172&lt;&gt;"",IF(LOWER('Capacity summary'!AR172)="x",$BI53*AR53,VALUE('Capacity summary'!AR172)),0),AR53*$BI53),AR53*$BI53),0)</f>
        <v>153.84615384615384</v>
      </c>
      <c r="CV53" s="311">
        <f ca="1">IF($BI53&lt;&gt;"",IF('Capacity summary'!$D$14="Yes",IF(COUNTBLANK('Capacity summary'!$H172:$BG172)&lt;52,IF('Capacity summary'!AS172&lt;&gt;"",IF(LOWER('Capacity summary'!AS172)="x",$BI53*AS53,VALUE('Capacity summary'!AS172)),0),AS53*$BI53),AS53*$BI53),0)</f>
        <v>153.84615384615384</v>
      </c>
      <c r="CW53" s="311">
        <f ca="1">IF($BI53&lt;&gt;"",IF('Capacity summary'!$D$14="Yes",IF(COUNTBLANK('Capacity summary'!$H172:$BG172)&lt;52,IF('Capacity summary'!AT172&lt;&gt;"",IF(LOWER('Capacity summary'!AT172)="x",$BI53*AT53,VALUE('Capacity summary'!AT172)),0),AT53*$BI53),AT53*$BI53),0)</f>
        <v>153.84615384615384</v>
      </c>
      <c r="CX53" s="311">
        <f ca="1">IF($BI53&lt;&gt;"",IF('Capacity summary'!$D$14="Yes",IF(COUNTBLANK('Capacity summary'!$H172:$BG172)&lt;52,IF('Capacity summary'!AU172&lt;&gt;"",IF(LOWER('Capacity summary'!AU172)="x",$BI53*AU53,VALUE('Capacity summary'!AU172)),0),AU53*$BI53),AU53*$BI53),0)</f>
        <v>153.84615384615384</v>
      </c>
      <c r="CY53" s="311">
        <f ca="1">IF($BI53&lt;&gt;"",IF('Capacity summary'!$D$14="Yes",IF(COUNTBLANK('Capacity summary'!$H172:$BG172)&lt;52,IF('Capacity summary'!AV172&lt;&gt;"",IF(LOWER('Capacity summary'!AV172)="x",$BI53*AV53,VALUE('Capacity summary'!AV172)),0),AV53*$BI53),AV53*$BI53),0)</f>
        <v>153.84615384615384</v>
      </c>
      <c r="CZ53" s="311">
        <f ca="1">IF($BI53&lt;&gt;"",IF('Capacity summary'!$D$14="Yes",IF(COUNTBLANK('Capacity summary'!$H172:$BG172)&lt;52,IF('Capacity summary'!AW172&lt;&gt;"",IF(LOWER('Capacity summary'!AW172)="x",$BI53*AW53,VALUE('Capacity summary'!AW172)),0),AW53*$BI53),AW53*$BI53),0)</f>
        <v>153.84615384615384</v>
      </c>
      <c r="DA53" s="311">
        <f ca="1">IF($BI53&lt;&gt;"",IF('Capacity summary'!$D$14="Yes",IF(COUNTBLANK('Capacity summary'!$H172:$BG172)&lt;52,IF('Capacity summary'!AX172&lt;&gt;"",IF(LOWER('Capacity summary'!AX172)="x",$BI53*AX53,VALUE('Capacity summary'!AX172)),0),AX53*$BI53),AX53*$BI53),0)</f>
        <v>153.84615384615384</v>
      </c>
      <c r="DB53" s="311">
        <f ca="1">IF($BI53&lt;&gt;"",IF('Capacity summary'!$D$14="Yes",IF(COUNTBLANK('Capacity summary'!$H172:$BG172)&lt;52,IF('Capacity summary'!AY172&lt;&gt;"",IF(LOWER('Capacity summary'!AY172)="x",$BI53*AY53,VALUE('Capacity summary'!AY172)),0),AY53*$BI53),AY53*$BI53),0)</f>
        <v>153.84615384615384</v>
      </c>
      <c r="DC53" s="311">
        <f ca="1">IF($BI53&lt;&gt;"",IF('Capacity summary'!$D$14="Yes",IF(COUNTBLANK('Capacity summary'!$H172:$BG172)&lt;52,IF('Capacity summary'!AZ172&lt;&gt;"",IF(LOWER('Capacity summary'!AZ172)="x",$BI53*AZ53,VALUE('Capacity summary'!AZ172)),0),AZ53*$BI53),AZ53*$BI53),0)</f>
        <v>153.84615384615384</v>
      </c>
      <c r="DD53" s="311">
        <f ca="1">IF($BI53&lt;&gt;"",IF('Capacity summary'!$D$14="Yes",IF(COUNTBLANK('Capacity summary'!$H172:$BG172)&lt;52,IF('Capacity summary'!BA172&lt;&gt;"",IF(LOWER('Capacity summary'!BA172)="x",$BI53*BA53,VALUE('Capacity summary'!BA172)),0),BA53*$BI53),BA53*$BI53),0)</f>
        <v>153.84615384615384</v>
      </c>
      <c r="DE53" s="311">
        <f ca="1">IF($BI53&lt;&gt;"",IF('Capacity summary'!$D$14="Yes",IF(COUNTBLANK('Capacity summary'!$H172:$BG172)&lt;52,IF('Capacity summary'!BB172&lt;&gt;"",IF(LOWER('Capacity summary'!BB172)="x",$BI53*BB53,VALUE('Capacity summary'!BB172)),0),BB53*$BI53),BB53*$BI53),0)</f>
        <v>153.84615384615384</v>
      </c>
      <c r="DF53" s="311">
        <f ca="1">IF($BI53&lt;&gt;"",IF('Capacity summary'!$D$14="Yes",IF(COUNTBLANK('Capacity summary'!$H172:$BG172)&lt;52,IF('Capacity summary'!BC172&lt;&gt;"",IF(LOWER('Capacity summary'!BC172)="x",$BI53*BC53,VALUE('Capacity summary'!BC172)),0),BC53*$BI53),BC53*$BI53),0)</f>
        <v>153.84615384615384</v>
      </c>
      <c r="DG53" s="311">
        <f ca="1">IF($BI53&lt;&gt;"",IF('Capacity summary'!$D$14="Yes",IF(COUNTBLANK('Capacity summary'!$H172:$BG172)&lt;52,IF('Capacity summary'!BD172&lt;&gt;"",IF(LOWER('Capacity summary'!BD172)="x",$BI53*BD53,VALUE('Capacity summary'!BD172)),0),BD53*$BI53),BD53*$BI53),0)</f>
        <v>153.84615384615384</v>
      </c>
      <c r="DH53" s="311">
        <f ca="1">IF($BI53&lt;&gt;"",IF('Capacity summary'!$D$14="Yes",IF(COUNTBLANK('Capacity summary'!$H172:$BG172)&lt;52,IF('Capacity summary'!BE172&lt;&gt;"",IF(LOWER('Capacity summary'!BE172)="x",$BI53*BE53,VALUE('Capacity summary'!BE172)),0),BE53*$BI53),BE53*$BI53),0)</f>
        <v>153.84615384615384</v>
      </c>
      <c r="DI53" s="311">
        <f ca="1">IF($BI53&lt;&gt;"",IF('Capacity summary'!$D$14="Yes",IF(COUNTBLANK('Capacity summary'!$H172:$BG172)&lt;52,IF('Capacity summary'!BF172&lt;&gt;"",IF(LOWER('Capacity summary'!BF172)="x",$BI53*BF53,VALUE('Capacity summary'!BF172)),0),BF53*$BI53),BF53*$BI53),0)</f>
        <v>153.84615384615384</v>
      </c>
      <c r="DJ53" s="311">
        <f ca="1">IF($BI53&lt;&gt;"",IF('Capacity summary'!$D$14="Yes",IF(COUNTBLANK('Capacity summary'!$H172:$BG172)&lt;52,IF('Capacity summary'!BG172&lt;&gt;"",IF(LOWER('Capacity summary'!BG172)="x",$BI53*BG53,VALUE('Capacity summary'!BG172)),0),BG53*$BI53),BG53*$BI53),0)</f>
        <v>153.84615384615384</v>
      </c>
      <c r="DK53" s="388">
        <f t="shared" ca="1" si="2"/>
        <v>153.84615384615384</v>
      </c>
      <c r="DL53" s="136">
        <f t="shared" ca="1" si="3"/>
        <v>8000.00000000001</v>
      </c>
      <c r="DM53" s="311">
        <f>Capacity!H65</f>
        <v>8000</v>
      </c>
      <c r="DQ53" s="5"/>
    </row>
    <row r="54" spans="1:121" x14ac:dyDescent="0.2">
      <c r="A54" s="67">
        <f>IF(Capacity!L66='Capacity summary'!BI173,1,0)</f>
        <v>1</v>
      </c>
      <c r="B54" s="67">
        <f>IF(Capacity!V66='Capacity summary'!BI73,1,0)</f>
        <v>1</v>
      </c>
      <c r="C54" s="67" t="str">
        <f>ROW(A50)&amp;". "&amp;Capacity!B66</f>
        <v>50. Slot B</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 ca="1">IF(ROW(C50)&lt;=Capacity!$A$16,IF('Capacity summary'!$D$14="No",SUM(H54:BG54),'Capacity summary'!$E173),0)</f>
        <v>52</v>
      </c>
      <c r="BI54" s="5">
        <f ca="1">IF(BH54&gt;0,IF(BH54&lt;Capacity!E66,Capacity!F66,Capacity!H66/'Capacity calculation (hide)'!BH54),"")</f>
        <v>96.15384615384616</v>
      </c>
      <c r="BK54" s="311">
        <f ca="1">IF($BI54&lt;&gt;"",IF('Capacity summary'!$D$14="Yes",IF(COUNTBLANK('Capacity summary'!$H173:$BG173)&lt;52,IF('Capacity summary'!H173&lt;&gt;"",IF(LOWER('Capacity summary'!H173)="x",$BI54*H54,VALUE('Capacity summary'!H173)),0),H54*$BI54),H54*$BI54),0)</f>
        <v>96.15384615384616</v>
      </c>
      <c r="BL54" s="311">
        <f ca="1">IF($BI54&lt;&gt;"",IF('Capacity summary'!$D$14="Yes",IF(COUNTBLANK('Capacity summary'!$H173:$BG173)&lt;52,IF('Capacity summary'!I173&lt;&gt;"",IF(LOWER('Capacity summary'!I173)="x",$BI54*I54,VALUE('Capacity summary'!I173)),0),I54*$BI54),I54*$BI54),0)</f>
        <v>96.15384615384616</v>
      </c>
      <c r="BM54" s="311">
        <f ca="1">IF($BI54&lt;&gt;"",IF('Capacity summary'!$D$14="Yes",IF(COUNTBLANK('Capacity summary'!$H173:$BG173)&lt;52,IF('Capacity summary'!J173&lt;&gt;"",IF(LOWER('Capacity summary'!J173)="x",$BI54*J54,VALUE('Capacity summary'!J173)),0),J54*$BI54),J54*$BI54),0)</f>
        <v>96.15384615384616</v>
      </c>
      <c r="BN54" s="311">
        <f ca="1">IF($BI54&lt;&gt;"",IF('Capacity summary'!$D$14="Yes",IF(COUNTBLANK('Capacity summary'!$H173:$BG173)&lt;52,IF('Capacity summary'!K173&lt;&gt;"",IF(LOWER('Capacity summary'!K173)="x",$BI54*K54,VALUE('Capacity summary'!K173)),0),K54*$BI54),K54*$BI54),0)</f>
        <v>96.15384615384616</v>
      </c>
      <c r="BO54" s="311">
        <f ca="1">IF($BI54&lt;&gt;"",IF('Capacity summary'!$D$14="Yes",IF(COUNTBLANK('Capacity summary'!$H173:$BG173)&lt;52,IF('Capacity summary'!L173&lt;&gt;"",IF(LOWER('Capacity summary'!L173)="x",$BI54*L54,VALUE('Capacity summary'!L173)),0),L54*$BI54),L54*$BI54),0)</f>
        <v>96.15384615384616</v>
      </c>
      <c r="BP54" s="311">
        <f ca="1">IF($BI54&lt;&gt;"",IF('Capacity summary'!$D$14="Yes",IF(COUNTBLANK('Capacity summary'!$H173:$BG173)&lt;52,IF('Capacity summary'!M173&lt;&gt;"",IF(LOWER('Capacity summary'!M173)="x",$BI54*M54,VALUE('Capacity summary'!M173)),0),M54*$BI54),M54*$BI54),0)</f>
        <v>96.15384615384616</v>
      </c>
      <c r="BQ54" s="311">
        <f ca="1">IF($BI54&lt;&gt;"",IF('Capacity summary'!$D$14="Yes",IF(COUNTBLANK('Capacity summary'!$H173:$BG173)&lt;52,IF('Capacity summary'!N173&lt;&gt;"",IF(LOWER('Capacity summary'!N173)="x",$BI54*N54,VALUE('Capacity summary'!N173)),0),N54*$BI54),N54*$BI54),0)</f>
        <v>96.15384615384616</v>
      </c>
      <c r="BR54" s="311">
        <f ca="1">IF($BI54&lt;&gt;"",IF('Capacity summary'!$D$14="Yes",IF(COUNTBLANK('Capacity summary'!$H173:$BG173)&lt;52,IF('Capacity summary'!O173&lt;&gt;"",IF(LOWER('Capacity summary'!O173)="x",$BI54*O54,VALUE('Capacity summary'!O173)),0),O54*$BI54),O54*$BI54),0)</f>
        <v>96.15384615384616</v>
      </c>
      <c r="BS54" s="311">
        <f ca="1">IF($BI54&lt;&gt;"",IF('Capacity summary'!$D$14="Yes",IF(COUNTBLANK('Capacity summary'!$H173:$BG173)&lt;52,IF('Capacity summary'!P173&lt;&gt;"",IF(LOWER('Capacity summary'!P173)="x",$BI54*P54,VALUE('Capacity summary'!P173)),0),P54*$BI54),P54*$BI54),0)</f>
        <v>96.15384615384616</v>
      </c>
      <c r="BT54" s="311">
        <f ca="1">IF($BI54&lt;&gt;"",IF('Capacity summary'!$D$14="Yes",IF(COUNTBLANK('Capacity summary'!$H173:$BG173)&lt;52,IF('Capacity summary'!Q173&lt;&gt;"",IF(LOWER('Capacity summary'!Q173)="x",$BI54*Q54,VALUE('Capacity summary'!Q173)),0),Q54*$BI54),Q54*$BI54),0)</f>
        <v>96.15384615384616</v>
      </c>
      <c r="BU54" s="311">
        <f ca="1">IF($BI54&lt;&gt;"",IF('Capacity summary'!$D$14="Yes",IF(COUNTBLANK('Capacity summary'!$H173:$BG173)&lt;52,IF('Capacity summary'!R173&lt;&gt;"",IF(LOWER('Capacity summary'!R173)="x",$BI54*R54,VALUE('Capacity summary'!R173)),0),R54*$BI54),R54*$BI54),0)</f>
        <v>96.15384615384616</v>
      </c>
      <c r="BV54" s="311">
        <f ca="1">IF($BI54&lt;&gt;"",IF('Capacity summary'!$D$14="Yes",IF(COUNTBLANK('Capacity summary'!$H173:$BG173)&lt;52,IF('Capacity summary'!S173&lt;&gt;"",IF(LOWER('Capacity summary'!S173)="x",$BI54*S54,VALUE('Capacity summary'!S173)),0),S54*$BI54),S54*$BI54),0)</f>
        <v>96.15384615384616</v>
      </c>
      <c r="BW54" s="311">
        <f ca="1">IF($BI54&lt;&gt;"",IF('Capacity summary'!$D$14="Yes",IF(COUNTBLANK('Capacity summary'!$H173:$BG173)&lt;52,IF('Capacity summary'!T173&lt;&gt;"",IF(LOWER('Capacity summary'!T173)="x",$BI54*T54,VALUE('Capacity summary'!T173)),0),T54*$BI54),T54*$BI54),0)</f>
        <v>96.15384615384616</v>
      </c>
      <c r="BX54" s="311">
        <f ca="1">IF($BI54&lt;&gt;"",IF('Capacity summary'!$D$14="Yes",IF(COUNTBLANK('Capacity summary'!$H173:$BG173)&lt;52,IF('Capacity summary'!U173&lt;&gt;"",IF(LOWER('Capacity summary'!U173)="x",$BI54*U54,VALUE('Capacity summary'!U173)),0),U54*$BI54),U54*$BI54),0)</f>
        <v>96.15384615384616</v>
      </c>
      <c r="BY54" s="311">
        <f ca="1">IF($BI54&lt;&gt;"",IF('Capacity summary'!$D$14="Yes",IF(COUNTBLANK('Capacity summary'!$H173:$BG173)&lt;52,IF('Capacity summary'!V173&lt;&gt;"",IF(LOWER('Capacity summary'!V173)="x",$BI54*V54,VALUE('Capacity summary'!V173)),0),V54*$BI54),V54*$BI54),0)</f>
        <v>96.15384615384616</v>
      </c>
      <c r="BZ54" s="311">
        <f ca="1">IF($BI54&lt;&gt;"",IF('Capacity summary'!$D$14="Yes",IF(COUNTBLANK('Capacity summary'!$H173:$BG173)&lt;52,IF('Capacity summary'!W173&lt;&gt;"",IF(LOWER('Capacity summary'!W173)="x",$BI54*W54,VALUE('Capacity summary'!W173)),0),W54*$BI54),W54*$BI54),0)</f>
        <v>96.15384615384616</v>
      </c>
      <c r="CA54" s="311">
        <f ca="1">IF($BI54&lt;&gt;"",IF('Capacity summary'!$D$14="Yes",IF(COUNTBLANK('Capacity summary'!$H173:$BG173)&lt;52,IF('Capacity summary'!X173&lt;&gt;"",IF(LOWER('Capacity summary'!X173)="x",$BI54*X54,VALUE('Capacity summary'!X173)),0),X54*$BI54),X54*$BI54),0)</f>
        <v>96.15384615384616</v>
      </c>
      <c r="CB54" s="311">
        <f ca="1">IF($BI54&lt;&gt;"",IF('Capacity summary'!$D$14="Yes",IF(COUNTBLANK('Capacity summary'!$H173:$BG173)&lt;52,IF('Capacity summary'!Y173&lt;&gt;"",IF(LOWER('Capacity summary'!Y173)="x",$BI54*Y54,VALUE('Capacity summary'!Y173)),0),Y54*$BI54),Y54*$BI54),0)</f>
        <v>96.15384615384616</v>
      </c>
      <c r="CC54" s="311">
        <f ca="1">IF($BI54&lt;&gt;"",IF('Capacity summary'!$D$14="Yes",IF(COUNTBLANK('Capacity summary'!$H173:$BG173)&lt;52,IF('Capacity summary'!Z173&lt;&gt;"",IF(LOWER('Capacity summary'!Z173)="x",$BI54*Z54,VALUE('Capacity summary'!Z173)),0),Z54*$BI54),Z54*$BI54),0)</f>
        <v>96.15384615384616</v>
      </c>
      <c r="CD54" s="311">
        <f ca="1">IF($BI54&lt;&gt;"",IF('Capacity summary'!$D$14="Yes",IF(COUNTBLANK('Capacity summary'!$H173:$BG173)&lt;52,IF('Capacity summary'!AA173&lt;&gt;"",IF(LOWER('Capacity summary'!AA173)="x",$BI54*AA54,VALUE('Capacity summary'!AA173)),0),AA54*$BI54),AA54*$BI54),0)</f>
        <v>96.15384615384616</v>
      </c>
      <c r="CE54" s="311">
        <f ca="1">IF($BI54&lt;&gt;"",IF('Capacity summary'!$D$14="Yes",IF(COUNTBLANK('Capacity summary'!$H173:$BG173)&lt;52,IF('Capacity summary'!AB173&lt;&gt;"",IF(LOWER('Capacity summary'!AB173)="x",$BI54*AB54,VALUE('Capacity summary'!AB173)),0),AB54*$BI54),AB54*$BI54),0)</f>
        <v>96.15384615384616</v>
      </c>
      <c r="CF54" s="311">
        <f ca="1">IF($BI54&lt;&gt;"",IF('Capacity summary'!$D$14="Yes",IF(COUNTBLANK('Capacity summary'!$H173:$BG173)&lt;52,IF('Capacity summary'!AC173&lt;&gt;"",IF(LOWER('Capacity summary'!AC173)="x",$BI54*AC54,VALUE('Capacity summary'!AC173)),0),AC54*$BI54),AC54*$BI54),0)</f>
        <v>96.15384615384616</v>
      </c>
      <c r="CG54" s="311">
        <f ca="1">IF($BI54&lt;&gt;"",IF('Capacity summary'!$D$14="Yes",IF(COUNTBLANK('Capacity summary'!$H173:$BG173)&lt;52,IF('Capacity summary'!AD173&lt;&gt;"",IF(LOWER('Capacity summary'!AD173)="x",$BI54*AD54,VALUE('Capacity summary'!AD173)),0),AD54*$BI54),AD54*$BI54),0)</f>
        <v>96.15384615384616</v>
      </c>
      <c r="CH54" s="311">
        <f ca="1">IF($BI54&lt;&gt;"",IF('Capacity summary'!$D$14="Yes",IF(COUNTBLANK('Capacity summary'!$H173:$BG173)&lt;52,IF('Capacity summary'!AE173&lt;&gt;"",IF(LOWER('Capacity summary'!AE173)="x",$BI54*AE54,VALUE('Capacity summary'!AE173)),0),AE54*$BI54),AE54*$BI54),0)</f>
        <v>96.15384615384616</v>
      </c>
      <c r="CI54" s="311">
        <f ca="1">IF($BI54&lt;&gt;"",IF('Capacity summary'!$D$14="Yes",IF(COUNTBLANK('Capacity summary'!$H173:$BG173)&lt;52,IF('Capacity summary'!AF173&lt;&gt;"",IF(LOWER('Capacity summary'!AF173)="x",$BI54*AF54,VALUE('Capacity summary'!AF173)),0),AF54*$BI54),AF54*$BI54),0)</f>
        <v>96.15384615384616</v>
      </c>
      <c r="CJ54" s="311">
        <f ca="1">IF($BI54&lt;&gt;"",IF('Capacity summary'!$D$14="Yes",IF(COUNTBLANK('Capacity summary'!$H173:$BG173)&lt;52,IF('Capacity summary'!AG173&lt;&gt;"",IF(LOWER('Capacity summary'!AG173)="x",$BI54*AG54,VALUE('Capacity summary'!AG173)),0),AG54*$BI54),AG54*$BI54),0)</f>
        <v>96.15384615384616</v>
      </c>
      <c r="CK54" s="311">
        <f ca="1">IF($BI54&lt;&gt;"",IF('Capacity summary'!$D$14="Yes",IF(COUNTBLANK('Capacity summary'!$H173:$BG173)&lt;52,IF('Capacity summary'!AH173&lt;&gt;"",IF(LOWER('Capacity summary'!AH173)="x",$BI54*AH54,VALUE('Capacity summary'!AH173)),0),AH54*$BI54),AH54*$BI54),0)</f>
        <v>96.15384615384616</v>
      </c>
      <c r="CL54" s="311">
        <f ca="1">IF($BI54&lt;&gt;"",IF('Capacity summary'!$D$14="Yes",IF(COUNTBLANK('Capacity summary'!$H173:$BG173)&lt;52,IF('Capacity summary'!AI173&lt;&gt;"",IF(LOWER('Capacity summary'!AI173)="x",$BI54*AI54,VALUE('Capacity summary'!AI173)),0),AI54*$BI54),AI54*$BI54),0)</f>
        <v>96.15384615384616</v>
      </c>
      <c r="CM54" s="311">
        <f ca="1">IF($BI54&lt;&gt;"",IF('Capacity summary'!$D$14="Yes",IF(COUNTBLANK('Capacity summary'!$H173:$BG173)&lt;52,IF('Capacity summary'!AJ173&lt;&gt;"",IF(LOWER('Capacity summary'!AJ173)="x",$BI54*AJ54,VALUE('Capacity summary'!AJ173)),0),AJ54*$BI54),AJ54*$BI54),0)</f>
        <v>96.15384615384616</v>
      </c>
      <c r="CN54" s="311">
        <f ca="1">IF($BI54&lt;&gt;"",IF('Capacity summary'!$D$14="Yes",IF(COUNTBLANK('Capacity summary'!$H173:$BG173)&lt;52,IF('Capacity summary'!AK173&lt;&gt;"",IF(LOWER('Capacity summary'!AK173)="x",$BI54*AK54,VALUE('Capacity summary'!AK173)),0),AK54*$BI54),AK54*$BI54),0)</f>
        <v>96.15384615384616</v>
      </c>
      <c r="CO54" s="311">
        <f ca="1">IF($BI54&lt;&gt;"",IF('Capacity summary'!$D$14="Yes",IF(COUNTBLANK('Capacity summary'!$H173:$BG173)&lt;52,IF('Capacity summary'!AL173&lt;&gt;"",IF(LOWER('Capacity summary'!AL173)="x",$BI54*AL54,VALUE('Capacity summary'!AL173)),0),AL54*$BI54),AL54*$BI54),0)</f>
        <v>96.15384615384616</v>
      </c>
      <c r="CP54" s="311">
        <f ca="1">IF($BI54&lt;&gt;"",IF('Capacity summary'!$D$14="Yes",IF(COUNTBLANK('Capacity summary'!$H173:$BG173)&lt;52,IF('Capacity summary'!AM173&lt;&gt;"",IF(LOWER('Capacity summary'!AM173)="x",$BI54*AM54,VALUE('Capacity summary'!AM173)),0),AM54*$BI54),AM54*$BI54),0)</f>
        <v>96.15384615384616</v>
      </c>
      <c r="CQ54" s="311">
        <f ca="1">IF($BI54&lt;&gt;"",IF('Capacity summary'!$D$14="Yes",IF(COUNTBLANK('Capacity summary'!$H173:$BG173)&lt;52,IF('Capacity summary'!AN173&lt;&gt;"",IF(LOWER('Capacity summary'!AN173)="x",$BI54*AN54,VALUE('Capacity summary'!AN173)),0),AN54*$BI54),AN54*$BI54),0)</f>
        <v>96.15384615384616</v>
      </c>
      <c r="CR54" s="311">
        <f ca="1">IF($BI54&lt;&gt;"",IF('Capacity summary'!$D$14="Yes",IF(COUNTBLANK('Capacity summary'!$H173:$BG173)&lt;52,IF('Capacity summary'!AO173&lt;&gt;"",IF(LOWER('Capacity summary'!AO173)="x",$BI54*AO54,VALUE('Capacity summary'!AO173)),0),AO54*$BI54),AO54*$BI54),0)</f>
        <v>96.15384615384616</v>
      </c>
      <c r="CS54" s="311">
        <f ca="1">IF($BI54&lt;&gt;"",IF('Capacity summary'!$D$14="Yes",IF(COUNTBLANK('Capacity summary'!$H173:$BG173)&lt;52,IF('Capacity summary'!AP173&lt;&gt;"",IF(LOWER('Capacity summary'!AP173)="x",$BI54*AP54,VALUE('Capacity summary'!AP173)),0),AP54*$BI54),AP54*$BI54),0)</f>
        <v>96.15384615384616</v>
      </c>
      <c r="CT54" s="311">
        <f ca="1">IF($BI54&lt;&gt;"",IF('Capacity summary'!$D$14="Yes",IF(COUNTBLANK('Capacity summary'!$H173:$BG173)&lt;52,IF('Capacity summary'!AQ173&lt;&gt;"",IF(LOWER('Capacity summary'!AQ173)="x",$BI54*AQ54,VALUE('Capacity summary'!AQ173)),0),AQ54*$BI54),AQ54*$BI54),0)</f>
        <v>96.15384615384616</v>
      </c>
      <c r="CU54" s="311">
        <f ca="1">IF($BI54&lt;&gt;"",IF('Capacity summary'!$D$14="Yes",IF(COUNTBLANK('Capacity summary'!$H173:$BG173)&lt;52,IF('Capacity summary'!AR173&lt;&gt;"",IF(LOWER('Capacity summary'!AR173)="x",$BI54*AR54,VALUE('Capacity summary'!AR173)),0),AR54*$BI54),AR54*$BI54),0)</f>
        <v>96.15384615384616</v>
      </c>
      <c r="CV54" s="311">
        <f ca="1">IF($BI54&lt;&gt;"",IF('Capacity summary'!$D$14="Yes",IF(COUNTBLANK('Capacity summary'!$H173:$BG173)&lt;52,IF('Capacity summary'!AS173&lt;&gt;"",IF(LOWER('Capacity summary'!AS173)="x",$BI54*AS54,VALUE('Capacity summary'!AS173)),0),AS54*$BI54),AS54*$BI54),0)</f>
        <v>96.15384615384616</v>
      </c>
      <c r="CW54" s="311">
        <f ca="1">IF($BI54&lt;&gt;"",IF('Capacity summary'!$D$14="Yes",IF(COUNTBLANK('Capacity summary'!$H173:$BG173)&lt;52,IF('Capacity summary'!AT173&lt;&gt;"",IF(LOWER('Capacity summary'!AT173)="x",$BI54*AT54,VALUE('Capacity summary'!AT173)),0),AT54*$BI54),AT54*$BI54),0)</f>
        <v>96.15384615384616</v>
      </c>
      <c r="CX54" s="311">
        <f ca="1">IF($BI54&lt;&gt;"",IF('Capacity summary'!$D$14="Yes",IF(COUNTBLANK('Capacity summary'!$H173:$BG173)&lt;52,IF('Capacity summary'!AU173&lt;&gt;"",IF(LOWER('Capacity summary'!AU173)="x",$BI54*AU54,VALUE('Capacity summary'!AU173)),0),AU54*$BI54),AU54*$BI54),0)</f>
        <v>96.15384615384616</v>
      </c>
      <c r="CY54" s="311">
        <f ca="1">IF($BI54&lt;&gt;"",IF('Capacity summary'!$D$14="Yes",IF(COUNTBLANK('Capacity summary'!$H173:$BG173)&lt;52,IF('Capacity summary'!AV173&lt;&gt;"",IF(LOWER('Capacity summary'!AV173)="x",$BI54*AV54,VALUE('Capacity summary'!AV173)),0),AV54*$BI54),AV54*$BI54),0)</f>
        <v>96.15384615384616</v>
      </c>
      <c r="CZ54" s="311">
        <f ca="1">IF($BI54&lt;&gt;"",IF('Capacity summary'!$D$14="Yes",IF(COUNTBLANK('Capacity summary'!$H173:$BG173)&lt;52,IF('Capacity summary'!AW173&lt;&gt;"",IF(LOWER('Capacity summary'!AW173)="x",$BI54*AW54,VALUE('Capacity summary'!AW173)),0),AW54*$BI54),AW54*$BI54),0)</f>
        <v>96.15384615384616</v>
      </c>
      <c r="DA54" s="311">
        <f ca="1">IF($BI54&lt;&gt;"",IF('Capacity summary'!$D$14="Yes",IF(COUNTBLANK('Capacity summary'!$H173:$BG173)&lt;52,IF('Capacity summary'!AX173&lt;&gt;"",IF(LOWER('Capacity summary'!AX173)="x",$BI54*AX54,VALUE('Capacity summary'!AX173)),0),AX54*$BI54),AX54*$BI54),0)</f>
        <v>96.15384615384616</v>
      </c>
      <c r="DB54" s="311">
        <f ca="1">IF($BI54&lt;&gt;"",IF('Capacity summary'!$D$14="Yes",IF(COUNTBLANK('Capacity summary'!$H173:$BG173)&lt;52,IF('Capacity summary'!AY173&lt;&gt;"",IF(LOWER('Capacity summary'!AY173)="x",$BI54*AY54,VALUE('Capacity summary'!AY173)),0),AY54*$BI54),AY54*$BI54),0)</f>
        <v>96.15384615384616</v>
      </c>
      <c r="DC54" s="311">
        <f ca="1">IF($BI54&lt;&gt;"",IF('Capacity summary'!$D$14="Yes",IF(COUNTBLANK('Capacity summary'!$H173:$BG173)&lt;52,IF('Capacity summary'!AZ173&lt;&gt;"",IF(LOWER('Capacity summary'!AZ173)="x",$BI54*AZ54,VALUE('Capacity summary'!AZ173)),0),AZ54*$BI54),AZ54*$BI54),0)</f>
        <v>96.15384615384616</v>
      </c>
      <c r="DD54" s="311">
        <f ca="1">IF($BI54&lt;&gt;"",IF('Capacity summary'!$D$14="Yes",IF(COUNTBLANK('Capacity summary'!$H173:$BG173)&lt;52,IF('Capacity summary'!BA173&lt;&gt;"",IF(LOWER('Capacity summary'!BA173)="x",$BI54*BA54,VALUE('Capacity summary'!BA173)),0),BA54*$BI54),BA54*$BI54),0)</f>
        <v>96.15384615384616</v>
      </c>
      <c r="DE54" s="311">
        <f ca="1">IF($BI54&lt;&gt;"",IF('Capacity summary'!$D$14="Yes",IF(COUNTBLANK('Capacity summary'!$H173:$BG173)&lt;52,IF('Capacity summary'!BB173&lt;&gt;"",IF(LOWER('Capacity summary'!BB173)="x",$BI54*BB54,VALUE('Capacity summary'!BB173)),0),BB54*$BI54),BB54*$BI54),0)</f>
        <v>96.15384615384616</v>
      </c>
      <c r="DF54" s="311">
        <f ca="1">IF($BI54&lt;&gt;"",IF('Capacity summary'!$D$14="Yes",IF(COUNTBLANK('Capacity summary'!$H173:$BG173)&lt;52,IF('Capacity summary'!BC173&lt;&gt;"",IF(LOWER('Capacity summary'!BC173)="x",$BI54*BC54,VALUE('Capacity summary'!BC173)),0),BC54*$BI54),BC54*$BI54),0)</f>
        <v>96.15384615384616</v>
      </c>
      <c r="DG54" s="311">
        <f ca="1">IF($BI54&lt;&gt;"",IF('Capacity summary'!$D$14="Yes",IF(COUNTBLANK('Capacity summary'!$H173:$BG173)&lt;52,IF('Capacity summary'!BD173&lt;&gt;"",IF(LOWER('Capacity summary'!BD173)="x",$BI54*BD54,VALUE('Capacity summary'!BD173)),0),BD54*$BI54),BD54*$BI54),0)</f>
        <v>96.15384615384616</v>
      </c>
      <c r="DH54" s="311">
        <f ca="1">IF($BI54&lt;&gt;"",IF('Capacity summary'!$D$14="Yes",IF(COUNTBLANK('Capacity summary'!$H173:$BG173)&lt;52,IF('Capacity summary'!BE173&lt;&gt;"",IF(LOWER('Capacity summary'!BE173)="x",$BI54*BE54,VALUE('Capacity summary'!BE173)),0),BE54*$BI54),BE54*$BI54),0)</f>
        <v>96.15384615384616</v>
      </c>
      <c r="DI54" s="311">
        <f ca="1">IF($BI54&lt;&gt;"",IF('Capacity summary'!$D$14="Yes",IF(COUNTBLANK('Capacity summary'!$H173:$BG173)&lt;52,IF('Capacity summary'!BF173&lt;&gt;"",IF(LOWER('Capacity summary'!BF173)="x",$BI54*BF54,VALUE('Capacity summary'!BF173)),0),BF54*$BI54),BF54*$BI54),0)</f>
        <v>96.15384615384616</v>
      </c>
      <c r="DJ54" s="311">
        <f ca="1">IF($BI54&lt;&gt;"",IF('Capacity summary'!$D$14="Yes",IF(COUNTBLANK('Capacity summary'!$H173:$BG173)&lt;52,IF('Capacity summary'!BG173&lt;&gt;"",IF(LOWER('Capacity summary'!BG173)="x",$BI54*BG54,VALUE('Capacity summary'!BG173)),0),BG54*$BI54),BG54*$BI54),0)</f>
        <v>96.15384615384616</v>
      </c>
      <c r="DK54" s="388">
        <f t="shared" ca="1" si="2"/>
        <v>96.15384615384616</v>
      </c>
      <c r="DL54" s="136">
        <f t="shared" ca="1" si="3"/>
        <v>4999.9999999999973</v>
      </c>
      <c r="DM54" s="311">
        <f>Capacity!H66</f>
        <v>5000</v>
      </c>
      <c r="DQ54" s="5"/>
    </row>
    <row r="55" spans="1:121" x14ac:dyDescent="0.2">
      <c r="A55" s="67">
        <f>IF(Capacity!L67='Capacity summary'!BI174,1,0)</f>
        <v>1</v>
      </c>
      <c r="B55" s="67">
        <f>IF(Capacity!V67='Capacity summary'!BI74,1,0)</f>
        <v>1</v>
      </c>
      <c r="C55" s="67" t="str">
        <f>ROW(A51)&amp;". "&amp;Capacity!B67</f>
        <v>51. 2 ww</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 ca="1">IF(ROW(C51)&lt;=Capacity!$A$16,IF('Capacity summary'!$D$14="No",SUM(H55:BG55),'Capacity summary'!$E174),0)</f>
        <v>52</v>
      </c>
      <c r="BI55" s="5">
        <f ca="1">IF(BH55&gt;0,IF(BH55&lt;Capacity!E67,Capacity!F67,Capacity!H67/'Capacity calculation (hide)'!BH55),"")</f>
        <v>115.38461538461539</v>
      </c>
      <c r="BK55" s="311">
        <f ca="1">IF($BI55&lt;&gt;"",IF('Capacity summary'!$D$14="Yes",IF(COUNTBLANK('Capacity summary'!$H174:$BG174)&lt;52,IF('Capacity summary'!H174&lt;&gt;"",IF(LOWER('Capacity summary'!H174)="x",$BI55*H55,VALUE('Capacity summary'!H174)),0),H55*$BI55),H55*$BI55),0)</f>
        <v>115.38461538461539</v>
      </c>
      <c r="BL55" s="311">
        <f ca="1">IF($BI55&lt;&gt;"",IF('Capacity summary'!$D$14="Yes",IF(COUNTBLANK('Capacity summary'!$H174:$BG174)&lt;52,IF('Capacity summary'!I174&lt;&gt;"",IF(LOWER('Capacity summary'!I174)="x",$BI55*I55,VALUE('Capacity summary'!I174)),0),I55*$BI55),I55*$BI55),0)</f>
        <v>115.38461538461539</v>
      </c>
      <c r="BM55" s="311">
        <f ca="1">IF($BI55&lt;&gt;"",IF('Capacity summary'!$D$14="Yes",IF(COUNTBLANK('Capacity summary'!$H174:$BG174)&lt;52,IF('Capacity summary'!J174&lt;&gt;"",IF(LOWER('Capacity summary'!J174)="x",$BI55*J55,VALUE('Capacity summary'!J174)),0),J55*$BI55),J55*$BI55),0)</f>
        <v>115.38461538461539</v>
      </c>
      <c r="BN55" s="311">
        <f ca="1">IF($BI55&lt;&gt;"",IF('Capacity summary'!$D$14="Yes",IF(COUNTBLANK('Capacity summary'!$H174:$BG174)&lt;52,IF('Capacity summary'!K174&lt;&gt;"",IF(LOWER('Capacity summary'!K174)="x",$BI55*K55,VALUE('Capacity summary'!K174)),0),K55*$BI55),K55*$BI55),0)</f>
        <v>115.38461538461539</v>
      </c>
      <c r="BO55" s="311">
        <f ca="1">IF($BI55&lt;&gt;"",IF('Capacity summary'!$D$14="Yes",IF(COUNTBLANK('Capacity summary'!$H174:$BG174)&lt;52,IF('Capacity summary'!L174&lt;&gt;"",IF(LOWER('Capacity summary'!L174)="x",$BI55*L55,VALUE('Capacity summary'!L174)),0),L55*$BI55),L55*$BI55),0)</f>
        <v>115.38461538461539</v>
      </c>
      <c r="BP55" s="311">
        <f ca="1">IF($BI55&lt;&gt;"",IF('Capacity summary'!$D$14="Yes",IF(COUNTBLANK('Capacity summary'!$H174:$BG174)&lt;52,IF('Capacity summary'!M174&lt;&gt;"",IF(LOWER('Capacity summary'!M174)="x",$BI55*M55,VALUE('Capacity summary'!M174)),0),M55*$BI55),M55*$BI55),0)</f>
        <v>115.38461538461539</v>
      </c>
      <c r="BQ55" s="311">
        <f ca="1">IF($BI55&lt;&gt;"",IF('Capacity summary'!$D$14="Yes",IF(COUNTBLANK('Capacity summary'!$H174:$BG174)&lt;52,IF('Capacity summary'!N174&lt;&gt;"",IF(LOWER('Capacity summary'!N174)="x",$BI55*N55,VALUE('Capacity summary'!N174)),0),N55*$BI55),N55*$BI55),0)</f>
        <v>115.38461538461539</v>
      </c>
      <c r="BR55" s="311">
        <f ca="1">IF($BI55&lt;&gt;"",IF('Capacity summary'!$D$14="Yes",IF(COUNTBLANK('Capacity summary'!$H174:$BG174)&lt;52,IF('Capacity summary'!O174&lt;&gt;"",IF(LOWER('Capacity summary'!O174)="x",$BI55*O55,VALUE('Capacity summary'!O174)),0),O55*$BI55),O55*$BI55),0)</f>
        <v>115.38461538461539</v>
      </c>
      <c r="BS55" s="311">
        <f ca="1">IF($BI55&lt;&gt;"",IF('Capacity summary'!$D$14="Yes",IF(COUNTBLANK('Capacity summary'!$H174:$BG174)&lt;52,IF('Capacity summary'!P174&lt;&gt;"",IF(LOWER('Capacity summary'!P174)="x",$BI55*P55,VALUE('Capacity summary'!P174)),0),P55*$BI55),P55*$BI55),0)</f>
        <v>115.38461538461539</v>
      </c>
      <c r="BT55" s="311">
        <f ca="1">IF($BI55&lt;&gt;"",IF('Capacity summary'!$D$14="Yes",IF(COUNTBLANK('Capacity summary'!$H174:$BG174)&lt;52,IF('Capacity summary'!Q174&lt;&gt;"",IF(LOWER('Capacity summary'!Q174)="x",$BI55*Q55,VALUE('Capacity summary'!Q174)),0),Q55*$BI55),Q55*$BI55),0)</f>
        <v>115.38461538461539</v>
      </c>
      <c r="BU55" s="311">
        <f ca="1">IF($BI55&lt;&gt;"",IF('Capacity summary'!$D$14="Yes",IF(COUNTBLANK('Capacity summary'!$H174:$BG174)&lt;52,IF('Capacity summary'!R174&lt;&gt;"",IF(LOWER('Capacity summary'!R174)="x",$BI55*R55,VALUE('Capacity summary'!R174)),0),R55*$BI55),R55*$BI55),0)</f>
        <v>115.38461538461539</v>
      </c>
      <c r="BV55" s="311">
        <f ca="1">IF($BI55&lt;&gt;"",IF('Capacity summary'!$D$14="Yes",IF(COUNTBLANK('Capacity summary'!$H174:$BG174)&lt;52,IF('Capacity summary'!S174&lt;&gt;"",IF(LOWER('Capacity summary'!S174)="x",$BI55*S55,VALUE('Capacity summary'!S174)),0),S55*$BI55),S55*$BI55),0)</f>
        <v>115.38461538461539</v>
      </c>
      <c r="BW55" s="311">
        <f ca="1">IF($BI55&lt;&gt;"",IF('Capacity summary'!$D$14="Yes",IF(COUNTBLANK('Capacity summary'!$H174:$BG174)&lt;52,IF('Capacity summary'!T174&lt;&gt;"",IF(LOWER('Capacity summary'!T174)="x",$BI55*T55,VALUE('Capacity summary'!T174)),0),T55*$BI55),T55*$BI55),0)</f>
        <v>115.38461538461539</v>
      </c>
      <c r="BX55" s="311">
        <f ca="1">IF($BI55&lt;&gt;"",IF('Capacity summary'!$D$14="Yes",IF(COUNTBLANK('Capacity summary'!$H174:$BG174)&lt;52,IF('Capacity summary'!U174&lt;&gt;"",IF(LOWER('Capacity summary'!U174)="x",$BI55*U55,VALUE('Capacity summary'!U174)),0),U55*$BI55),U55*$BI55),0)</f>
        <v>115.38461538461539</v>
      </c>
      <c r="BY55" s="311">
        <f ca="1">IF($BI55&lt;&gt;"",IF('Capacity summary'!$D$14="Yes",IF(COUNTBLANK('Capacity summary'!$H174:$BG174)&lt;52,IF('Capacity summary'!V174&lt;&gt;"",IF(LOWER('Capacity summary'!V174)="x",$BI55*V55,VALUE('Capacity summary'!V174)),0),V55*$BI55),V55*$BI55),0)</f>
        <v>115.38461538461539</v>
      </c>
      <c r="BZ55" s="311">
        <f ca="1">IF($BI55&lt;&gt;"",IF('Capacity summary'!$D$14="Yes",IF(COUNTBLANK('Capacity summary'!$H174:$BG174)&lt;52,IF('Capacity summary'!W174&lt;&gt;"",IF(LOWER('Capacity summary'!W174)="x",$BI55*W55,VALUE('Capacity summary'!W174)),0),W55*$BI55),W55*$BI55),0)</f>
        <v>115.38461538461539</v>
      </c>
      <c r="CA55" s="311">
        <f ca="1">IF($BI55&lt;&gt;"",IF('Capacity summary'!$D$14="Yes",IF(COUNTBLANK('Capacity summary'!$H174:$BG174)&lt;52,IF('Capacity summary'!X174&lt;&gt;"",IF(LOWER('Capacity summary'!X174)="x",$BI55*X55,VALUE('Capacity summary'!X174)),0),X55*$BI55),X55*$BI55),0)</f>
        <v>115.38461538461539</v>
      </c>
      <c r="CB55" s="311">
        <f ca="1">IF($BI55&lt;&gt;"",IF('Capacity summary'!$D$14="Yes",IF(COUNTBLANK('Capacity summary'!$H174:$BG174)&lt;52,IF('Capacity summary'!Y174&lt;&gt;"",IF(LOWER('Capacity summary'!Y174)="x",$BI55*Y55,VALUE('Capacity summary'!Y174)),0),Y55*$BI55),Y55*$BI55),0)</f>
        <v>115.38461538461539</v>
      </c>
      <c r="CC55" s="311">
        <f ca="1">IF($BI55&lt;&gt;"",IF('Capacity summary'!$D$14="Yes",IF(COUNTBLANK('Capacity summary'!$H174:$BG174)&lt;52,IF('Capacity summary'!Z174&lt;&gt;"",IF(LOWER('Capacity summary'!Z174)="x",$BI55*Z55,VALUE('Capacity summary'!Z174)),0),Z55*$BI55),Z55*$BI55),0)</f>
        <v>115.38461538461539</v>
      </c>
      <c r="CD55" s="311">
        <f ca="1">IF($BI55&lt;&gt;"",IF('Capacity summary'!$D$14="Yes",IF(COUNTBLANK('Capacity summary'!$H174:$BG174)&lt;52,IF('Capacity summary'!AA174&lt;&gt;"",IF(LOWER('Capacity summary'!AA174)="x",$BI55*AA55,VALUE('Capacity summary'!AA174)),0),AA55*$BI55),AA55*$BI55),0)</f>
        <v>115.38461538461539</v>
      </c>
      <c r="CE55" s="311">
        <f ca="1">IF($BI55&lt;&gt;"",IF('Capacity summary'!$D$14="Yes",IF(COUNTBLANK('Capacity summary'!$H174:$BG174)&lt;52,IF('Capacity summary'!AB174&lt;&gt;"",IF(LOWER('Capacity summary'!AB174)="x",$BI55*AB55,VALUE('Capacity summary'!AB174)),0),AB55*$BI55),AB55*$BI55),0)</f>
        <v>115.38461538461539</v>
      </c>
      <c r="CF55" s="311">
        <f ca="1">IF($BI55&lt;&gt;"",IF('Capacity summary'!$D$14="Yes",IF(COUNTBLANK('Capacity summary'!$H174:$BG174)&lt;52,IF('Capacity summary'!AC174&lt;&gt;"",IF(LOWER('Capacity summary'!AC174)="x",$BI55*AC55,VALUE('Capacity summary'!AC174)),0),AC55*$BI55),AC55*$BI55),0)</f>
        <v>115.38461538461539</v>
      </c>
      <c r="CG55" s="311">
        <f ca="1">IF($BI55&lt;&gt;"",IF('Capacity summary'!$D$14="Yes",IF(COUNTBLANK('Capacity summary'!$H174:$BG174)&lt;52,IF('Capacity summary'!AD174&lt;&gt;"",IF(LOWER('Capacity summary'!AD174)="x",$BI55*AD55,VALUE('Capacity summary'!AD174)),0),AD55*$BI55),AD55*$BI55),0)</f>
        <v>115.38461538461539</v>
      </c>
      <c r="CH55" s="311">
        <f ca="1">IF($BI55&lt;&gt;"",IF('Capacity summary'!$D$14="Yes",IF(COUNTBLANK('Capacity summary'!$H174:$BG174)&lt;52,IF('Capacity summary'!AE174&lt;&gt;"",IF(LOWER('Capacity summary'!AE174)="x",$BI55*AE55,VALUE('Capacity summary'!AE174)),0),AE55*$BI55),AE55*$BI55),0)</f>
        <v>115.38461538461539</v>
      </c>
      <c r="CI55" s="311">
        <f ca="1">IF($BI55&lt;&gt;"",IF('Capacity summary'!$D$14="Yes",IF(COUNTBLANK('Capacity summary'!$H174:$BG174)&lt;52,IF('Capacity summary'!AF174&lt;&gt;"",IF(LOWER('Capacity summary'!AF174)="x",$BI55*AF55,VALUE('Capacity summary'!AF174)),0),AF55*$BI55),AF55*$BI55),0)</f>
        <v>115.38461538461539</v>
      </c>
      <c r="CJ55" s="311">
        <f ca="1">IF($BI55&lt;&gt;"",IF('Capacity summary'!$D$14="Yes",IF(COUNTBLANK('Capacity summary'!$H174:$BG174)&lt;52,IF('Capacity summary'!AG174&lt;&gt;"",IF(LOWER('Capacity summary'!AG174)="x",$BI55*AG55,VALUE('Capacity summary'!AG174)),0),AG55*$BI55),AG55*$BI55),0)</f>
        <v>115.38461538461539</v>
      </c>
      <c r="CK55" s="311">
        <f ca="1">IF($BI55&lt;&gt;"",IF('Capacity summary'!$D$14="Yes",IF(COUNTBLANK('Capacity summary'!$H174:$BG174)&lt;52,IF('Capacity summary'!AH174&lt;&gt;"",IF(LOWER('Capacity summary'!AH174)="x",$BI55*AH55,VALUE('Capacity summary'!AH174)),0),AH55*$BI55),AH55*$BI55),0)</f>
        <v>115.38461538461539</v>
      </c>
      <c r="CL55" s="311">
        <f ca="1">IF($BI55&lt;&gt;"",IF('Capacity summary'!$D$14="Yes",IF(COUNTBLANK('Capacity summary'!$H174:$BG174)&lt;52,IF('Capacity summary'!AI174&lt;&gt;"",IF(LOWER('Capacity summary'!AI174)="x",$BI55*AI55,VALUE('Capacity summary'!AI174)),0),AI55*$BI55),AI55*$BI55),0)</f>
        <v>115.38461538461539</v>
      </c>
      <c r="CM55" s="311">
        <f ca="1">IF($BI55&lt;&gt;"",IF('Capacity summary'!$D$14="Yes",IF(COUNTBLANK('Capacity summary'!$H174:$BG174)&lt;52,IF('Capacity summary'!AJ174&lt;&gt;"",IF(LOWER('Capacity summary'!AJ174)="x",$BI55*AJ55,VALUE('Capacity summary'!AJ174)),0),AJ55*$BI55),AJ55*$BI55),0)</f>
        <v>115.38461538461539</v>
      </c>
      <c r="CN55" s="311">
        <f ca="1">IF($BI55&lt;&gt;"",IF('Capacity summary'!$D$14="Yes",IF(COUNTBLANK('Capacity summary'!$H174:$BG174)&lt;52,IF('Capacity summary'!AK174&lt;&gt;"",IF(LOWER('Capacity summary'!AK174)="x",$BI55*AK55,VALUE('Capacity summary'!AK174)),0),AK55*$BI55),AK55*$BI55),0)</f>
        <v>115.38461538461539</v>
      </c>
      <c r="CO55" s="311">
        <f ca="1">IF($BI55&lt;&gt;"",IF('Capacity summary'!$D$14="Yes",IF(COUNTBLANK('Capacity summary'!$H174:$BG174)&lt;52,IF('Capacity summary'!AL174&lt;&gt;"",IF(LOWER('Capacity summary'!AL174)="x",$BI55*AL55,VALUE('Capacity summary'!AL174)),0),AL55*$BI55),AL55*$BI55),0)</f>
        <v>115.38461538461539</v>
      </c>
      <c r="CP55" s="311">
        <f ca="1">IF($BI55&lt;&gt;"",IF('Capacity summary'!$D$14="Yes",IF(COUNTBLANK('Capacity summary'!$H174:$BG174)&lt;52,IF('Capacity summary'!AM174&lt;&gt;"",IF(LOWER('Capacity summary'!AM174)="x",$BI55*AM55,VALUE('Capacity summary'!AM174)),0),AM55*$BI55),AM55*$BI55),0)</f>
        <v>115.38461538461539</v>
      </c>
      <c r="CQ55" s="311">
        <f ca="1">IF($BI55&lt;&gt;"",IF('Capacity summary'!$D$14="Yes",IF(COUNTBLANK('Capacity summary'!$H174:$BG174)&lt;52,IF('Capacity summary'!AN174&lt;&gt;"",IF(LOWER('Capacity summary'!AN174)="x",$BI55*AN55,VALUE('Capacity summary'!AN174)),0),AN55*$BI55),AN55*$BI55),0)</f>
        <v>115.38461538461539</v>
      </c>
      <c r="CR55" s="311">
        <f ca="1">IF($BI55&lt;&gt;"",IF('Capacity summary'!$D$14="Yes",IF(COUNTBLANK('Capacity summary'!$H174:$BG174)&lt;52,IF('Capacity summary'!AO174&lt;&gt;"",IF(LOWER('Capacity summary'!AO174)="x",$BI55*AO55,VALUE('Capacity summary'!AO174)),0),AO55*$BI55),AO55*$BI55),0)</f>
        <v>115.38461538461539</v>
      </c>
      <c r="CS55" s="311">
        <f ca="1">IF($BI55&lt;&gt;"",IF('Capacity summary'!$D$14="Yes",IF(COUNTBLANK('Capacity summary'!$H174:$BG174)&lt;52,IF('Capacity summary'!AP174&lt;&gt;"",IF(LOWER('Capacity summary'!AP174)="x",$BI55*AP55,VALUE('Capacity summary'!AP174)),0),AP55*$BI55),AP55*$BI55),0)</f>
        <v>115.38461538461539</v>
      </c>
      <c r="CT55" s="311">
        <f ca="1">IF($BI55&lt;&gt;"",IF('Capacity summary'!$D$14="Yes",IF(COUNTBLANK('Capacity summary'!$H174:$BG174)&lt;52,IF('Capacity summary'!AQ174&lt;&gt;"",IF(LOWER('Capacity summary'!AQ174)="x",$BI55*AQ55,VALUE('Capacity summary'!AQ174)),0),AQ55*$BI55),AQ55*$BI55),0)</f>
        <v>115.38461538461539</v>
      </c>
      <c r="CU55" s="311">
        <f ca="1">IF($BI55&lt;&gt;"",IF('Capacity summary'!$D$14="Yes",IF(COUNTBLANK('Capacity summary'!$H174:$BG174)&lt;52,IF('Capacity summary'!AR174&lt;&gt;"",IF(LOWER('Capacity summary'!AR174)="x",$BI55*AR55,VALUE('Capacity summary'!AR174)),0),AR55*$BI55),AR55*$BI55),0)</f>
        <v>115.38461538461539</v>
      </c>
      <c r="CV55" s="311">
        <f ca="1">IF($BI55&lt;&gt;"",IF('Capacity summary'!$D$14="Yes",IF(COUNTBLANK('Capacity summary'!$H174:$BG174)&lt;52,IF('Capacity summary'!AS174&lt;&gt;"",IF(LOWER('Capacity summary'!AS174)="x",$BI55*AS55,VALUE('Capacity summary'!AS174)),0),AS55*$BI55),AS55*$BI55),0)</f>
        <v>115.38461538461539</v>
      </c>
      <c r="CW55" s="311">
        <f ca="1">IF($BI55&lt;&gt;"",IF('Capacity summary'!$D$14="Yes",IF(COUNTBLANK('Capacity summary'!$H174:$BG174)&lt;52,IF('Capacity summary'!AT174&lt;&gt;"",IF(LOWER('Capacity summary'!AT174)="x",$BI55*AT55,VALUE('Capacity summary'!AT174)),0),AT55*$BI55),AT55*$BI55),0)</f>
        <v>115.38461538461539</v>
      </c>
      <c r="CX55" s="311">
        <f ca="1">IF($BI55&lt;&gt;"",IF('Capacity summary'!$D$14="Yes",IF(COUNTBLANK('Capacity summary'!$H174:$BG174)&lt;52,IF('Capacity summary'!AU174&lt;&gt;"",IF(LOWER('Capacity summary'!AU174)="x",$BI55*AU55,VALUE('Capacity summary'!AU174)),0),AU55*$BI55),AU55*$BI55),0)</f>
        <v>115.38461538461539</v>
      </c>
      <c r="CY55" s="311">
        <f ca="1">IF($BI55&lt;&gt;"",IF('Capacity summary'!$D$14="Yes",IF(COUNTBLANK('Capacity summary'!$H174:$BG174)&lt;52,IF('Capacity summary'!AV174&lt;&gt;"",IF(LOWER('Capacity summary'!AV174)="x",$BI55*AV55,VALUE('Capacity summary'!AV174)),0),AV55*$BI55),AV55*$BI55),0)</f>
        <v>115.38461538461539</v>
      </c>
      <c r="CZ55" s="311">
        <f ca="1">IF($BI55&lt;&gt;"",IF('Capacity summary'!$D$14="Yes",IF(COUNTBLANK('Capacity summary'!$H174:$BG174)&lt;52,IF('Capacity summary'!AW174&lt;&gt;"",IF(LOWER('Capacity summary'!AW174)="x",$BI55*AW55,VALUE('Capacity summary'!AW174)),0),AW55*$BI55),AW55*$BI55),0)</f>
        <v>115.38461538461539</v>
      </c>
      <c r="DA55" s="311">
        <f ca="1">IF($BI55&lt;&gt;"",IF('Capacity summary'!$D$14="Yes",IF(COUNTBLANK('Capacity summary'!$H174:$BG174)&lt;52,IF('Capacity summary'!AX174&lt;&gt;"",IF(LOWER('Capacity summary'!AX174)="x",$BI55*AX55,VALUE('Capacity summary'!AX174)),0),AX55*$BI55),AX55*$BI55),0)</f>
        <v>115.38461538461539</v>
      </c>
      <c r="DB55" s="311">
        <f ca="1">IF($BI55&lt;&gt;"",IF('Capacity summary'!$D$14="Yes",IF(COUNTBLANK('Capacity summary'!$H174:$BG174)&lt;52,IF('Capacity summary'!AY174&lt;&gt;"",IF(LOWER('Capacity summary'!AY174)="x",$BI55*AY55,VALUE('Capacity summary'!AY174)),0),AY55*$BI55),AY55*$BI55),0)</f>
        <v>115.38461538461539</v>
      </c>
      <c r="DC55" s="311">
        <f ca="1">IF($BI55&lt;&gt;"",IF('Capacity summary'!$D$14="Yes",IF(COUNTBLANK('Capacity summary'!$H174:$BG174)&lt;52,IF('Capacity summary'!AZ174&lt;&gt;"",IF(LOWER('Capacity summary'!AZ174)="x",$BI55*AZ55,VALUE('Capacity summary'!AZ174)),0),AZ55*$BI55),AZ55*$BI55),0)</f>
        <v>115.38461538461539</v>
      </c>
      <c r="DD55" s="311">
        <f ca="1">IF($BI55&lt;&gt;"",IF('Capacity summary'!$D$14="Yes",IF(COUNTBLANK('Capacity summary'!$H174:$BG174)&lt;52,IF('Capacity summary'!BA174&lt;&gt;"",IF(LOWER('Capacity summary'!BA174)="x",$BI55*BA55,VALUE('Capacity summary'!BA174)),0),BA55*$BI55),BA55*$BI55),0)</f>
        <v>115.38461538461539</v>
      </c>
      <c r="DE55" s="311">
        <f ca="1">IF($BI55&lt;&gt;"",IF('Capacity summary'!$D$14="Yes",IF(COUNTBLANK('Capacity summary'!$H174:$BG174)&lt;52,IF('Capacity summary'!BB174&lt;&gt;"",IF(LOWER('Capacity summary'!BB174)="x",$BI55*BB55,VALUE('Capacity summary'!BB174)),0),BB55*$BI55),BB55*$BI55),0)</f>
        <v>115.38461538461539</v>
      </c>
      <c r="DF55" s="311">
        <f ca="1">IF($BI55&lt;&gt;"",IF('Capacity summary'!$D$14="Yes",IF(COUNTBLANK('Capacity summary'!$H174:$BG174)&lt;52,IF('Capacity summary'!BC174&lt;&gt;"",IF(LOWER('Capacity summary'!BC174)="x",$BI55*BC55,VALUE('Capacity summary'!BC174)),0),BC55*$BI55),BC55*$BI55),0)</f>
        <v>115.38461538461539</v>
      </c>
      <c r="DG55" s="311">
        <f ca="1">IF($BI55&lt;&gt;"",IF('Capacity summary'!$D$14="Yes",IF(COUNTBLANK('Capacity summary'!$H174:$BG174)&lt;52,IF('Capacity summary'!BD174&lt;&gt;"",IF(LOWER('Capacity summary'!BD174)="x",$BI55*BD55,VALUE('Capacity summary'!BD174)),0),BD55*$BI55),BD55*$BI55),0)</f>
        <v>115.38461538461539</v>
      </c>
      <c r="DH55" s="311">
        <f ca="1">IF($BI55&lt;&gt;"",IF('Capacity summary'!$D$14="Yes",IF(COUNTBLANK('Capacity summary'!$H174:$BG174)&lt;52,IF('Capacity summary'!BE174&lt;&gt;"",IF(LOWER('Capacity summary'!BE174)="x",$BI55*BE55,VALUE('Capacity summary'!BE174)),0),BE55*$BI55),BE55*$BI55),0)</f>
        <v>115.38461538461539</v>
      </c>
      <c r="DI55" s="311">
        <f ca="1">IF($BI55&lt;&gt;"",IF('Capacity summary'!$D$14="Yes",IF(COUNTBLANK('Capacity summary'!$H174:$BG174)&lt;52,IF('Capacity summary'!BF174&lt;&gt;"",IF(LOWER('Capacity summary'!BF174)="x",$BI55*BF55,VALUE('Capacity summary'!BF174)),0),BF55*$BI55),BF55*$BI55),0)</f>
        <v>115.38461538461539</v>
      </c>
      <c r="DJ55" s="311">
        <f ca="1">IF($BI55&lt;&gt;"",IF('Capacity summary'!$D$14="Yes",IF(COUNTBLANK('Capacity summary'!$H174:$BG174)&lt;52,IF('Capacity summary'!BG174&lt;&gt;"",IF(LOWER('Capacity summary'!BG174)="x",$BI55*BG55,VALUE('Capacity summary'!BG174)),0),BG55*$BI55),BG55*$BI55),0)</f>
        <v>115.38461538461539</v>
      </c>
      <c r="DK55" s="388">
        <f t="shared" ca="1" si="2"/>
        <v>115.38461538461539</v>
      </c>
      <c r="DL55" s="136">
        <f t="shared" ca="1" si="3"/>
        <v>5999.9999999999964</v>
      </c>
      <c r="DM55" s="311">
        <f>Capacity!H67</f>
        <v>6000</v>
      </c>
      <c r="DQ55" s="5"/>
    </row>
    <row r="56" spans="1:121" x14ac:dyDescent="0.2">
      <c r="A56" s="67">
        <f>IF(Capacity!L68='Capacity summary'!BI175,1,0)</f>
        <v>1</v>
      </c>
      <c r="B56" s="67">
        <f>IF(Capacity!V68='Capacity summary'!BI75,1,0)</f>
        <v>1</v>
      </c>
      <c r="C56" s="67" t="str">
        <f>ROW(A52)&amp;". "&amp;Capacity!B68</f>
        <v>52. Slot A</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 ca="1">IF(ROW(C52)&lt;=Capacity!$A$16,IF('Capacity summary'!$D$14="No",SUM(H56:BG56),'Capacity summary'!$E175),0)</f>
        <v>52</v>
      </c>
      <c r="BI56" s="5">
        <f ca="1">IF(BH56&gt;0,IF(BH56&lt;Capacity!E68,Capacity!F68,Capacity!H68/'Capacity calculation (hide)'!BH56),"")</f>
        <v>153.84615384615384</v>
      </c>
      <c r="BK56" s="311">
        <f ca="1">IF($BI56&lt;&gt;"",IF('Capacity summary'!$D$14="Yes",IF(COUNTBLANK('Capacity summary'!$H175:$BG175)&lt;52,IF('Capacity summary'!H175&lt;&gt;"",IF(LOWER('Capacity summary'!H175)="x",$BI56*H56,VALUE('Capacity summary'!H175)),0),H56*$BI56),H56*$BI56),0)</f>
        <v>153.84615384615384</v>
      </c>
      <c r="BL56" s="311">
        <f ca="1">IF($BI56&lt;&gt;"",IF('Capacity summary'!$D$14="Yes",IF(COUNTBLANK('Capacity summary'!$H175:$BG175)&lt;52,IF('Capacity summary'!I175&lt;&gt;"",IF(LOWER('Capacity summary'!I175)="x",$BI56*I56,VALUE('Capacity summary'!I175)),0),I56*$BI56),I56*$BI56),0)</f>
        <v>153.84615384615384</v>
      </c>
      <c r="BM56" s="311">
        <f ca="1">IF($BI56&lt;&gt;"",IF('Capacity summary'!$D$14="Yes",IF(COUNTBLANK('Capacity summary'!$H175:$BG175)&lt;52,IF('Capacity summary'!J175&lt;&gt;"",IF(LOWER('Capacity summary'!J175)="x",$BI56*J56,VALUE('Capacity summary'!J175)),0),J56*$BI56),J56*$BI56),0)</f>
        <v>153.84615384615384</v>
      </c>
      <c r="BN56" s="311">
        <f ca="1">IF($BI56&lt;&gt;"",IF('Capacity summary'!$D$14="Yes",IF(COUNTBLANK('Capacity summary'!$H175:$BG175)&lt;52,IF('Capacity summary'!K175&lt;&gt;"",IF(LOWER('Capacity summary'!K175)="x",$BI56*K56,VALUE('Capacity summary'!K175)),0),K56*$BI56),K56*$BI56),0)</f>
        <v>153.84615384615384</v>
      </c>
      <c r="BO56" s="311">
        <f ca="1">IF($BI56&lt;&gt;"",IF('Capacity summary'!$D$14="Yes",IF(COUNTBLANK('Capacity summary'!$H175:$BG175)&lt;52,IF('Capacity summary'!L175&lt;&gt;"",IF(LOWER('Capacity summary'!L175)="x",$BI56*L56,VALUE('Capacity summary'!L175)),0),L56*$BI56),L56*$BI56),0)</f>
        <v>153.84615384615384</v>
      </c>
      <c r="BP56" s="311">
        <f ca="1">IF($BI56&lt;&gt;"",IF('Capacity summary'!$D$14="Yes",IF(COUNTBLANK('Capacity summary'!$H175:$BG175)&lt;52,IF('Capacity summary'!M175&lt;&gt;"",IF(LOWER('Capacity summary'!M175)="x",$BI56*M56,VALUE('Capacity summary'!M175)),0),M56*$BI56),M56*$BI56),0)</f>
        <v>153.84615384615384</v>
      </c>
      <c r="BQ56" s="311">
        <f ca="1">IF($BI56&lt;&gt;"",IF('Capacity summary'!$D$14="Yes",IF(COUNTBLANK('Capacity summary'!$H175:$BG175)&lt;52,IF('Capacity summary'!N175&lt;&gt;"",IF(LOWER('Capacity summary'!N175)="x",$BI56*N56,VALUE('Capacity summary'!N175)),0),N56*$BI56),N56*$BI56),0)</f>
        <v>153.84615384615384</v>
      </c>
      <c r="BR56" s="311">
        <f ca="1">IF($BI56&lt;&gt;"",IF('Capacity summary'!$D$14="Yes",IF(COUNTBLANK('Capacity summary'!$H175:$BG175)&lt;52,IF('Capacity summary'!O175&lt;&gt;"",IF(LOWER('Capacity summary'!O175)="x",$BI56*O56,VALUE('Capacity summary'!O175)),0),O56*$BI56),O56*$BI56),0)</f>
        <v>153.84615384615384</v>
      </c>
      <c r="BS56" s="311">
        <f ca="1">IF($BI56&lt;&gt;"",IF('Capacity summary'!$D$14="Yes",IF(COUNTBLANK('Capacity summary'!$H175:$BG175)&lt;52,IF('Capacity summary'!P175&lt;&gt;"",IF(LOWER('Capacity summary'!P175)="x",$BI56*P56,VALUE('Capacity summary'!P175)),0),P56*$BI56),P56*$BI56),0)</f>
        <v>153.84615384615384</v>
      </c>
      <c r="BT56" s="311">
        <f ca="1">IF($BI56&lt;&gt;"",IF('Capacity summary'!$D$14="Yes",IF(COUNTBLANK('Capacity summary'!$H175:$BG175)&lt;52,IF('Capacity summary'!Q175&lt;&gt;"",IF(LOWER('Capacity summary'!Q175)="x",$BI56*Q56,VALUE('Capacity summary'!Q175)),0),Q56*$BI56),Q56*$BI56),0)</f>
        <v>153.84615384615384</v>
      </c>
      <c r="BU56" s="311">
        <f ca="1">IF($BI56&lt;&gt;"",IF('Capacity summary'!$D$14="Yes",IF(COUNTBLANK('Capacity summary'!$H175:$BG175)&lt;52,IF('Capacity summary'!R175&lt;&gt;"",IF(LOWER('Capacity summary'!R175)="x",$BI56*R56,VALUE('Capacity summary'!R175)),0),R56*$BI56),R56*$BI56),0)</f>
        <v>153.84615384615384</v>
      </c>
      <c r="BV56" s="311">
        <f ca="1">IF($BI56&lt;&gt;"",IF('Capacity summary'!$D$14="Yes",IF(COUNTBLANK('Capacity summary'!$H175:$BG175)&lt;52,IF('Capacity summary'!S175&lt;&gt;"",IF(LOWER('Capacity summary'!S175)="x",$BI56*S56,VALUE('Capacity summary'!S175)),0),S56*$BI56),S56*$BI56),0)</f>
        <v>153.84615384615384</v>
      </c>
      <c r="BW56" s="311">
        <f ca="1">IF($BI56&lt;&gt;"",IF('Capacity summary'!$D$14="Yes",IF(COUNTBLANK('Capacity summary'!$H175:$BG175)&lt;52,IF('Capacity summary'!T175&lt;&gt;"",IF(LOWER('Capacity summary'!T175)="x",$BI56*T56,VALUE('Capacity summary'!T175)),0),T56*$BI56),T56*$BI56),0)</f>
        <v>153.84615384615384</v>
      </c>
      <c r="BX56" s="311">
        <f ca="1">IF($BI56&lt;&gt;"",IF('Capacity summary'!$D$14="Yes",IF(COUNTBLANK('Capacity summary'!$H175:$BG175)&lt;52,IF('Capacity summary'!U175&lt;&gt;"",IF(LOWER('Capacity summary'!U175)="x",$BI56*U56,VALUE('Capacity summary'!U175)),0),U56*$BI56),U56*$BI56),0)</f>
        <v>153.84615384615384</v>
      </c>
      <c r="BY56" s="311">
        <f ca="1">IF($BI56&lt;&gt;"",IF('Capacity summary'!$D$14="Yes",IF(COUNTBLANK('Capacity summary'!$H175:$BG175)&lt;52,IF('Capacity summary'!V175&lt;&gt;"",IF(LOWER('Capacity summary'!V175)="x",$BI56*V56,VALUE('Capacity summary'!V175)),0),V56*$BI56),V56*$BI56),0)</f>
        <v>153.84615384615384</v>
      </c>
      <c r="BZ56" s="311">
        <f ca="1">IF($BI56&lt;&gt;"",IF('Capacity summary'!$D$14="Yes",IF(COUNTBLANK('Capacity summary'!$H175:$BG175)&lt;52,IF('Capacity summary'!W175&lt;&gt;"",IF(LOWER('Capacity summary'!W175)="x",$BI56*W56,VALUE('Capacity summary'!W175)),0),W56*$BI56),W56*$BI56),0)</f>
        <v>153.84615384615384</v>
      </c>
      <c r="CA56" s="311">
        <f ca="1">IF($BI56&lt;&gt;"",IF('Capacity summary'!$D$14="Yes",IF(COUNTBLANK('Capacity summary'!$H175:$BG175)&lt;52,IF('Capacity summary'!X175&lt;&gt;"",IF(LOWER('Capacity summary'!X175)="x",$BI56*X56,VALUE('Capacity summary'!X175)),0),X56*$BI56),X56*$BI56),0)</f>
        <v>153.84615384615384</v>
      </c>
      <c r="CB56" s="311">
        <f ca="1">IF($BI56&lt;&gt;"",IF('Capacity summary'!$D$14="Yes",IF(COUNTBLANK('Capacity summary'!$H175:$BG175)&lt;52,IF('Capacity summary'!Y175&lt;&gt;"",IF(LOWER('Capacity summary'!Y175)="x",$BI56*Y56,VALUE('Capacity summary'!Y175)),0),Y56*$BI56),Y56*$BI56),0)</f>
        <v>153.84615384615384</v>
      </c>
      <c r="CC56" s="311">
        <f ca="1">IF($BI56&lt;&gt;"",IF('Capacity summary'!$D$14="Yes",IF(COUNTBLANK('Capacity summary'!$H175:$BG175)&lt;52,IF('Capacity summary'!Z175&lt;&gt;"",IF(LOWER('Capacity summary'!Z175)="x",$BI56*Z56,VALUE('Capacity summary'!Z175)),0),Z56*$BI56),Z56*$BI56),0)</f>
        <v>153.84615384615384</v>
      </c>
      <c r="CD56" s="311">
        <f ca="1">IF($BI56&lt;&gt;"",IF('Capacity summary'!$D$14="Yes",IF(COUNTBLANK('Capacity summary'!$H175:$BG175)&lt;52,IF('Capacity summary'!AA175&lt;&gt;"",IF(LOWER('Capacity summary'!AA175)="x",$BI56*AA56,VALUE('Capacity summary'!AA175)),0),AA56*$BI56),AA56*$BI56),0)</f>
        <v>153.84615384615384</v>
      </c>
      <c r="CE56" s="311">
        <f ca="1">IF($BI56&lt;&gt;"",IF('Capacity summary'!$D$14="Yes",IF(COUNTBLANK('Capacity summary'!$H175:$BG175)&lt;52,IF('Capacity summary'!AB175&lt;&gt;"",IF(LOWER('Capacity summary'!AB175)="x",$BI56*AB56,VALUE('Capacity summary'!AB175)),0),AB56*$BI56),AB56*$BI56),0)</f>
        <v>153.84615384615384</v>
      </c>
      <c r="CF56" s="311">
        <f ca="1">IF($BI56&lt;&gt;"",IF('Capacity summary'!$D$14="Yes",IF(COUNTBLANK('Capacity summary'!$H175:$BG175)&lt;52,IF('Capacity summary'!AC175&lt;&gt;"",IF(LOWER('Capacity summary'!AC175)="x",$BI56*AC56,VALUE('Capacity summary'!AC175)),0),AC56*$BI56),AC56*$BI56),0)</f>
        <v>153.84615384615384</v>
      </c>
      <c r="CG56" s="311">
        <f ca="1">IF($BI56&lt;&gt;"",IF('Capacity summary'!$D$14="Yes",IF(COUNTBLANK('Capacity summary'!$H175:$BG175)&lt;52,IF('Capacity summary'!AD175&lt;&gt;"",IF(LOWER('Capacity summary'!AD175)="x",$BI56*AD56,VALUE('Capacity summary'!AD175)),0),AD56*$BI56),AD56*$BI56),0)</f>
        <v>153.84615384615384</v>
      </c>
      <c r="CH56" s="311">
        <f ca="1">IF($BI56&lt;&gt;"",IF('Capacity summary'!$D$14="Yes",IF(COUNTBLANK('Capacity summary'!$H175:$BG175)&lt;52,IF('Capacity summary'!AE175&lt;&gt;"",IF(LOWER('Capacity summary'!AE175)="x",$BI56*AE56,VALUE('Capacity summary'!AE175)),0),AE56*$BI56),AE56*$BI56),0)</f>
        <v>153.84615384615384</v>
      </c>
      <c r="CI56" s="311">
        <f ca="1">IF($BI56&lt;&gt;"",IF('Capacity summary'!$D$14="Yes",IF(COUNTBLANK('Capacity summary'!$H175:$BG175)&lt;52,IF('Capacity summary'!AF175&lt;&gt;"",IF(LOWER('Capacity summary'!AF175)="x",$BI56*AF56,VALUE('Capacity summary'!AF175)),0),AF56*$BI56),AF56*$BI56),0)</f>
        <v>153.84615384615384</v>
      </c>
      <c r="CJ56" s="311">
        <f ca="1">IF($BI56&lt;&gt;"",IF('Capacity summary'!$D$14="Yes",IF(COUNTBLANK('Capacity summary'!$H175:$BG175)&lt;52,IF('Capacity summary'!AG175&lt;&gt;"",IF(LOWER('Capacity summary'!AG175)="x",$BI56*AG56,VALUE('Capacity summary'!AG175)),0),AG56*$BI56),AG56*$BI56),0)</f>
        <v>153.84615384615384</v>
      </c>
      <c r="CK56" s="311">
        <f ca="1">IF($BI56&lt;&gt;"",IF('Capacity summary'!$D$14="Yes",IF(COUNTBLANK('Capacity summary'!$H175:$BG175)&lt;52,IF('Capacity summary'!AH175&lt;&gt;"",IF(LOWER('Capacity summary'!AH175)="x",$BI56*AH56,VALUE('Capacity summary'!AH175)),0),AH56*$BI56),AH56*$BI56),0)</f>
        <v>153.84615384615384</v>
      </c>
      <c r="CL56" s="311">
        <f ca="1">IF($BI56&lt;&gt;"",IF('Capacity summary'!$D$14="Yes",IF(COUNTBLANK('Capacity summary'!$H175:$BG175)&lt;52,IF('Capacity summary'!AI175&lt;&gt;"",IF(LOWER('Capacity summary'!AI175)="x",$BI56*AI56,VALUE('Capacity summary'!AI175)),0),AI56*$BI56),AI56*$BI56),0)</f>
        <v>153.84615384615384</v>
      </c>
      <c r="CM56" s="311">
        <f ca="1">IF($BI56&lt;&gt;"",IF('Capacity summary'!$D$14="Yes",IF(COUNTBLANK('Capacity summary'!$H175:$BG175)&lt;52,IF('Capacity summary'!AJ175&lt;&gt;"",IF(LOWER('Capacity summary'!AJ175)="x",$BI56*AJ56,VALUE('Capacity summary'!AJ175)),0),AJ56*$BI56),AJ56*$BI56),0)</f>
        <v>153.84615384615384</v>
      </c>
      <c r="CN56" s="311">
        <f ca="1">IF($BI56&lt;&gt;"",IF('Capacity summary'!$D$14="Yes",IF(COUNTBLANK('Capacity summary'!$H175:$BG175)&lt;52,IF('Capacity summary'!AK175&lt;&gt;"",IF(LOWER('Capacity summary'!AK175)="x",$BI56*AK56,VALUE('Capacity summary'!AK175)),0),AK56*$BI56),AK56*$BI56),0)</f>
        <v>153.84615384615384</v>
      </c>
      <c r="CO56" s="311">
        <f ca="1">IF($BI56&lt;&gt;"",IF('Capacity summary'!$D$14="Yes",IF(COUNTBLANK('Capacity summary'!$H175:$BG175)&lt;52,IF('Capacity summary'!AL175&lt;&gt;"",IF(LOWER('Capacity summary'!AL175)="x",$BI56*AL56,VALUE('Capacity summary'!AL175)),0),AL56*$BI56),AL56*$BI56),0)</f>
        <v>153.84615384615384</v>
      </c>
      <c r="CP56" s="311">
        <f ca="1">IF($BI56&lt;&gt;"",IF('Capacity summary'!$D$14="Yes",IF(COUNTBLANK('Capacity summary'!$H175:$BG175)&lt;52,IF('Capacity summary'!AM175&lt;&gt;"",IF(LOWER('Capacity summary'!AM175)="x",$BI56*AM56,VALUE('Capacity summary'!AM175)),0),AM56*$BI56),AM56*$BI56),0)</f>
        <v>153.84615384615384</v>
      </c>
      <c r="CQ56" s="311">
        <f ca="1">IF($BI56&lt;&gt;"",IF('Capacity summary'!$D$14="Yes",IF(COUNTBLANK('Capacity summary'!$H175:$BG175)&lt;52,IF('Capacity summary'!AN175&lt;&gt;"",IF(LOWER('Capacity summary'!AN175)="x",$BI56*AN56,VALUE('Capacity summary'!AN175)),0),AN56*$BI56),AN56*$BI56),0)</f>
        <v>153.84615384615384</v>
      </c>
      <c r="CR56" s="311">
        <f ca="1">IF($BI56&lt;&gt;"",IF('Capacity summary'!$D$14="Yes",IF(COUNTBLANK('Capacity summary'!$H175:$BG175)&lt;52,IF('Capacity summary'!AO175&lt;&gt;"",IF(LOWER('Capacity summary'!AO175)="x",$BI56*AO56,VALUE('Capacity summary'!AO175)),0),AO56*$BI56),AO56*$BI56),0)</f>
        <v>153.84615384615384</v>
      </c>
      <c r="CS56" s="311">
        <f ca="1">IF($BI56&lt;&gt;"",IF('Capacity summary'!$D$14="Yes",IF(COUNTBLANK('Capacity summary'!$H175:$BG175)&lt;52,IF('Capacity summary'!AP175&lt;&gt;"",IF(LOWER('Capacity summary'!AP175)="x",$BI56*AP56,VALUE('Capacity summary'!AP175)),0),AP56*$BI56),AP56*$BI56),0)</f>
        <v>153.84615384615384</v>
      </c>
      <c r="CT56" s="311">
        <f ca="1">IF($BI56&lt;&gt;"",IF('Capacity summary'!$D$14="Yes",IF(COUNTBLANK('Capacity summary'!$H175:$BG175)&lt;52,IF('Capacity summary'!AQ175&lt;&gt;"",IF(LOWER('Capacity summary'!AQ175)="x",$BI56*AQ56,VALUE('Capacity summary'!AQ175)),0),AQ56*$BI56),AQ56*$BI56),0)</f>
        <v>153.84615384615384</v>
      </c>
      <c r="CU56" s="311">
        <f ca="1">IF($BI56&lt;&gt;"",IF('Capacity summary'!$D$14="Yes",IF(COUNTBLANK('Capacity summary'!$H175:$BG175)&lt;52,IF('Capacity summary'!AR175&lt;&gt;"",IF(LOWER('Capacity summary'!AR175)="x",$BI56*AR56,VALUE('Capacity summary'!AR175)),0),AR56*$BI56),AR56*$BI56),0)</f>
        <v>153.84615384615384</v>
      </c>
      <c r="CV56" s="311">
        <f ca="1">IF($BI56&lt;&gt;"",IF('Capacity summary'!$D$14="Yes",IF(COUNTBLANK('Capacity summary'!$H175:$BG175)&lt;52,IF('Capacity summary'!AS175&lt;&gt;"",IF(LOWER('Capacity summary'!AS175)="x",$BI56*AS56,VALUE('Capacity summary'!AS175)),0),AS56*$BI56),AS56*$BI56),0)</f>
        <v>153.84615384615384</v>
      </c>
      <c r="CW56" s="311">
        <f ca="1">IF($BI56&lt;&gt;"",IF('Capacity summary'!$D$14="Yes",IF(COUNTBLANK('Capacity summary'!$H175:$BG175)&lt;52,IF('Capacity summary'!AT175&lt;&gt;"",IF(LOWER('Capacity summary'!AT175)="x",$BI56*AT56,VALUE('Capacity summary'!AT175)),0),AT56*$BI56),AT56*$BI56),0)</f>
        <v>153.84615384615384</v>
      </c>
      <c r="CX56" s="311">
        <f ca="1">IF($BI56&lt;&gt;"",IF('Capacity summary'!$D$14="Yes",IF(COUNTBLANK('Capacity summary'!$H175:$BG175)&lt;52,IF('Capacity summary'!AU175&lt;&gt;"",IF(LOWER('Capacity summary'!AU175)="x",$BI56*AU56,VALUE('Capacity summary'!AU175)),0),AU56*$BI56),AU56*$BI56),0)</f>
        <v>153.84615384615384</v>
      </c>
      <c r="CY56" s="311">
        <f ca="1">IF($BI56&lt;&gt;"",IF('Capacity summary'!$D$14="Yes",IF(COUNTBLANK('Capacity summary'!$H175:$BG175)&lt;52,IF('Capacity summary'!AV175&lt;&gt;"",IF(LOWER('Capacity summary'!AV175)="x",$BI56*AV56,VALUE('Capacity summary'!AV175)),0),AV56*$BI56),AV56*$BI56),0)</f>
        <v>153.84615384615384</v>
      </c>
      <c r="CZ56" s="311">
        <f ca="1">IF($BI56&lt;&gt;"",IF('Capacity summary'!$D$14="Yes",IF(COUNTBLANK('Capacity summary'!$H175:$BG175)&lt;52,IF('Capacity summary'!AW175&lt;&gt;"",IF(LOWER('Capacity summary'!AW175)="x",$BI56*AW56,VALUE('Capacity summary'!AW175)),0),AW56*$BI56),AW56*$BI56),0)</f>
        <v>153.84615384615384</v>
      </c>
      <c r="DA56" s="311">
        <f ca="1">IF($BI56&lt;&gt;"",IF('Capacity summary'!$D$14="Yes",IF(COUNTBLANK('Capacity summary'!$H175:$BG175)&lt;52,IF('Capacity summary'!AX175&lt;&gt;"",IF(LOWER('Capacity summary'!AX175)="x",$BI56*AX56,VALUE('Capacity summary'!AX175)),0),AX56*$BI56),AX56*$BI56),0)</f>
        <v>153.84615384615384</v>
      </c>
      <c r="DB56" s="311">
        <f ca="1">IF($BI56&lt;&gt;"",IF('Capacity summary'!$D$14="Yes",IF(COUNTBLANK('Capacity summary'!$H175:$BG175)&lt;52,IF('Capacity summary'!AY175&lt;&gt;"",IF(LOWER('Capacity summary'!AY175)="x",$BI56*AY56,VALUE('Capacity summary'!AY175)),0),AY56*$BI56),AY56*$BI56),0)</f>
        <v>153.84615384615384</v>
      </c>
      <c r="DC56" s="311">
        <f ca="1">IF($BI56&lt;&gt;"",IF('Capacity summary'!$D$14="Yes",IF(COUNTBLANK('Capacity summary'!$H175:$BG175)&lt;52,IF('Capacity summary'!AZ175&lt;&gt;"",IF(LOWER('Capacity summary'!AZ175)="x",$BI56*AZ56,VALUE('Capacity summary'!AZ175)),0),AZ56*$BI56),AZ56*$BI56),0)</f>
        <v>153.84615384615384</v>
      </c>
      <c r="DD56" s="311">
        <f ca="1">IF($BI56&lt;&gt;"",IF('Capacity summary'!$D$14="Yes",IF(COUNTBLANK('Capacity summary'!$H175:$BG175)&lt;52,IF('Capacity summary'!BA175&lt;&gt;"",IF(LOWER('Capacity summary'!BA175)="x",$BI56*BA56,VALUE('Capacity summary'!BA175)),0),BA56*$BI56),BA56*$BI56),0)</f>
        <v>153.84615384615384</v>
      </c>
      <c r="DE56" s="311">
        <f ca="1">IF($BI56&lt;&gt;"",IF('Capacity summary'!$D$14="Yes",IF(COUNTBLANK('Capacity summary'!$H175:$BG175)&lt;52,IF('Capacity summary'!BB175&lt;&gt;"",IF(LOWER('Capacity summary'!BB175)="x",$BI56*BB56,VALUE('Capacity summary'!BB175)),0),BB56*$BI56),BB56*$BI56),0)</f>
        <v>153.84615384615384</v>
      </c>
      <c r="DF56" s="311">
        <f ca="1">IF($BI56&lt;&gt;"",IF('Capacity summary'!$D$14="Yes",IF(COUNTBLANK('Capacity summary'!$H175:$BG175)&lt;52,IF('Capacity summary'!BC175&lt;&gt;"",IF(LOWER('Capacity summary'!BC175)="x",$BI56*BC56,VALUE('Capacity summary'!BC175)),0),BC56*$BI56),BC56*$BI56),0)</f>
        <v>153.84615384615384</v>
      </c>
      <c r="DG56" s="311">
        <f ca="1">IF($BI56&lt;&gt;"",IF('Capacity summary'!$D$14="Yes",IF(COUNTBLANK('Capacity summary'!$H175:$BG175)&lt;52,IF('Capacity summary'!BD175&lt;&gt;"",IF(LOWER('Capacity summary'!BD175)="x",$BI56*BD56,VALUE('Capacity summary'!BD175)),0),BD56*$BI56),BD56*$BI56),0)</f>
        <v>153.84615384615384</v>
      </c>
      <c r="DH56" s="311">
        <f ca="1">IF($BI56&lt;&gt;"",IF('Capacity summary'!$D$14="Yes",IF(COUNTBLANK('Capacity summary'!$H175:$BG175)&lt;52,IF('Capacity summary'!BE175&lt;&gt;"",IF(LOWER('Capacity summary'!BE175)="x",$BI56*BE56,VALUE('Capacity summary'!BE175)),0),BE56*$BI56),BE56*$BI56),0)</f>
        <v>153.84615384615384</v>
      </c>
      <c r="DI56" s="311">
        <f ca="1">IF($BI56&lt;&gt;"",IF('Capacity summary'!$D$14="Yes",IF(COUNTBLANK('Capacity summary'!$H175:$BG175)&lt;52,IF('Capacity summary'!BF175&lt;&gt;"",IF(LOWER('Capacity summary'!BF175)="x",$BI56*BF56,VALUE('Capacity summary'!BF175)),0),BF56*$BI56),BF56*$BI56),0)</f>
        <v>153.84615384615384</v>
      </c>
      <c r="DJ56" s="311">
        <f ca="1">IF($BI56&lt;&gt;"",IF('Capacity summary'!$D$14="Yes",IF(COUNTBLANK('Capacity summary'!$H175:$BG175)&lt;52,IF('Capacity summary'!BG175&lt;&gt;"",IF(LOWER('Capacity summary'!BG175)="x",$BI56*BG56,VALUE('Capacity summary'!BG175)),0),BG56*$BI56),BG56*$BI56),0)</f>
        <v>153.84615384615384</v>
      </c>
      <c r="DK56" s="388">
        <f t="shared" ca="1" si="2"/>
        <v>153.84615384615384</v>
      </c>
      <c r="DL56" s="136">
        <f t="shared" ca="1" si="3"/>
        <v>8000.00000000001</v>
      </c>
      <c r="DM56" s="311">
        <f>Capacity!H68</f>
        <v>8000</v>
      </c>
      <c r="DQ56" s="5"/>
    </row>
    <row r="57" spans="1:121" x14ac:dyDescent="0.2">
      <c r="A57" s="67">
        <f>IF(Capacity!L69='Capacity summary'!BI176,1,0)</f>
        <v>1</v>
      </c>
      <c r="B57" s="67">
        <f>IF(Capacity!V69='Capacity summary'!BI76,1,0)</f>
        <v>1</v>
      </c>
      <c r="C57" s="67" t="str">
        <f>ROW(A53)&amp;". "&amp;Capacity!B69</f>
        <v>53. Slot B</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 ca="1">IF(ROW(C53)&lt;=Capacity!$A$16,IF('Capacity summary'!$D$14="No",SUM(H57:BG57),'Capacity summary'!$E176),0)</f>
        <v>52</v>
      </c>
      <c r="BI57" s="5">
        <f ca="1">IF(BH57&gt;0,IF(BH57&lt;Capacity!E69,Capacity!F69,Capacity!H69/'Capacity calculation (hide)'!BH57),"")</f>
        <v>96.15384615384616</v>
      </c>
      <c r="BK57" s="311">
        <f ca="1">IF($BI57&lt;&gt;"",IF('Capacity summary'!$D$14="Yes",IF(COUNTBLANK('Capacity summary'!$H176:$BG176)&lt;52,IF('Capacity summary'!H176&lt;&gt;"",IF(LOWER('Capacity summary'!H176)="x",$BI57*H57,VALUE('Capacity summary'!H176)),0),H57*$BI57),H57*$BI57),0)</f>
        <v>96.15384615384616</v>
      </c>
      <c r="BL57" s="311">
        <f ca="1">IF($BI57&lt;&gt;"",IF('Capacity summary'!$D$14="Yes",IF(COUNTBLANK('Capacity summary'!$H176:$BG176)&lt;52,IF('Capacity summary'!I176&lt;&gt;"",IF(LOWER('Capacity summary'!I176)="x",$BI57*I57,VALUE('Capacity summary'!I176)),0),I57*$BI57),I57*$BI57),0)</f>
        <v>96.15384615384616</v>
      </c>
      <c r="BM57" s="311">
        <f ca="1">IF($BI57&lt;&gt;"",IF('Capacity summary'!$D$14="Yes",IF(COUNTBLANK('Capacity summary'!$H176:$BG176)&lt;52,IF('Capacity summary'!J176&lt;&gt;"",IF(LOWER('Capacity summary'!J176)="x",$BI57*J57,VALUE('Capacity summary'!J176)),0),J57*$BI57),J57*$BI57),0)</f>
        <v>96.15384615384616</v>
      </c>
      <c r="BN57" s="311">
        <f ca="1">IF($BI57&lt;&gt;"",IF('Capacity summary'!$D$14="Yes",IF(COUNTBLANK('Capacity summary'!$H176:$BG176)&lt;52,IF('Capacity summary'!K176&lt;&gt;"",IF(LOWER('Capacity summary'!K176)="x",$BI57*K57,VALUE('Capacity summary'!K176)),0),K57*$BI57),K57*$BI57),0)</f>
        <v>96.15384615384616</v>
      </c>
      <c r="BO57" s="311">
        <f ca="1">IF($BI57&lt;&gt;"",IF('Capacity summary'!$D$14="Yes",IF(COUNTBLANK('Capacity summary'!$H176:$BG176)&lt;52,IF('Capacity summary'!L176&lt;&gt;"",IF(LOWER('Capacity summary'!L176)="x",$BI57*L57,VALUE('Capacity summary'!L176)),0),L57*$BI57),L57*$BI57),0)</f>
        <v>96.15384615384616</v>
      </c>
      <c r="BP57" s="311">
        <f ca="1">IF($BI57&lt;&gt;"",IF('Capacity summary'!$D$14="Yes",IF(COUNTBLANK('Capacity summary'!$H176:$BG176)&lt;52,IF('Capacity summary'!M176&lt;&gt;"",IF(LOWER('Capacity summary'!M176)="x",$BI57*M57,VALUE('Capacity summary'!M176)),0),M57*$BI57),M57*$BI57),0)</f>
        <v>96.15384615384616</v>
      </c>
      <c r="BQ57" s="311">
        <f ca="1">IF($BI57&lt;&gt;"",IF('Capacity summary'!$D$14="Yes",IF(COUNTBLANK('Capacity summary'!$H176:$BG176)&lt;52,IF('Capacity summary'!N176&lt;&gt;"",IF(LOWER('Capacity summary'!N176)="x",$BI57*N57,VALUE('Capacity summary'!N176)),0),N57*$BI57),N57*$BI57),0)</f>
        <v>96.15384615384616</v>
      </c>
      <c r="BR57" s="311">
        <f ca="1">IF($BI57&lt;&gt;"",IF('Capacity summary'!$D$14="Yes",IF(COUNTBLANK('Capacity summary'!$H176:$BG176)&lt;52,IF('Capacity summary'!O176&lt;&gt;"",IF(LOWER('Capacity summary'!O176)="x",$BI57*O57,VALUE('Capacity summary'!O176)),0),O57*$BI57),O57*$BI57),0)</f>
        <v>96.15384615384616</v>
      </c>
      <c r="BS57" s="311">
        <f ca="1">IF($BI57&lt;&gt;"",IF('Capacity summary'!$D$14="Yes",IF(COUNTBLANK('Capacity summary'!$H176:$BG176)&lt;52,IF('Capacity summary'!P176&lt;&gt;"",IF(LOWER('Capacity summary'!P176)="x",$BI57*P57,VALUE('Capacity summary'!P176)),0),P57*$BI57),P57*$BI57),0)</f>
        <v>96.15384615384616</v>
      </c>
      <c r="BT57" s="311">
        <f ca="1">IF($BI57&lt;&gt;"",IF('Capacity summary'!$D$14="Yes",IF(COUNTBLANK('Capacity summary'!$H176:$BG176)&lt;52,IF('Capacity summary'!Q176&lt;&gt;"",IF(LOWER('Capacity summary'!Q176)="x",$BI57*Q57,VALUE('Capacity summary'!Q176)),0),Q57*$BI57),Q57*$BI57),0)</f>
        <v>96.15384615384616</v>
      </c>
      <c r="BU57" s="311">
        <f ca="1">IF($BI57&lt;&gt;"",IF('Capacity summary'!$D$14="Yes",IF(COUNTBLANK('Capacity summary'!$H176:$BG176)&lt;52,IF('Capacity summary'!R176&lt;&gt;"",IF(LOWER('Capacity summary'!R176)="x",$BI57*R57,VALUE('Capacity summary'!R176)),0),R57*$BI57),R57*$BI57),0)</f>
        <v>96.15384615384616</v>
      </c>
      <c r="BV57" s="311">
        <f ca="1">IF($BI57&lt;&gt;"",IF('Capacity summary'!$D$14="Yes",IF(COUNTBLANK('Capacity summary'!$H176:$BG176)&lt;52,IF('Capacity summary'!S176&lt;&gt;"",IF(LOWER('Capacity summary'!S176)="x",$BI57*S57,VALUE('Capacity summary'!S176)),0),S57*$BI57),S57*$BI57),0)</f>
        <v>96.15384615384616</v>
      </c>
      <c r="BW57" s="311">
        <f ca="1">IF($BI57&lt;&gt;"",IF('Capacity summary'!$D$14="Yes",IF(COUNTBLANK('Capacity summary'!$H176:$BG176)&lt;52,IF('Capacity summary'!T176&lt;&gt;"",IF(LOWER('Capacity summary'!T176)="x",$BI57*T57,VALUE('Capacity summary'!T176)),0),T57*$BI57),T57*$BI57),0)</f>
        <v>96.15384615384616</v>
      </c>
      <c r="BX57" s="311">
        <f ca="1">IF($BI57&lt;&gt;"",IF('Capacity summary'!$D$14="Yes",IF(COUNTBLANK('Capacity summary'!$H176:$BG176)&lt;52,IF('Capacity summary'!U176&lt;&gt;"",IF(LOWER('Capacity summary'!U176)="x",$BI57*U57,VALUE('Capacity summary'!U176)),0),U57*$BI57),U57*$BI57),0)</f>
        <v>96.15384615384616</v>
      </c>
      <c r="BY57" s="311">
        <f ca="1">IF($BI57&lt;&gt;"",IF('Capacity summary'!$D$14="Yes",IF(COUNTBLANK('Capacity summary'!$H176:$BG176)&lt;52,IF('Capacity summary'!V176&lt;&gt;"",IF(LOWER('Capacity summary'!V176)="x",$BI57*V57,VALUE('Capacity summary'!V176)),0),V57*$BI57),V57*$BI57),0)</f>
        <v>96.15384615384616</v>
      </c>
      <c r="BZ57" s="311">
        <f ca="1">IF($BI57&lt;&gt;"",IF('Capacity summary'!$D$14="Yes",IF(COUNTBLANK('Capacity summary'!$H176:$BG176)&lt;52,IF('Capacity summary'!W176&lt;&gt;"",IF(LOWER('Capacity summary'!W176)="x",$BI57*W57,VALUE('Capacity summary'!W176)),0),W57*$BI57),W57*$BI57),0)</f>
        <v>96.15384615384616</v>
      </c>
      <c r="CA57" s="311">
        <f ca="1">IF($BI57&lt;&gt;"",IF('Capacity summary'!$D$14="Yes",IF(COUNTBLANK('Capacity summary'!$H176:$BG176)&lt;52,IF('Capacity summary'!X176&lt;&gt;"",IF(LOWER('Capacity summary'!X176)="x",$BI57*X57,VALUE('Capacity summary'!X176)),0),X57*$BI57),X57*$BI57),0)</f>
        <v>96.15384615384616</v>
      </c>
      <c r="CB57" s="311">
        <f ca="1">IF($BI57&lt;&gt;"",IF('Capacity summary'!$D$14="Yes",IF(COUNTBLANK('Capacity summary'!$H176:$BG176)&lt;52,IF('Capacity summary'!Y176&lt;&gt;"",IF(LOWER('Capacity summary'!Y176)="x",$BI57*Y57,VALUE('Capacity summary'!Y176)),0),Y57*$BI57),Y57*$BI57),0)</f>
        <v>96.15384615384616</v>
      </c>
      <c r="CC57" s="311">
        <f ca="1">IF($BI57&lt;&gt;"",IF('Capacity summary'!$D$14="Yes",IF(COUNTBLANK('Capacity summary'!$H176:$BG176)&lt;52,IF('Capacity summary'!Z176&lt;&gt;"",IF(LOWER('Capacity summary'!Z176)="x",$BI57*Z57,VALUE('Capacity summary'!Z176)),0),Z57*$BI57),Z57*$BI57),0)</f>
        <v>96.15384615384616</v>
      </c>
      <c r="CD57" s="311">
        <f ca="1">IF($BI57&lt;&gt;"",IF('Capacity summary'!$D$14="Yes",IF(COUNTBLANK('Capacity summary'!$H176:$BG176)&lt;52,IF('Capacity summary'!AA176&lt;&gt;"",IF(LOWER('Capacity summary'!AA176)="x",$BI57*AA57,VALUE('Capacity summary'!AA176)),0),AA57*$BI57),AA57*$BI57),0)</f>
        <v>96.15384615384616</v>
      </c>
      <c r="CE57" s="311">
        <f ca="1">IF($BI57&lt;&gt;"",IF('Capacity summary'!$D$14="Yes",IF(COUNTBLANK('Capacity summary'!$H176:$BG176)&lt;52,IF('Capacity summary'!AB176&lt;&gt;"",IF(LOWER('Capacity summary'!AB176)="x",$BI57*AB57,VALUE('Capacity summary'!AB176)),0),AB57*$BI57),AB57*$BI57),0)</f>
        <v>96.15384615384616</v>
      </c>
      <c r="CF57" s="311">
        <f ca="1">IF($BI57&lt;&gt;"",IF('Capacity summary'!$D$14="Yes",IF(COUNTBLANK('Capacity summary'!$H176:$BG176)&lt;52,IF('Capacity summary'!AC176&lt;&gt;"",IF(LOWER('Capacity summary'!AC176)="x",$BI57*AC57,VALUE('Capacity summary'!AC176)),0),AC57*$BI57),AC57*$BI57),0)</f>
        <v>96.15384615384616</v>
      </c>
      <c r="CG57" s="311">
        <f ca="1">IF($BI57&lt;&gt;"",IF('Capacity summary'!$D$14="Yes",IF(COUNTBLANK('Capacity summary'!$H176:$BG176)&lt;52,IF('Capacity summary'!AD176&lt;&gt;"",IF(LOWER('Capacity summary'!AD176)="x",$BI57*AD57,VALUE('Capacity summary'!AD176)),0),AD57*$BI57),AD57*$BI57),0)</f>
        <v>96.15384615384616</v>
      </c>
      <c r="CH57" s="311">
        <f ca="1">IF($BI57&lt;&gt;"",IF('Capacity summary'!$D$14="Yes",IF(COUNTBLANK('Capacity summary'!$H176:$BG176)&lt;52,IF('Capacity summary'!AE176&lt;&gt;"",IF(LOWER('Capacity summary'!AE176)="x",$BI57*AE57,VALUE('Capacity summary'!AE176)),0),AE57*$BI57),AE57*$BI57),0)</f>
        <v>96.15384615384616</v>
      </c>
      <c r="CI57" s="311">
        <f ca="1">IF($BI57&lt;&gt;"",IF('Capacity summary'!$D$14="Yes",IF(COUNTBLANK('Capacity summary'!$H176:$BG176)&lt;52,IF('Capacity summary'!AF176&lt;&gt;"",IF(LOWER('Capacity summary'!AF176)="x",$BI57*AF57,VALUE('Capacity summary'!AF176)),0),AF57*$BI57),AF57*$BI57),0)</f>
        <v>96.15384615384616</v>
      </c>
      <c r="CJ57" s="311">
        <f ca="1">IF($BI57&lt;&gt;"",IF('Capacity summary'!$D$14="Yes",IF(COUNTBLANK('Capacity summary'!$H176:$BG176)&lt;52,IF('Capacity summary'!AG176&lt;&gt;"",IF(LOWER('Capacity summary'!AG176)="x",$BI57*AG57,VALUE('Capacity summary'!AG176)),0),AG57*$BI57),AG57*$BI57),0)</f>
        <v>96.15384615384616</v>
      </c>
      <c r="CK57" s="311">
        <f ca="1">IF($BI57&lt;&gt;"",IF('Capacity summary'!$D$14="Yes",IF(COUNTBLANK('Capacity summary'!$H176:$BG176)&lt;52,IF('Capacity summary'!AH176&lt;&gt;"",IF(LOWER('Capacity summary'!AH176)="x",$BI57*AH57,VALUE('Capacity summary'!AH176)),0),AH57*$BI57),AH57*$BI57),0)</f>
        <v>96.15384615384616</v>
      </c>
      <c r="CL57" s="311">
        <f ca="1">IF($BI57&lt;&gt;"",IF('Capacity summary'!$D$14="Yes",IF(COUNTBLANK('Capacity summary'!$H176:$BG176)&lt;52,IF('Capacity summary'!AI176&lt;&gt;"",IF(LOWER('Capacity summary'!AI176)="x",$BI57*AI57,VALUE('Capacity summary'!AI176)),0),AI57*$BI57),AI57*$BI57),0)</f>
        <v>96.15384615384616</v>
      </c>
      <c r="CM57" s="311">
        <f ca="1">IF($BI57&lt;&gt;"",IF('Capacity summary'!$D$14="Yes",IF(COUNTBLANK('Capacity summary'!$H176:$BG176)&lt;52,IF('Capacity summary'!AJ176&lt;&gt;"",IF(LOWER('Capacity summary'!AJ176)="x",$BI57*AJ57,VALUE('Capacity summary'!AJ176)),0),AJ57*$BI57),AJ57*$BI57),0)</f>
        <v>96.15384615384616</v>
      </c>
      <c r="CN57" s="311">
        <f ca="1">IF($BI57&lt;&gt;"",IF('Capacity summary'!$D$14="Yes",IF(COUNTBLANK('Capacity summary'!$H176:$BG176)&lt;52,IF('Capacity summary'!AK176&lt;&gt;"",IF(LOWER('Capacity summary'!AK176)="x",$BI57*AK57,VALUE('Capacity summary'!AK176)),0),AK57*$BI57),AK57*$BI57),0)</f>
        <v>96.15384615384616</v>
      </c>
      <c r="CO57" s="311">
        <f ca="1">IF($BI57&lt;&gt;"",IF('Capacity summary'!$D$14="Yes",IF(COUNTBLANK('Capacity summary'!$H176:$BG176)&lt;52,IF('Capacity summary'!AL176&lt;&gt;"",IF(LOWER('Capacity summary'!AL176)="x",$BI57*AL57,VALUE('Capacity summary'!AL176)),0),AL57*$BI57),AL57*$BI57),0)</f>
        <v>96.15384615384616</v>
      </c>
      <c r="CP57" s="311">
        <f ca="1">IF($BI57&lt;&gt;"",IF('Capacity summary'!$D$14="Yes",IF(COUNTBLANK('Capacity summary'!$H176:$BG176)&lt;52,IF('Capacity summary'!AM176&lt;&gt;"",IF(LOWER('Capacity summary'!AM176)="x",$BI57*AM57,VALUE('Capacity summary'!AM176)),0),AM57*$BI57),AM57*$BI57),0)</f>
        <v>96.15384615384616</v>
      </c>
      <c r="CQ57" s="311">
        <f ca="1">IF($BI57&lt;&gt;"",IF('Capacity summary'!$D$14="Yes",IF(COUNTBLANK('Capacity summary'!$H176:$BG176)&lt;52,IF('Capacity summary'!AN176&lt;&gt;"",IF(LOWER('Capacity summary'!AN176)="x",$BI57*AN57,VALUE('Capacity summary'!AN176)),0),AN57*$BI57),AN57*$BI57),0)</f>
        <v>96.15384615384616</v>
      </c>
      <c r="CR57" s="311">
        <f ca="1">IF($BI57&lt;&gt;"",IF('Capacity summary'!$D$14="Yes",IF(COUNTBLANK('Capacity summary'!$H176:$BG176)&lt;52,IF('Capacity summary'!AO176&lt;&gt;"",IF(LOWER('Capacity summary'!AO176)="x",$BI57*AO57,VALUE('Capacity summary'!AO176)),0),AO57*$BI57),AO57*$BI57),0)</f>
        <v>96.15384615384616</v>
      </c>
      <c r="CS57" s="311">
        <f ca="1">IF($BI57&lt;&gt;"",IF('Capacity summary'!$D$14="Yes",IF(COUNTBLANK('Capacity summary'!$H176:$BG176)&lt;52,IF('Capacity summary'!AP176&lt;&gt;"",IF(LOWER('Capacity summary'!AP176)="x",$BI57*AP57,VALUE('Capacity summary'!AP176)),0),AP57*$BI57),AP57*$BI57),0)</f>
        <v>96.15384615384616</v>
      </c>
      <c r="CT57" s="311">
        <f ca="1">IF($BI57&lt;&gt;"",IF('Capacity summary'!$D$14="Yes",IF(COUNTBLANK('Capacity summary'!$H176:$BG176)&lt;52,IF('Capacity summary'!AQ176&lt;&gt;"",IF(LOWER('Capacity summary'!AQ176)="x",$BI57*AQ57,VALUE('Capacity summary'!AQ176)),0),AQ57*$BI57),AQ57*$BI57),0)</f>
        <v>96.15384615384616</v>
      </c>
      <c r="CU57" s="311">
        <f ca="1">IF($BI57&lt;&gt;"",IF('Capacity summary'!$D$14="Yes",IF(COUNTBLANK('Capacity summary'!$H176:$BG176)&lt;52,IF('Capacity summary'!AR176&lt;&gt;"",IF(LOWER('Capacity summary'!AR176)="x",$BI57*AR57,VALUE('Capacity summary'!AR176)),0),AR57*$BI57),AR57*$BI57),0)</f>
        <v>96.15384615384616</v>
      </c>
      <c r="CV57" s="311">
        <f ca="1">IF($BI57&lt;&gt;"",IF('Capacity summary'!$D$14="Yes",IF(COUNTBLANK('Capacity summary'!$H176:$BG176)&lt;52,IF('Capacity summary'!AS176&lt;&gt;"",IF(LOWER('Capacity summary'!AS176)="x",$BI57*AS57,VALUE('Capacity summary'!AS176)),0),AS57*$BI57),AS57*$BI57),0)</f>
        <v>96.15384615384616</v>
      </c>
      <c r="CW57" s="311">
        <f ca="1">IF($BI57&lt;&gt;"",IF('Capacity summary'!$D$14="Yes",IF(COUNTBLANK('Capacity summary'!$H176:$BG176)&lt;52,IF('Capacity summary'!AT176&lt;&gt;"",IF(LOWER('Capacity summary'!AT176)="x",$BI57*AT57,VALUE('Capacity summary'!AT176)),0),AT57*$BI57),AT57*$BI57),0)</f>
        <v>96.15384615384616</v>
      </c>
      <c r="CX57" s="311">
        <f ca="1">IF($BI57&lt;&gt;"",IF('Capacity summary'!$D$14="Yes",IF(COUNTBLANK('Capacity summary'!$H176:$BG176)&lt;52,IF('Capacity summary'!AU176&lt;&gt;"",IF(LOWER('Capacity summary'!AU176)="x",$BI57*AU57,VALUE('Capacity summary'!AU176)),0),AU57*$BI57),AU57*$BI57),0)</f>
        <v>96.15384615384616</v>
      </c>
      <c r="CY57" s="311">
        <f ca="1">IF($BI57&lt;&gt;"",IF('Capacity summary'!$D$14="Yes",IF(COUNTBLANK('Capacity summary'!$H176:$BG176)&lt;52,IF('Capacity summary'!AV176&lt;&gt;"",IF(LOWER('Capacity summary'!AV176)="x",$BI57*AV57,VALUE('Capacity summary'!AV176)),0),AV57*$BI57),AV57*$BI57),0)</f>
        <v>96.15384615384616</v>
      </c>
      <c r="CZ57" s="311">
        <f ca="1">IF($BI57&lt;&gt;"",IF('Capacity summary'!$D$14="Yes",IF(COUNTBLANK('Capacity summary'!$H176:$BG176)&lt;52,IF('Capacity summary'!AW176&lt;&gt;"",IF(LOWER('Capacity summary'!AW176)="x",$BI57*AW57,VALUE('Capacity summary'!AW176)),0),AW57*$BI57),AW57*$BI57),0)</f>
        <v>96.15384615384616</v>
      </c>
      <c r="DA57" s="311">
        <f ca="1">IF($BI57&lt;&gt;"",IF('Capacity summary'!$D$14="Yes",IF(COUNTBLANK('Capacity summary'!$H176:$BG176)&lt;52,IF('Capacity summary'!AX176&lt;&gt;"",IF(LOWER('Capacity summary'!AX176)="x",$BI57*AX57,VALUE('Capacity summary'!AX176)),0),AX57*$BI57),AX57*$BI57),0)</f>
        <v>96.15384615384616</v>
      </c>
      <c r="DB57" s="311">
        <f ca="1">IF($BI57&lt;&gt;"",IF('Capacity summary'!$D$14="Yes",IF(COUNTBLANK('Capacity summary'!$H176:$BG176)&lt;52,IF('Capacity summary'!AY176&lt;&gt;"",IF(LOWER('Capacity summary'!AY176)="x",$BI57*AY57,VALUE('Capacity summary'!AY176)),0),AY57*$BI57),AY57*$BI57),0)</f>
        <v>96.15384615384616</v>
      </c>
      <c r="DC57" s="311">
        <f ca="1">IF($BI57&lt;&gt;"",IF('Capacity summary'!$D$14="Yes",IF(COUNTBLANK('Capacity summary'!$H176:$BG176)&lt;52,IF('Capacity summary'!AZ176&lt;&gt;"",IF(LOWER('Capacity summary'!AZ176)="x",$BI57*AZ57,VALUE('Capacity summary'!AZ176)),0),AZ57*$BI57),AZ57*$BI57),0)</f>
        <v>96.15384615384616</v>
      </c>
      <c r="DD57" s="311">
        <f ca="1">IF($BI57&lt;&gt;"",IF('Capacity summary'!$D$14="Yes",IF(COUNTBLANK('Capacity summary'!$H176:$BG176)&lt;52,IF('Capacity summary'!BA176&lt;&gt;"",IF(LOWER('Capacity summary'!BA176)="x",$BI57*BA57,VALUE('Capacity summary'!BA176)),0),BA57*$BI57),BA57*$BI57),0)</f>
        <v>96.15384615384616</v>
      </c>
      <c r="DE57" s="311">
        <f ca="1">IF($BI57&lt;&gt;"",IF('Capacity summary'!$D$14="Yes",IF(COUNTBLANK('Capacity summary'!$H176:$BG176)&lt;52,IF('Capacity summary'!BB176&lt;&gt;"",IF(LOWER('Capacity summary'!BB176)="x",$BI57*BB57,VALUE('Capacity summary'!BB176)),0),BB57*$BI57),BB57*$BI57),0)</f>
        <v>96.15384615384616</v>
      </c>
      <c r="DF57" s="311">
        <f ca="1">IF($BI57&lt;&gt;"",IF('Capacity summary'!$D$14="Yes",IF(COUNTBLANK('Capacity summary'!$H176:$BG176)&lt;52,IF('Capacity summary'!BC176&lt;&gt;"",IF(LOWER('Capacity summary'!BC176)="x",$BI57*BC57,VALUE('Capacity summary'!BC176)),0),BC57*$BI57),BC57*$BI57),0)</f>
        <v>96.15384615384616</v>
      </c>
      <c r="DG57" s="311">
        <f ca="1">IF($BI57&lt;&gt;"",IF('Capacity summary'!$D$14="Yes",IF(COUNTBLANK('Capacity summary'!$H176:$BG176)&lt;52,IF('Capacity summary'!BD176&lt;&gt;"",IF(LOWER('Capacity summary'!BD176)="x",$BI57*BD57,VALUE('Capacity summary'!BD176)),0),BD57*$BI57),BD57*$BI57),0)</f>
        <v>96.15384615384616</v>
      </c>
      <c r="DH57" s="311">
        <f ca="1">IF($BI57&lt;&gt;"",IF('Capacity summary'!$D$14="Yes",IF(COUNTBLANK('Capacity summary'!$H176:$BG176)&lt;52,IF('Capacity summary'!BE176&lt;&gt;"",IF(LOWER('Capacity summary'!BE176)="x",$BI57*BE57,VALUE('Capacity summary'!BE176)),0),BE57*$BI57),BE57*$BI57),0)</f>
        <v>96.15384615384616</v>
      </c>
      <c r="DI57" s="311">
        <f ca="1">IF($BI57&lt;&gt;"",IF('Capacity summary'!$D$14="Yes",IF(COUNTBLANK('Capacity summary'!$H176:$BG176)&lt;52,IF('Capacity summary'!BF176&lt;&gt;"",IF(LOWER('Capacity summary'!BF176)="x",$BI57*BF57,VALUE('Capacity summary'!BF176)),0),BF57*$BI57),BF57*$BI57),0)</f>
        <v>96.15384615384616</v>
      </c>
      <c r="DJ57" s="311">
        <f ca="1">IF($BI57&lt;&gt;"",IF('Capacity summary'!$D$14="Yes",IF(COUNTBLANK('Capacity summary'!$H176:$BG176)&lt;52,IF('Capacity summary'!BG176&lt;&gt;"",IF(LOWER('Capacity summary'!BG176)="x",$BI57*BG57,VALUE('Capacity summary'!BG176)),0),BG57*$BI57),BG57*$BI57),0)</f>
        <v>96.15384615384616</v>
      </c>
      <c r="DK57" s="388">
        <f t="shared" ca="1" si="2"/>
        <v>96.15384615384616</v>
      </c>
      <c r="DL57" s="136">
        <f t="shared" ca="1" si="3"/>
        <v>4999.9999999999973</v>
      </c>
      <c r="DM57" s="311">
        <f>Capacity!H69</f>
        <v>5000</v>
      </c>
    </row>
    <row r="58" spans="1:121" x14ac:dyDescent="0.2">
      <c r="A58" s="67">
        <f>IF(Capacity!L70='Capacity summary'!BI177,1,0)</f>
        <v>1</v>
      </c>
      <c r="B58" s="67">
        <f>IF(Capacity!V70='Capacity summary'!BI77,1,0)</f>
        <v>1</v>
      </c>
      <c r="C58" s="67" t="str">
        <f>ROW(A54)&amp;". "&amp;Capacity!B70</f>
        <v>54. 2 ww</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 ca="1">IF(ROW(C54)&lt;=Capacity!$A$16,IF('Capacity summary'!$D$14="No",SUM(H58:BG58),'Capacity summary'!$E177),0)</f>
        <v>52</v>
      </c>
      <c r="BI58" s="5">
        <f ca="1">IF(BH58&gt;0,IF(BH58&lt;Capacity!E70,Capacity!F70,Capacity!H70/'Capacity calculation (hide)'!BH58),"")</f>
        <v>115.38461538461539</v>
      </c>
      <c r="BK58" s="311">
        <f ca="1">IF($BI58&lt;&gt;"",IF('Capacity summary'!$D$14="Yes",IF(COUNTBLANK('Capacity summary'!$H177:$BG177)&lt;52,IF('Capacity summary'!H177&lt;&gt;"",IF(LOWER('Capacity summary'!H177)="x",$BI58*H58,VALUE('Capacity summary'!H177)),0),H58*$BI58),H58*$BI58),0)</f>
        <v>115.38461538461539</v>
      </c>
      <c r="BL58" s="311">
        <f ca="1">IF($BI58&lt;&gt;"",IF('Capacity summary'!$D$14="Yes",IF(COUNTBLANK('Capacity summary'!$H177:$BG177)&lt;52,IF('Capacity summary'!I177&lt;&gt;"",IF(LOWER('Capacity summary'!I177)="x",$BI58*I58,VALUE('Capacity summary'!I177)),0),I58*$BI58),I58*$BI58),0)</f>
        <v>115.38461538461539</v>
      </c>
      <c r="BM58" s="311">
        <f ca="1">IF($BI58&lt;&gt;"",IF('Capacity summary'!$D$14="Yes",IF(COUNTBLANK('Capacity summary'!$H177:$BG177)&lt;52,IF('Capacity summary'!J177&lt;&gt;"",IF(LOWER('Capacity summary'!J177)="x",$BI58*J58,VALUE('Capacity summary'!J177)),0),J58*$BI58),J58*$BI58),0)</f>
        <v>115.38461538461539</v>
      </c>
      <c r="BN58" s="311">
        <f ca="1">IF($BI58&lt;&gt;"",IF('Capacity summary'!$D$14="Yes",IF(COUNTBLANK('Capacity summary'!$H177:$BG177)&lt;52,IF('Capacity summary'!K177&lt;&gt;"",IF(LOWER('Capacity summary'!K177)="x",$BI58*K58,VALUE('Capacity summary'!K177)),0),K58*$BI58),K58*$BI58),0)</f>
        <v>115.38461538461539</v>
      </c>
      <c r="BO58" s="311">
        <f ca="1">IF($BI58&lt;&gt;"",IF('Capacity summary'!$D$14="Yes",IF(COUNTBLANK('Capacity summary'!$H177:$BG177)&lt;52,IF('Capacity summary'!L177&lt;&gt;"",IF(LOWER('Capacity summary'!L177)="x",$BI58*L58,VALUE('Capacity summary'!L177)),0),L58*$BI58),L58*$BI58),0)</f>
        <v>115.38461538461539</v>
      </c>
      <c r="BP58" s="311">
        <f ca="1">IF($BI58&lt;&gt;"",IF('Capacity summary'!$D$14="Yes",IF(COUNTBLANK('Capacity summary'!$H177:$BG177)&lt;52,IF('Capacity summary'!M177&lt;&gt;"",IF(LOWER('Capacity summary'!M177)="x",$BI58*M58,VALUE('Capacity summary'!M177)),0),M58*$BI58),M58*$BI58),0)</f>
        <v>115.38461538461539</v>
      </c>
      <c r="BQ58" s="311">
        <f ca="1">IF($BI58&lt;&gt;"",IF('Capacity summary'!$D$14="Yes",IF(COUNTBLANK('Capacity summary'!$H177:$BG177)&lt;52,IF('Capacity summary'!N177&lt;&gt;"",IF(LOWER('Capacity summary'!N177)="x",$BI58*N58,VALUE('Capacity summary'!N177)),0),N58*$BI58),N58*$BI58),0)</f>
        <v>115.38461538461539</v>
      </c>
      <c r="BR58" s="311">
        <f ca="1">IF($BI58&lt;&gt;"",IF('Capacity summary'!$D$14="Yes",IF(COUNTBLANK('Capacity summary'!$H177:$BG177)&lt;52,IF('Capacity summary'!O177&lt;&gt;"",IF(LOWER('Capacity summary'!O177)="x",$BI58*O58,VALUE('Capacity summary'!O177)),0),O58*$BI58),O58*$BI58),0)</f>
        <v>115.38461538461539</v>
      </c>
      <c r="BS58" s="311">
        <f ca="1">IF($BI58&lt;&gt;"",IF('Capacity summary'!$D$14="Yes",IF(COUNTBLANK('Capacity summary'!$H177:$BG177)&lt;52,IF('Capacity summary'!P177&lt;&gt;"",IF(LOWER('Capacity summary'!P177)="x",$BI58*P58,VALUE('Capacity summary'!P177)),0),P58*$BI58),P58*$BI58),0)</f>
        <v>115.38461538461539</v>
      </c>
      <c r="BT58" s="311">
        <f ca="1">IF($BI58&lt;&gt;"",IF('Capacity summary'!$D$14="Yes",IF(COUNTBLANK('Capacity summary'!$H177:$BG177)&lt;52,IF('Capacity summary'!Q177&lt;&gt;"",IF(LOWER('Capacity summary'!Q177)="x",$BI58*Q58,VALUE('Capacity summary'!Q177)),0),Q58*$BI58),Q58*$BI58),0)</f>
        <v>115.38461538461539</v>
      </c>
      <c r="BU58" s="311">
        <f ca="1">IF($BI58&lt;&gt;"",IF('Capacity summary'!$D$14="Yes",IF(COUNTBLANK('Capacity summary'!$H177:$BG177)&lt;52,IF('Capacity summary'!R177&lt;&gt;"",IF(LOWER('Capacity summary'!R177)="x",$BI58*R58,VALUE('Capacity summary'!R177)),0),R58*$BI58),R58*$BI58),0)</f>
        <v>115.38461538461539</v>
      </c>
      <c r="BV58" s="311">
        <f ca="1">IF($BI58&lt;&gt;"",IF('Capacity summary'!$D$14="Yes",IF(COUNTBLANK('Capacity summary'!$H177:$BG177)&lt;52,IF('Capacity summary'!S177&lt;&gt;"",IF(LOWER('Capacity summary'!S177)="x",$BI58*S58,VALUE('Capacity summary'!S177)),0),S58*$BI58),S58*$BI58),0)</f>
        <v>115.38461538461539</v>
      </c>
      <c r="BW58" s="311">
        <f ca="1">IF($BI58&lt;&gt;"",IF('Capacity summary'!$D$14="Yes",IF(COUNTBLANK('Capacity summary'!$H177:$BG177)&lt;52,IF('Capacity summary'!T177&lt;&gt;"",IF(LOWER('Capacity summary'!T177)="x",$BI58*T58,VALUE('Capacity summary'!T177)),0),T58*$BI58),T58*$BI58),0)</f>
        <v>115.38461538461539</v>
      </c>
      <c r="BX58" s="311">
        <f ca="1">IF($BI58&lt;&gt;"",IF('Capacity summary'!$D$14="Yes",IF(COUNTBLANK('Capacity summary'!$H177:$BG177)&lt;52,IF('Capacity summary'!U177&lt;&gt;"",IF(LOWER('Capacity summary'!U177)="x",$BI58*U58,VALUE('Capacity summary'!U177)),0),U58*$BI58),U58*$BI58),0)</f>
        <v>115.38461538461539</v>
      </c>
      <c r="BY58" s="311">
        <f ca="1">IF($BI58&lt;&gt;"",IF('Capacity summary'!$D$14="Yes",IF(COUNTBLANK('Capacity summary'!$H177:$BG177)&lt;52,IF('Capacity summary'!V177&lt;&gt;"",IF(LOWER('Capacity summary'!V177)="x",$BI58*V58,VALUE('Capacity summary'!V177)),0),V58*$BI58),V58*$BI58),0)</f>
        <v>115.38461538461539</v>
      </c>
      <c r="BZ58" s="311">
        <f ca="1">IF($BI58&lt;&gt;"",IF('Capacity summary'!$D$14="Yes",IF(COUNTBLANK('Capacity summary'!$H177:$BG177)&lt;52,IF('Capacity summary'!W177&lt;&gt;"",IF(LOWER('Capacity summary'!W177)="x",$BI58*W58,VALUE('Capacity summary'!W177)),0),W58*$BI58),W58*$BI58),0)</f>
        <v>115.38461538461539</v>
      </c>
      <c r="CA58" s="311">
        <f ca="1">IF($BI58&lt;&gt;"",IF('Capacity summary'!$D$14="Yes",IF(COUNTBLANK('Capacity summary'!$H177:$BG177)&lt;52,IF('Capacity summary'!X177&lt;&gt;"",IF(LOWER('Capacity summary'!X177)="x",$BI58*X58,VALUE('Capacity summary'!X177)),0),X58*$BI58),X58*$BI58),0)</f>
        <v>115.38461538461539</v>
      </c>
      <c r="CB58" s="311">
        <f ca="1">IF($BI58&lt;&gt;"",IF('Capacity summary'!$D$14="Yes",IF(COUNTBLANK('Capacity summary'!$H177:$BG177)&lt;52,IF('Capacity summary'!Y177&lt;&gt;"",IF(LOWER('Capacity summary'!Y177)="x",$BI58*Y58,VALUE('Capacity summary'!Y177)),0),Y58*$BI58),Y58*$BI58),0)</f>
        <v>115.38461538461539</v>
      </c>
      <c r="CC58" s="311">
        <f ca="1">IF($BI58&lt;&gt;"",IF('Capacity summary'!$D$14="Yes",IF(COUNTBLANK('Capacity summary'!$H177:$BG177)&lt;52,IF('Capacity summary'!Z177&lt;&gt;"",IF(LOWER('Capacity summary'!Z177)="x",$BI58*Z58,VALUE('Capacity summary'!Z177)),0),Z58*$BI58),Z58*$BI58),0)</f>
        <v>115.38461538461539</v>
      </c>
      <c r="CD58" s="311">
        <f ca="1">IF($BI58&lt;&gt;"",IF('Capacity summary'!$D$14="Yes",IF(COUNTBLANK('Capacity summary'!$H177:$BG177)&lt;52,IF('Capacity summary'!AA177&lt;&gt;"",IF(LOWER('Capacity summary'!AA177)="x",$BI58*AA58,VALUE('Capacity summary'!AA177)),0),AA58*$BI58),AA58*$BI58),0)</f>
        <v>115.38461538461539</v>
      </c>
      <c r="CE58" s="311">
        <f ca="1">IF($BI58&lt;&gt;"",IF('Capacity summary'!$D$14="Yes",IF(COUNTBLANK('Capacity summary'!$H177:$BG177)&lt;52,IF('Capacity summary'!AB177&lt;&gt;"",IF(LOWER('Capacity summary'!AB177)="x",$BI58*AB58,VALUE('Capacity summary'!AB177)),0),AB58*$BI58),AB58*$BI58),0)</f>
        <v>115.38461538461539</v>
      </c>
      <c r="CF58" s="311">
        <f ca="1">IF($BI58&lt;&gt;"",IF('Capacity summary'!$D$14="Yes",IF(COUNTBLANK('Capacity summary'!$H177:$BG177)&lt;52,IF('Capacity summary'!AC177&lt;&gt;"",IF(LOWER('Capacity summary'!AC177)="x",$BI58*AC58,VALUE('Capacity summary'!AC177)),0),AC58*$BI58),AC58*$BI58),0)</f>
        <v>115.38461538461539</v>
      </c>
      <c r="CG58" s="311">
        <f ca="1">IF($BI58&lt;&gt;"",IF('Capacity summary'!$D$14="Yes",IF(COUNTBLANK('Capacity summary'!$H177:$BG177)&lt;52,IF('Capacity summary'!AD177&lt;&gt;"",IF(LOWER('Capacity summary'!AD177)="x",$BI58*AD58,VALUE('Capacity summary'!AD177)),0),AD58*$BI58),AD58*$BI58),0)</f>
        <v>115.38461538461539</v>
      </c>
      <c r="CH58" s="311">
        <f ca="1">IF($BI58&lt;&gt;"",IF('Capacity summary'!$D$14="Yes",IF(COUNTBLANK('Capacity summary'!$H177:$BG177)&lt;52,IF('Capacity summary'!AE177&lt;&gt;"",IF(LOWER('Capacity summary'!AE177)="x",$BI58*AE58,VALUE('Capacity summary'!AE177)),0),AE58*$BI58),AE58*$BI58),0)</f>
        <v>115.38461538461539</v>
      </c>
      <c r="CI58" s="311">
        <f ca="1">IF($BI58&lt;&gt;"",IF('Capacity summary'!$D$14="Yes",IF(COUNTBLANK('Capacity summary'!$H177:$BG177)&lt;52,IF('Capacity summary'!AF177&lt;&gt;"",IF(LOWER('Capacity summary'!AF177)="x",$BI58*AF58,VALUE('Capacity summary'!AF177)),0),AF58*$BI58),AF58*$BI58),0)</f>
        <v>115.38461538461539</v>
      </c>
      <c r="CJ58" s="311">
        <f ca="1">IF($BI58&lt;&gt;"",IF('Capacity summary'!$D$14="Yes",IF(COUNTBLANK('Capacity summary'!$H177:$BG177)&lt;52,IF('Capacity summary'!AG177&lt;&gt;"",IF(LOWER('Capacity summary'!AG177)="x",$BI58*AG58,VALUE('Capacity summary'!AG177)),0),AG58*$BI58),AG58*$BI58),0)</f>
        <v>115.38461538461539</v>
      </c>
      <c r="CK58" s="311">
        <f ca="1">IF($BI58&lt;&gt;"",IF('Capacity summary'!$D$14="Yes",IF(COUNTBLANK('Capacity summary'!$H177:$BG177)&lt;52,IF('Capacity summary'!AH177&lt;&gt;"",IF(LOWER('Capacity summary'!AH177)="x",$BI58*AH58,VALUE('Capacity summary'!AH177)),0),AH58*$BI58),AH58*$BI58),0)</f>
        <v>115.38461538461539</v>
      </c>
      <c r="CL58" s="311">
        <f ca="1">IF($BI58&lt;&gt;"",IF('Capacity summary'!$D$14="Yes",IF(COUNTBLANK('Capacity summary'!$H177:$BG177)&lt;52,IF('Capacity summary'!AI177&lt;&gt;"",IF(LOWER('Capacity summary'!AI177)="x",$BI58*AI58,VALUE('Capacity summary'!AI177)),0),AI58*$BI58),AI58*$BI58),0)</f>
        <v>115.38461538461539</v>
      </c>
      <c r="CM58" s="311">
        <f ca="1">IF($BI58&lt;&gt;"",IF('Capacity summary'!$D$14="Yes",IF(COUNTBLANK('Capacity summary'!$H177:$BG177)&lt;52,IF('Capacity summary'!AJ177&lt;&gt;"",IF(LOWER('Capacity summary'!AJ177)="x",$BI58*AJ58,VALUE('Capacity summary'!AJ177)),0),AJ58*$BI58),AJ58*$BI58),0)</f>
        <v>115.38461538461539</v>
      </c>
      <c r="CN58" s="311">
        <f ca="1">IF($BI58&lt;&gt;"",IF('Capacity summary'!$D$14="Yes",IF(COUNTBLANK('Capacity summary'!$H177:$BG177)&lt;52,IF('Capacity summary'!AK177&lt;&gt;"",IF(LOWER('Capacity summary'!AK177)="x",$BI58*AK58,VALUE('Capacity summary'!AK177)),0),AK58*$BI58),AK58*$BI58),0)</f>
        <v>115.38461538461539</v>
      </c>
      <c r="CO58" s="311">
        <f ca="1">IF($BI58&lt;&gt;"",IF('Capacity summary'!$D$14="Yes",IF(COUNTBLANK('Capacity summary'!$H177:$BG177)&lt;52,IF('Capacity summary'!AL177&lt;&gt;"",IF(LOWER('Capacity summary'!AL177)="x",$BI58*AL58,VALUE('Capacity summary'!AL177)),0),AL58*$BI58),AL58*$BI58),0)</f>
        <v>115.38461538461539</v>
      </c>
      <c r="CP58" s="311">
        <f ca="1">IF($BI58&lt;&gt;"",IF('Capacity summary'!$D$14="Yes",IF(COUNTBLANK('Capacity summary'!$H177:$BG177)&lt;52,IF('Capacity summary'!AM177&lt;&gt;"",IF(LOWER('Capacity summary'!AM177)="x",$BI58*AM58,VALUE('Capacity summary'!AM177)),0),AM58*$BI58),AM58*$BI58),0)</f>
        <v>115.38461538461539</v>
      </c>
      <c r="CQ58" s="311">
        <f ca="1">IF($BI58&lt;&gt;"",IF('Capacity summary'!$D$14="Yes",IF(COUNTBLANK('Capacity summary'!$H177:$BG177)&lt;52,IF('Capacity summary'!AN177&lt;&gt;"",IF(LOWER('Capacity summary'!AN177)="x",$BI58*AN58,VALUE('Capacity summary'!AN177)),0),AN58*$BI58),AN58*$BI58),0)</f>
        <v>115.38461538461539</v>
      </c>
      <c r="CR58" s="311">
        <f ca="1">IF($BI58&lt;&gt;"",IF('Capacity summary'!$D$14="Yes",IF(COUNTBLANK('Capacity summary'!$H177:$BG177)&lt;52,IF('Capacity summary'!AO177&lt;&gt;"",IF(LOWER('Capacity summary'!AO177)="x",$BI58*AO58,VALUE('Capacity summary'!AO177)),0),AO58*$BI58),AO58*$BI58),0)</f>
        <v>115.38461538461539</v>
      </c>
      <c r="CS58" s="311">
        <f ca="1">IF($BI58&lt;&gt;"",IF('Capacity summary'!$D$14="Yes",IF(COUNTBLANK('Capacity summary'!$H177:$BG177)&lt;52,IF('Capacity summary'!AP177&lt;&gt;"",IF(LOWER('Capacity summary'!AP177)="x",$BI58*AP58,VALUE('Capacity summary'!AP177)),0),AP58*$BI58),AP58*$BI58),0)</f>
        <v>115.38461538461539</v>
      </c>
      <c r="CT58" s="311">
        <f ca="1">IF($BI58&lt;&gt;"",IF('Capacity summary'!$D$14="Yes",IF(COUNTBLANK('Capacity summary'!$H177:$BG177)&lt;52,IF('Capacity summary'!AQ177&lt;&gt;"",IF(LOWER('Capacity summary'!AQ177)="x",$BI58*AQ58,VALUE('Capacity summary'!AQ177)),0),AQ58*$BI58),AQ58*$BI58),0)</f>
        <v>115.38461538461539</v>
      </c>
      <c r="CU58" s="311">
        <f ca="1">IF($BI58&lt;&gt;"",IF('Capacity summary'!$D$14="Yes",IF(COUNTBLANK('Capacity summary'!$H177:$BG177)&lt;52,IF('Capacity summary'!AR177&lt;&gt;"",IF(LOWER('Capacity summary'!AR177)="x",$BI58*AR58,VALUE('Capacity summary'!AR177)),0),AR58*$BI58),AR58*$BI58),0)</f>
        <v>115.38461538461539</v>
      </c>
      <c r="CV58" s="311">
        <f ca="1">IF($BI58&lt;&gt;"",IF('Capacity summary'!$D$14="Yes",IF(COUNTBLANK('Capacity summary'!$H177:$BG177)&lt;52,IF('Capacity summary'!AS177&lt;&gt;"",IF(LOWER('Capacity summary'!AS177)="x",$BI58*AS58,VALUE('Capacity summary'!AS177)),0),AS58*$BI58),AS58*$BI58),0)</f>
        <v>115.38461538461539</v>
      </c>
      <c r="CW58" s="311">
        <f ca="1">IF($BI58&lt;&gt;"",IF('Capacity summary'!$D$14="Yes",IF(COUNTBLANK('Capacity summary'!$H177:$BG177)&lt;52,IF('Capacity summary'!AT177&lt;&gt;"",IF(LOWER('Capacity summary'!AT177)="x",$BI58*AT58,VALUE('Capacity summary'!AT177)),0),AT58*$BI58),AT58*$BI58),0)</f>
        <v>115.38461538461539</v>
      </c>
      <c r="CX58" s="311">
        <f ca="1">IF($BI58&lt;&gt;"",IF('Capacity summary'!$D$14="Yes",IF(COUNTBLANK('Capacity summary'!$H177:$BG177)&lt;52,IF('Capacity summary'!AU177&lt;&gt;"",IF(LOWER('Capacity summary'!AU177)="x",$BI58*AU58,VALUE('Capacity summary'!AU177)),0),AU58*$BI58),AU58*$BI58),0)</f>
        <v>115.38461538461539</v>
      </c>
      <c r="CY58" s="311">
        <f ca="1">IF($BI58&lt;&gt;"",IF('Capacity summary'!$D$14="Yes",IF(COUNTBLANK('Capacity summary'!$H177:$BG177)&lt;52,IF('Capacity summary'!AV177&lt;&gt;"",IF(LOWER('Capacity summary'!AV177)="x",$BI58*AV58,VALUE('Capacity summary'!AV177)),0),AV58*$BI58),AV58*$BI58),0)</f>
        <v>115.38461538461539</v>
      </c>
      <c r="CZ58" s="311">
        <f ca="1">IF($BI58&lt;&gt;"",IF('Capacity summary'!$D$14="Yes",IF(COUNTBLANK('Capacity summary'!$H177:$BG177)&lt;52,IF('Capacity summary'!AW177&lt;&gt;"",IF(LOWER('Capacity summary'!AW177)="x",$BI58*AW58,VALUE('Capacity summary'!AW177)),0),AW58*$BI58),AW58*$BI58),0)</f>
        <v>115.38461538461539</v>
      </c>
      <c r="DA58" s="311">
        <f ca="1">IF($BI58&lt;&gt;"",IF('Capacity summary'!$D$14="Yes",IF(COUNTBLANK('Capacity summary'!$H177:$BG177)&lt;52,IF('Capacity summary'!AX177&lt;&gt;"",IF(LOWER('Capacity summary'!AX177)="x",$BI58*AX58,VALUE('Capacity summary'!AX177)),0),AX58*$BI58),AX58*$BI58),0)</f>
        <v>115.38461538461539</v>
      </c>
      <c r="DB58" s="311">
        <f ca="1">IF($BI58&lt;&gt;"",IF('Capacity summary'!$D$14="Yes",IF(COUNTBLANK('Capacity summary'!$H177:$BG177)&lt;52,IF('Capacity summary'!AY177&lt;&gt;"",IF(LOWER('Capacity summary'!AY177)="x",$BI58*AY58,VALUE('Capacity summary'!AY177)),0),AY58*$BI58),AY58*$BI58),0)</f>
        <v>115.38461538461539</v>
      </c>
      <c r="DC58" s="311">
        <f ca="1">IF($BI58&lt;&gt;"",IF('Capacity summary'!$D$14="Yes",IF(COUNTBLANK('Capacity summary'!$H177:$BG177)&lt;52,IF('Capacity summary'!AZ177&lt;&gt;"",IF(LOWER('Capacity summary'!AZ177)="x",$BI58*AZ58,VALUE('Capacity summary'!AZ177)),0),AZ58*$BI58),AZ58*$BI58),0)</f>
        <v>115.38461538461539</v>
      </c>
      <c r="DD58" s="311">
        <f ca="1">IF($BI58&lt;&gt;"",IF('Capacity summary'!$D$14="Yes",IF(COUNTBLANK('Capacity summary'!$H177:$BG177)&lt;52,IF('Capacity summary'!BA177&lt;&gt;"",IF(LOWER('Capacity summary'!BA177)="x",$BI58*BA58,VALUE('Capacity summary'!BA177)),0),BA58*$BI58),BA58*$BI58),0)</f>
        <v>115.38461538461539</v>
      </c>
      <c r="DE58" s="311">
        <f ca="1">IF($BI58&lt;&gt;"",IF('Capacity summary'!$D$14="Yes",IF(COUNTBLANK('Capacity summary'!$H177:$BG177)&lt;52,IF('Capacity summary'!BB177&lt;&gt;"",IF(LOWER('Capacity summary'!BB177)="x",$BI58*BB58,VALUE('Capacity summary'!BB177)),0),BB58*$BI58),BB58*$BI58),0)</f>
        <v>115.38461538461539</v>
      </c>
      <c r="DF58" s="311">
        <f ca="1">IF($BI58&lt;&gt;"",IF('Capacity summary'!$D$14="Yes",IF(COUNTBLANK('Capacity summary'!$H177:$BG177)&lt;52,IF('Capacity summary'!BC177&lt;&gt;"",IF(LOWER('Capacity summary'!BC177)="x",$BI58*BC58,VALUE('Capacity summary'!BC177)),0),BC58*$BI58),BC58*$BI58),0)</f>
        <v>115.38461538461539</v>
      </c>
      <c r="DG58" s="311">
        <f ca="1">IF($BI58&lt;&gt;"",IF('Capacity summary'!$D$14="Yes",IF(COUNTBLANK('Capacity summary'!$H177:$BG177)&lt;52,IF('Capacity summary'!BD177&lt;&gt;"",IF(LOWER('Capacity summary'!BD177)="x",$BI58*BD58,VALUE('Capacity summary'!BD177)),0),BD58*$BI58),BD58*$BI58),0)</f>
        <v>115.38461538461539</v>
      </c>
      <c r="DH58" s="311">
        <f ca="1">IF($BI58&lt;&gt;"",IF('Capacity summary'!$D$14="Yes",IF(COUNTBLANK('Capacity summary'!$H177:$BG177)&lt;52,IF('Capacity summary'!BE177&lt;&gt;"",IF(LOWER('Capacity summary'!BE177)="x",$BI58*BE58,VALUE('Capacity summary'!BE177)),0),BE58*$BI58),BE58*$BI58),0)</f>
        <v>115.38461538461539</v>
      </c>
      <c r="DI58" s="311">
        <f ca="1">IF($BI58&lt;&gt;"",IF('Capacity summary'!$D$14="Yes",IF(COUNTBLANK('Capacity summary'!$H177:$BG177)&lt;52,IF('Capacity summary'!BF177&lt;&gt;"",IF(LOWER('Capacity summary'!BF177)="x",$BI58*BF58,VALUE('Capacity summary'!BF177)),0),BF58*$BI58),BF58*$BI58),0)</f>
        <v>115.38461538461539</v>
      </c>
      <c r="DJ58" s="311">
        <f ca="1">IF($BI58&lt;&gt;"",IF('Capacity summary'!$D$14="Yes",IF(COUNTBLANK('Capacity summary'!$H177:$BG177)&lt;52,IF('Capacity summary'!BG177&lt;&gt;"",IF(LOWER('Capacity summary'!BG177)="x",$BI58*BG58,VALUE('Capacity summary'!BG177)),0),BG58*$BI58),BG58*$BI58),0)</f>
        <v>115.38461538461539</v>
      </c>
      <c r="DK58" s="388">
        <f t="shared" ca="1" si="2"/>
        <v>115.38461538461539</v>
      </c>
      <c r="DL58" s="136">
        <f t="shared" ca="1" si="3"/>
        <v>5999.9999999999964</v>
      </c>
      <c r="DM58" s="311">
        <f>Capacity!H70</f>
        <v>6000</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88">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88">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88">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88">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88">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88">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88">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88">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88">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88">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88">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88">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88">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88">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88">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88">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88">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88">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88">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88">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88">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88">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88">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88">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88">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88">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88">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88">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88">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88">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88">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88">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88">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88">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88">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88">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88">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88">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88">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88">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88">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88">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88">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88">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88">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88">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7">
        <v>53</v>
      </c>
      <c r="DL109" s="2" t="s">
        <v>462</v>
      </c>
    </row>
    <row r="110" spans="1:117" x14ac:dyDescent="0.2">
      <c r="C110" t="s">
        <v>466</v>
      </c>
      <c r="H110" s="67"/>
      <c r="BJ110"/>
      <c r="BK110">
        <f ca="1">BK3</f>
        <v>29</v>
      </c>
      <c r="BL110" s="67">
        <f t="shared" ref="BL110:DJ110" ca="1" si="6">BL3</f>
        <v>30</v>
      </c>
      <c r="BM110" s="67">
        <f t="shared" ca="1" si="6"/>
        <v>31</v>
      </c>
      <c r="BN110" s="67">
        <f t="shared" ca="1" si="6"/>
        <v>32</v>
      </c>
      <c r="BO110" s="67">
        <f t="shared" ca="1" si="6"/>
        <v>33</v>
      </c>
      <c r="BP110" s="67">
        <f t="shared" ca="1" si="6"/>
        <v>34</v>
      </c>
      <c r="BQ110" s="67">
        <f t="shared" ca="1" si="6"/>
        <v>35</v>
      </c>
      <c r="BR110" s="67">
        <f t="shared" ca="1" si="6"/>
        <v>36</v>
      </c>
      <c r="BS110" s="67">
        <f t="shared" ca="1" si="6"/>
        <v>37</v>
      </c>
      <c r="BT110" s="67">
        <f t="shared" ca="1" si="6"/>
        <v>38</v>
      </c>
      <c r="BU110" s="67">
        <f t="shared" ca="1" si="6"/>
        <v>39</v>
      </c>
      <c r="BV110" s="67">
        <f t="shared" ca="1" si="6"/>
        <v>40</v>
      </c>
      <c r="BW110" s="67">
        <f t="shared" ca="1" si="6"/>
        <v>41</v>
      </c>
      <c r="BX110" s="67">
        <f t="shared" ca="1" si="6"/>
        <v>42</v>
      </c>
      <c r="BY110" s="67">
        <f t="shared" ca="1" si="6"/>
        <v>43</v>
      </c>
      <c r="BZ110" s="67">
        <f t="shared" ca="1" si="6"/>
        <v>44</v>
      </c>
      <c r="CA110" s="67">
        <f t="shared" ca="1" si="6"/>
        <v>45</v>
      </c>
      <c r="CB110" s="67">
        <f t="shared" ca="1" si="6"/>
        <v>46</v>
      </c>
      <c r="CC110" s="67">
        <f t="shared" ca="1" si="6"/>
        <v>47</v>
      </c>
      <c r="CD110" s="67">
        <f t="shared" ca="1" si="6"/>
        <v>48</v>
      </c>
      <c r="CE110" s="67">
        <f t="shared" ca="1" si="6"/>
        <v>49</v>
      </c>
      <c r="CF110" s="67">
        <f t="shared" ca="1" si="6"/>
        <v>50</v>
      </c>
      <c r="CG110" s="67">
        <f t="shared" ca="1" si="6"/>
        <v>51</v>
      </c>
      <c r="CH110" s="67">
        <f t="shared" ca="1" si="6"/>
        <v>52</v>
      </c>
      <c r="CI110" s="67">
        <f t="shared" ca="1" si="6"/>
        <v>1</v>
      </c>
      <c r="CJ110" s="67">
        <f t="shared" ca="1" si="6"/>
        <v>2</v>
      </c>
      <c r="CK110" s="67">
        <f t="shared" ca="1" si="6"/>
        <v>3</v>
      </c>
      <c r="CL110" s="67">
        <f t="shared" ca="1" si="6"/>
        <v>4</v>
      </c>
      <c r="CM110" s="67">
        <f t="shared" ca="1" si="6"/>
        <v>5</v>
      </c>
      <c r="CN110" s="67">
        <f t="shared" ca="1" si="6"/>
        <v>6</v>
      </c>
      <c r="CO110" s="67">
        <f t="shared" ca="1" si="6"/>
        <v>7</v>
      </c>
      <c r="CP110" s="67">
        <f t="shared" ca="1" si="6"/>
        <v>8</v>
      </c>
      <c r="CQ110" s="67">
        <f t="shared" ca="1" si="6"/>
        <v>9</v>
      </c>
      <c r="CR110" s="67">
        <f t="shared" ca="1" si="6"/>
        <v>10</v>
      </c>
      <c r="CS110" s="67">
        <f t="shared" ca="1" si="6"/>
        <v>11</v>
      </c>
      <c r="CT110" s="67">
        <f t="shared" ca="1" si="6"/>
        <v>12</v>
      </c>
      <c r="CU110" s="67">
        <f t="shared" ca="1" si="6"/>
        <v>13</v>
      </c>
      <c r="CV110" s="67">
        <f t="shared" ca="1" si="6"/>
        <v>14</v>
      </c>
      <c r="CW110" s="67">
        <f t="shared" ca="1" si="6"/>
        <v>15</v>
      </c>
      <c r="CX110" s="67">
        <f t="shared" ca="1" si="6"/>
        <v>16</v>
      </c>
      <c r="CY110" s="67">
        <f t="shared" ca="1" si="6"/>
        <v>17</v>
      </c>
      <c r="CZ110" s="67">
        <f t="shared" ca="1" si="6"/>
        <v>18</v>
      </c>
      <c r="DA110" s="67">
        <f t="shared" ca="1" si="6"/>
        <v>19</v>
      </c>
      <c r="DB110" s="67">
        <f t="shared" ca="1" si="6"/>
        <v>20</v>
      </c>
      <c r="DC110" s="67">
        <f t="shared" ca="1" si="6"/>
        <v>21</v>
      </c>
      <c r="DD110" s="67">
        <f t="shared" ca="1" si="6"/>
        <v>22</v>
      </c>
      <c r="DE110" s="67">
        <f t="shared" ca="1" si="6"/>
        <v>23</v>
      </c>
      <c r="DF110" s="67">
        <f t="shared" ca="1" si="6"/>
        <v>24</v>
      </c>
      <c r="DG110" s="67">
        <f t="shared" ca="1" si="6"/>
        <v>25</v>
      </c>
      <c r="DH110" s="67">
        <f t="shared" ca="1" si="6"/>
        <v>26</v>
      </c>
      <c r="DI110" s="67">
        <f t="shared" ca="1" si="6"/>
        <v>27</v>
      </c>
      <c r="DJ110" s="67">
        <f t="shared" ca="1" si="6"/>
        <v>28</v>
      </c>
      <c r="DK110" s="373">
        <f ca="1">IF(ISERROR(MATCH(53,BK110:DJ110,0)),53,IF(DJ110=52,1,DJ110+1))</f>
        <v>53</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402.11538461538464</v>
      </c>
      <c r="BL111" s="5">
        <f t="shared" ref="BL111:DJ111" ca="1" si="7">SUM(BL112:BL211)</f>
        <v>402.11538461538464</v>
      </c>
      <c r="BM111" s="5">
        <f t="shared" ca="1" si="7"/>
        <v>402.11538461538464</v>
      </c>
      <c r="BN111" s="5">
        <f t="shared" ca="1" si="7"/>
        <v>402.11538461538464</v>
      </c>
      <c r="BO111" s="5">
        <f t="shared" ca="1" si="7"/>
        <v>402.11538461538464</v>
      </c>
      <c r="BP111" s="5">
        <f t="shared" ca="1" si="7"/>
        <v>402.11538461538464</v>
      </c>
      <c r="BQ111" s="5">
        <f t="shared" ca="1" si="7"/>
        <v>402.11538461538464</v>
      </c>
      <c r="BR111" s="5">
        <f t="shared" ca="1" si="7"/>
        <v>402.11538461538464</v>
      </c>
      <c r="BS111" s="5">
        <f t="shared" ca="1" si="7"/>
        <v>402.11538461538464</v>
      </c>
      <c r="BT111" s="5">
        <f t="shared" ca="1" si="7"/>
        <v>402.11538461538464</v>
      </c>
      <c r="BU111" s="5">
        <f t="shared" ca="1" si="7"/>
        <v>402.11538461538464</v>
      </c>
      <c r="BV111" s="5">
        <f t="shared" ca="1" si="7"/>
        <v>402.11538461538464</v>
      </c>
      <c r="BW111" s="5">
        <f t="shared" ca="1" si="7"/>
        <v>402.11538461538464</v>
      </c>
      <c r="BX111" s="5">
        <f t="shared" ca="1" si="7"/>
        <v>402.11538461538464</v>
      </c>
      <c r="BY111" s="5">
        <f t="shared" ca="1" si="7"/>
        <v>402.11538461538464</v>
      </c>
      <c r="BZ111" s="5">
        <f t="shared" ca="1" si="7"/>
        <v>402.11538461538464</v>
      </c>
      <c r="CA111" s="5">
        <f t="shared" ca="1" si="7"/>
        <v>402.11538461538464</v>
      </c>
      <c r="CB111" s="5">
        <f t="shared" ca="1" si="7"/>
        <v>402.11538461538464</v>
      </c>
      <c r="CC111" s="5">
        <f t="shared" ca="1" si="7"/>
        <v>402.11538461538464</v>
      </c>
      <c r="CD111" s="5">
        <f t="shared" ca="1" si="7"/>
        <v>402.11538461538464</v>
      </c>
      <c r="CE111" s="5">
        <f t="shared" ca="1" si="7"/>
        <v>402.11538461538464</v>
      </c>
      <c r="CF111" s="5">
        <f t="shared" ca="1" si="7"/>
        <v>402.11538461538464</v>
      </c>
      <c r="CG111" s="5">
        <f t="shared" ca="1" si="7"/>
        <v>402.11538461538464</v>
      </c>
      <c r="CH111" s="5">
        <f t="shared" ca="1" si="7"/>
        <v>402.11538461538464</v>
      </c>
      <c r="CI111" s="5">
        <f t="shared" ca="1" si="7"/>
        <v>402.11538461538464</v>
      </c>
      <c r="CJ111" s="5">
        <f t="shared" ca="1" si="7"/>
        <v>402.11538461538464</v>
      </c>
      <c r="CK111" s="5">
        <f t="shared" ca="1" si="7"/>
        <v>402.11538461538464</v>
      </c>
      <c r="CL111" s="5">
        <f t="shared" ca="1" si="7"/>
        <v>402.11538461538464</v>
      </c>
      <c r="CM111" s="5">
        <f t="shared" ca="1" si="7"/>
        <v>402.11538461538464</v>
      </c>
      <c r="CN111" s="5">
        <f t="shared" ca="1" si="7"/>
        <v>402.11538461538464</v>
      </c>
      <c r="CO111" s="5">
        <f t="shared" ca="1" si="7"/>
        <v>402.11538461538464</v>
      </c>
      <c r="CP111" s="5">
        <f t="shared" ca="1" si="7"/>
        <v>402.11538461538464</v>
      </c>
      <c r="CQ111" s="5">
        <f t="shared" ca="1" si="7"/>
        <v>402.11538461538464</v>
      </c>
      <c r="CR111" s="5">
        <f t="shared" ca="1" si="7"/>
        <v>402.11538461538464</v>
      </c>
      <c r="CS111" s="5">
        <f t="shared" ca="1" si="7"/>
        <v>402.11538461538464</v>
      </c>
      <c r="CT111" s="5">
        <f t="shared" ca="1" si="7"/>
        <v>402.11538461538464</v>
      </c>
      <c r="CU111" s="5">
        <f t="shared" ca="1" si="7"/>
        <v>402.11538461538464</v>
      </c>
      <c r="CV111" s="5">
        <f t="shared" ca="1" si="7"/>
        <v>402.11538461538464</v>
      </c>
      <c r="CW111" s="5">
        <f t="shared" ca="1" si="7"/>
        <v>402.11538461538464</v>
      </c>
      <c r="CX111" s="5">
        <f t="shared" ca="1" si="7"/>
        <v>402.11538461538464</v>
      </c>
      <c r="CY111" s="5">
        <f t="shared" ca="1" si="7"/>
        <v>402.11538461538464</v>
      </c>
      <c r="CZ111" s="5">
        <f t="shared" ca="1" si="7"/>
        <v>402.11538461538464</v>
      </c>
      <c r="DA111" s="5">
        <f t="shared" ca="1" si="7"/>
        <v>402.11538461538464</v>
      </c>
      <c r="DB111" s="5">
        <f t="shared" ca="1" si="7"/>
        <v>402.11538461538464</v>
      </c>
      <c r="DC111" s="5">
        <f t="shared" ca="1" si="7"/>
        <v>402.11538461538464</v>
      </c>
      <c r="DD111" s="5">
        <f t="shared" ca="1" si="7"/>
        <v>402.11538461538464</v>
      </c>
      <c r="DE111" s="5">
        <f t="shared" ca="1" si="7"/>
        <v>402.11538461538464</v>
      </c>
      <c r="DF111" s="5">
        <f t="shared" ca="1" si="7"/>
        <v>402.11538461538464</v>
      </c>
      <c r="DG111" s="5">
        <f t="shared" ca="1" si="7"/>
        <v>402.11538461538464</v>
      </c>
      <c r="DH111" s="5">
        <f t="shared" ca="1" si="7"/>
        <v>402.11538461538464</v>
      </c>
      <c r="DI111" s="5">
        <f t="shared" ca="1" si="7"/>
        <v>402.11538461538464</v>
      </c>
      <c r="DJ111" s="5">
        <f t="shared" ca="1" si="7"/>
        <v>402.11538461538464</v>
      </c>
      <c r="DK111" s="388">
        <f ca="1">DJ111</f>
        <v>402.11538461538464</v>
      </c>
      <c r="DL111" s="5">
        <f ca="1">SUM(BK111:DK111)</f>
        <v>21312.115384615368</v>
      </c>
    </row>
    <row r="112" spans="1:117" x14ac:dyDescent="0.2">
      <c r="C112" t="str">
        <f>ROW(A1)&amp;". "&amp;Capacity!N17</f>
        <v>1. Session name</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0</v>
      </c>
      <c r="BJ112" s="5"/>
      <c r="BK112" s="5">
        <f ca="1">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0</v>
      </c>
      <c r="BM112" s="5">
        <f ca="1">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0</v>
      </c>
      <c r="BO112" s="5">
        <f ca="1">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0</v>
      </c>
      <c r="BQ112" s="5">
        <f ca="1">IF($BI112&lt;&gt;"",IF('Capacity summary'!$C$14="Yes",IF(COUNTBLANK('Capacity summary'!$H24:$BG24)&lt;52,IF('Capacity summary'!N24&lt;&gt;"",IF(LOWER('Capacity summary'!N24)="x",$BI112*N112,VALUE('Capacity summary'!N24)),0),N112*$BI112),N112*$BI112),0)</f>
        <v>0</v>
      </c>
      <c r="BR112" s="5">
        <f ca="1">IF($BI112&lt;&gt;"",IF('Capacity summary'!$C$14="Yes",IF(COUNTBLANK('Capacity summary'!$H24:$BG24)&lt;52,IF('Capacity summary'!O24&lt;&gt;"",IF(LOWER('Capacity summary'!O24)="x",$BI112*O112,VALUE('Capacity summary'!O24)),0),O112*$BI112),O112*$BI112),0)</f>
        <v>0</v>
      </c>
      <c r="BS112" s="5">
        <f ca="1">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0</v>
      </c>
      <c r="BU112" s="5">
        <f ca="1">IF($BI112&lt;&gt;"",IF('Capacity summary'!$C$14="Yes",IF(COUNTBLANK('Capacity summary'!$H24:$BG24)&lt;52,IF('Capacity summary'!R24&lt;&gt;"",IF(LOWER('Capacity summary'!R24)="x",$BI112*R112,VALUE('Capacity summary'!R24)),0),R112*$BI112),R112*$BI112),0)</f>
        <v>0</v>
      </c>
      <c r="BV112" s="5">
        <f ca="1">IF($BI112&lt;&gt;"",IF('Capacity summary'!$C$14="Yes",IF(COUNTBLANK('Capacity summary'!$H24:$BG24)&lt;52,IF('Capacity summary'!S24&lt;&gt;"",IF(LOWER('Capacity summary'!S24)="x",$BI112*S112,VALUE('Capacity summary'!S24)),0),S112*$BI112),S112*$BI112),0)</f>
        <v>0</v>
      </c>
      <c r="BW112" s="5">
        <f ca="1">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0</v>
      </c>
      <c r="BY112" s="5">
        <f ca="1">IF($BI112&lt;&gt;"",IF('Capacity summary'!$C$14="Yes",IF(COUNTBLANK('Capacity summary'!$H24:$BG24)&lt;52,IF('Capacity summary'!V24&lt;&gt;"",IF(LOWER('Capacity summary'!V24)="x",$BI112*V112,VALUE('Capacity summary'!V24)),0),V112*$BI112),V112*$BI112),0)</f>
        <v>0</v>
      </c>
      <c r="BZ112" s="5">
        <f ca="1">IF($BI112&lt;&gt;"",IF('Capacity summary'!$C$14="Yes",IF(COUNTBLANK('Capacity summary'!$H24:$BG24)&lt;52,IF('Capacity summary'!W24&lt;&gt;"",IF(LOWER('Capacity summary'!W24)="x",$BI112*W112,VALUE('Capacity summary'!W24)),0),W112*$BI112),W112*$BI112),0)</f>
        <v>0</v>
      </c>
      <c r="CA112" s="5">
        <f ca="1">IF($BI112&lt;&gt;"",IF('Capacity summary'!$C$14="Yes",IF(COUNTBLANK('Capacity summary'!$H24:$BG24)&lt;52,IF('Capacity summary'!X24&lt;&gt;"",IF(LOWER('Capacity summary'!X24)="x",$BI112*X112,VALUE('Capacity summary'!X24)),0),X112*$BI112),X112*$BI112),0)</f>
        <v>0</v>
      </c>
      <c r="CB112" s="5">
        <f ca="1">IF($BI112&lt;&gt;"",IF('Capacity summary'!$C$14="Yes",IF(COUNTBLANK('Capacity summary'!$H24:$BG24)&lt;52,IF('Capacity summary'!Y24&lt;&gt;"",IF(LOWER('Capacity summary'!Y24)="x",$BI112*Y112,VALUE('Capacity summary'!Y24)),0),Y112*$BI112),Y112*$BI112),0)</f>
        <v>0</v>
      </c>
      <c r="CC112" s="5">
        <f ca="1">IF($BI112&lt;&gt;"",IF('Capacity summary'!$C$14="Yes",IF(COUNTBLANK('Capacity summary'!$H24:$BG24)&lt;52,IF('Capacity summary'!Z24&lt;&gt;"",IF(LOWER('Capacity summary'!Z24)="x",$BI112*Z112,VALUE('Capacity summary'!Z24)),0),Z112*$BI112),Z112*$BI112),0)</f>
        <v>0</v>
      </c>
      <c r="CD112" s="5">
        <f ca="1">IF($BI112&lt;&gt;"",IF('Capacity summary'!$C$14="Yes",IF(COUNTBLANK('Capacity summary'!$H24:$BG24)&lt;52,IF('Capacity summary'!AA24&lt;&gt;"",IF(LOWER('Capacity summary'!AA24)="x",$BI112*AA112,VALUE('Capacity summary'!AA24)),0),AA112*$BI112),AA112*$BI112),0)</f>
        <v>0</v>
      </c>
      <c r="CE112" s="5">
        <f ca="1">IF($BI112&lt;&gt;"",IF('Capacity summary'!$C$14="Yes",IF(COUNTBLANK('Capacity summary'!$H24:$BG24)&lt;52,IF('Capacity summary'!AB24&lt;&gt;"",IF(LOWER('Capacity summary'!AB24)="x",$BI112*AB112,VALUE('Capacity summary'!AB24)),0),AB112*$BI112),AB112*$BI112),0)</f>
        <v>0</v>
      </c>
      <c r="CF112" s="5">
        <f ca="1">IF($BI112&lt;&gt;"",IF('Capacity summary'!$C$14="Yes",IF(COUNTBLANK('Capacity summary'!$H24:$BG24)&lt;52,IF('Capacity summary'!AC24&lt;&gt;"",IF(LOWER('Capacity summary'!AC24)="x",$BI112*AC112,VALUE('Capacity summary'!AC24)),0),AC112*$BI112),AC112*$BI112),0)</f>
        <v>0</v>
      </c>
      <c r="CG112" s="5">
        <f ca="1">IF($BI112&lt;&gt;"",IF('Capacity summary'!$C$14="Yes",IF(COUNTBLANK('Capacity summary'!$H24:$BG24)&lt;52,IF('Capacity summary'!AD24&lt;&gt;"",IF(LOWER('Capacity summary'!AD24)="x",$BI112*AD112,VALUE('Capacity summary'!AD24)),0),AD112*$BI112),AD112*$BI112),0)</f>
        <v>0</v>
      </c>
      <c r="CH112" s="5">
        <f ca="1">IF($BI112&lt;&gt;"",IF('Capacity summary'!$C$14="Yes",IF(COUNTBLANK('Capacity summary'!$H24:$BG24)&lt;52,IF('Capacity summary'!AE24&lt;&gt;"",IF(LOWER('Capacity summary'!AE24)="x",$BI112*AE112,VALUE('Capacity summary'!AE24)),0),AE112*$BI112),AE112*$BI112),0)</f>
        <v>0</v>
      </c>
      <c r="CI112" s="5">
        <f ca="1">IF($BI112&lt;&gt;"",IF('Capacity summary'!$C$14="Yes",IF(COUNTBLANK('Capacity summary'!$H24:$BG24)&lt;52,IF('Capacity summary'!AF24&lt;&gt;"",IF(LOWER('Capacity summary'!AF24)="x",$BI112*AF112,VALUE('Capacity summary'!AF24)),0),AF112*$BI112),AF112*$BI112),0)</f>
        <v>0</v>
      </c>
      <c r="CJ112" s="5">
        <f ca="1">IF($BI112&lt;&gt;"",IF('Capacity summary'!$C$14="Yes",IF(COUNTBLANK('Capacity summary'!$H24:$BG24)&lt;52,IF('Capacity summary'!AG24&lt;&gt;"",IF(LOWER('Capacity summary'!AG24)="x",$BI112*AG112,VALUE('Capacity summary'!AG24)),0),AG112*$BI112),AG112*$BI112),0)</f>
        <v>0</v>
      </c>
      <c r="CK112" s="5">
        <f ca="1">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0</v>
      </c>
      <c r="CM112" s="5">
        <f ca="1">IF($BI112&lt;&gt;"",IF('Capacity summary'!$C$14="Yes",IF(COUNTBLANK('Capacity summary'!$H24:$BG24)&lt;52,IF('Capacity summary'!AJ24&lt;&gt;"",IF(LOWER('Capacity summary'!AJ24)="x",$BI112*AJ112,VALUE('Capacity summary'!AJ24)),0),AJ112*$BI112),AJ112*$BI112),0)</f>
        <v>0</v>
      </c>
      <c r="CN112" s="5">
        <f ca="1">IF($BI112&lt;&gt;"",IF('Capacity summary'!$C$14="Yes",IF(COUNTBLANK('Capacity summary'!$H24:$BG24)&lt;52,IF('Capacity summary'!AK24&lt;&gt;"",IF(LOWER('Capacity summary'!AK24)="x",$BI112*AK112,VALUE('Capacity summary'!AK24)),0),AK112*$BI112),AK112*$BI112),0)</f>
        <v>0</v>
      </c>
      <c r="CO112" s="5">
        <f ca="1">IF($BI112&lt;&gt;"",IF('Capacity summary'!$C$14="Yes",IF(COUNTBLANK('Capacity summary'!$H24:$BG24)&lt;52,IF('Capacity summary'!AL24&lt;&gt;"",IF(LOWER('Capacity summary'!AL24)="x",$BI112*AL112,VALUE('Capacity summary'!AL24)),0),AL112*$BI112),AL112*$BI112),0)</f>
        <v>0</v>
      </c>
      <c r="CP112" s="5">
        <f ca="1">IF($BI112&lt;&gt;"",IF('Capacity summary'!$C$14="Yes",IF(COUNTBLANK('Capacity summary'!$H24:$BG24)&lt;52,IF('Capacity summary'!AM24&lt;&gt;"",IF(LOWER('Capacity summary'!AM24)="x",$BI112*AM112,VALUE('Capacity summary'!AM24)),0),AM112*$BI112),AM112*$BI112),0)</f>
        <v>0</v>
      </c>
      <c r="CQ112" s="5">
        <f ca="1">IF($BI112&lt;&gt;"",IF('Capacity summary'!$C$14="Yes",IF(COUNTBLANK('Capacity summary'!$H24:$BG24)&lt;52,IF('Capacity summary'!AN24&lt;&gt;"",IF(LOWER('Capacity summary'!AN24)="x",$BI112*AN112,VALUE('Capacity summary'!AN24)),0),AN112*$BI112),AN112*$BI112),0)</f>
        <v>0</v>
      </c>
      <c r="CR112" s="5">
        <f ca="1">IF($BI112&lt;&gt;"",IF('Capacity summary'!$C$14="Yes",IF(COUNTBLANK('Capacity summary'!$H24:$BG24)&lt;52,IF('Capacity summary'!AO24&lt;&gt;"",IF(LOWER('Capacity summary'!AO24)="x",$BI112*AO112,VALUE('Capacity summary'!AO24)),0),AO112*$BI112),AO112*$BI112),0)</f>
        <v>0</v>
      </c>
      <c r="CS112" s="5">
        <f ca="1">IF($BI112&lt;&gt;"",IF('Capacity summary'!$C$14="Yes",IF(COUNTBLANK('Capacity summary'!$H24:$BG24)&lt;52,IF('Capacity summary'!AP24&lt;&gt;"",IF(LOWER('Capacity summary'!AP24)="x",$BI112*AP112,VALUE('Capacity summary'!AP24)),0),AP112*$BI112),AP112*$BI112),0)</f>
        <v>0</v>
      </c>
      <c r="CT112" s="5">
        <f ca="1">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0</v>
      </c>
      <c r="CV112" s="5">
        <f ca="1">IF($BI112&lt;&gt;"",IF('Capacity summary'!$C$14="Yes",IF(COUNTBLANK('Capacity summary'!$H24:$BG24)&lt;52,IF('Capacity summary'!AS24&lt;&gt;"",IF(LOWER('Capacity summary'!AS24)="x",$BI112*AS112,VALUE('Capacity summary'!AS24)),0),AS112*$BI112),AS112*$BI112),0)</f>
        <v>0</v>
      </c>
      <c r="CW112" s="5">
        <f ca="1">IF($BI112&lt;&gt;"",IF('Capacity summary'!$C$14="Yes",IF(COUNTBLANK('Capacity summary'!$H24:$BG24)&lt;52,IF('Capacity summary'!AT24&lt;&gt;"",IF(LOWER('Capacity summary'!AT24)="x",$BI112*AT112,VALUE('Capacity summary'!AT24)),0),AT112*$BI112),AT112*$BI112),0)</f>
        <v>0</v>
      </c>
      <c r="CX112" s="5">
        <f ca="1">IF($BI112&lt;&gt;"",IF('Capacity summary'!$C$14="Yes",IF(COUNTBLANK('Capacity summary'!$H24:$BG24)&lt;52,IF('Capacity summary'!AU24&lt;&gt;"",IF(LOWER('Capacity summary'!AU24)="x",$BI112*AU112,VALUE('Capacity summary'!AU24)),0),AU112*$BI112),AU112*$BI112),0)</f>
        <v>0</v>
      </c>
      <c r="CY112" s="5">
        <f ca="1">IF($BI112&lt;&gt;"",IF('Capacity summary'!$C$14="Yes",IF(COUNTBLANK('Capacity summary'!$H24:$BG24)&lt;52,IF('Capacity summary'!AV24&lt;&gt;"",IF(LOWER('Capacity summary'!AV24)="x",$BI112*AV112,VALUE('Capacity summary'!AV24)),0),AV112*$BI112),AV112*$BI112),0)</f>
        <v>0</v>
      </c>
      <c r="CZ112" s="5">
        <f ca="1">IF($BI112&lt;&gt;"",IF('Capacity summary'!$C$14="Yes",IF(COUNTBLANK('Capacity summary'!$H24:$BG24)&lt;52,IF('Capacity summary'!AW24&lt;&gt;"",IF(LOWER('Capacity summary'!AW24)="x",$BI112*AW112,VALUE('Capacity summary'!AW24)),0),AW112*$BI112),AW112*$BI112),0)</f>
        <v>0</v>
      </c>
      <c r="DA112" s="5">
        <f ca="1">IF($BI112&lt;&gt;"",IF('Capacity summary'!$C$14="Yes",IF(COUNTBLANK('Capacity summary'!$H24:$BG24)&lt;52,IF('Capacity summary'!AX24&lt;&gt;"",IF(LOWER('Capacity summary'!AX24)="x",$BI112*AX112,VALUE('Capacity summary'!AX24)),0),AX112*$BI112),AX112*$BI112),0)</f>
        <v>0</v>
      </c>
      <c r="DB112" s="5">
        <f ca="1">IF($BI112&lt;&gt;"",IF('Capacity summary'!$C$14="Yes",IF(COUNTBLANK('Capacity summary'!$H24:$BG24)&lt;52,IF('Capacity summary'!AY24&lt;&gt;"",IF(LOWER('Capacity summary'!AY24)="x",$BI112*AY112,VALUE('Capacity summary'!AY24)),0),AY112*$BI112),AY112*$BI112),0)</f>
        <v>0</v>
      </c>
      <c r="DC112" s="5">
        <f ca="1">IF($BI112&lt;&gt;"",IF('Capacity summary'!$C$14="Yes",IF(COUNTBLANK('Capacity summary'!$H24:$BG24)&lt;52,IF('Capacity summary'!AZ24&lt;&gt;"",IF(LOWER('Capacity summary'!AZ24)="x",$BI112*AZ112,VALUE('Capacity summary'!AZ24)),0),AZ112*$BI112),AZ112*$BI112),0)</f>
        <v>0</v>
      </c>
      <c r="DD112" s="5">
        <f ca="1">IF($BI112&lt;&gt;"",IF('Capacity summary'!$C$14="Yes",IF(COUNTBLANK('Capacity summary'!$H24:$BG24)&lt;52,IF('Capacity summary'!BA24&lt;&gt;"",IF(LOWER('Capacity summary'!BA24)="x",$BI112*BA112,VALUE('Capacity summary'!BA24)),0),BA112*$BI112),BA112*$BI112),0)</f>
        <v>0</v>
      </c>
      <c r="DE112" s="5">
        <f ca="1">IF($BI112&lt;&gt;"",IF('Capacity summary'!$C$14="Yes",IF(COUNTBLANK('Capacity summary'!$H24:$BG24)&lt;52,IF('Capacity summary'!BB24&lt;&gt;"",IF(LOWER('Capacity summary'!BB24)="x",$BI112*BB112,VALUE('Capacity summary'!BB24)),0),BB112*$BI112),BB112*$BI112),0)</f>
        <v>0</v>
      </c>
      <c r="DF112" s="5">
        <f ca="1">IF($BI112&lt;&gt;"",IF('Capacity summary'!$C$14="Yes",IF(COUNTBLANK('Capacity summary'!$H24:$BG24)&lt;52,IF('Capacity summary'!BC24&lt;&gt;"",IF(LOWER('Capacity summary'!BC24)="x",$BI112*BC112,VALUE('Capacity summary'!BC24)),0),BC112*$BI112),BC112*$BI112),0)</f>
        <v>0</v>
      </c>
      <c r="DG112" s="5">
        <f ca="1">IF($BI112&lt;&gt;"",IF('Capacity summary'!$C$14="Yes",IF(COUNTBLANK('Capacity summary'!$H24:$BG24)&lt;52,IF('Capacity summary'!BD24&lt;&gt;"",IF(LOWER('Capacity summary'!BD24)="x",$BI112*BD112,VALUE('Capacity summary'!BD24)),0),BD112*$BI112),BD112*$BI112),0)</f>
        <v>0</v>
      </c>
      <c r="DH112" s="5">
        <f ca="1">IF($BI112&lt;&gt;"",IF('Capacity summary'!$C$14="Yes",IF(COUNTBLANK('Capacity summary'!$H24:$BG24)&lt;52,IF('Capacity summary'!BE24&lt;&gt;"",IF(LOWER('Capacity summary'!BE24)="x",$BI112*BE112,VALUE('Capacity summary'!BE24)),0),BE112*$BI112),BE112*$BI112),0)</f>
        <v>0</v>
      </c>
      <c r="DI112" s="5">
        <f ca="1">IF($BI112&lt;&gt;"",IF('Capacity summary'!$C$14="Yes",IF(COUNTBLANK('Capacity summary'!$H24:$BG24)&lt;52,IF('Capacity summary'!BF24&lt;&gt;"",IF(LOWER('Capacity summary'!BF24)="x",$BI112*BF112,VALUE('Capacity summary'!BF24)),0),BF112*$BI112),BF112*$BI112),0)</f>
        <v>0</v>
      </c>
      <c r="DJ112" s="5">
        <f ca="1">IF($BI112&lt;&gt;"",IF('Capacity summary'!$C$14="Yes",IF(COUNTBLANK('Capacity summary'!$H24:$BG24)&lt;52,IF('Capacity summary'!BG24&lt;&gt;"",IF(LOWER('Capacity summary'!BG24)="x",$BI112*BG112,VALUE('Capacity summary'!BG24)),0),BG112*$BI112),BG112*$BI112),0)</f>
        <v>0</v>
      </c>
      <c r="DK112" s="388">
        <f t="shared" ref="DK112:DK175" ca="1" si="8">DJ112</f>
        <v>0</v>
      </c>
      <c r="DL112" s="5">
        <f t="shared" ref="DL112:DL175" ca="1" si="9">SUM(BK112:DJ112)</f>
        <v>0</v>
      </c>
    </row>
    <row r="113" spans="3:116" x14ac:dyDescent="0.2">
      <c r="C113" s="67" t="str">
        <f>ROW(A2)&amp;". "&amp;Capacity!N18</f>
        <v>2. 44323</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8.6538461538461533</v>
      </c>
      <c r="BJ113" s="5"/>
      <c r="BK113" s="5">
        <f ca="1">IF($BI113&lt;&gt;"",IF('Capacity summary'!$C$14="Yes",IF(COUNTBLANK('Capacity summary'!$H25:$BG25)&lt;52,IF('Capacity summary'!H25&lt;&gt;"",IF(LOWER('Capacity summary'!H25)="x",$BI113*H113,VALUE('Capacity summary'!H25)),0),H113*$BI113),H113*$BI113),0)</f>
        <v>8.6538461538461533</v>
      </c>
      <c r="BL113" s="5">
        <f ca="1">IF($BI113&lt;&gt;"",IF('Capacity summary'!$C$14="Yes",IF(COUNTBLANK('Capacity summary'!$H25:$BG25)&lt;52,IF('Capacity summary'!I25&lt;&gt;"",IF(LOWER('Capacity summary'!I25)="x",$BI113*I113,VALUE('Capacity summary'!I25)),0),I113*$BI113),I113*$BI113),0)</f>
        <v>8.6538461538461533</v>
      </c>
      <c r="BM113" s="5">
        <f ca="1">IF($BI113&lt;&gt;"",IF('Capacity summary'!$C$14="Yes",IF(COUNTBLANK('Capacity summary'!$H25:$BG25)&lt;52,IF('Capacity summary'!J25&lt;&gt;"",IF(LOWER('Capacity summary'!J25)="x",$BI113*J113,VALUE('Capacity summary'!J25)),0),J113*$BI113),J113*$BI113),0)</f>
        <v>8.6538461538461533</v>
      </c>
      <c r="BN113" s="5">
        <f ca="1">IF($BI113&lt;&gt;"",IF('Capacity summary'!$C$14="Yes",IF(COUNTBLANK('Capacity summary'!$H25:$BG25)&lt;52,IF('Capacity summary'!K25&lt;&gt;"",IF(LOWER('Capacity summary'!K25)="x",$BI113*K113,VALUE('Capacity summary'!K25)),0),K113*$BI113),K113*$BI113),0)</f>
        <v>8.6538461538461533</v>
      </c>
      <c r="BO113" s="5">
        <f ca="1">IF($BI113&lt;&gt;"",IF('Capacity summary'!$C$14="Yes",IF(COUNTBLANK('Capacity summary'!$H25:$BG25)&lt;52,IF('Capacity summary'!L25&lt;&gt;"",IF(LOWER('Capacity summary'!L25)="x",$BI113*L113,VALUE('Capacity summary'!L25)),0),L113*$BI113),L113*$BI113),0)</f>
        <v>8.6538461538461533</v>
      </c>
      <c r="BP113" s="5">
        <f ca="1">IF($BI113&lt;&gt;"",IF('Capacity summary'!$C$14="Yes",IF(COUNTBLANK('Capacity summary'!$H25:$BG25)&lt;52,IF('Capacity summary'!M25&lt;&gt;"",IF(LOWER('Capacity summary'!M25)="x",$BI113*M113,VALUE('Capacity summary'!M25)),0),M113*$BI113),M113*$BI113),0)</f>
        <v>8.6538461538461533</v>
      </c>
      <c r="BQ113" s="5">
        <f ca="1">IF($BI113&lt;&gt;"",IF('Capacity summary'!$C$14="Yes",IF(COUNTBLANK('Capacity summary'!$H25:$BG25)&lt;52,IF('Capacity summary'!N25&lt;&gt;"",IF(LOWER('Capacity summary'!N25)="x",$BI113*N113,VALUE('Capacity summary'!N25)),0),N113*$BI113),N113*$BI113),0)</f>
        <v>8.6538461538461533</v>
      </c>
      <c r="BR113" s="5">
        <f ca="1">IF($BI113&lt;&gt;"",IF('Capacity summary'!$C$14="Yes",IF(COUNTBLANK('Capacity summary'!$H25:$BG25)&lt;52,IF('Capacity summary'!O25&lt;&gt;"",IF(LOWER('Capacity summary'!O25)="x",$BI113*O113,VALUE('Capacity summary'!O25)),0),O113*$BI113),O113*$BI113),0)</f>
        <v>8.6538461538461533</v>
      </c>
      <c r="BS113" s="5">
        <f ca="1">IF($BI113&lt;&gt;"",IF('Capacity summary'!$C$14="Yes",IF(COUNTBLANK('Capacity summary'!$H25:$BG25)&lt;52,IF('Capacity summary'!P25&lt;&gt;"",IF(LOWER('Capacity summary'!P25)="x",$BI113*P113,VALUE('Capacity summary'!P25)),0),P113*$BI113),P113*$BI113),0)</f>
        <v>8.6538461538461533</v>
      </c>
      <c r="BT113" s="5">
        <f ca="1">IF($BI113&lt;&gt;"",IF('Capacity summary'!$C$14="Yes",IF(COUNTBLANK('Capacity summary'!$H25:$BG25)&lt;52,IF('Capacity summary'!Q25&lt;&gt;"",IF(LOWER('Capacity summary'!Q25)="x",$BI113*Q113,VALUE('Capacity summary'!Q25)),0),Q113*$BI113),Q113*$BI113),0)</f>
        <v>8.6538461538461533</v>
      </c>
      <c r="BU113" s="5">
        <f ca="1">IF($BI113&lt;&gt;"",IF('Capacity summary'!$C$14="Yes",IF(COUNTBLANK('Capacity summary'!$H25:$BG25)&lt;52,IF('Capacity summary'!R25&lt;&gt;"",IF(LOWER('Capacity summary'!R25)="x",$BI113*R113,VALUE('Capacity summary'!R25)),0),R113*$BI113),R113*$BI113),0)</f>
        <v>8.6538461538461533</v>
      </c>
      <c r="BV113" s="5">
        <f ca="1">IF($BI113&lt;&gt;"",IF('Capacity summary'!$C$14="Yes",IF(COUNTBLANK('Capacity summary'!$H25:$BG25)&lt;52,IF('Capacity summary'!S25&lt;&gt;"",IF(LOWER('Capacity summary'!S25)="x",$BI113*S113,VALUE('Capacity summary'!S25)),0),S113*$BI113),S113*$BI113),0)</f>
        <v>8.6538461538461533</v>
      </c>
      <c r="BW113" s="5">
        <f ca="1">IF($BI113&lt;&gt;"",IF('Capacity summary'!$C$14="Yes",IF(COUNTBLANK('Capacity summary'!$H25:$BG25)&lt;52,IF('Capacity summary'!T25&lt;&gt;"",IF(LOWER('Capacity summary'!T25)="x",$BI113*T113,VALUE('Capacity summary'!T25)),0),T113*$BI113),T113*$BI113),0)</f>
        <v>8.6538461538461533</v>
      </c>
      <c r="BX113" s="5">
        <f ca="1">IF($BI113&lt;&gt;"",IF('Capacity summary'!$C$14="Yes",IF(COUNTBLANK('Capacity summary'!$H25:$BG25)&lt;52,IF('Capacity summary'!U25&lt;&gt;"",IF(LOWER('Capacity summary'!U25)="x",$BI113*U113,VALUE('Capacity summary'!U25)),0),U113*$BI113),U113*$BI113),0)</f>
        <v>8.6538461538461533</v>
      </c>
      <c r="BY113" s="5">
        <f ca="1">IF($BI113&lt;&gt;"",IF('Capacity summary'!$C$14="Yes",IF(COUNTBLANK('Capacity summary'!$H25:$BG25)&lt;52,IF('Capacity summary'!V25&lt;&gt;"",IF(LOWER('Capacity summary'!V25)="x",$BI113*V113,VALUE('Capacity summary'!V25)),0),V113*$BI113),V113*$BI113),0)</f>
        <v>8.6538461538461533</v>
      </c>
      <c r="BZ113" s="5">
        <f ca="1">IF($BI113&lt;&gt;"",IF('Capacity summary'!$C$14="Yes",IF(COUNTBLANK('Capacity summary'!$H25:$BG25)&lt;52,IF('Capacity summary'!W25&lt;&gt;"",IF(LOWER('Capacity summary'!W25)="x",$BI113*W113,VALUE('Capacity summary'!W25)),0),W113*$BI113),W113*$BI113),0)</f>
        <v>8.6538461538461533</v>
      </c>
      <c r="CA113" s="5">
        <f ca="1">IF($BI113&lt;&gt;"",IF('Capacity summary'!$C$14="Yes",IF(COUNTBLANK('Capacity summary'!$H25:$BG25)&lt;52,IF('Capacity summary'!X25&lt;&gt;"",IF(LOWER('Capacity summary'!X25)="x",$BI113*X113,VALUE('Capacity summary'!X25)),0),X113*$BI113),X113*$BI113),0)</f>
        <v>8.6538461538461533</v>
      </c>
      <c r="CB113" s="5">
        <f ca="1">IF($BI113&lt;&gt;"",IF('Capacity summary'!$C$14="Yes",IF(COUNTBLANK('Capacity summary'!$H25:$BG25)&lt;52,IF('Capacity summary'!Y25&lt;&gt;"",IF(LOWER('Capacity summary'!Y25)="x",$BI113*Y113,VALUE('Capacity summary'!Y25)),0),Y113*$BI113),Y113*$BI113),0)</f>
        <v>8.6538461538461533</v>
      </c>
      <c r="CC113" s="5">
        <f ca="1">IF($BI113&lt;&gt;"",IF('Capacity summary'!$C$14="Yes",IF(COUNTBLANK('Capacity summary'!$H25:$BG25)&lt;52,IF('Capacity summary'!Z25&lt;&gt;"",IF(LOWER('Capacity summary'!Z25)="x",$BI113*Z113,VALUE('Capacity summary'!Z25)),0),Z113*$BI113),Z113*$BI113),0)</f>
        <v>8.6538461538461533</v>
      </c>
      <c r="CD113" s="5">
        <f ca="1">IF($BI113&lt;&gt;"",IF('Capacity summary'!$C$14="Yes",IF(COUNTBLANK('Capacity summary'!$H25:$BG25)&lt;52,IF('Capacity summary'!AA25&lt;&gt;"",IF(LOWER('Capacity summary'!AA25)="x",$BI113*AA113,VALUE('Capacity summary'!AA25)),0),AA113*$BI113),AA113*$BI113),0)</f>
        <v>8.6538461538461533</v>
      </c>
      <c r="CE113" s="5">
        <f ca="1">IF($BI113&lt;&gt;"",IF('Capacity summary'!$C$14="Yes",IF(COUNTBLANK('Capacity summary'!$H25:$BG25)&lt;52,IF('Capacity summary'!AB25&lt;&gt;"",IF(LOWER('Capacity summary'!AB25)="x",$BI113*AB113,VALUE('Capacity summary'!AB25)),0),AB113*$BI113),AB113*$BI113),0)</f>
        <v>8.6538461538461533</v>
      </c>
      <c r="CF113" s="5">
        <f ca="1">IF($BI113&lt;&gt;"",IF('Capacity summary'!$C$14="Yes",IF(COUNTBLANK('Capacity summary'!$H25:$BG25)&lt;52,IF('Capacity summary'!AC25&lt;&gt;"",IF(LOWER('Capacity summary'!AC25)="x",$BI113*AC113,VALUE('Capacity summary'!AC25)),0),AC113*$BI113),AC113*$BI113),0)</f>
        <v>8.6538461538461533</v>
      </c>
      <c r="CG113" s="5">
        <f ca="1">IF($BI113&lt;&gt;"",IF('Capacity summary'!$C$14="Yes",IF(COUNTBLANK('Capacity summary'!$H25:$BG25)&lt;52,IF('Capacity summary'!AD25&lt;&gt;"",IF(LOWER('Capacity summary'!AD25)="x",$BI113*AD113,VALUE('Capacity summary'!AD25)),0),AD113*$BI113),AD113*$BI113),0)</f>
        <v>8.6538461538461533</v>
      </c>
      <c r="CH113" s="5">
        <f ca="1">IF($BI113&lt;&gt;"",IF('Capacity summary'!$C$14="Yes",IF(COUNTBLANK('Capacity summary'!$H25:$BG25)&lt;52,IF('Capacity summary'!AE25&lt;&gt;"",IF(LOWER('Capacity summary'!AE25)="x",$BI113*AE113,VALUE('Capacity summary'!AE25)),0),AE113*$BI113),AE113*$BI113),0)</f>
        <v>8.6538461538461533</v>
      </c>
      <c r="CI113" s="5">
        <f ca="1">IF($BI113&lt;&gt;"",IF('Capacity summary'!$C$14="Yes",IF(COUNTBLANK('Capacity summary'!$H25:$BG25)&lt;52,IF('Capacity summary'!AF25&lt;&gt;"",IF(LOWER('Capacity summary'!AF25)="x",$BI113*AF113,VALUE('Capacity summary'!AF25)),0),AF113*$BI113),AF113*$BI113),0)</f>
        <v>8.6538461538461533</v>
      </c>
      <c r="CJ113" s="5">
        <f ca="1">IF($BI113&lt;&gt;"",IF('Capacity summary'!$C$14="Yes",IF(COUNTBLANK('Capacity summary'!$H25:$BG25)&lt;52,IF('Capacity summary'!AG25&lt;&gt;"",IF(LOWER('Capacity summary'!AG25)="x",$BI113*AG113,VALUE('Capacity summary'!AG25)),0),AG113*$BI113),AG113*$BI113),0)</f>
        <v>8.6538461538461533</v>
      </c>
      <c r="CK113" s="5">
        <f ca="1">IF($BI113&lt;&gt;"",IF('Capacity summary'!$C$14="Yes",IF(COUNTBLANK('Capacity summary'!$H25:$BG25)&lt;52,IF('Capacity summary'!AH25&lt;&gt;"",IF(LOWER('Capacity summary'!AH25)="x",$BI113*AH113,VALUE('Capacity summary'!AH25)),0),AH113*$BI113),AH113*$BI113),0)</f>
        <v>8.6538461538461533</v>
      </c>
      <c r="CL113" s="5">
        <f ca="1">IF($BI113&lt;&gt;"",IF('Capacity summary'!$C$14="Yes",IF(COUNTBLANK('Capacity summary'!$H25:$BG25)&lt;52,IF('Capacity summary'!AI25&lt;&gt;"",IF(LOWER('Capacity summary'!AI25)="x",$BI113*AI113,VALUE('Capacity summary'!AI25)),0),AI113*$BI113),AI113*$BI113),0)</f>
        <v>8.6538461538461533</v>
      </c>
      <c r="CM113" s="5">
        <f ca="1">IF($BI113&lt;&gt;"",IF('Capacity summary'!$C$14="Yes",IF(COUNTBLANK('Capacity summary'!$H25:$BG25)&lt;52,IF('Capacity summary'!AJ25&lt;&gt;"",IF(LOWER('Capacity summary'!AJ25)="x",$BI113*AJ113,VALUE('Capacity summary'!AJ25)),0),AJ113*$BI113),AJ113*$BI113),0)</f>
        <v>8.6538461538461533</v>
      </c>
      <c r="CN113" s="5">
        <f ca="1">IF($BI113&lt;&gt;"",IF('Capacity summary'!$C$14="Yes",IF(COUNTBLANK('Capacity summary'!$H25:$BG25)&lt;52,IF('Capacity summary'!AK25&lt;&gt;"",IF(LOWER('Capacity summary'!AK25)="x",$BI113*AK113,VALUE('Capacity summary'!AK25)),0),AK113*$BI113),AK113*$BI113),0)</f>
        <v>8.6538461538461533</v>
      </c>
      <c r="CO113" s="5">
        <f ca="1">IF($BI113&lt;&gt;"",IF('Capacity summary'!$C$14="Yes",IF(COUNTBLANK('Capacity summary'!$H25:$BG25)&lt;52,IF('Capacity summary'!AL25&lt;&gt;"",IF(LOWER('Capacity summary'!AL25)="x",$BI113*AL113,VALUE('Capacity summary'!AL25)),0),AL113*$BI113),AL113*$BI113),0)</f>
        <v>8.6538461538461533</v>
      </c>
      <c r="CP113" s="5">
        <f ca="1">IF($BI113&lt;&gt;"",IF('Capacity summary'!$C$14="Yes",IF(COUNTBLANK('Capacity summary'!$H25:$BG25)&lt;52,IF('Capacity summary'!AM25&lt;&gt;"",IF(LOWER('Capacity summary'!AM25)="x",$BI113*AM113,VALUE('Capacity summary'!AM25)),0),AM113*$BI113),AM113*$BI113),0)</f>
        <v>8.6538461538461533</v>
      </c>
      <c r="CQ113" s="5">
        <f ca="1">IF($BI113&lt;&gt;"",IF('Capacity summary'!$C$14="Yes",IF(COUNTBLANK('Capacity summary'!$H25:$BG25)&lt;52,IF('Capacity summary'!AN25&lt;&gt;"",IF(LOWER('Capacity summary'!AN25)="x",$BI113*AN113,VALUE('Capacity summary'!AN25)),0),AN113*$BI113),AN113*$BI113),0)</f>
        <v>8.6538461538461533</v>
      </c>
      <c r="CR113" s="5">
        <f ca="1">IF($BI113&lt;&gt;"",IF('Capacity summary'!$C$14="Yes",IF(COUNTBLANK('Capacity summary'!$H25:$BG25)&lt;52,IF('Capacity summary'!AO25&lt;&gt;"",IF(LOWER('Capacity summary'!AO25)="x",$BI113*AO113,VALUE('Capacity summary'!AO25)),0),AO113*$BI113),AO113*$BI113),0)</f>
        <v>8.6538461538461533</v>
      </c>
      <c r="CS113" s="5">
        <f ca="1">IF($BI113&lt;&gt;"",IF('Capacity summary'!$C$14="Yes",IF(COUNTBLANK('Capacity summary'!$H25:$BG25)&lt;52,IF('Capacity summary'!AP25&lt;&gt;"",IF(LOWER('Capacity summary'!AP25)="x",$BI113*AP113,VALUE('Capacity summary'!AP25)),0),AP113*$BI113),AP113*$BI113),0)</f>
        <v>8.6538461538461533</v>
      </c>
      <c r="CT113" s="5">
        <f ca="1">IF($BI113&lt;&gt;"",IF('Capacity summary'!$C$14="Yes",IF(COUNTBLANK('Capacity summary'!$H25:$BG25)&lt;52,IF('Capacity summary'!AQ25&lt;&gt;"",IF(LOWER('Capacity summary'!AQ25)="x",$BI113*AQ113,VALUE('Capacity summary'!AQ25)),0),AQ113*$BI113),AQ113*$BI113),0)</f>
        <v>8.6538461538461533</v>
      </c>
      <c r="CU113" s="5">
        <f ca="1">IF($BI113&lt;&gt;"",IF('Capacity summary'!$C$14="Yes",IF(COUNTBLANK('Capacity summary'!$H25:$BG25)&lt;52,IF('Capacity summary'!AR25&lt;&gt;"",IF(LOWER('Capacity summary'!AR25)="x",$BI113*AR113,VALUE('Capacity summary'!AR25)),0),AR113*$BI113),AR113*$BI113),0)</f>
        <v>8.6538461538461533</v>
      </c>
      <c r="CV113" s="5">
        <f ca="1">IF($BI113&lt;&gt;"",IF('Capacity summary'!$C$14="Yes",IF(COUNTBLANK('Capacity summary'!$H25:$BG25)&lt;52,IF('Capacity summary'!AS25&lt;&gt;"",IF(LOWER('Capacity summary'!AS25)="x",$BI113*AS113,VALUE('Capacity summary'!AS25)),0),AS113*$BI113),AS113*$BI113),0)</f>
        <v>8.6538461538461533</v>
      </c>
      <c r="CW113" s="5">
        <f ca="1">IF($BI113&lt;&gt;"",IF('Capacity summary'!$C$14="Yes",IF(COUNTBLANK('Capacity summary'!$H25:$BG25)&lt;52,IF('Capacity summary'!AT25&lt;&gt;"",IF(LOWER('Capacity summary'!AT25)="x",$BI113*AT113,VALUE('Capacity summary'!AT25)),0),AT113*$BI113),AT113*$BI113),0)</f>
        <v>8.6538461538461533</v>
      </c>
      <c r="CX113" s="5">
        <f ca="1">IF($BI113&lt;&gt;"",IF('Capacity summary'!$C$14="Yes",IF(COUNTBLANK('Capacity summary'!$H25:$BG25)&lt;52,IF('Capacity summary'!AU25&lt;&gt;"",IF(LOWER('Capacity summary'!AU25)="x",$BI113*AU113,VALUE('Capacity summary'!AU25)),0),AU113*$BI113),AU113*$BI113),0)</f>
        <v>8.6538461538461533</v>
      </c>
      <c r="CY113" s="5">
        <f ca="1">IF($BI113&lt;&gt;"",IF('Capacity summary'!$C$14="Yes",IF(COUNTBLANK('Capacity summary'!$H25:$BG25)&lt;52,IF('Capacity summary'!AV25&lt;&gt;"",IF(LOWER('Capacity summary'!AV25)="x",$BI113*AV113,VALUE('Capacity summary'!AV25)),0),AV113*$BI113),AV113*$BI113),0)</f>
        <v>8.6538461538461533</v>
      </c>
      <c r="CZ113" s="5">
        <f ca="1">IF($BI113&lt;&gt;"",IF('Capacity summary'!$C$14="Yes",IF(COUNTBLANK('Capacity summary'!$H25:$BG25)&lt;52,IF('Capacity summary'!AW25&lt;&gt;"",IF(LOWER('Capacity summary'!AW25)="x",$BI113*AW113,VALUE('Capacity summary'!AW25)),0),AW113*$BI113),AW113*$BI113),0)</f>
        <v>8.6538461538461533</v>
      </c>
      <c r="DA113" s="5">
        <f ca="1">IF($BI113&lt;&gt;"",IF('Capacity summary'!$C$14="Yes",IF(COUNTBLANK('Capacity summary'!$H25:$BG25)&lt;52,IF('Capacity summary'!AX25&lt;&gt;"",IF(LOWER('Capacity summary'!AX25)="x",$BI113*AX113,VALUE('Capacity summary'!AX25)),0),AX113*$BI113),AX113*$BI113),0)</f>
        <v>8.6538461538461533</v>
      </c>
      <c r="DB113" s="5">
        <f ca="1">IF($BI113&lt;&gt;"",IF('Capacity summary'!$C$14="Yes",IF(COUNTBLANK('Capacity summary'!$H25:$BG25)&lt;52,IF('Capacity summary'!AY25&lt;&gt;"",IF(LOWER('Capacity summary'!AY25)="x",$BI113*AY113,VALUE('Capacity summary'!AY25)),0),AY113*$BI113),AY113*$BI113),0)</f>
        <v>8.6538461538461533</v>
      </c>
      <c r="DC113" s="5">
        <f ca="1">IF($BI113&lt;&gt;"",IF('Capacity summary'!$C$14="Yes",IF(COUNTBLANK('Capacity summary'!$H25:$BG25)&lt;52,IF('Capacity summary'!AZ25&lt;&gt;"",IF(LOWER('Capacity summary'!AZ25)="x",$BI113*AZ113,VALUE('Capacity summary'!AZ25)),0),AZ113*$BI113),AZ113*$BI113),0)</f>
        <v>8.6538461538461533</v>
      </c>
      <c r="DD113" s="5">
        <f ca="1">IF($BI113&lt;&gt;"",IF('Capacity summary'!$C$14="Yes",IF(COUNTBLANK('Capacity summary'!$H25:$BG25)&lt;52,IF('Capacity summary'!BA25&lt;&gt;"",IF(LOWER('Capacity summary'!BA25)="x",$BI113*BA113,VALUE('Capacity summary'!BA25)),0),BA113*$BI113),BA113*$BI113),0)</f>
        <v>8.6538461538461533</v>
      </c>
      <c r="DE113" s="5">
        <f ca="1">IF($BI113&lt;&gt;"",IF('Capacity summary'!$C$14="Yes",IF(COUNTBLANK('Capacity summary'!$H25:$BG25)&lt;52,IF('Capacity summary'!BB25&lt;&gt;"",IF(LOWER('Capacity summary'!BB25)="x",$BI113*BB113,VALUE('Capacity summary'!BB25)),0),BB113*$BI113),BB113*$BI113),0)</f>
        <v>8.6538461538461533</v>
      </c>
      <c r="DF113" s="5">
        <f ca="1">IF($BI113&lt;&gt;"",IF('Capacity summary'!$C$14="Yes",IF(COUNTBLANK('Capacity summary'!$H25:$BG25)&lt;52,IF('Capacity summary'!BC25&lt;&gt;"",IF(LOWER('Capacity summary'!BC25)="x",$BI113*BC113,VALUE('Capacity summary'!BC25)),0),BC113*$BI113),BC113*$BI113),0)</f>
        <v>8.6538461538461533</v>
      </c>
      <c r="DG113" s="5">
        <f ca="1">IF($BI113&lt;&gt;"",IF('Capacity summary'!$C$14="Yes",IF(COUNTBLANK('Capacity summary'!$H25:$BG25)&lt;52,IF('Capacity summary'!BD25&lt;&gt;"",IF(LOWER('Capacity summary'!BD25)="x",$BI113*BD113,VALUE('Capacity summary'!BD25)),0),BD113*$BI113),BD113*$BI113),0)</f>
        <v>8.6538461538461533</v>
      </c>
      <c r="DH113" s="5">
        <f ca="1">IF($BI113&lt;&gt;"",IF('Capacity summary'!$C$14="Yes",IF(COUNTBLANK('Capacity summary'!$H25:$BG25)&lt;52,IF('Capacity summary'!BE25&lt;&gt;"",IF(LOWER('Capacity summary'!BE25)="x",$BI113*BE113,VALUE('Capacity summary'!BE25)),0),BE113*$BI113),BE113*$BI113),0)</f>
        <v>8.6538461538461533</v>
      </c>
      <c r="DI113" s="5">
        <f ca="1">IF($BI113&lt;&gt;"",IF('Capacity summary'!$C$14="Yes",IF(COUNTBLANK('Capacity summary'!$H25:$BG25)&lt;52,IF('Capacity summary'!BF25&lt;&gt;"",IF(LOWER('Capacity summary'!BF25)="x",$BI113*BF113,VALUE('Capacity summary'!BF25)),0),BF113*$BI113),BF113*$BI113),0)</f>
        <v>8.6538461538461533</v>
      </c>
      <c r="DJ113" s="5">
        <f ca="1">IF($BI113&lt;&gt;"",IF('Capacity summary'!$C$14="Yes",IF(COUNTBLANK('Capacity summary'!$H25:$BG25)&lt;52,IF('Capacity summary'!BG25&lt;&gt;"",IF(LOWER('Capacity summary'!BG25)="x",$BI113*BG113,VALUE('Capacity summary'!BG25)),0),BG113*$BI113),BG113*$BI113),0)</f>
        <v>8.6538461538461533</v>
      </c>
      <c r="DK113" s="388">
        <f t="shared" ca="1" si="8"/>
        <v>8.6538461538461533</v>
      </c>
      <c r="DL113" s="5">
        <f t="shared" ca="1" si="9"/>
        <v>449.99999999999966</v>
      </c>
    </row>
    <row r="114" spans="3:116" x14ac:dyDescent="0.2">
      <c r="C114" s="67" t="str">
        <f>ROW(A3)&amp;". "&amp;Capacity!N19</f>
        <v>3. 44326</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 ca="1">IF(ROW(A3)&lt;=Capacity!$M$16,IF('Capacity summary'!$C$14="No",SUM(H114:BG114),'Capacity summary'!$E26),0)</f>
        <v>52</v>
      </c>
      <c r="BI114" s="67">
        <f ca="1">IF(BH114&gt;0,IF(BH114&lt;Capacity!Q19,Capacity!R19,Capacity!T19/'Capacity calculation (hide)'!BH114),"")</f>
        <v>9.2307692307692299</v>
      </c>
      <c r="BJ114" s="5"/>
      <c r="BK114" s="5">
        <f ca="1">IF($BI114&lt;&gt;"",IF('Capacity summary'!$C$14="Yes",IF(COUNTBLANK('Capacity summary'!$H26:$BG26)&lt;52,IF('Capacity summary'!H26&lt;&gt;"",IF(LOWER('Capacity summary'!H26)="x",$BI114*H114,VALUE('Capacity summary'!H26)),0),H114*$BI114),H114*$BI114),0)</f>
        <v>9.2307692307692299</v>
      </c>
      <c r="BL114" s="5">
        <f ca="1">IF($BI114&lt;&gt;"",IF('Capacity summary'!$C$14="Yes",IF(COUNTBLANK('Capacity summary'!$H26:$BG26)&lt;52,IF('Capacity summary'!I26&lt;&gt;"",IF(LOWER('Capacity summary'!I26)="x",$BI114*I114,VALUE('Capacity summary'!I26)),0),I114*$BI114),I114*$BI114),0)</f>
        <v>9.2307692307692299</v>
      </c>
      <c r="BM114" s="5">
        <f ca="1">IF($BI114&lt;&gt;"",IF('Capacity summary'!$C$14="Yes",IF(COUNTBLANK('Capacity summary'!$H26:$BG26)&lt;52,IF('Capacity summary'!J26&lt;&gt;"",IF(LOWER('Capacity summary'!J26)="x",$BI114*J114,VALUE('Capacity summary'!J26)),0),J114*$BI114),J114*$BI114),0)</f>
        <v>9.2307692307692299</v>
      </c>
      <c r="BN114" s="5">
        <f ca="1">IF($BI114&lt;&gt;"",IF('Capacity summary'!$C$14="Yes",IF(COUNTBLANK('Capacity summary'!$H26:$BG26)&lt;52,IF('Capacity summary'!K26&lt;&gt;"",IF(LOWER('Capacity summary'!K26)="x",$BI114*K114,VALUE('Capacity summary'!K26)),0),K114*$BI114),K114*$BI114),0)</f>
        <v>9.2307692307692299</v>
      </c>
      <c r="BO114" s="5">
        <f ca="1">IF($BI114&lt;&gt;"",IF('Capacity summary'!$C$14="Yes",IF(COUNTBLANK('Capacity summary'!$H26:$BG26)&lt;52,IF('Capacity summary'!L26&lt;&gt;"",IF(LOWER('Capacity summary'!L26)="x",$BI114*L114,VALUE('Capacity summary'!L26)),0),L114*$BI114),L114*$BI114),0)</f>
        <v>9.2307692307692299</v>
      </c>
      <c r="BP114" s="5">
        <f ca="1">IF($BI114&lt;&gt;"",IF('Capacity summary'!$C$14="Yes",IF(COUNTBLANK('Capacity summary'!$H26:$BG26)&lt;52,IF('Capacity summary'!M26&lt;&gt;"",IF(LOWER('Capacity summary'!M26)="x",$BI114*M114,VALUE('Capacity summary'!M26)),0),M114*$BI114),M114*$BI114),0)</f>
        <v>9.2307692307692299</v>
      </c>
      <c r="BQ114" s="5">
        <f ca="1">IF($BI114&lt;&gt;"",IF('Capacity summary'!$C$14="Yes",IF(COUNTBLANK('Capacity summary'!$H26:$BG26)&lt;52,IF('Capacity summary'!N26&lt;&gt;"",IF(LOWER('Capacity summary'!N26)="x",$BI114*N114,VALUE('Capacity summary'!N26)),0),N114*$BI114),N114*$BI114),0)</f>
        <v>9.2307692307692299</v>
      </c>
      <c r="BR114" s="5">
        <f ca="1">IF($BI114&lt;&gt;"",IF('Capacity summary'!$C$14="Yes",IF(COUNTBLANK('Capacity summary'!$H26:$BG26)&lt;52,IF('Capacity summary'!O26&lt;&gt;"",IF(LOWER('Capacity summary'!O26)="x",$BI114*O114,VALUE('Capacity summary'!O26)),0),O114*$BI114),O114*$BI114),0)</f>
        <v>9.2307692307692299</v>
      </c>
      <c r="BS114" s="5">
        <f ca="1">IF($BI114&lt;&gt;"",IF('Capacity summary'!$C$14="Yes",IF(COUNTBLANK('Capacity summary'!$H26:$BG26)&lt;52,IF('Capacity summary'!P26&lt;&gt;"",IF(LOWER('Capacity summary'!P26)="x",$BI114*P114,VALUE('Capacity summary'!P26)),0),P114*$BI114),P114*$BI114),0)</f>
        <v>9.2307692307692299</v>
      </c>
      <c r="BT114" s="5">
        <f ca="1">IF($BI114&lt;&gt;"",IF('Capacity summary'!$C$14="Yes",IF(COUNTBLANK('Capacity summary'!$H26:$BG26)&lt;52,IF('Capacity summary'!Q26&lt;&gt;"",IF(LOWER('Capacity summary'!Q26)="x",$BI114*Q114,VALUE('Capacity summary'!Q26)),0),Q114*$BI114),Q114*$BI114),0)</f>
        <v>9.2307692307692299</v>
      </c>
      <c r="BU114" s="5">
        <f ca="1">IF($BI114&lt;&gt;"",IF('Capacity summary'!$C$14="Yes",IF(COUNTBLANK('Capacity summary'!$H26:$BG26)&lt;52,IF('Capacity summary'!R26&lt;&gt;"",IF(LOWER('Capacity summary'!R26)="x",$BI114*R114,VALUE('Capacity summary'!R26)),0),R114*$BI114),R114*$BI114),0)</f>
        <v>9.2307692307692299</v>
      </c>
      <c r="BV114" s="5">
        <f ca="1">IF($BI114&lt;&gt;"",IF('Capacity summary'!$C$14="Yes",IF(COUNTBLANK('Capacity summary'!$H26:$BG26)&lt;52,IF('Capacity summary'!S26&lt;&gt;"",IF(LOWER('Capacity summary'!S26)="x",$BI114*S114,VALUE('Capacity summary'!S26)),0),S114*$BI114),S114*$BI114),0)</f>
        <v>9.2307692307692299</v>
      </c>
      <c r="BW114" s="5">
        <f ca="1">IF($BI114&lt;&gt;"",IF('Capacity summary'!$C$14="Yes",IF(COUNTBLANK('Capacity summary'!$H26:$BG26)&lt;52,IF('Capacity summary'!T26&lt;&gt;"",IF(LOWER('Capacity summary'!T26)="x",$BI114*T114,VALUE('Capacity summary'!T26)),0),T114*$BI114),T114*$BI114),0)</f>
        <v>9.2307692307692299</v>
      </c>
      <c r="BX114" s="5">
        <f ca="1">IF($BI114&lt;&gt;"",IF('Capacity summary'!$C$14="Yes",IF(COUNTBLANK('Capacity summary'!$H26:$BG26)&lt;52,IF('Capacity summary'!U26&lt;&gt;"",IF(LOWER('Capacity summary'!U26)="x",$BI114*U114,VALUE('Capacity summary'!U26)),0),U114*$BI114),U114*$BI114),0)</f>
        <v>9.2307692307692299</v>
      </c>
      <c r="BY114" s="5">
        <f ca="1">IF($BI114&lt;&gt;"",IF('Capacity summary'!$C$14="Yes",IF(COUNTBLANK('Capacity summary'!$H26:$BG26)&lt;52,IF('Capacity summary'!V26&lt;&gt;"",IF(LOWER('Capacity summary'!V26)="x",$BI114*V114,VALUE('Capacity summary'!V26)),0),V114*$BI114),V114*$BI114),0)</f>
        <v>9.2307692307692299</v>
      </c>
      <c r="BZ114" s="5">
        <f ca="1">IF($BI114&lt;&gt;"",IF('Capacity summary'!$C$14="Yes",IF(COUNTBLANK('Capacity summary'!$H26:$BG26)&lt;52,IF('Capacity summary'!W26&lt;&gt;"",IF(LOWER('Capacity summary'!W26)="x",$BI114*W114,VALUE('Capacity summary'!W26)),0),W114*$BI114),W114*$BI114),0)</f>
        <v>9.2307692307692299</v>
      </c>
      <c r="CA114" s="5">
        <f ca="1">IF($BI114&lt;&gt;"",IF('Capacity summary'!$C$14="Yes",IF(COUNTBLANK('Capacity summary'!$H26:$BG26)&lt;52,IF('Capacity summary'!X26&lt;&gt;"",IF(LOWER('Capacity summary'!X26)="x",$BI114*X114,VALUE('Capacity summary'!X26)),0),X114*$BI114),X114*$BI114),0)</f>
        <v>9.2307692307692299</v>
      </c>
      <c r="CB114" s="5">
        <f ca="1">IF($BI114&lt;&gt;"",IF('Capacity summary'!$C$14="Yes",IF(COUNTBLANK('Capacity summary'!$H26:$BG26)&lt;52,IF('Capacity summary'!Y26&lt;&gt;"",IF(LOWER('Capacity summary'!Y26)="x",$BI114*Y114,VALUE('Capacity summary'!Y26)),0),Y114*$BI114),Y114*$BI114),0)</f>
        <v>9.2307692307692299</v>
      </c>
      <c r="CC114" s="5">
        <f ca="1">IF($BI114&lt;&gt;"",IF('Capacity summary'!$C$14="Yes",IF(COUNTBLANK('Capacity summary'!$H26:$BG26)&lt;52,IF('Capacity summary'!Z26&lt;&gt;"",IF(LOWER('Capacity summary'!Z26)="x",$BI114*Z114,VALUE('Capacity summary'!Z26)),0),Z114*$BI114),Z114*$BI114),0)</f>
        <v>9.2307692307692299</v>
      </c>
      <c r="CD114" s="5">
        <f ca="1">IF($BI114&lt;&gt;"",IF('Capacity summary'!$C$14="Yes",IF(COUNTBLANK('Capacity summary'!$H26:$BG26)&lt;52,IF('Capacity summary'!AA26&lt;&gt;"",IF(LOWER('Capacity summary'!AA26)="x",$BI114*AA114,VALUE('Capacity summary'!AA26)),0),AA114*$BI114),AA114*$BI114),0)</f>
        <v>9.2307692307692299</v>
      </c>
      <c r="CE114" s="5">
        <f ca="1">IF($BI114&lt;&gt;"",IF('Capacity summary'!$C$14="Yes",IF(COUNTBLANK('Capacity summary'!$H26:$BG26)&lt;52,IF('Capacity summary'!AB26&lt;&gt;"",IF(LOWER('Capacity summary'!AB26)="x",$BI114*AB114,VALUE('Capacity summary'!AB26)),0),AB114*$BI114),AB114*$BI114),0)</f>
        <v>9.2307692307692299</v>
      </c>
      <c r="CF114" s="5">
        <f ca="1">IF($BI114&lt;&gt;"",IF('Capacity summary'!$C$14="Yes",IF(COUNTBLANK('Capacity summary'!$H26:$BG26)&lt;52,IF('Capacity summary'!AC26&lt;&gt;"",IF(LOWER('Capacity summary'!AC26)="x",$BI114*AC114,VALUE('Capacity summary'!AC26)),0),AC114*$BI114),AC114*$BI114),0)</f>
        <v>9.2307692307692299</v>
      </c>
      <c r="CG114" s="5">
        <f ca="1">IF($BI114&lt;&gt;"",IF('Capacity summary'!$C$14="Yes",IF(COUNTBLANK('Capacity summary'!$H26:$BG26)&lt;52,IF('Capacity summary'!AD26&lt;&gt;"",IF(LOWER('Capacity summary'!AD26)="x",$BI114*AD114,VALUE('Capacity summary'!AD26)),0),AD114*$BI114),AD114*$BI114),0)</f>
        <v>9.2307692307692299</v>
      </c>
      <c r="CH114" s="5">
        <f ca="1">IF($BI114&lt;&gt;"",IF('Capacity summary'!$C$14="Yes",IF(COUNTBLANK('Capacity summary'!$H26:$BG26)&lt;52,IF('Capacity summary'!AE26&lt;&gt;"",IF(LOWER('Capacity summary'!AE26)="x",$BI114*AE114,VALUE('Capacity summary'!AE26)),0),AE114*$BI114),AE114*$BI114),0)</f>
        <v>9.2307692307692299</v>
      </c>
      <c r="CI114" s="5">
        <f ca="1">IF($BI114&lt;&gt;"",IF('Capacity summary'!$C$14="Yes",IF(COUNTBLANK('Capacity summary'!$H26:$BG26)&lt;52,IF('Capacity summary'!AF26&lt;&gt;"",IF(LOWER('Capacity summary'!AF26)="x",$BI114*AF114,VALUE('Capacity summary'!AF26)),0),AF114*$BI114),AF114*$BI114),0)</f>
        <v>9.2307692307692299</v>
      </c>
      <c r="CJ114" s="5">
        <f ca="1">IF($BI114&lt;&gt;"",IF('Capacity summary'!$C$14="Yes",IF(COUNTBLANK('Capacity summary'!$H26:$BG26)&lt;52,IF('Capacity summary'!AG26&lt;&gt;"",IF(LOWER('Capacity summary'!AG26)="x",$BI114*AG114,VALUE('Capacity summary'!AG26)),0),AG114*$BI114),AG114*$BI114),0)</f>
        <v>9.2307692307692299</v>
      </c>
      <c r="CK114" s="5">
        <f ca="1">IF($BI114&lt;&gt;"",IF('Capacity summary'!$C$14="Yes",IF(COUNTBLANK('Capacity summary'!$H26:$BG26)&lt;52,IF('Capacity summary'!AH26&lt;&gt;"",IF(LOWER('Capacity summary'!AH26)="x",$BI114*AH114,VALUE('Capacity summary'!AH26)),0),AH114*$BI114),AH114*$BI114),0)</f>
        <v>9.2307692307692299</v>
      </c>
      <c r="CL114" s="5">
        <f ca="1">IF($BI114&lt;&gt;"",IF('Capacity summary'!$C$14="Yes",IF(COUNTBLANK('Capacity summary'!$H26:$BG26)&lt;52,IF('Capacity summary'!AI26&lt;&gt;"",IF(LOWER('Capacity summary'!AI26)="x",$BI114*AI114,VALUE('Capacity summary'!AI26)),0),AI114*$BI114),AI114*$BI114),0)</f>
        <v>9.2307692307692299</v>
      </c>
      <c r="CM114" s="5">
        <f ca="1">IF($BI114&lt;&gt;"",IF('Capacity summary'!$C$14="Yes",IF(COUNTBLANK('Capacity summary'!$H26:$BG26)&lt;52,IF('Capacity summary'!AJ26&lt;&gt;"",IF(LOWER('Capacity summary'!AJ26)="x",$BI114*AJ114,VALUE('Capacity summary'!AJ26)),0),AJ114*$BI114),AJ114*$BI114),0)</f>
        <v>9.2307692307692299</v>
      </c>
      <c r="CN114" s="5">
        <f ca="1">IF($BI114&lt;&gt;"",IF('Capacity summary'!$C$14="Yes",IF(COUNTBLANK('Capacity summary'!$H26:$BG26)&lt;52,IF('Capacity summary'!AK26&lt;&gt;"",IF(LOWER('Capacity summary'!AK26)="x",$BI114*AK114,VALUE('Capacity summary'!AK26)),0),AK114*$BI114),AK114*$BI114),0)</f>
        <v>9.2307692307692299</v>
      </c>
      <c r="CO114" s="5">
        <f ca="1">IF($BI114&lt;&gt;"",IF('Capacity summary'!$C$14="Yes",IF(COUNTBLANK('Capacity summary'!$H26:$BG26)&lt;52,IF('Capacity summary'!AL26&lt;&gt;"",IF(LOWER('Capacity summary'!AL26)="x",$BI114*AL114,VALUE('Capacity summary'!AL26)),0),AL114*$BI114),AL114*$BI114),0)</f>
        <v>9.2307692307692299</v>
      </c>
      <c r="CP114" s="5">
        <f ca="1">IF($BI114&lt;&gt;"",IF('Capacity summary'!$C$14="Yes",IF(COUNTBLANK('Capacity summary'!$H26:$BG26)&lt;52,IF('Capacity summary'!AM26&lt;&gt;"",IF(LOWER('Capacity summary'!AM26)="x",$BI114*AM114,VALUE('Capacity summary'!AM26)),0),AM114*$BI114),AM114*$BI114),0)</f>
        <v>9.2307692307692299</v>
      </c>
      <c r="CQ114" s="5">
        <f ca="1">IF($BI114&lt;&gt;"",IF('Capacity summary'!$C$14="Yes",IF(COUNTBLANK('Capacity summary'!$H26:$BG26)&lt;52,IF('Capacity summary'!AN26&lt;&gt;"",IF(LOWER('Capacity summary'!AN26)="x",$BI114*AN114,VALUE('Capacity summary'!AN26)),0),AN114*$BI114),AN114*$BI114),0)</f>
        <v>9.2307692307692299</v>
      </c>
      <c r="CR114" s="5">
        <f ca="1">IF($BI114&lt;&gt;"",IF('Capacity summary'!$C$14="Yes",IF(COUNTBLANK('Capacity summary'!$H26:$BG26)&lt;52,IF('Capacity summary'!AO26&lt;&gt;"",IF(LOWER('Capacity summary'!AO26)="x",$BI114*AO114,VALUE('Capacity summary'!AO26)),0),AO114*$BI114),AO114*$BI114),0)</f>
        <v>9.2307692307692299</v>
      </c>
      <c r="CS114" s="5">
        <f ca="1">IF($BI114&lt;&gt;"",IF('Capacity summary'!$C$14="Yes",IF(COUNTBLANK('Capacity summary'!$H26:$BG26)&lt;52,IF('Capacity summary'!AP26&lt;&gt;"",IF(LOWER('Capacity summary'!AP26)="x",$BI114*AP114,VALUE('Capacity summary'!AP26)),0),AP114*$BI114),AP114*$BI114),0)</f>
        <v>9.2307692307692299</v>
      </c>
      <c r="CT114" s="5">
        <f ca="1">IF($BI114&lt;&gt;"",IF('Capacity summary'!$C$14="Yes",IF(COUNTBLANK('Capacity summary'!$H26:$BG26)&lt;52,IF('Capacity summary'!AQ26&lt;&gt;"",IF(LOWER('Capacity summary'!AQ26)="x",$BI114*AQ114,VALUE('Capacity summary'!AQ26)),0),AQ114*$BI114),AQ114*$BI114),0)</f>
        <v>9.2307692307692299</v>
      </c>
      <c r="CU114" s="5">
        <f ca="1">IF($BI114&lt;&gt;"",IF('Capacity summary'!$C$14="Yes",IF(COUNTBLANK('Capacity summary'!$H26:$BG26)&lt;52,IF('Capacity summary'!AR26&lt;&gt;"",IF(LOWER('Capacity summary'!AR26)="x",$BI114*AR114,VALUE('Capacity summary'!AR26)),0),AR114*$BI114),AR114*$BI114),0)</f>
        <v>9.2307692307692299</v>
      </c>
      <c r="CV114" s="5">
        <f ca="1">IF($BI114&lt;&gt;"",IF('Capacity summary'!$C$14="Yes",IF(COUNTBLANK('Capacity summary'!$H26:$BG26)&lt;52,IF('Capacity summary'!AS26&lt;&gt;"",IF(LOWER('Capacity summary'!AS26)="x",$BI114*AS114,VALUE('Capacity summary'!AS26)),0),AS114*$BI114),AS114*$BI114),0)</f>
        <v>9.2307692307692299</v>
      </c>
      <c r="CW114" s="5">
        <f ca="1">IF($BI114&lt;&gt;"",IF('Capacity summary'!$C$14="Yes",IF(COUNTBLANK('Capacity summary'!$H26:$BG26)&lt;52,IF('Capacity summary'!AT26&lt;&gt;"",IF(LOWER('Capacity summary'!AT26)="x",$BI114*AT114,VALUE('Capacity summary'!AT26)),0),AT114*$BI114),AT114*$BI114),0)</f>
        <v>9.2307692307692299</v>
      </c>
      <c r="CX114" s="5">
        <f ca="1">IF($BI114&lt;&gt;"",IF('Capacity summary'!$C$14="Yes",IF(COUNTBLANK('Capacity summary'!$H26:$BG26)&lt;52,IF('Capacity summary'!AU26&lt;&gt;"",IF(LOWER('Capacity summary'!AU26)="x",$BI114*AU114,VALUE('Capacity summary'!AU26)),0),AU114*$BI114),AU114*$BI114),0)</f>
        <v>9.2307692307692299</v>
      </c>
      <c r="CY114" s="5">
        <f ca="1">IF($BI114&lt;&gt;"",IF('Capacity summary'!$C$14="Yes",IF(COUNTBLANK('Capacity summary'!$H26:$BG26)&lt;52,IF('Capacity summary'!AV26&lt;&gt;"",IF(LOWER('Capacity summary'!AV26)="x",$BI114*AV114,VALUE('Capacity summary'!AV26)),0),AV114*$BI114),AV114*$BI114),0)</f>
        <v>9.2307692307692299</v>
      </c>
      <c r="CZ114" s="5">
        <f ca="1">IF($BI114&lt;&gt;"",IF('Capacity summary'!$C$14="Yes",IF(COUNTBLANK('Capacity summary'!$H26:$BG26)&lt;52,IF('Capacity summary'!AW26&lt;&gt;"",IF(LOWER('Capacity summary'!AW26)="x",$BI114*AW114,VALUE('Capacity summary'!AW26)),0),AW114*$BI114),AW114*$BI114),0)</f>
        <v>9.2307692307692299</v>
      </c>
      <c r="DA114" s="5">
        <f ca="1">IF($BI114&lt;&gt;"",IF('Capacity summary'!$C$14="Yes",IF(COUNTBLANK('Capacity summary'!$H26:$BG26)&lt;52,IF('Capacity summary'!AX26&lt;&gt;"",IF(LOWER('Capacity summary'!AX26)="x",$BI114*AX114,VALUE('Capacity summary'!AX26)),0),AX114*$BI114),AX114*$BI114),0)</f>
        <v>9.2307692307692299</v>
      </c>
      <c r="DB114" s="5">
        <f ca="1">IF($BI114&lt;&gt;"",IF('Capacity summary'!$C$14="Yes",IF(COUNTBLANK('Capacity summary'!$H26:$BG26)&lt;52,IF('Capacity summary'!AY26&lt;&gt;"",IF(LOWER('Capacity summary'!AY26)="x",$BI114*AY114,VALUE('Capacity summary'!AY26)),0),AY114*$BI114),AY114*$BI114),0)</f>
        <v>9.2307692307692299</v>
      </c>
      <c r="DC114" s="5">
        <f ca="1">IF($BI114&lt;&gt;"",IF('Capacity summary'!$C$14="Yes",IF(COUNTBLANK('Capacity summary'!$H26:$BG26)&lt;52,IF('Capacity summary'!AZ26&lt;&gt;"",IF(LOWER('Capacity summary'!AZ26)="x",$BI114*AZ114,VALUE('Capacity summary'!AZ26)),0),AZ114*$BI114),AZ114*$BI114),0)</f>
        <v>9.2307692307692299</v>
      </c>
      <c r="DD114" s="5">
        <f ca="1">IF($BI114&lt;&gt;"",IF('Capacity summary'!$C$14="Yes",IF(COUNTBLANK('Capacity summary'!$H26:$BG26)&lt;52,IF('Capacity summary'!BA26&lt;&gt;"",IF(LOWER('Capacity summary'!BA26)="x",$BI114*BA114,VALUE('Capacity summary'!BA26)),0),BA114*$BI114),BA114*$BI114),0)</f>
        <v>9.2307692307692299</v>
      </c>
      <c r="DE114" s="5">
        <f ca="1">IF($BI114&lt;&gt;"",IF('Capacity summary'!$C$14="Yes",IF(COUNTBLANK('Capacity summary'!$H26:$BG26)&lt;52,IF('Capacity summary'!BB26&lt;&gt;"",IF(LOWER('Capacity summary'!BB26)="x",$BI114*BB114,VALUE('Capacity summary'!BB26)),0),BB114*$BI114),BB114*$BI114),0)</f>
        <v>9.2307692307692299</v>
      </c>
      <c r="DF114" s="5">
        <f ca="1">IF($BI114&lt;&gt;"",IF('Capacity summary'!$C$14="Yes",IF(COUNTBLANK('Capacity summary'!$H26:$BG26)&lt;52,IF('Capacity summary'!BC26&lt;&gt;"",IF(LOWER('Capacity summary'!BC26)="x",$BI114*BC114,VALUE('Capacity summary'!BC26)),0),BC114*$BI114),BC114*$BI114),0)</f>
        <v>9.2307692307692299</v>
      </c>
      <c r="DG114" s="5">
        <f ca="1">IF($BI114&lt;&gt;"",IF('Capacity summary'!$C$14="Yes",IF(COUNTBLANK('Capacity summary'!$H26:$BG26)&lt;52,IF('Capacity summary'!BD26&lt;&gt;"",IF(LOWER('Capacity summary'!BD26)="x",$BI114*BD114,VALUE('Capacity summary'!BD26)),0),BD114*$BI114),BD114*$BI114),0)</f>
        <v>9.2307692307692299</v>
      </c>
      <c r="DH114" s="5">
        <f ca="1">IF($BI114&lt;&gt;"",IF('Capacity summary'!$C$14="Yes",IF(COUNTBLANK('Capacity summary'!$H26:$BG26)&lt;52,IF('Capacity summary'!BE26&lt;&gt;"",IF(LOWER('Capacity summary'!BE26)="x",$BI114*BE114,VALUE('Capacity summary'!BE26)),0),BE114*$BI114),BE114*$BI114),0)</f>
        <v>9.2307692307692299</v>
      </c>
      <c r="DI114" s="5">
        <f ca="1">IF($BI114&lt;&gt;"",IF('Capacity summary'!$C$14="Yes",IF(COUNTBLANK('Capacity summary'!$H26:$BG26)&lt;52,IF('Capacity summary'!BF26&lt;&gt;"",IF(LOWER('Capacity summary'!BF26)="x",$BI114*BF114,VALUE('Capacity summary'!BF26)),0),BF114*$BI114),BF114*$BI114),0)</f>
        <v>9.2307692307692299</v>
      </c>
      <c r="DJ114" s="5">
        <f ca="1">IF($BI114&lt;&gt;"",IF('Capacity summary'!$C$14="Yes",IF(COUNTBLANK('Capacity summary'!$H26:$BG26)&lt;52,IF('Capacity summary'!BG26&lt;&gt;"",IF(LOWER('Capacity summary'!BG26)="x",$BI114*BG114,VALUE('Capacity summary'!BG26)),0),BG114*$BI114),BG114*$BI114),0)</f>
        <v>9.2307692307692299</v>
      </c>
      <c r="DK114" s="388">
        <f t="shared" ca="1" si="8"/>
        <v>9.2307692307692299</v>
      </c>
      <c r="DL114" s="5">
        <f t="shared" ca="1" si="9"/>
        <v>479.99999999999983</v>
      </c>
    </row>
    <row r="115" spans="3:116" x14ac:dyDescent="0.2">
      <c r="C115" s="67" t="str">
        <f>ROW(A4)&amp;". "&amp;Capacity!N20</f>
        <v>4. 44331</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 ca="1">IF(ROW(A4)&lt;=Capacity!$M$16,IF('Capacity summary'!$C$14="No",SUM(H115:BG115),'Capacity summary'!$E27),0)</f>
        <v>52</v>
      </c>
      <c r="BI115" s="67">
        <f ca="1">IF(BH115&gt;0,IF(BH115&lt;Capacity!Q20,Capacity!R20,Capacity!T20/'Capacity calculation (hide)'!BH115),"")</f>
        <v>8.6538461538461533</v>
      </c>
      <c r="BJ115" s="5"/>
      <c r="BK115" s="5">
        <f ca="1">IF($BI115&lt;&gt;"",IF('Capacity summary'!$C$14="Yes",IF(COUNTBLANK('Capacity summary'!$H27:$BG27)&lt;52,IF('Capacity summary'!H27&lt;&gt;"",IF(LOWER('Capacity summary'!H27)="x",$BI115*H115,VALUE('Capacity summary'!H27)),0),H115*$BI115),H115*$BI115),0)</f>
        <v>8.6538461538461533</v>
      </c>
      <c r="BL115" s="5">
        <f ca="1">IF($BI115&lt;&gt;"",IF('Capacity summary'!$C$14="Yes",IF(COUNTBLANK('Capacity summary'!$H27:$BG27)&lt;52,IF('Capacity summary'!I27&lt;&gt;"",IF(LOWER('Capacity summary'!I27)="x",$BI115*I115,VALUE('Capacity summary'!I27)),0),I115*$BI115),I115*$BI115),0)</f>
        <v>8.6538461538461533</v>
      </c>
      <c r="BM115" s="5">
        <f ca="1">IF($BI115&lt;&gt;"",IF('Capacity summary'!$C$14="Yes",IF(COUNTBLANK('Capacity summary'!$H27:$BG27)&lt;52,IF('Capacity summary'!J27&lt;&gt;"",IF(LOWER('Capacity summary'!J27)="x",$BI115*J115,VALUE('Capacity summary'!J27)),0),J115*$BI115),J115*$BI115),0)</f>
        <v>8.6538461538461533</v>
      </c>
      <c r="BN115" s="5">
        <f ca="1">IF($BI115&lt;&gt;"",IF('Capacity summary'!$C$14="Yes",IF(COUNTBLANK('Capacity summary'!$H27:$BG27)&lt;52,IF('Capacity summary'!K27&lt;&gt;"",IF(LOWER('Capacity summary'!K27)="x",$BI115*K115,VALUE('Capacity summary'!K27)),0),K115*$BI115),K115*$BI115),0)</f>
        <v>8.6538461538461533</v>
      </c>
      <c r="BO115" s="5">
        <f ca="1">IF($BI115&lt;&gt;"",IF('Capacity summary'!$C$14="Yes",IF(COUNTBLANK('Capacity summary'!$H27:$BG27)&lt;52,IF('Capacity summary'!L27&lt;&gt;"",IF(LOWER('Capacity summary'!L27)="x",$BI115*L115,VALUE('Capacity summary'!L27)),0),L115*$BI115),L115*$BI115),0)</f>
        <v>8.6538461538461533</v>
      </c>
      <c r="BP115" s="5">
        <f ca="1">IF($BI115&lt;&gt;"",IF('Capacity summary'!$C$14="Yes",IF(COUNTBLANK('Capacity summary'!$H27:$BG27)&lt;52,IF('Capacity summary'!M27&lt;&gt;"",IF(LOWER('Capacity summary'!M27)="x",$BI115*M115,VALUE('Capacity summary'!M27)),0),M115*$BI115),M115*$BI115),0)</f>
        <v>8.6538461538461533</v>
      </c>
      <c r="BQ115" s="5">
        <f ca="1">IF($BI115&lt;&gt;"",IF('Capacity summary'!$C$14="Yes",IF(COUNTBLANK('Capacity summary'!$H27:$BG27)&lt;52,IF('Capacity summary'!N27&lt;&gt;"",IF(LOWER('Capacity summary'!N27)="x",$BI115*N115,VALUE('Capacity summary'!N27)),0),N115*$BI115),N115*$BI115),0)</f>
        <v>8.6538461538461533</v>
      </c>
      <c r="BR115" s="5">
        <f ca="1">IF($BI115&lt;&gt;"",IF('Capacity summary'!$C$14="Yes",IF(COUNTBLANK('Capacity summary'!$H27:$BG27)&lt;52,IF('Capacity summary'!O27&lt;&gt;"",IF(LOWER('Capacity summary'!O27)="x",$BI115*O115,VALUE('Capacity summary'!O27)),0),O115*$BI115),O115*$BI115),0)</f>
        <v>8.6538461538461533</v>
      </c>
      <c r="BS115" s="5">
        <f ca="1">IF($BI115&lt;&gt;"",IF('Capacity summary'!$C$14="Yes",IF(COUNTBLANK('Capacity summary'!$H27:$BG27)&lt;52,IF('Capacity summary'!P27&lt;&gt;"",IF(LOWER('Capacity summary'!P27)="x",$BI115*P115,VALUE('Capacity summary'!P27)),0),P115*$BI115),P115*$BI115),0)</f>
        <v>8.6538461538461533</v>
      </c>
      <c r="BT115" s="5">
        <f ca="1">IF($BI115&lt;&gt;"",IF('Capacity summary'!$C$14="Yes",IF(COUNTBLANK('Capacity summary'!$H27:$BG27)&lt;52,IF('Capacity summary'!Q27&lt;&gt;"",IF(LOWER('Capacity summary'!Q27)="x",$BI115*Q115,VALUE('Capacity summary'!Q27)),0),Q115*$BI115),Q115*$BI115),0)</f>
        <v>8.6538461538461533</v>
      </c>
      <c r="BU115" s="5">
        <f ca="1">IF($BI115&lt;&gt;"",IF('Capacity summary'!$C$14="Yes",IF(COUNTBLANK('Capacity summary'!$H27:$BG27)&lt;52,IF('Capacity summary'!R27&lt;&gt;"",IF(LOWER('Capacity summary'!R27)="x",$BI115*R115,VALUE('Capacity summary'!R27)),0),R115*$BI115),R115*$BI115),0)</f>
        <v>8.6538461538461533</v>
      </c>
      <c r="BV115" s="5">
        <f ca="1">IF($BI115&lt;&gt;"",IF('Capacity summary'!$C$14="Yes",IF(COUNTBLANK('Capacity summary'!$H27:$BG27)&lt;52,IF('Capacity summary'!S27&lt;&gt;"",IF(LOWER('Capacity summary'!S27)="x",$BI115*S115,VALUE('Capacity summary'!S27)),0),S115*$BI115),S115*$BI115),0)</f>
        <v>8.6538461538461533</v>
      </c>
      <c r="BW115" s="5">
        <f ca="1">IF($BI115&lt;&gt;"",IF('Capacity summary'!$C$14="Yes",IF(COUNTBLANK('Capacity summary'!$H27:$BG27)&lt;52,IF('Capacity summary'!T27&lt;&gt;"",IF(LOWER('Capacity summary'!T27)="x",$BI115*T115,VALUE('Capacity summary'!T27)),0),T115*$BI115),T115*$BI115),0)</f>
        <v>8.6538461538461533</v>
      </c>
      <c r="BX115" s="5">
        <f ca="1">IF($BI115&lt;&gt;"",IF('Capacity summary'!$C$14="Yes",IF(COUNTBLANK('Capacity summary'!$H27:$BG27)&lt;52,IF('Capacity summary'!U27&lt;&gt;"",IF(LOWER('Capacity summary'!U27)="x",$BI115*U115,VALUE('Capacity summary'!U27)),0),U115*$BI115),U115*$BI115),0)</f>
        <v>8.6538461538461533</v>
      </c>
      <c r="BY115" s="5">
        <f ca="1">IF($BI115&lt;&gt;"",IF('Capacity summary'!$C$14="Yes",IF(COUNTBLANK('Capacity summary'!$H27:$BG27)&lt;52,IF('Capacity summary'!V27&lt;&gt;"",IF(LOWER('Capacity summary'!V27)="x",$BI115*V115,VALUE('Capacity summary'!V27)),0),V115*$BI115),V115*$BI115),0)</f>
        <v>8.6538461538461533</v>
      </c>
      <c r="BZ115" s="5">
        <f ca="1">IF($BI115&lt;&gt;"",IF('Capacity summary'!$C$14="Yes",IF(COUNTBLANK('Capacity summary'!$H27:$BG27)&lt;52,IF('Capacity summary'!W27&lt;&gt;"",IF(LOWER('Capacity summary'!W27)="x",$BI115*W115,VALUE('Capacity summary'!W27)),0),W115*$BI115),W115*$BI115),0)</f>
        <v>8.6538461538461533</v>
      </c>
      <c r="CA115" s="5">
        <f ca="1">IF($BI115&lt;&gt;"",IF('Capacity summary'!$C$14="Yes",IF(COUNTBLANK('Capacity summary'!$H27:$BG27)&lt;52,IF('Capacity summary'!X27&lt;&gt;"",IF(LOWER('Capacity summary'!X27)="x",$BI115*X115,VALUE('Capacity summary'!X27)),0),X115*$BI115),X115*$BI115),0)</f>
        <v>8.6538461538461533</v>
      </c>
      <c r="CB115" s="5">
        <f ca="1">IF($BI115&lt;&gt;"",IF('Capacity summary'!$C$14="Yes",IF(COUNTBLANK('Capacity summary'!$H27:$BG27)&lt;52,IF('Capacity summary'!Y27&lt;&gt;"",IF(LOWER('Capacity summary'!Y27)="x",$BI115*Y115,VALUE('Capacity summary'!Y27)),0),Y115*$BI115),Y115*$BI115),0)</f>
        <v>8.6538461538461533</v>
      </c>
      <c r="CC115" s="5">
        <f ca="1">IF($BI115&lt;&gt;"",IF('Capacity summary'!$C$14="Yes",IF(COUNTBLANK('Capacity summary'!$H27:$BG27)&lt;52,IF('Capacity summary'!Z27&lt;&gt;"",IF(LOWER('Capacity summary'!Z27)="x",$BI115*Z115,VALUE('Capacity summary'!Z27)),0),Z115*$BI115),Z115*$BI115),0)</f>
        <v>8.6538461538461533</v>
      </c>
      <c r="CD115" s="5">
        <f ca="1">IF($BI115&lt;&gt;"",IF('Capacity summary'!$C$14="Yes",IF(COUNTBLANK('Capacity summary'!$H27:$BG27)&lt;52,IF('Capacity summary'!AA27&lt;&gt;"",IF(LOWER('Capacity summary'!AA27)="x",$BI115*AA115,VALUE('Capacity summary'!AA27)),0),AA115*$BI115),AA115*$BI115),0)</f>
        <v>8.6538461538461533</v>
      </c>
      <c r="CE115" s="5">
        <f ca="1">IF($BI115&lt;&gt;"",IF('Capacity summary'!$C$14="Yes",IF(COUNTBLANK('Capacity summary'!$H27:$BG27)&lt;52,IF('Capacity summary'!AB27&lt;&gt;"",IF(LOWER('Capacity summary'!AB27)="x",$BI115*AB115,VALUE('Capacity summary'!AB27)),0),AB115*$BI115),AB115*$BI115),0)</f>
        <v>8.6538461538461533</v>
      </c>
      <c r="CF115" s="5">
        <f ca="1">IF($BI115&lt;&gt;"",IF('Capacity summary'!$C$14="Yes",IF(COUNTBLANK('Capacity summary'!$H27:$BG27)&lt;52,IF('Capacity summary'!AC27&lt;&gt;"",IF(LOWER('Capacity summary'!AC27)="x",$BI115*AC115,VALUE('Capacity summary'!AC27)),0),AC115*$BI115),AC115*$BI115),0)</f>
        <v>8.6538461538461533</v>
      </c>
      <c r="CG115" s="5">
        <f ca="1">IF($BI115&lt;&gt;"",IF('Capacity summary'!$C$14="Yes",IF(COUNTBLANK('Capacity summary'!$H27:$BG27)&lt;52,IF('Capacity summary'!AD27&lt;&gt;"",IF(LOWER('Capacity summary'!AD27)="x",$BI115*AD115,VALUE('Capacity summary'!AD27)),0),AD115*$BI115),AD115*$BI115),0)</f>
        <v>8.6538461538461533</v>
      </c>
      <c r="CH115" s="5">
        <f ca="1">IF($BI115&lt;&gt;"",IF('Capacity summary'!$C$14="Yes",IF(COUNTBLANK('Capacity summary'!$H27:$BG27)&lt;52,IF('Capacity summary'!AE27&lt;&gt;"",IF(LOWER('Capacity summary'!AE27)="x",$BI115*AE115,VALUE('Capacity summary'!AE27)),0),AE115*$BI115),AE115*$BI115),0)</f>
        <v>8.6538461538461533</v>
      </c>
      <c r="CI115" s="5">
        <f ca="1">IF($BI115&lt;&gt;"",IF('Capacity summary'!$C$14="Yes",IF(COUNTBLANK('Capacity summary'!$H27:$BG27)&lt;52,IF('Capacity summary'!AF27&lt;&gt;"",IF(LOWER('Capacity summary'!AF27)="x",$BI115*AF115,VALUE('Capacity summary'!AF27)),0),AF115*$BI115),AF115*$BI115),0)</f>
        <v>8.6538461538461533</v>
      </c>
      <c r="CJ115" s="5">
        <f ca="1">IF($BI115&lt;&gt;"",IF('Capacity summary'!$C$14="Yes",IF(COUNTBLANK('Capacity summary'!$H27:$BG27)&lt;52,IF('Capacity summary'!AG27&lt;&gt;"",IF(LOWER('Capacity summary'!AG27)="x",$BI115*AG115,VALUE('Capacity summary'!AG27)),0),AG115*$BI115),AG115*$BI115),0)</f>
        <v>8.6538461538461533</v>
      </c>
      <c r="CK115" s="5">
        <f ca="1">IF($BI115&lt;&gt;"",IF('Capacity summary'!$C$14="Yes",IF(COUNTBLANK('Capacity summary'!$H27:$BG27)&lt;52,IF('Capacity summary'!AH27&lt;&gt;"",IF(LOWER('Capacity summary'!AH27)="x",$BI115*AH115,VALUE('Capacity summary'!AH27)),0),AH115*$BI115),AH115*$BI115),0)</f>
        <v>8.6538461538461533</v>
      </c>
      <c r="CL115" s="5">
        <f ca="1">IF($BI115&lt;&gt;"",IF('Capacity summary'!$C$14="Yes",IF(COUNTBLANK('Capacity summary'!$H27:$BG27)&lt;52,IF('Capacity summary'!AI27&lt;&gt;"",IF(LOWER('Capacity summary'!AI27)="x",$BI115*AI115,VALUE('Capacity summary'!AI27)),0),AI115*$BI115),AI115*$BI115),0)</f>
        <v>8.6538461538461533</v>
      </c>
      <c r="CM115" s="5">
        <f ca="1">IF($BI115&lt;&gt;"",IF('Capacity summary'!$C$14="Yes",IF(COUNTBLANK('Capacity summary'!$H27:$BG27)&lt;52,IF('Capacity summary'!AJ27&lt;&gt;"",IF(LOWER('Capacity summary'!AJ27)="x",$BI115*AJ115,VALUE('Capacity summary'!AJ27)),0),AJ115*$BI115),AJ115*$BI115),0)</f>
        <v>8.6538461538461533</v>
      </c>
      <c r="CN115" s="5">
        <f ca="1">IF($BI115&lt;&gt;"",IF('Capacity summary'!$C$14="Yes",IF(COUNTBLANK('Capacity summary'!$H27:$BG27)&lt;52,IF('Capacity summary'!AK27&lt;&gt;"",IF(LOWER('Capacity summary'!AK27)="x",$BI115*AK115,VALUE('Capacity summary'!AK27)),0),AK115*$BI115),AK115*$BI115),0)</f>
        <v>8.6538461538461533</v>
      </c>
      <c r="CO115" s="5">
        <f ca="1">IF($BI115&lt;&gt;"",IF('Capacity summary'!$C$14="Yes",IF(COUNTBLANK('Capacity summary'!$H27:$BG27)&lt;52,IF('Capacity summary'!AL27&lt;&gt;"",IF(LOWER('Capacity summary'!AL27)="x",$BI115*AL115,VALUE('Capacity summary'!AL27)),0),AL115*$BI115),AL115*$BI115),0)</f>
        <v>8.6538461538461533</v>
      </c>
      <c r="CP115" s="5">
        <f ca="1">IF($BI115&lt;&gt;"",IF('Capacity summary'!$C$14="Yes",IF(COUNTBLANK('Capacity summary'!$H27:$BG27)&lt;52,IF('Capacity summary'!AM27&lt;&gt;"",IF(LOWER('Capacity summary'!AM27)="x",$BI115*AM115,VALUE('Capacity summary'!AM27)),0),AM115*$BI115),AM115*$BI115),0)</f>
        <v>8.6538461538461533</v>
      </c>
      <c r="CQ115" s="5">
        <f ca="1">IF($BI115&lt;&gt;"",IF('Capacity summary'!$C$14="Yes",IF(COUNTBLANK('Capacity summary'!$H27:$BG27)&lt;52,IF('Capacity summary'!AN27&lt;&gt;"",IF(LOWER('Capacity summary'!AN27)="x",$BI115*AN115,VALUE('Capacity summary'!AN27)),0),AN115*$BI115),AN115*$BI115),0)</f>
        <v>8.6538461538461533</v>
      </c>
      <c r="CR115" s="5">
        <f ca="1">IF($BI115&lt;&gt;"",IF('Capacity summary'!$C$14="Yes",IF(COUNTBLANK('Capacity summary'!$H27:$BG27)&lt;52,IF('Capacity summary'!AO27&lt;&gt;"",IF(LOWER('Capacity summary'!AO27)="x",$BI115*AO115,VALUE('Capacity summary'!AO27)),0),AO115*$BI115),AO115*$BI115),0)</f>
        <v>8.6538461538461533</v>
      </c>
      <c r="CS115" s="5">
        <f ca="1">IF($BI115&lt;&gt;"",IF('Capacity summary'!$C$14="Yes",IF(COUNTBLANK('Capacity summary'!$H27:$BG27)&lt;52,IF('Capacity summary'!AP27&lt;&gt;"",IF(LOWER('Capacity summary'!AP27)="x",$BI115*AP115,VALUE('Capacity summary'!AP27)),0),AP115*$BI115),AP115*$BI115),0)</f>
        <v>8.6538461538461533</v>
      </c>
      <c r="CT115" s="5">
        <f ca="1">IF($BI115&lt;&gt;"",IF('Capacity summary'!$C$14="Yes",IF(COUNTBLANK('Capacity summary'!$H27:$BG27)&lt;52,IF('Capacity summary'!AQ27&lt;&gt;"",IF(LOWER('Capacity summary'!AQ27)="x",$BI115*AQ115,VALUE('Capacity summary'!AQ27)),0),AQ115*$BI115),AQ115*$BI115),0)</f>
        <v>8.6538461538461533</v>
      </c>
      <c r="CU115" s="5">
        <f ca="1">IF($BI115&lt;&gt;"",IF('Capacity summary'!$C$14="Yes",IF(COUNTBLANK('Capacity summary'!$H27:$BG27)&lt;52,IF('Capacity summary'!AR27&lt;&gt;"",IF(LOWER('Capacity summary'!AR27)="x",$BI115*AR115,VALUE('Capacity summary'!AR27)),0),AR115*$BI115),AR115*$BI115),0)</f>
        <v>8.6538461538461533</v>
      </c>
      <c r="CV115" s="5">
        <f ca="1">IF($BI115&lt;&gt;"",IF('Capacity summary'!$C$14="Yes",IF(COUNTBLANK('Capacity summary'!$H27:$BG27)&lt;52,IF('Capacity summary'!AS27&lt;&gt;"",IF(LOWER('Capacity summary'!AS27)="x",$BI115*AS115,VALUE('Capacity summary'!AS27)),0),AS115*$BI115),AS115*$BI115),0)</f>
        <v>8.6538461538461533</v>
      </c>
      <c r="CW115" s="5">
        <f ca="1">IF($BI115&lt;&gt;"",IF('Capacity summary'!$C$14="Yes",IF(COUNTBLANK('Capacity summary'!$H27:$BG27)&lt;52,IF('Capacity summary'!AT27&lt;&gt;"",IF(LOWER('Capacity summary'!AT27)="x",$BI115*AT115,VALUE('Capacity summary'!AT27)),0),AT115*$BI115),AT115*$BI115),0)</f>
        <v>8.6538461538461533</v>
      </c>
      <c r="CX115" s="5">
        <f ca="1">IF($BI115&lt;&gt;"",IF('Capacity summary'!$C$14="Yes",IF(COUNTBLANK('Capacity summary'!$H27:$BG27)&lt;52,IF('Capacity summary'!AU27&lt;&gt;"",IF(LOWER('Capacity summary'!AU27)="x",$BI115*AU115,VALUE('Capacity summary'!AU27)),0),AU115*$BI115),AU115*$BI115),0)</f>
        <v>8.6538461538461533</v>
      </c>
      <c r="CY115" s="5">
        <f ca="1">IF($BI115&lt;&gt;"",IF('Capacity summary'!$C$14="Yes",IF(COUNTBLANK('Capacity summary'!$H27:$BG27)&lt;52,IF('Capacity summary'!AV27&lt;&gt;"",IF(LOWER('Capacity summary'!AV27)="x",$BI115*AV115,VALUE('Capacity summary'!AV27)),0),AV115*$BI115),AV115*$BI115),0)</f>
        <v>8.6538461538461533</v>
      </c>
      <c r="CZ115" s="5">
        <f ca="1">IF($BI115&lt;&gt;"",IF('Capacity summary'!$C$14="Yes",IF(COUNTBLANK('Capacity summary'!$H27:$BG27)&lt;52,IF('Capacity summary'!AW27&lt;&gt;"",IF(LOWER('Capacity summary'!AW27)="x",$BI115*AW115,VALUE('Capacity summary'!AW27)),0),AW115*$BI115),AW115*$BI115),0)</f>
        <v>8.6538461538461533</v>
      </c>
      <c r="DA115" s="5">
        <f ca="1">IF($BI115&lt;&gt;"",IF('Capacity summary'!$C$14="Yes",IF(COUNTBLANK('Capacity summary'!$H27:$BG27)&lt;52,IF('Capacity summary'!AX27&lt;&gt;"",IF(LOWER('Capacity summary'!AX27)="x",$BI115*AX115,VALUE('Capacity summary'!AX27)),0),AX115*$BI115),AX115*$BI115),0)</f>
        <v>8.6538461538461533</v>
      </c>
      <c r="DB115" s="5">
        <f ca="1">IF($BI115&lt;&gt;"",IF('Capacity summary'!$C$14="Yes",IF(COUNTBLANK('Capacity summary'!$H27:$BG27)&lt;52,IF('Capacity summary'!AY27&lt;&gt;"",IF(LOWER('Capacity summary'!AY27)="x",$BI115*AY115,VALUE('Capacity summary'!AY27)),0),AY115*$BI115),AY115*$BI115),0)</f>
        <v>8.6538461538461533</v>
      </c>
      <c r="DC115" s="5">
        <f ca="1">IF($BI115&lt;&gt;"",IF('Capacity summary'!$C$14="Yes",IF(COUNTBLANK('Capacity summary'!$H27:$BG27)&lt;52,IF('Capacity summary'!AZ27&lt;&gt;"",IF(LOWER('Capacity summary'!AZ27)="x",$BI115*AZ115,VALUE('Capacity summary'!AZ27)),0),AZ115*$BI115),AZ115*$BI115),0)</f>
        <v>8.6538461538461533</v>
      </c>
      <c r="DD115" s="5">
        <f ca="1">IF($BI115&lt;&gt;"",IF('Capacity summary'!$C$14="Yes",IF(COUNTBLANK('Capacity summary'!$H27:$BG27)&lt;52,IF('Capacity summary'!BA27&lt;&gt;"",IF(LOWER('Capacity summary'!BA27)="x",$BI115*BA115,VALUE('Capacity summary'!BA27)),0),BA115*$BI115),BA115*$BI115),0)</f>
        <v>8.6538461538461533</v>
      </c>
      <c r="DE115" s="5">
        <f ca="1">IF($BI115&lt;&gt;"",IF('Capacity summary'!$C$14="Yes",IF(COUNTBLANK('Capacity summary'!$H27:$BG27)&lt;52,IF('Capacity summary'!BB27&lt;&gt;"",IF(LOWER('Capacity summary'!BB27)="x",$BI115*BB115,VALUE('Capacity summary'!BB27)),0),BB115*$BI115),BB115*$BI115),0)</f>
        <v>8.6538461538461533</v>
      </c>
      <c r="DF115" s="5">
        <f ca="1">IF($BI115&lt;&gt;"",IF('Capacity summary'!$C$14="Yes",IF(COUNTBLANK('Capacity summary'!$H27:$BG27)&lt;52,IF('Capacity summary'!BC27&lt;&gt;"",IF(LOWER('Capacity summary'!BC27)="x",$BI115*BC115,VALUE('Capacity summary'!BC27)),0),BC115*$BI115),BC115*$BI115),0)</f>
        <v>8.6538461538461533</v>
      </c>
      <c r="DG115" s="5">
        <f ca="1">IF($BI115&lt;&gt;"",IF('Capacity summary'!$C$14="Yes",IF(COUNTBLANK('Capacity summary'!$H27:$BG27)&lt;52,IF('Capacity summary'!BD27&lt;&gt;"",IF(LOWER('Capacity summary'!BD27)="x",$BI115*BD115,VALUE('Capacity summary'!BD27)),0),BD115*$BI115),BD115*$BI115),0)</f>
        <v>8.6538461538461533</v>
      </c>
      <c r="DH115" s="5">
        <f ca="1">IF($BI115&lt;&gt;"",IF('Capacity summary'!$C$14="Yes",IF(COUNTBLANK('Capacity summary'!$H27:$BG27)&lt;52,IF('Capacity summary'!BE27&lt;&gt;"",IF(LOWER('Capacity summary'!BE27)="x",$BI115*BE115,VALUE('Capacity summary'!BE27)),0),BE115*$BI115),BE115*$BI115),0)</f>
        <v>8.6538461538461533</v>
      </c>
      <c r="DI115" s="5">
        <f ca="1">IF($BI115&lt;&gt;"",IF('Capacity summary'!$C$14="Yes",IF(COUNTBLANK('Capacity summary'!$H27:$BG27)&lt;52,IF('Capacity summary'!BF27&lt;&gt;"",IF(LOWER('Capacity summary'!BF27)="x",$BI115*BF115,VALUE('Capacity summary'!BF27)),0),BF115*$BI115),BF115*$BI115),0)</f>
        <v>8.6538461538461533</v>
      </c>
      <c r="DJ115" s="5">
        <f ca="1">IF($BI115&lt;&gt;"",IF('Capacity summary'!$C$14="Yes",IF(COUNTBLANK('Capacity summary'!$H27:$BG27)&lt;52,IF('Capacity summary'!BG27&lt;&gt;"",IF(LOWER('Capacity summary'!BG27)="x",$BI115*BG115,VALUE('Capacity summary'!BG27)),0),BG115*$BI115),BG115*$BI115),0)</f>
        <v>8.6538461538461533</v>
      </c>
      <c r="DK115" s="388">
        <f t="shared" ca="1" si="8"/>
        <v>8.6538461538461533</v>
      </c>
      <c r="DL115" s="5">
        <f t="shared" ca="1" si="9"/>
        <v>449.99999999999966</v>
      </c>
    </row>
    <row r="116" spans="3:116" x14ac:dyDescent="0.2">
      <c r="C116" s="67" t="str">
        <f>ROW(A5)&amp;". "&amp;Capacity!N21</f>
        <v>5. 44333</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 ca="1">IF(ROW(A5)&lt;=Capacity!$M$16,IF('Capacity summary'!$C$14="No",SUM(H116:BG116),'Capacity summary'!$E28),0)</f>
        <v>52</v>
      </c>
      <c r="BI116" s="67">
        <f ca="1">IF(BH116&gt;0,IF(BH116&lt;Capacity!Q21,Capacity!R21,Capacity!T21/'Capacity calculation (hide)'!BH116),"")</f>
        <v>5.1923076923076925</v>
      </c>
      <c r="BJ116" s="5"/>
      <c r="BK116" s="5">
        <f ca="1">IF($BI116&lt;&gt;"",IF('Capacity summary'!$C$14="Yes",IF(COUNTBLANK('Capacity summary'!$H28:$BG28)&lt;52,IF('Capacity summary'!H28&lt;&gt;"",IF(LOWER('Capacity summary'!H28)="x",$BI116*H116,VALUE('Capacity summary'!H28)),0),H116*$BI116),H116*$BI116),0)</f>
        <v>5.1923076923076925</v>
      </c>
      <c r="BL116" s="5">
        <f ca="1">IF($BI116&lt;&gt;"",IF('Capacity summary'!$C$14="Yes",IF(COUNTBLANK('Capacity summary'!$H28:$BG28)&lt;52,IF('Capacity summary'!I28&lt;&gt;"",IF(LOWER('Capacity summary'!I28)="x",$BI116*I116,VALUE('Capacity summary'!I28)),0),I116*$BI116),I116*$BI116),0)</f>
        <v>5.1923076923076925</v>
      </c>
      <c r="BM116" s="5">
        <f ca="1">IF($BI116&lt;&gt;"",IF('Capacity summary'!$C$14="Yes",IF(COUNTBLANK('Capacity summary'!$H28:$BG28)&lt;52,IF('Capacity summary'!J28&lt;&gt;"",IF(LOWER('Capacity summary'!J28)="x",$BI116*J116,VALUE('Capacity summary'!J28)),0),J116*$BI116),J116*$BI116),0)</f>
        <v>5.1923076923076925</v>
      </c>
      <c r="BN116" s="5">
        <f ca="1">IF($BI116&lt;&gt;"",IF('Capacity summary'!$C$14="Yes",IF(COUNTBLANK('Capacity summary'!$H28:$BG28)&lt;52,IF('Capacity summary'!K28&lt;&gt;"",IF(LOWER('Capacity summary'!K28)="x",$BI116*K116,VALUE('Capacity summary'!K28)),0),K116*$BI116),K116*$BI116),0)</f>
        <v>5.1923076923076925</v>
      </c>
      <c r="BO116" s="5">
        <f ca="1">IF($BI116&lt;&gt;"",IF('Capacity summary'!$C$14="Yes",IF(COUNTBLANK('Capacity summary'!$H28:$BG28)&lt;52,IF('Capacity summary'!L28&lt;&gt;"",IF(LOWER('Capacity summary'!L28)="x",$BI116*L116,VALUE('Capacity summary'!L28)),0),L116*$BI116),L116*$BI116),0)</f>
        <v>5.1923076923076925</v>
      </c>
      <c r="BP116" s="5">
        <f ca="1">IF($BI116&lt;&gt;"",IF('Capacity summary'!$C$14="Yes",IF(COUNTBLANK('Capacity summary'!$H28:$BG28)&lt;52,IF('Capacity summary'!M28&lt;&gt;"",IF(LOWER('Capacity summary'!M28)="x",$BI116*M116,VALUE('Capacity summary'!M28)),0),M116*$BI116),M116*$BI116),0)</f>
        <v>5.1923076923076925</v>
      </c>
      <c r="BQ116" s="5">
        <f ca="1">IF($BI116&lt;&gt;"",IF('Capacity summary'!$C$14="Yes",IF(COUNTBLANK('Capacity summary'!$H28:$BG28)&lt;52,IF('Capacity summary'!N28&lt;&gt;"",IF(LOWER('Capacity summary'!N28)="x",$BI116*N116,VALUE('Capacity summary'!N28)),0),N116*$BI116),N116*$BI116),0)</f>
        <v>5.1923076923076925</v>
      </c>
      <c r="BR116" s="5">
        <f ca="1">IF($BI116&lt;&gt;"",IF('Capacity summary'!$C$14="Yes",IF(COUNTBLANK('Capacity summary'!$H28:$BG28)&lt;52,IF('Capacity summary'!O28&lt;&gt;"",IF(LOWER('Capacity summary'!O28)="x",$BI116*O116,VALUE('Capacity summary'!O28)),0),O116*$BI116),O116*$BI116),0)</f>
        <v>5.1923076923076925</v>
      </c>
      <c r="BS116" s="5">
        <f ca="1">IF($BI116&lt;&gt;"",IF('Capacity summary'!$C$14="Yes",IF(COUNTBLANK('Capacity summary'!$H28:$BG28)&lt;52,IF('Capacity summary'!P28&lt;&gt;"",IF(LOWER('Capacity summary'!P28)="x",$BI116*P116,VALUE('Capacity summary'!P28)),0),P116*$BI116),P116*$BI116),0)</f>
        <v>5.1923076923076925</v>
      </c>
      <c r="BT116" s="5">
        <f ca="1">IF($BI116&lt;&gt;"",IF('Capacity summary'!$C$14="Yes",IF(COUNTBLANK('Capacity summary'!$H28:$BG28)&lt;52,IF('Capacity summary'!Q28&lt;&gt;"",IF(LOWER('Capacity summary'!Q28)="x",$BI116*Q116,VALUE('Capacity summary'!Q28)),0),Q116*$BI116),Q116*$BI116),0)</f>
        <v>5.1923076923076925</v>
      </c>
      <c r="BU116" s="5">
        <f ca="1">IF($BI116&lt;&gt;"",IF('Capacity summary'!$C$14="Yes",IF(COUNTBLANK('Capacity summary'!$H28:$BG28)&lt;52,IF('Capacity summary'!R28&lt;&gt;"",IF(LOWER('Capacity summary'!R28)="x",$BI116*R116,VALUE('Capacity summary'!R28)),0),R116*$BI116),R116*$BI116),0)</f>
        <v>5.1923076923076925</v>
      </c>
      <c r="BV116" s="5">
        <f ca="1">IF($BI116&lt;&gt;"",IF('Capacity summary'!$C$14="Yes",IF(COUNTBLANK('Capacity summary'!$H28:$BG28)&lt;52,IF('Capacity summary'!S28&lt;&gt;"",IF(LOWER('Capacity summary'!S28)="x",$BI116*S116,VALUE('Capacity summary'!S28)),0),S116*$BI116),S116*$BI116),0)</f>
        <v>5.1923076923076925</v>
      </c>
      <c r="BW116" s="5">
        <f ca="1">IF($BI116&lt;&gt;"",IF('Capacity summary'!$C$14="Yes",IF(COUNTBLANK('Capacity summary'!$H28:$BG28)&lt;52,IF('Capacity summary'!T28&lt;&gt;"",IF(LOWER('Capacity summary'!T28)="x",$BI116*T116,VALUE('Capacity summary'!T28)),0),T116*$BI116),T116*$BI116),0)</f>
        <v>5.1923076923076925</v>
      </c>
      <c r="BX116" s="5">
        <f ca="1">IF($BI116&lt;&gt;"",IF('Capacity summary'!$C$14="Yes",IF(COUNTBLANK('Capacity summary'!$H28:$BG28)&lt;52,IF('Capacity summary'!U28&lt;&gt;"",IF(LOWER('Capacity summary'!U28)="x",$BI116*U116,VALUE('Capacity summary'!U28)),0),U116*$BI116),U116*$BI116),0)</f>
        <v>5.1923076923076925</v>
      </c>
      <c r="BY116" s="5">
        <f ca="1">IF($BI116&lt;&gt;"",IF('Capacity summary'!$C$14="Yes",IF(COUNTBLANK('Capacity summary'!$H28:$BG28)&lt;52,IF('Capacity summary'!V28&lt;&gt;"",IF(LOWER('Capacity summary'!V28)="x",$BI116*V116,VALUE('Capacity summary'!V28)),0),V116*$BI116),V116*$BI116),0)</f>
        <v>5.1923076923076925</v>
      </c>
      <c r="BZ116" s="5">
        <f ca="1">IF($BI116&lt;&gt;"",IF('Capacity summary'!$C$14="Yes",IF(COUNTBLANK('Capacity summary'!$H28:$BG28)&lt;52,IF('Capacity summary'!W28&lt;&gt;"",IF(LOWER('Capacity summary'!W28)="x",$BI116*W116,VALUE('Capacity summary'!W28)),0),W116*$BI116),W116*$BI116),0)</f>
        <v>5.1923076923076925</v>
      </c>
      <c r="CA116" s="5">
        <f ca="1">IF($BI116&lt;&gt;"",IF('Capacity summary'!$C$14="Yes",IF(COUNTBLANK('Capacity summary'!$H28:$BG28)&lt;52,IF('Capacity summary'!X28&lt;&gt;"",IF(LOWER('Capacity summary'!X28)="x",$BI116*X116,VALUE('Capacity summary'!X28)),0),X116*$BI116),X116*$BI116),0)</f>
        <v>5.1923076923076925</v>
      </c>
      <c r="CB116" s="5">
        <f ca="1">IF($BI116&lt;&gt;"",IF('Capacity summary'!$C$14="Yes",IF(COUNTBLANK('Capacity summary'!$H28:$BG28)&lt;52,IF('Capacity summary'!Y28&lt;&gt;"",IF(LOWER('Capacity summary'!Y28)="x",$BI116*Y116,VALUE('Capacity summary'!Y28)),0),Y116*$BI116),Y116*$BI116),0)</f>
        <v>5.1923076923076925</v>
      </c>
      <c r="CC116" s="5">
        <f ca="1">IF($BI116&lt;&gt;"",IF('Capacity summary'!$C$14="Yes",IF(COUNTBLANK('Capacity summary'!$H28:$BG28)&lt;52,IF('Capacity summary'!Z28&lt;&gt;"",IF(LOWER('Capacity summary'!Z28)="x",$BI116*Z116,VALUE('Capacity summary'!Z28)),0),Z116*$BI116),Z116*$BI116),0)</f>
        <v>5.1923076923076925</v>
      </c>
      <c r="CD116" s="5">
        <f ca="1">IF($BI116&lt;&gt;"",IF('Capacity summary'!$C$14="Yes",IF(COUNTBLANK('Capacity summary'!$H28:$BG28)&lt;52,IF('Capacity summary'!AA28&lt;&gt;"",IF(LOWER('Capacity summary'!AA28)="x",$BI116*AA116,VALUE('Capacity summary'!AA28)),0),AA116*$BI116),AA116*$BI116),0)</f>
        <v>5.1923076923076925</v>
      </c>
      <c r="CE116" s="5">
        <f ca="1">IF($BI116&lt;&gt;"",IF('Capacity summary'!$C$14="Yes",IF(COUNTBLANK('Capacity summary'!$H28:$BG28)&lt;52,IF('Capacity summary'!AB28&lt;&gt;"",IF(LOWER('Capacity summary'!AB28)="x",$BI116*AB116,VALUE('Capacity summary'!AB28)),0),AB116*$BI116),AB116*$BI116),0)</f>
        <v>5.1923076923076925</v>
      </c>
      <c r="CF116" s="5">
        <f ca="1">IF($BI116&lt;&gt;"",IF('Capacity summary'!$C$14="Yes",IF(COUNTBLANK('Capacity summary'!$H28:$BG28)&lt;52,IF('Capacity summary'!AC28&lt;&gt;"",IF(LOWER('Capacity summary'!AC28)="x",$BI116*AC116,VALUE('Capacity summary'!AC28)),0),AC116*$BI116),AC116*$BI116),0)</f>
        <v>5.1923076923076925</v>
      </c>
      <c r="CG116" s="5">
        <f ca="1">IF($BI116&lt;&gt;"",IF('Capacity summary'!$C$14="Yes",IF(COUNTBLANK('Capacity summary'!$H28:$BG28)&lt;52,IF('Capacity summary'!AD28&lt;&gt;"",IF(LOWER('Capacity summary'!AD28)="x",$BI116*AD116,VALUE('Capacity summary'!AD28)),0),AD116*$BI116),AD116*$BI116),0)</f>
        <v>5.1923076923076925</v>
      </c>
      <c r="CH116" s="5">
        <f ca="1">IF($BI116&lt;&gt;"",IF('Capacity summary'!$C$14="Yes",IF(COUNTBLANK('Capacity summary'!$H28:$BG28)&lt;52,IF('Capacity summary'!AE28&lt;&gt;"",IF(LOWER('Capacity summary'!AE28)="x",$BI116*AE116,VALUE('Capacity summary'!AE28)),0),AE116*$BI116),AE116*$BI116),0)</f>
        <v>5.1923076923076925</v>
      </c>
      <c r="CI116" s="5">
        <f ca="1">IF($BI116&lt;&gt;"",IF('Capacity summary'!$C$14="Yes",IF(COUNTBLANK('Capacity summary'!$H28:$BG28)&lt;52,IF('Capacity summary'!AF28&lt;&gt;"",IF(LOWER('Capacity summary'!AF28)="x",$BI116*AF116,VALUE('Capacity summary'!AF28)),0),AF116*$BI116),AF116*$BI116),0)</f>
        <v>5.1923076923076925</v>
      </c>
      <c r="CJ116" s="5">
        <f ca="1">IF($BI116&lt;&gt;"",IF('Capacity summary'!$C$14="Yes",IF(COUNTBLANK('Capacity summary'!$H28:$BG28)&lt;52,IF('Capacity summary'!AG28&lt;&gt;"",IF(LOWER('Capacity summary'!AG28)="x",$BI116*AG116,VALUE('Capacity summary'!AG28)),0),AG116*$BI116),AG116*$BI116),0)</f>
        <v>5.1923076923076925</v>
      </c>
      <c r="CK116" s="5">
        <f ca="1">IF($BI116&lt;&gt;"",IF('Capacity summary'!$C$14="Yes",IF(COUNTBLANK('Capacity summary'!$H28:$BG28)&lt;52,IF('Capacity summary'!AH28&lt;&gt;"",IF(LOWER('Capacity summary'!AH28)="x",$BI116*AH116,VALUE('Capacity summary'!AH28)),0),AH116*$BI116),AH116*$BI116),0)</f>
        <v>5.1923076923076925</v>
      </c>
      <c r="CL116" s="5">
        <f ca="1">IF($BI116&lt;&gt;"",IF('Capacity summary'!$C$14="Yes",IF(COUNTBLANK('Capacity summary'!$H28:$BG28)&lt;52,IF('Capacity summary'!AI28&lt;&gt;"",IF(LOWER('Capacity summary'!AI28)="x",$BI116*AI116,VALUE('Capacity summary'!AI28)),0),AI116*$BI116),AI116*$BI116),0)</f>
        <v>5.1923076923076925</v>
      </c>
      <c r="CM116" s="5">
        <f ca="1">IF($BI116&lt;&gt;"",IF('Capacity summary'!$C$14="Yes",IF(COUNTBLANK('Capacity summary'!$H28:$BG28)&lt;52,IF('Capacity summary'!AJ28&lt;&gt;"",IF(LOWER('Capacity summary'!AJ28)="x",$BI116*AJ116,VALUE('Capacity summary'!AJ28)),0),AJ116*$BI116),AJ116*$BI116),0)</f>
        <v>5.1923076923076925</v>
      </c>
      <c r="CN116" s="5">
        <f ca="1">IF($BI116&lt;&gt;"",IF('Capacity summary'!$C$14="Yes",IF(COUNTBLANK('Capacity summary'!$H28:$BG28)&lt;52,IF('Capacity summary'!AK28&lt;&gt;"",IF(LOWER('Capacity summary'!AK28)="x",$BI116*AK116,VALUE('Capacity summary'!AK28)),0),AK116*$BI116),AK116*$BI116),0)</f>
        <v>5.1923076923076925</v>
      </c>
      <c r="CO116" s="5">
        <f ca="1">IF($BI116&lt;&gt;"",IF('Capacity summary'!$C$14="Yes",IF(COUNTBLANK('Capacity summary'!$H28:$BG28)&lt;52,IF('Capacity summary'!AL28&lt;&gt;"",IF(LOWER('Capacity summary'!AL28)="x",$BI116*AL116,VALUE('Capacity summary'!AL28)),0),AL116*$BI116),AL116*$BI116),0)</f>
        <v>5.1923076923076925</v>
      </c>
      <c r="CP116" s="5">
        <f ca="1">IF($BI116&lt;&gt;"",IF('Capacity summary'!$C$14="Yes",IF(COUNTBLANK('Capacity summary'!$H28:$BG28)&lt;52,IF('Capacity summary'!AM28&lt;&gt;"",IF(LOWER('Capacity summary'!AM28)="x",$BI116*AM116,VALUE('Capacity summary'!AM28)),0),AM116*$BI116),AM116*$BI116),0)</f>
        <v>5.1923076923076925</v>
      </c>
      <c r="CQ116" s="5">
        <f ca="1">IF($BI116&lt;&gt;"",IF('Capacity summary'!$C$14="Yes",IF(COUNTBLANK('Capacity summary'!$H28:$BG28)&lt;52,IF('Capacity summary'!AN28&lt;&gt;"",IF(LOWER('Capacity summary'!AN28)="x",$BI116*AN116,VALUE('Capacity summary'!AN28)),0),AN116*$BI116),AN116*$BI116),0)</f>
        <v>5.1923076923076925</v>
      </c>
      <c r="CR116" s="5">
        <f ca="1">IF($BI116&lt;&gt;"",IF('Capacity summary'!$C$14="Yes",IF(COUNTBLANK('Capacity summary'!$H28:$BG28)&lt;52,IF('Capacity summary'!AO28&lt;&gt;"",IF(LOWER('Capacity summary'!AO28)="x",$BI116*AO116,VALUE('Capacity summary'!AO28)),0),AO116*$BI116),AO116*$BI116),0)</f>
        <v>5.1923076923076925</v>
      </c>
      <c r="CS116" s="5">
        <f ca="1">IF($BI116&lt;&gt;"",IF('Capacity summary'!$C$14="Yes",IF(COUNTBLANK('Capacity summary'!$H28:$BG28)&lt;52,IF('Capacity summary'!AP28&lt;&gt;"",IF(LOWER('Capacity summary'!AP28)="x",$BI116*AP116,VALUE('Capacity summary'!AP28)),0),AP116*$BI116),AP116*$BI116),0)</f>
        <v>5.1923076923076925</v>
      </c>
      <c r="CT116" s="5">
        <f ca="1">IF($BI116&lt;&gt;"",IF('Capacity summary'!$C$14="Yes",IF(COUNTBLANK('Capacity summary'!$H28:$BG28)&lt;52,IF('Capacity summary'!AQ28&lt;&gt;"",IF(LOWER('Capacity summary'!AQ28)="x",$BI116*AQ116,VALUE('Capacity summary'!AQ28)),0),AQ116*$BI116),AQ116*$BI116),0)</f>
        <v>5.1923076923076925</v>
      </c>
      <c r="CU116" s="5">
        <f ca="1">IF($BI116&lt;&gt;"",IF('Capacity summary'!$C$14="Yes",IF(COUNTBLANK('Capacity summary'!$H28:$BG28)&lt;52,IF('Capacity summary'!AR28&lt;&gt;"",IF(LOWER('Capacity summary'!AR28)="x",$BI116*AR116,VALUE('Capacity summary'!AR28)),0),AR116*$BI116),AR116*$BI116),0)</f>
        <v>5.1923076923076925</v>
      </c>
      <c r="CV116" s="5">
        <f ca="1">IF($BI116&lt;&gt;"",IF('Capacity summary'!$C$14="Yes",IF(COUNTBLANK('Capacity summary'!$H28:$BG28)&lt;52,IF('Capacity summary'!AS28&lt;&gt;"",IF(LOWER('Capacity summary'!AS28)="x",$BI116*AS116,VALUE('Capacity summary'!AS28)),0),AS116*$BI116),AS116*$BI116),0)</f>
        <v>5.1923076923076925</v>
      </c>
      <c r="CW116" s="5">
        <f ca="1">IF($BI116&lt;&gt;"",IF('Capacity summary'!$C$14="Yes",IF(COUNTBLANK('Capacity summary'!$H28:$BG28)&lt;52,IF('Capacity summary'!AT28&lt;&gt;"",IF(LOWER('Capacity summary'!AT28)="x",$BI116*AT116,VALUE('Capacity summary'!AT28)),0),AT116*$BI116),AT116*$BI116),0)</f>
        <v>5.1923076923076925</v>
      </c>
      <c r="CX116" s="5">
        <f ca="1">IF($BI116&lt;&gt;"",IF('Capacity summary'!$C$14="Yes",IF(COUNTBLANK('Capacity summary'!$H28:$BG28)&lt;52,IF('Capacity summary'!AU28&lt;&gt;"",IF(LOWER('Capacity summary'!AU28)="x",$BI116*AU116,VALUE('Capacity summary'!AU28)),0),AU116*$BI116),AU116*$BI116),0)</f>
        <v>5.1923076923076925</v>
      </c>
      <c r="CY116" s="5">
        <f ca="1">IF($BI116&lt;&gt;"",IF('Capacity summary'!$C$14="Yes",IF(COUNTBLANK('Capacity summary'!$H28:$BG28)&lt;52,IF('Capacity summary'!AV28&lt;&gt;"",IF(LOWER('Capacity summary'!AV28)="x",$BI116*AV116,VALUE('Capacity summary'!AV28)),0),AV116*$BI116),AV116*$BI116),0)</f>
        <v>5.1923076923076925</v>
      </c>
      <c r="CZ116" s="5">
        <f ca="1">IF($BI116&lt;&gt;"",IF('Capacity summary'!$C$14="Yes",IF(COUNTBLANK('Capacity summary'!$H28:$BG28)&lt;52,IF('Capacity summary'!AW28&lt;&gt;"",IF(LOWER('Capacity summary'!AW28)="x",$BI116*AW116,VALUE('Capacity summary'!AW28)),0),AW116*$BI116),AW116*$BI116),0)</f>
        <v>5.1923076923076925</v>
      </c>
      <c r="DA116" s="5">
        <f ca="1">IF($BI116&lt;&gt;"",IF('Capacity summary'!$C$14="Yes",IF(COUNTBLANK('Capacity summary'!$H28:$BG28)&lt;52,IF('Capacity summary'!AX28&lt;&gt;"",IF(LOWER('Capacity summary'!AX28)="x",$BI116*AX116,VALUE('Capacity summary'!AX28)),0),AX116*$BI116),AX116*$BI116),0)</f>
        <v>5.1923076923076925</v>
      </c>
      <c r="DB116" s="5">
        <f ca="1">IF($BI116&lt;&gt;"",IF('Capacity summary'!$C$14="Yes",IF(COUNTBLANK('Capacity summary'!$H28:$BG28)&lt;52,IF('Capacity summary'!AY28&lt;&gt;"",IF(LOWER('Capacity summary'!AY28)="x",$BI116*AY116,VALUE('Capacity summary'!AY28)),0),AY116*$BI116),AY116*$BI116),0)</f>
        <v>5.1923076923076925</v>
      </c>
      <c r="DC116" s="5">
        <f ca="1">IF($BI116&lt;&gt;"",IF('Capacity summary'!$C$14="Yes",IF(COUNTBLANK('Capacity summary'!$H28:$BG28)&lt;52,IF('Capacity summary'!AZ28&lt;&gt;"",IF(LOWER('Capacity summary'!AZ28)="x",$BI116*AZ116,VALUE('Capacity summary'!AZ28)),0),AZ116*$BI116),AZ116*$BI116),0)</f>
        <v>5.1923076923076925</v>
      </c>
      <c r="DD116" s="5">
        <f ca="1">IF($BI116&lt;&gt;"",IF('Capacity summary'!$C$14="Yes",IF(COUNTBLANK('Capacity summary'!$H28:$BG28)&lt;52,IF('Capacity summary'!BA28&lt;&gt;"",IF(LOWER('Capacity summary'!BA28)="x",$BI116*BA116,VALUE('Capacity summary'!BA28)),0),BA116*$BI116),BA116*$BI116),0)</f>
        <v>5.1923076923076925</v>
      </c>
      <c r="DE116" s="5">
        <f ca="1">IF($BI116&lt;&gt;"",IF('Capacity summary'!$C$14="Yes",IF(COUNTBLANK('Capacity summary'!$H28:$BG28)&lt;52,IF('Capacity summary'!BB28&lt;&gt;"",IF(LOWER('Capacity summary'!BB28)="x",$BI116*BB116,VALUE('Capacity summary'!BB28)),0),BB116*$BI116),BB116*$BI116),0)</f>
        <v>5.1923076923076925</v>
      </c>
      <c r="DF116" s="5">
        <f ca="1">IF($BI116&lt;&gt;"",IF('Capacity summary'!$C$14="Yes",IF(COUNTBLANK('Capacity summary'!$H28:$BG28)&lt;52,IF('Capacity summary'!BC28&lt;&gt;"",IF(LOWER('Capacity summary'!BC28)="x",$BI116*BC116,VALUE('Capacity summary'!BC28)),0),BC116*$BI116),BC116*$BI116),0)</f>
        <v>5.1923076923076925</v>
      </c>
      <c r="DG116" s="5">
        <f ca="1">IF($BI116&lt;&gt;"",IF('Capacity summary'!$C$14="Yes",IF(COUNTBLANK('Capacity summary'!$H28:$BG28)&lt;52,IF('Capacity summary'!BD28&lt;&gt;"",IF(LOWER('Capacity summary'!BD28)="x",$BI116*BD116,VALUE('Capacity summary'!BD28)),0),BD116*$BI116),BD116*$BI116),0)</f>
        <v>5.1923076923076925</v>
      </c>
      <c r="DH116" s="5">
        <f ca="1">IF($BI116&lt;&gt;"",IF('Capacity summary'!$C$14="Yes",IF(COUNTBLANK('Capacity summary'!$H28:$BG28)&lt;52,IF('Capacity summary'!BE28&lt;&gt;"",IF(LOWER('Capacity summary'!BE28)="x",$BI116*BE116,VALUE('Capacity summary'!BE28)),0),BE116*$BI116),BE116*$BI116),0)</f>
        <v>5.1923076923076925</v>
      </c>
      <c r="DI116" s="5">
        <f ca="1">IF($BI116&lt;&gt;"",IF('Capacity summary'!$C$14="Yes",IF(COUNTBLANK('Capacity summary'!$H28:$BG28)&lt;52,IF('Capacity summary'!BF28&lt;&gt;"",IF(LOWER('Capacity summary'!BF28)="x",$BI116*BF116,VALUE('Capacity summary'!BF28)),0),BF116*$BI116),BF116*$BI116),0)</f>
        <v>5.1923076923076925</v>
      </c>
      <c r="DJ116" s="5">
        <f ca="1">IF($BI116&lt;&gt;"",IF('Capacity summary'!$C$14="Yes",IF(COUNTBLANK('Capacity summary'!$H28:$BG28)&lt;52,IF('Capacity summary'!BG28&lt;&gt;"",IF(LOWER('Capacity summary'!BG28)="x",$BI116*BG116,VALUE('Capacity summary'!BG28)),0),BG116*$BI116),BG116*$BI116),0)</f>
        <v>5.1923076923076925</v>
      </c>
      <c r="DK116" s="388">
        <f t="shared" ca="1" si="8"/>
        <v>5.1923076923076925</v>
      </c>
      <c r="DL116" s="5">
        <f t="shared" ca="1" si="9"/>
        <v>269.99999999999966</v>
      </c>
    </row>
    <row r="117" spans="3:116" x14ac:dyDescent="0.2">
      <c r="C117" s="67" t="str">
        <f>ROW(A6)&amp;". "&amp;Capacity!N22</f>
        <v>6. 44335</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 ca="1">IF(ROW(A6)&lt;=Capacity!$M$16,IF('Capacity summary'!$C$14="No",SUM(H117:BG117),'Capacity summary'!$E29),0)</f>
        <v>52</v>
      </c>
      <c r="BI117" s="67">
        <f ca="1">IF(BH117&gt;0,IF(BH117&lt;Capacity!Q22,Capacity!R22,Capacity!T22/'Capacity calculation (hide)'!BH117),"")</f>
        <v>3.4615384615384617</v>
      </c>
      <c r="BJ117" s="5"/>
      <c r="BK117" s="5">
        <f ca="1">IF($BI117&lt;&gt;"",IF('Capacity summary'!$C$14="Yes",IF(COUNTBLANK('Capacity summary'!$H29:$BG29)&lt;52,IF('Capacity summary'!H29&lt;&gt;"",IF(LOWER('Capacity summary'!H29)="x",$BI117*H117,VALUE('Capacity summary'!H29)),0),H117*$BI117),H117*$BI117),0)</f>
        <v>3.4615384615384617</v>
      </c>
      <c r="BL117" s="5">
        <f ca="1">IF($BI117&lt;&gt;"",IF('Capacity summary'!$C$14="Yes",IF(COUNTBLANK('Capacity summary'!$H29:$BG29)&lt;52,IF('Capacity summary'!I29&lt;&gt;"",IF(LOWER('Capacity summary'!I29)="x",$BI117*I117,VALUE('Capacity summary'!I29)),0),I117*$BI117),I117*$BI117),0)</f>
        <v>3.4615384615384617</v>
      </c>
      <c r="BM117" s="5">
        <f ca="1">IF($BI117&lt;&gt;"",IF('Capacity summary'!$C$14="Yes",IF(COUNTBLANK('Capacity summary'!$H29:$BG29)&lt;52,IF('Capacity summary'!J29&lt;&gt;"",IF(LOWER('Capacity summary'!J29)="x",$BI117*J117,VALUE('Capacity summary'!J29)),0),J117*$BI117),J117*$BI117),0)</f>
        <v>3.4615384615384617</v>
      </c>
      <c r="BN117" s="5">
        <f ca="1">IF($BI117&lt;&gt;"",IF('Capacity summary'!$C$14="Yes",IF(COUNTBLANK('Capacity summary'!$H29:$BG29)&lt;52,IF('Capacity summary'!K29&lt;&gt;"",IF(LOWER('Capacity summary'!K29)="x",$BI117*K117,VALUE('Capacity summary'!K29)),0),K117*$BI117),K117*$BI117),0)</f>
        <v>3.4615384615384617</v>
      </c>
      <c r="BO117" s="5">
        <f ca="1">IF($BI117&lt;&gt;"",IF('Capacity summary'!$C$14="Yes",IF(COUNTBLANK('Capacity summary'!$H29:$BG29)&lt;52,IF('Capacity summary'!L29&lt;&gt;"",IF(LOWER('Capacity summary'!L29)="x",$BI117*L117,VALUE('Capacity summary'!L29)),0),L117*$BI117),L117*$BI117),0)</f>
        <v>3.4615384615384617</v>
      </c>
      <c r="BP117" s="5">
        <f ca="1">IF($BI117&lt;&gt;"",IF('Capacity summary'!$C$14="Yes",IF(COUNTBLANK('Capacity summary'!$H29:$BG29)&lt;52,IF('Capacity summary'!M29&lt;&gt;"",IF(LOWER('Capacity summary'!M29)="x",$BI117*M117,VALUE('Capacity summary'!M29)),0),M117*$BI117),M117*$BI117),0)</f>
        <v>3.4615384615384617</v>
      </c>
      <c r="BQ117" s="5">
        <f ca="1">IF($BI117&lt;&gt;"",IF('Capacity summary'!$C$14="Yes",IF(COUNTBLANK('Capacity summary'!$H29:$BG29)&lt;52,IF('Capacity summary'!N29&lt;&gt;"",IF(LOWER('Capacity summary'!N29)="x",$BI117*N117,VALUE('Capacity summary'!N29)),0),N117*$BI117),N117*$BI117),0)</f>
        <v>3.4615384615384617</v>
      </c>
      <c r="BR117" s="5">
        <f ca="1">IF($BI117&lt;&gt;"",IF('Capacity summary'!$C$14="Yes",IF(COUNTBLANK('Capacity summary'!$H29:$BG29)&lt;52,IF('Capacity summary'!O29&lt;&gt;"",IF(LOWER('Capacity summary'!O29)="x",$BI117*O117,VALUE('Capacity summary'!O29)),0),O117*$BI117),O117*$BI117),0)</f>
        <v>3.4615384615384617</v>
      </c>
      <c r="BS117" s="5">
        <f ca="1">IF($BI117&lt;&gt;"",IF('Capacity summary'!$C$14="Yes",IF(COUNTBLANK('Capacity summary'!$H29:$BG29)&lt;52,IF('Capacity summary'!P29&lt;&gt;"",IF(LOWER('Capacity summary'!P29)="x",$BI117*P117,VALUE('Capacity summary'!P29)),0),P117*$BI117),P117*$BI117),0)</f>
        <v>3.4615384615384617</v>
      </c>
      <c r="BT117" s="5">
        <f ca="1">IF($BI117&lt;&gt;"",IF('Capacity summary'!$C$14="Yes",IF(COUNTBLANK('Capacity summary'!$H29:$BG29)&lt;52,IF('Capacity summary'!Q29&lt;&gt;"",IF(LOWER('Capacity summary'!Q29)="x",$BI117*Q117,VALUE('Capacity summary'!Q29)),0),Q117*$BI117),Q117*$BI117),0)</f>
        <v>3.4615384615384617</v>
      </c>
      <c r="BU117" s="5">
        <f ca="1">IF($BI117&lt;&gt;"",IF('Capacity summary'!$C$14="Yes",IF(COUNTBLANK('Capacity summary'!$H29:$BG29)&lt;52,IF('Capacity summary'!R29&lt;&gt;"",IF(LOWER('Capacity summary'!R29)="x",$BI117*R117,VALUE('Capacity summary'!R29)),0),R117*$BI117),R117*$BI117),0)</f>
        <v>3.4615384615384617</v>
      </c>
      <c r="BV117" s="5">
        <f ca="1">IF($BI117&lt;&gt;"",IF('Capacity summary'!$C$14="Yes",IF(COUNTBLANK('Capacity summary'!$H29:$BG29)&lt;52,IF('Capacity summary'!S29&lt;&gt;"",IF(LOWER('Capacity summary'!S29)="x",$BI117*S117,VALUE('Capacity summary'!S29)),0),S117*$BI117),S117*$BI117),0)</f>
        <v>3.4615384615384617</v>
      </c>
      <c r="BW117" s="5">
        <f ca="1">IF($BI117&lt;&gt;"",IF('Capacity summary'!$C$14="Yes",IF(COUNTBLANK('Capacity summary'!$H29:$BG29)&lt;52,IF('Capacity summary'!T29&lt;&gt;"",IF(LOWER('Capacity summary'!T29)="x",$BI117*T117,VALUE('Capacity summary'!T29)),0),T117*$BI117),T117*$BI117),0)</f>
        <v>3.4615384615384617</v>
      </c>
      <c r="BX117" s="5">
        <f ca="1">IF($BI117&lt;&gt;"",IF('Capacity summary'!$C$14="Yes",IF(COUNTBLANK('Capacity summary'!$H29:$BG29)&lt;52,IF('Capacity summary'!U29&lt;&gt;"",IF(LOWER('Capacity summary'!U29)="x",$BI117*U117,VALUE('Capacity summary'!U29)),0),U117*$BI117),U117*$BI117),0)</f>
        <v>3.4615384615384617</v>
      </c>
      <c r="BY117" s="5">
        <f ca="1">IF($BI117&lt;&gt;"",IF('Capacity summary'!$C$14="Yes",IF(COUNTBLANK('Capacity summary'!$H29:$BG29)&lt;52,IF('Capacity summary'!V29&lt;&gt;"",IF(LOWER('Capacity summary'!V29)="x",$BI117*V117,VALUE('Capacity summary'!V29)),0),V117*$BI117),V117*$BI117),0)</f>
        <v>3.4615384615384617</v>
      </c>
      <c r="BZ117" s="5">
        <f ca="1">IF($BI117&lt;&gt;"",IF('Capacity summary'!$C$14="Yes",IF(COUNTBLANK('Capacity summary'!$H29:$BG29)&lt;52,IF('Capacity summary'!W29&lt;&gt;"",IF(LOWER('Capacity summary'!W29)="x",$BI117*W117,VALUE('Capacity summary'!W29)),0),W117*$BI117),W117*$BI117),0)</f>
        <v>3.4615384615384617</v>
      </c>
      <c r="CA117" s="5">
        <f ca="1">IF($BI117&lt;&gt;"",IF('Capacity summary'!$C$14="Yes",IF(COUNTBLANK('Capacity summary'!$H29:$BG29)&lt;52,IF('Capacity summary'!X29&lt;&gt;"",IF(LOWER('Capacity summary'!X29)="x",$BI117*X117,VALUE('Capacity summary'!X29)),0),X117*$BI117),X117*$BI117),0)</f>
        <v>3.4615384615384617</v>
      </c>
      <c r="CB117" s="5">
        <f ca="1">IF($BI117&lt;&gt;"",IF('Capacity summary'!$C$14="Yes",IF(COUNTBLANK('Capacity summary'!$H29:$BG29)&lt;52,IF('Capacity summary'!Y29&lt;&gt;"",IF(LOWER('Capacity summary'!Y29)="x",$BI117*Y117,VALUE('Capacity summary'!Y29)),0),Y117*$BI117),Y117*$BI117),0)</f>
        <v>3.4615384615384617</v>
      </c>
      <c r="CC117" s="5">
        <f ca="1">IF($BI117&lt;&gt;"",IF('Capacity summary'!$C$14="Yes",IF(COUNTBLANK('Capacity summary'!$H29:$BG29)&lt;52,IF('Capacity summary'!Z29&lt;&gt;"",IF(LOWER('Capacity summary'!Z29)="x",$BI117*Z117,VALUE('Capacity summary'!Z29)),0),Z117*$BI117),Z117*$BI117),0)</f>
        <v>3.4615384615384617</v>
      </c>
      <c r="CD117" s="5">
        <f ca="1">IF($BI117&lt;&gt;"",IF('Capacity summary'!$C$14="Yes",IF(COUNTBLANK('Capacity summary'!$H29:$BG29)&lt;52,IF('Capacity summary'!AA29&lt;&gt;"",IF(LOWER('Capacity summary'!AA29)="x",$BI117*AA117,VALUE('Capacity summary'!AA29)),0),AA117*$BI117),AA117*$BI117),0)</f>
        <v>3.4615384615384617</v>
      </c>
      <c r="CE117" s="5">
        <f ca="1">IF($BI117&lt;&gt;"",IF('Capacity summary'!$C$14="Yes",IF(COUNTBLANK('Capacity summary'!$H29:$BG29)&lt;52,IF('Capacity summary'!AB29&lt;&gt;"",IF(LOWER('Capacity summary'!AB29)="x",$BI117*AB117,VALUE('Capacity summary'!AB29)),0),AB117*$BI117),AB117*$BI117),0)</f>
        <v>3.4615384615384617</v>
      </c>
      <c r="CF117" s="5">
        <f ca="1">IF($BI117&lt;&gt;"",IF('Capacity summary'!$C$14="Yes",IF(COUNTBLANK('Capacity summary'!$H29:$BG29)&lt;52,IF('Capacity summary'!AC29&lt;&gt;"",IF(LOWER('Capacity summary'!AC29)="x",$BI117*AC117,VALUE('Capacity summary'!AC29)),0),AC117*$BI117),AC117*$BI117),0)</f>
        <v>3.4615384615384617</v>
      </c>
      <c r="CG117" s="5">
        <f ca="1">IF($BI117&lt;&gt;"",IF('Capacity summary'!$C$14="Yes",IF(COUNTBLANK('Capacity summary'!$H29:$BG29)&lt;52,IF('Capacity summary'!AD29&lt;&gt;"",IF(LOWER('Capacity summary'!AD29)="x",$BI117*AD117,VALUE('Capacity summary'!AD29)),0),AD117*$BI117),AD117*$BI117),0)</f>
        <v>3.4615384615384617</v>
      </c>
      <c r="CH117" s="5">
        <f ca="1">IF($BI117&lt;&gt;"",IF('Capacity summary'!$C$14="Yes",IF(COUNTBLANK('Capacity summary'!$H29:$BG29)&lt;52,IF('Capacity summary'!AE29&lt;&gt;"",IF(LOWER('Capacity summary'!AE29)="x",$BI117*AE117,VALUE('Capacity summary'!AE29)),0),AE117*$BI117),AE117*$BI117),0)</f>
        <v>3.4615384615384617</v>
      </c>
      <c r="CI117" s="5">
        <f ca="1">IF($BI117&lt;&gt;"",IF('Capacity summary'!$C$14="Yes",IF(COUNTBLANK('Capacity summary'!$H29:$BG29)&lt;52,IF('Capacity summary'!AF29&lt;&gt;"",IF(LOWER('Capacity summary'!AF29)="x",$BI117*AF117,VALUE('Capacity summary'!AF29)),0),AF117*$BI117),AF117*$BI117),0)</f>
        <v>3.4615384615384617</v>
      </c>
      <c r="CJ117" s="5">
        <f ca="1">IF($BI117&lt;&gt;"",IF('Capacity summary'!$C$14="Yes",IF(COUNTBLANK('Capacity summary'!$H29:$BG29)&lt;52,IF('Capacity summary'!AG29&lt;&gt;"",IF(LOWER('Capacity summary'!AG29)="x",$BI117*AG117,VALUE('Capacity summary'!AG29)),0),AG117*$BI117),AG117*$BI117),0)</f>
        <v>3.4615384615384617</v>
      </c>
      <c r="CK117" s="5">
        <f ca="1">IF($BI117&lt;&gt;"",IF('Capacity summary'!$C$14="Yes",IF(COUNTBLANK('Capacity summary'!$H29:$BG29)&lt;52,IF('Capacity summary'!AH29&lt;&gt;"",IF(LOWER('Capacity summary'!AH29)="x",$BI117*AH117,VALUE('Capacity summary'!AH29)),0),AH117*$BI117),AH117*$BI117),0)</f>
        <v>3.4615384615384617</v>
      </c>
      <c r="CL117" s="5">
        <f ca="1">IF($BI117&lt;&gt;"",IF('Capacity summary'!$C$14="Yes",IF(COUNTBLANK('Capacity summary'!$H29:$BG29)&lt;52,IF('Capacity summary'!AI29&lt;&gt;"",IF(LOWER('Capacity summary'!AI29)="x",$BI117*AI117,VALUE('Capacity summary'!AI29)),0),AI117*$BI117),AI117*$BI117),0)</f>
        <v>3.4615384615384617</v>
      </c>
      <c r="CM117" s="5">
        <f ca="1">IF($BI117&lt;&gt;"",IF('Capacity summary'!$C$14="Yes",IF(COUNTBLANK('Capacity summary'!$H29:$BG29)&lt;52,IF('Capacity summary'!AJ29&lt;&gt;"",IF(LOWER('Capacity summary'!AJ29)="x",$BI117*AJ117,VALUE('Capacity summary'!AJ29)),0),AJ117*$BI117),AJ117*$BI117),0)</f>
        <v>3.4615384615384617</v>
      </c>
      <c r="CN117" s="5">
        <f ca="1">IF($BI117&lt;&gt;"",IF('Capacity summary'!$C$14="Yes",IF(COUNTBLANK('Capacity summary'!$H29:$BG29)&lt;52,IF('Capacity summary'!AK29&lt;&gt;"",IF(LOWER('Capacity summary'!AK29)="x",$BI117*AK117,VALUE('Capacity summary'!AK29)),0),AK117*$BI117),AK117*$BI117),0)</f>
        <v>3.4615384615384617</v>
      </c>
      <c r="CO117" s="5">
        <f ca="1">IF($BI117&lt;&gt;"",IF('Capacity summary'!$C$14="Yes",IF(COUNTBLANK('Capacity summary'!$H29:$BG29)&lt;52,IF('Capacity summary'!AL29&lt;&gt;"",IF(LOWER('Capacity summary'!AL29)="x",$BI117*AL117,VALUE('Capacity summary'!AL29)),0),AL117*$BI117),AL117*$BI117),0)</f>
        <v>3.4615384615384617</v>
      </c>
      <c r="CP117" s="5">
        <f ca="1">IF($BI117&lt;&gt;"",IF('Capacity summary'!$C$14="Yes",IF(COUNTBLANK('Capacity summary'!$H29:$BG29)&lt;52,IF('Capacity summary'!AM29&lt;&gt;"",IF(LOWER('Capacity summary'!AM29)="x",$BI117*AM117,VALUE('Capacity summary'!AM29)),0),AM117*$BI117),AM117*$BI117),0)</f>
        <v>3.4615384615384617</v>
      </c>
      <c r="CQ117" s="5">
        <f ca="1">IF($BI117&lt;&gt;"",IF('Capacity summary'!$C$14="Yes",IF(COUNTBLANK('Capacity summary'!$H29:$BG29)&lt;52,IF('Capacity summary'!AN29&lt;&gt;"",IF(LOWER('Capacity summary'!AN29)="x",$BI117*AN117,VALUE('Capacity summary'!AN29)),0),AN117*$BI117),AN117*$BI117),0)</f>
        <v>3.4615384615384617</v>
      </c>
      <c r="CR117" s="5">
        <f ca="1">IF($BI117&lt;&gt;"",IF('Capacity summary'!$C$14="Yes",IF(COUNTBLANK('Capacity summary'!$H29:$BG29)&lt;52,IF('Capacity summary'!AO29&lt;&gt;"",IF(LOWER('Capacity summary'!AO29)="x",$BI117*AO117,VALUE('Capacity summary'!AO29)),0),AO117*$BI117),AO117*$BI117),0)</f>
        <v>3.4615384615384617</v>
      </c>
      <c r="CS117" s="5">
        <f ca="1">IF($BI117&lt;&gt;"",IF('Capacity summary'!$C$14="Yes",IF(COUNTBLANK('Capacity summary'!$H29:$BG29)&lt;52,IF('Capacity summary'!AP29&lt;&gt;"",IF(LOWER('Capacity summary'!AP29)="x",$BI117*AP117,VALUE('Capacity summary'!AP29)),0),AP117*$BI117),AP117*$BI117),0)</f>
        <v>3.4615384615384617</v>
      </c>
      <c r="CT117" s="5">
        <f ca="1">IF($BI117&lt;&gt;"",IF('Capacity summary'!$C$14="Yes",IF(COUNTBLANK('Capacity summary'!$H29:$BG29)&lt;52,IF('Capacity summary'!AQ29&lt;&gt;"",IF(LOWER('Capacity summary'!AQ29)="x",$BI117*AQ117,VALUE('Capacity summary'!AQ29)),0),AQ117*$BI117),AQ117*$BI117),0)</f>
        <v>3.4615384615384617</v>
      </c>
      <c r="CU117" s="5">
        <f ca="1">IF($BI117&lt;&gt;"",IF('Capacity summary'!$C$14="Yes",IF(COUNTBLANK('Capacity summary'!$H29:$BG29)&lt;52,IF('Capacity summary'!AR29&lt;&gt;"",IF(LOWER('Capacity summary'!AR29)="x",$BI117*AR117,VALUE('Capacity summary'!AR29)),0),AR117*$BI117),AR117*$BI117),0)</f>
        <v>3.4615384615384617</v>
      </c>
      <c r="CV117" s="5">
        <f ca="1">IF($BI117&lt;&gt;"",IF('Capacity summary'!$C$14="Yes",IF(COUNTBLANK('Capacity summary'!$H29:$BG29)&lt;52,IF('Capacity summary'!AS29&lt;&gt;"",IF(LOWER('Capacity summary'!AS29)="x",$BI117*AS117,VALUE('Capacity summary'!AS29)),0),AS117*$BI117),AS117*$BI117),0)</f>
        <v>3.4615384615384617</v>
      </c>
      <c r="CW117" s="5">
        <f ca="1">IF($BI117&lt;&gt;"",IF('Capacity summary'!$C$14="Yes",IF(COUNTBLANK('Capacity summary'!$H29:$BG29)&lt;52,IF('Capacity summary'!AT29&lt;&gt;"",IF(LOWER('Capacity summary'!AT29)="x",$BI117*AT117,VALUE('Capacity summary'!AT29)),0),AT117*$BI117),AT117*$BI117),0)</f>
        <v>3.4615384615384617</v>
      </c>
      <c r="CX117" s="5">
        <f ca="1">IF($BI117&lt;&gt;"",IF('Capacity summary'!$C$14="Yes",IF(COUNTBLANK('Capacity summary'!$H29:$BG29)&lt;52,IF('Capacity summary'!AU29&lt;&gt;"",IF(LOWER('Capacity summary'!AU29)="x",$BI117*AU117,VALUE('Capacity summary'!AU29)),0),AU117*$BI117),AU117*$BI117),0)</f>
        <v>3.4615384615384617</v>
      </c>
      <c r="CY117" s="5">
        <f ca="1">IF($BI117&lt;&gt;"",IF('Capacity summary'!$C$14="Yes",IF(COUNTBLANK('Capacity summary'!$H29:$BG29)&lt;52,IF('Capacity summary'!AV29&lt;&gt;"",IF(LOWER('Capacity summary'!AV29)="x",$BI117*AV117,VALUE('Capacity summary'!AV29)),0),AV117*$BI117),AV117*$BI117),0)</f>
        <v>3.4615384615384617</v>
      </c>
      <c r="CZ117" s="5">
        <f ca="1">IF($BI117&lt;&gt;"",IF('Capacity summary'!$C$14="Yes",IF(COUNTBLANK('Capacity summary'!$H29:$BG29)&lt;52,IF('Capacity summary'!AW29&lt;&gt;"",IF(LOWER('Capacity summary'!AW29)="x",$BI117*AW117,VALUE('Capacity summary'!AW29)),0),AW117*$BI117),AW117*$BI117),0)</f>
        <v>3.4615384615384617</v>
      </c>
      <c r="DA117" s="5">
        <f ca="1">IF($BI117&lt;&gt;"",IF('Capacity summary'!$C$14="Yes",IF(COUNTBLANK('Capacity summary'!$H29:$BG29)&lt;52,IF('Capacity summary'!AX29&lt;&gt;"",IF(LOWER('Capacity summary'!AX29)="x",$BI117*AX117,VALUE('Capacity summary'!AX29)),0),AX117*$BI117),AX117*$BI117),0)</f>
        <v>3.4615384615384617</v>
      </c>
      <c r="DB117" s="5">
        <f ca="1">IF($BI117&lt;&gt;"",IF('Capacity summary'!$C$14="Yes",IF(COUNTBLANK('Capacity summary'!$H29:$BG29)&lt;52,IF('Capacity summary'!AY29&lt;&gt;"",IF(LOWER('Capacity summary'!AY29)="x",$BI117*AY117,VALUE('Capacity summary'!AY29)),0),AY117*$BI117),AY117*$BI117),0)</f>
        <v>3.4615384615384617</v>
      </c>
      <c r="DC117" s="5">
        <f ca="1">IF($BI117&lt;&gt;"",IF('Capacity summary'!$C$14="Yes",IF(COUNTBLANK('Capacity summary'!$H29:$BG29)&lt;52,IF('Capacity summary'!AZ29&lt;&gt;"",IF(LOWER('Capacity summary'!AZ29)="x",$BI117*AZ117,VALUE('Capacity summary'!AZ29)),0),AZ117*$BI117),AZ117*$BI117),0)</f>
        <v>3.4615384615384617</v>
      </c>
      <c r="DD117" s="5">
        <f ca="1">IF($BI117&lt;&gt;"",IF('Capacity summary'!$C$14="Yes",IF(COUNTBLANK('Capacity summary'!$H29:$BG29)&lt;52,IF('Capacity summary'!BA29&lt;&gt;"",IF(LOWER('Capacity summary'!BA29)="x",$BI117*BA117,VALUE('Capacity summary'!BA29)),0),BA117*$BI117),BA117*$BI117),0)</f>
        <v>3.4615384615384617</v>
      </c>
      <c r="DE117" s="5">
        <f ca="1">IF($BI117&lt;&gt;"",IF('Capacity summary'!$C$14="Yes",IF(COUNTBLANK('Capacity summary'!$H29:$BG29)&lt;52,IF('Capacity summary'!BB29&lt;&gt;"",IF(LOWER('Capacity summary'!BB29)="x",$BI117*BB117,VALUE('Capacity summary'!BB29)),0),BB117*$BI117),BB117*$BI117),0)</f>
        <v>3.4615384615384617</v>
      </c>
      <c r="DF117" s="5">
        <f ca="1">IF($BI117&lt;&gt;"",IF('Capacity summary'!$C$14="Yes",IF(COUNTBLANK('Capacity summary'!$H29:$BG29)&lt;52,IF('Capacity summary'!BC29&lt;&gt;"",IF(LOWER('Capacity summary'!BC29)="x",$BI117*BC117,VALUE('Capacity summary'!BC29)),0),BC117*$BI117),BC117*$BI117),0)</f>
        <v>3.4615384615384617</v>
      </c>
      <c r="DG117" s="5">
        <f ca="1">IF($BI117&lt;&gt;"",IF('Capacity summary'!$C$14="Yes",IF(COUNTBLANK('Capacity summary'!$H29:$BG29)&lt;52,IF('Capacity summary'!BD29&lt;&gt;"",IF(LOWER('Capacity summary'!BD29)="x",$BI117*BD117,VALUE('Capacity summary'!BD29)),0),BD117*$BI117),BD117*$BI117),0)</f>
        <v>3.4615384615384617</v>
      </c>
      <c r="DH117" s="5">
        <f ca="1">IF($BI117&lt;&gt;"",IF('Capacity summary'!$C$14="Yes",IF(COUNTBLANK('Capacity summary'!$H29:$BG29)&lt;52,IF('Capacity summary'!BE29&lt;&gt;"",IF(LOWER('Capacity summary'!BE29)="x",$BI117*BE117,VALUE('Capacity summary'!BE29)),0),BE117*$BI117),BE117*$BI117),0)</f>
        <v>3.4615384615384617</v>
      </c>
      <c r="DI117" s="5">
        <f ca="1">IF($BI117&lt;&gt;"",IF('Capacity summary'!$C$14="Yes",IF(COUNTBLANK('Capacity summary'!$H29:$BG29)&lt;52,IF('Capacity summary'!BF29&lt;&gt;"",IF(LOWER('Capacity summary'!BF29)="x",$BI117*BF117,VALUE('Capacity summary'!BF29)),0),BF117*$BI117),BF117*$BI117),0)</f>
        <v>3.4615384615384617</v>
      </c>
      <c r="DJ117" s="5">
        <f ca="1">IF($BI117&lt;&gt;"",IF('Capacity summary'!$C$14="Yes",IF(COUNTBLANK('Capacity summary'!$H29:$BG29)&lt;52,IF('Capacity summary'!BG29&lt;&gt;"",IF(LOWER('Capacity summary'!BG29)="x",$BI117*BG117,VALUE('Capacity summary'!BG29)),0),BG117*$BI117),BG117*$BI117),0)</f>
        <v>3.4615384615384617</v>
      </c>
      <c r="DK117" s="388">
        <f t="shared" ca="1" si="8"/>
        <v>3.4615384615384617</v>
      </c>
      <c r="DL117" s="5">
        <f t="shared" ca="1" si="9"/>
        <v>179.99999999999994</v>
      </c>
    </row>
    <row r="118" spans="3:116" x14ac:dyDescent="0.2">
      <c r="C118" s="67" t="str">
        <f>ROW(A7)&amp;". "&amp;Capacity!N23</f>
        <v>7. 44337</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 ca="1">IF(ROW(A7)&lt;=Capacity!$M$16,IF('Capacity summary'!$C$14="No",SUM(H118:BG118),'Capacity summary'!$E30),0)</f>
        <v>52</v>
      </c>
      <c r="BI118" s="67">
        <f ca="1">IF(BH118&gt;0,IF(BH118&lt;Capacity!Q23,Capacity!R23,Capacity!T23/'Capacity calculation (hide)'!BH118),"")</f>
        <v>5.1923076923076925</v>
      </c>
      <c r="BJ118" s="5"/>
      <c r="BK118" s="5">
        <f ca="1">IF($BI118&lt;&gt;"",IF('Capacity summary'!$C$14="Yes",IF(COUNTBLANK('Capacity summary'!$H30:$BG30)&lt;52,IF('Capacity summary'!H30&lt;&gt;"",IF(LOWER('Capacity summary'!H30)="x",$BI118*H118,VALUE('Capacity summary'!H30)),0),H118*$BI118),H118*$BI118),0)</f>
        <v>5.1923076923076925</v>
      </c>
      <c r="BL118" s="5">
        <f ca="1">IF($BI118&lt;&gt;"",IF('Capacity summary'!$C$14="Yes",IF(COUNTBLANK('Capacity summary'!$H30:$BG30)&lt;52,IF('Capacity summary'!I30&lt;&gt;"",IF(LOWER('Capacity summary'!I30)="x",$BI118*I118,VALUE('Capacity summary'!I30)),0),I118*$BI118),I118*$BI118),0)</f>
        <v>5.1923076923076925</v>
      </c>
      <c r="BM118" s="5">
        <f ca="1">IF($BI118&lt;&gt;"",IF('Capacity summary'!$C$14="Yes",IF(COUNTBLANK('Capacity summary'!$H30:$BG30)&lt;52,IF('Capacity summary'!J30&lt;&gt;"",IF(LOWER('Capacity summary'!J30)="x",$BI118*J118,VALUE('Capacity summary'!J30)),0),J118*$BI118),J118*$BI118),0)</f>
        <v>5.1923076923076925</v>
      </c>
      <c r="BN118" s="5">
        <f ca="1">IF($BI118&lt;&gt;"",IF('Capacity summary'!$C$14="Yes",IF(COUNTBLANK('Capacity summary'!$H30:$BG30)&lt;52,IF('Capacity summary'!K30&lt;&gt;"",IF(LOWER('Capacity summary'!K30)="x",$BI118*K118,VALUE('Capacity summary'!K30)),0),K118*$BI118),K118*$BI118),0)</f>
        <v>5.1923076923076925</v>
      </c>
      <c r="BO118" s="5">
        <f ca="1">IF($BI118&lt;&gt;"",IF('Capacity summary'!$C$14="Yes",IF(COUNTBLANK('Capacity summary'!$H30:$BG30)&lt;52,IF('Capacity summary'!L30&lt;&gt;"",IF(LOWER('Capacity summary'!L30)="x",$BI118*L118,VALUE('Capacity summary'!L30)),0),L118*$BI118),L118*$BI118),0)</f>
        <v>5.1923076923076925</v>
      </c>
      <c r="BP118" s="5">
        <f ca="1">IF($BI118&lt;&gt;"",IF('Capacity summary'!$C$14="Yes",IF(COUNTBLANK('Capacity summary'!$H30:$BG30)&lt;52,IF('Capacity summary'!M30&lt;&gt;"",IF(LOWER('Capacity summary'!M30)="x",$BI118*M118,VALUE('Capacity summary'!M30)),0),M118*$BI118),M118*$BI118),0)</f>
        <v>5.1923076923076925</v>
      </c>
      <c r="BQ118" s="5">
        <f ca="1">IF($BI118&lt;&gt;"",IF('Capacity summary'!$C$14="Yes",IF(COUNTBLANK('Capacity summary'!$H30:$BG30)&lt;52,IF('Capacity summary'!N30&lt;&gt;"",IF(LOWER('Capacity summary'!N30)="x",$BI118*N118,VALUE('Capacity summary'!N30)),0),N118*$BI118),N118*$BI118),0)</f>
        <v>5.1923076923076925</v>
      </c>
      <c r="BR118" s="5">
        <f ca="1">IF($BI118&lt;&gt;"",IF('Capacity summary'!$C$14="Yes",IF(COUNTBLANK('Capacity summary'!$H30:$BG30)&lt;52,IF('Capacity summary'!O30&lt;&gt;"",IF(LOWER('Capacity summary'!O30)="x",$BI118*O118,VALUE('Capacity summary'!O30)),0),O118*$BI118),O118*$BI118),0)</f>
        <v>5.1923076923076925</v>
      </c>
      <c r="BS118" s="5">
        <f ca="1">IF($BI118&lt;&gt;"",IF('Capacity summary'!$C$14="Yes",IF(COUNTBLANK('Capacity summary'!$H30:$BG30)&lt;52,IF('Capacity summary'!P30&lt;&gt;"",IF(LOWER('Capacity summary'!P30)="x",$BI118*P118,VALUE('Capacity summary'!P30)),0),P118*$BI118),P118*$BI118),0)</f>
        <v>5.1923076923076925</v>
      </c>
      <c r="BT118" s="5">
        <f ca="1">IF($BI118&lt;&gt;"",IF('Capacity summary'!$C$14="Yes",IF(COUNTBLANK('Capacity summary'!$H30:$BG30)&lt;52,IF('Capacity summary'!Q30&lt;&gt;"",IF(LOWER('Capacity summary'!Q30)="x",$BI118*Q118,VALUE('Capacity summary'!Q30)),0),Q118*$BI118),Q118*$BI118),0)</f>
        <v>5.1923076923076925</v>
      </c>
      <c r="BU118" s="5">
        <f ca="1">IF($BI118&lt;&gt;"",IF('Capacity summary'!$C$14="Yes",IF(COUNTBLANK('Capacity summary'!$H30:$BG30)&lt;52,IF('Capacity summary'!R30&lt;&gt;"",IF(LOWER('Capacity summary'!R30)="x",$BI118*R118,VALUE('Capacity summary'!R30)),0),R118*$BI118),R118*$BI118),0)</f>
        <v>5.1923076923076925</v>
      </c>
      <c r="BV118" s="5">
        <f ca="1">IF($BI118&lt;&gt;"",IF('Capacity summary'!$C$14="Yes",IF(COUNTBLANK('Capacity summary'!$H30:$BG30)&lt;52,IF('Capacity summary'!S30&lt;&gt;"",IF(LOWER('Capacity summary'!S30)="x",$BI118*S118,VALUE('Capacity summary'!S30)),0),S118*$BI118),S118*$BI118),0)</f>
        <v>5.1923076923076925</v>
      </c>
      <c r="BW118" s="5">
        <f ca="1">IF($BI118&lt;&gt;"",IF('Capacity summary'!$C$14="Yes",IF(COUNTBLANK('Capacity summary'!$H30:$BG30)&lt;52,IF('Capacity summary'!T30&lt;&gt;"",IF(LOWER('Capacity summary'!T30)="x",$BI118*T118,VALUE('Capacity summary'!T30)),0),T118*$BI118),T118*$BI118),0)</f>
        <v>5.1923076923076925</v>
      </c>
      <c r="BX118" s="5">
        <f ca="1">IF($BI118&lt;&gt;"",IF('Capacity summary'!$C$14="Yes",IF(COUNTBLANK('Capacity summary'!$H30:$BG30)&lt;52,IF('Capacity summary'!U30&lt;&gt;"",IF(LOWER('Capacity summary'!U30)="x",$BI118*U118,VALUE('Capacity summary'!U30)),0),U118*$BI118),U118*$BI118),0)</f>
        <v>5.1923076923076925</v>
      </c>
      <c r="BY118" s="5">
        <f ca="1">IF($BI118&lt;&gt;"",IF('Capacity summary'!$C$14="Yes",IF(COUNTBLANK('Capacity summary'!$H30:$BG30)&lt;52,IF('Capacity summary'!V30&lt;&gt;"",IF(LOWER('Capacity summary'!V30)="x",$BI118*V118,VALUE('Capacity summary'!V30)),0),V118*$BI118),V118*$BI118),0)</f>
        <v>5.1923076923076925</v>
      </c>
      <c r="BZ118" s="5">
        <f ca="1">IF($BI118&lt;&gt;"",IF('Capacity summary'!$C$14="Yes",IF(COUNTBLANK('Capacity summary'!$H30:$BG30)&lt;52,IF('Capacity summary'!W30&lt;&gt;"",IF(LOWER('Capacity summary'!W30)="x",$BI118*W118,VALUE('Capacity summary'!W30)),0),W118*$BI118),W118*$BI118),0)</f>
        <v>5.1923076923076925</v>
      </c>
      <c r="CA118" s="5">
        <f ca="1">IF($BI118&lt;&gt;"",IF('Capacity summary'!$C$14="Yes",IF(COUNTBLANK('Capacity summary'!$H30:$BG30)&lt;52,IF('Capacity summary'!X30&lt;&gt;"",IF(LOWER('Capacity summary'!X30)="x",$BI118*X118,VALUE('Capacity summary'!X30)),0),X118*$BI118),X118*$BI118),0)</f>
        <v>5.1923076923076925</v>
      </c>
      <c r="CB118" s="5">
        <f ca="1">IF($BI118&lt;&gt;"",IF('Capacity summary'!$C$14="Yes",IF(COUNTBLANK('Capacity summary'!$H30:$BG30)&lt;52,IF('Capacity summary'!Y30&lt;&gt;"",IF(LOWER('Capacity summary'!Y30)="x",$BI118*Y118,VALUE('Capacity summary'!Y30)),0),Y118*$BI118),Y118*$BI118),0)</f>
        <v>5.1923076923076925</v>
      </c>
      <c r="CC118" s="5">
        <f ca="1">IF($BI118&lt;&gt;"",IF('Capacity summary'!$C$14="Yes",IF(COUNTBLANK('Capacity summary'!$H30:$BG30)&lt;52,IF('Capacity summary'!Z30&lt;&gt;"",IF(LOWER('Capacity summary'!Z30)="x",$BI118*Z118,VALUE('Capacity summary'!Z30)),0),Z118*$BI118),Z118*$BI118),0)</f>
        <v>5.1923076923076925</v>
      </c>
      <c r="CD118" s="5">
        <f ca="1">IF($BI118&lt;&gt;"",IF('Capacity summary'!$C$14="Yes",IF(COUNTBLANK('Capacity summary'!$H30:$BG30)&lt;52,IF('Capacity summary'!AA30&lt;&gt;"",IF(LOWER('Capacity summary'!AA30)="x",$BI118*AA118,VALUE('Capacity summary'!AA30)),0),AA118*$BI118),AA118*$BI118),0)</f>
        <v>5.1923076923076925</v>
      </c>
      <c r="CE118" s="5">
        <f ca="1">IF($BI118&lt;&gt;"",IF('Capacity summary'!$C$14="Yes",IF(COUNTBLANK('Capacity summary'!$H30:$BG30)&lt;52,IF('Capacity summary'!AB30&lt;&gt;"",IF(LOWER('Capacity summary'!AB30)="x",$BI118*AB118,VALUE('Capacity summary'!AB30)),0),AB118*$BI118),AB118*$BI118),0)</f>
        <v>5.1923076923076925</v>
      </c>
      <c r="CF118" s="5">
        <f ca="1">IF($BI118&lt;&gt;"",IF('Capacity summary'!$C$14="Yes",IF(COUNTBLANK('Capacity summary'!$H30:$BG30)&lt;52,IF('Capacity summary'!AC30&lt;&gt;"",IF(LOWER('Capacity summary'!AC30)="x",$BI118*AC118,VALUE('Capacity summary'!AC30)),0),AC118*$BI118),AC118*$BI118),0)</f>
        <v>5.1923076923076925</v>
      </c>
      <c r="CG118" s="5">
        <f ca="1">IF($BI118&lt;&gt;"",IF('Capacity summary'!$C$14="Yes",IF(COUNTBLANK('Capacity summary'!$H30:$BG30)&lt;52,IF('Capacity summary'!AD30&lt;&gt;"",IF(LOWER('Capacity summary'!AD30)="x",$BI118*AD118,VALUE('Capacity summary'!AD30)),0),AD118*$BI118),AD118*$BI118),0)</f>
        <v>5.1923076923076925</v>
      </c>
      <c r="CH118" s="5">
        <f ca="1">IF($BI118&lt;&gt;"",IF('Capacity summary'!$C$14="Yes",IF(COUNTBLANK('Capacity summary'!$H30:$BG30)&lt;52,IF('Capacity summary'!AE30&lt;&gt;"",IF(LOWER('Capacity summary'!AE30)="x",$BI118*AE118,VALUE('Capacity summary'!AE30)),0),AE118*$BI118),AE118*$BI118),0)</f>
        <v>5.1923076923076925</v>
      </c>
      <c r="CI118" s="5">
        <f ca="1">IF($BI118&lt;&gt;"",IF('Capacity summary'!$C$14="Yes",IF(COUNTBLANK('Capacity summary'!$H30:$BG30)&lt;52,IF('Capacity summary'!AF30&lt;&gt;"",IF(LOWER('Capacity summary'!AF30)="x",$BI118*AF118,VALUE('Capacity summary'!AF30)),0),AF118*$BI118),AF118*$BI118),0)</f>
        <v>5.1923076923076925</v>
      </c>
      <c r="CJ118" s="5">
        <f ca="1">IF($BI118&lt;&gt;"",IF('Capacity summary'!$C$14="Yes",IF(COUNTBLANK('Capacity summary'!$H30:$BG30)&lt;52,IF('Capacity summary'!AG30&lt;&gt;"",IF(LOWER('Capacity summary'!AG30)="x",$BI118*AG118,VALUE('Capacity summary'!AG30)),0),AG118*$BI118),AG118*$BI118),0)</f>
        <v>5.1923076923076925</v>
      </c>
      <c r="CK118" s="5">
        <f ca="1">IF($BI118&lt;&gt;"",IF('Capacity summary'!$C$14="Yes",IF(COUNTBLANK('Capacity summary'!$H30:$BG30)&lt;52,IF('Capacity summary'!AH30&lt;&gt;"",IF(LOWER('Capacity summary'!AH30)="x",$BI118*AH118,VALUE('Capacity summary'!AH30)),0),AH118*$BI118),AH118*$BI118),0)</f>
        <v>5.1923076923076925</v>
      </c>
      <c r="CL118" s="5">
        <f ca="1">IF($BI118&lt;&gt;"",IF('Capacity summary'!$C$14="Yes",IF(COUNTBLANK('Capacity summary'!$H30:$BG30)&lt;52,IF('Capacity summary'!AI30&lt;&gt;"",IF(LOWER('Capacity summary'!AI30)="x",$BI118*AI118,VALUE('Capacity summary'!AI30)),0),AI118*$BI118),AI118*$BI118),0)</f>
        <v>5.1923076923076925</v>
      </c>
      <c r="CM118" s="5">
        <f ca="1">IF($BI118&lt;&gt;"",IF('Capacity summary'!$C$14="Yes",IF(COUNTBLANK('Capacity summary'!$H30:$BG30)&lt;52,IF('Capacity summary'!AJ30&lt;&gt;"",IF(LOWER('Capacity summary'!AJ30)="x",$BI118*AJ118,VALUE('Capacity summary'!AJ30)),0),AJ118*$BI118),AJ118*$BI118),0)</f>
        <v>5.1923076923076925</v>
      </c>
      <c r="CN118" s="5">
        <f ca="1">IF($BI118&lt;&gt;"",IF('Capacity summary'!$C$14="Yes",IF(COUNTBLANK('Capacity summary'!$H30:$BG30)&lt;52,IF('Capacity summary'!AK30&lt;&gt;"",IF(LOWER('Capacity summary'!AK30)="x",$BI118*AK118,VALUE('Capacity summary'!AK30)),0),AK118*$BI118),AK118*$BI118),0)</f>
        <v>5.1923076923076925</v>
      </c>
      <c r="CO118" s="5">
        <f ca="1">IF($BI118&lt;&gt;"",IF('Capacity summary'!$C$14="Yes",IF(COUNTBLANK('Capacity summary'!$H30:$BG30)&lt;52,IF('Capacity summary'!AL30&lt;&gt;"",IF(LOWER('Capacity summary'!AL30)="x",$BI118*AL118,VALUE('Capacity summary'!AL30)),0),AL118*$BI118),AL118*$BI118),0)</f>
        <v>5.1923076923076925</v>
      </c>
      <c r="CP118" s="5">
        <f ca="1">IF($BI118&lt;&gt;"",IF('Capacity summary'!$C$14="Yes",IF(COUNTBLANK('Capacity summary'!$H30:$BG30)&lt;52,IF('Capacity summary'!AM30&lt;&gt;"",IF(LOWER('Capacity summary'!AM30)="x",$BI118*AM118,VALUE('Capacity summary'!AM30)),0),AM118*$BI118),AM118*$BI118),0)</f>
        <v>5.1923076923076925</v>
      </c>
      <c r="CQ118" s="5">
        <f ca="1">IF($BI118&lt;&gt;"",IF('Capacity summary'!$C$14="Yes",IF(COUNTBLANK('Capacity summary'!$H30:$BG30)&lt;52,IF('Capacity summary'!AN30&lt;&gt;"",IF(LOWER('Capacity summary'!AN30)="x",$BI118*AN118,VALUE('Capacity summary'!AN30)),0),AN118*$BI118),AN118*$BI118),0)</f>
        <v>5.1923076923076925</v>
      </c>
      <c r="CR118" s="5">
        <f ca="1">IF($BI118&lt;&gt;"",IF('Capacity summary'!$C$14="Yes",IF(COUNTBLANK('Capacity summary'!$H30:$BG30)&lt;52,IF('Capacity summary'!AO30&lt;&gt;"",IF(LOWER('Capacity summary'!AO30)="x",$BI118*AO118,VALUE('Capacity summary'!AO30)),0),AO118*$BI118),AO118*$BI118),0)</f>
        <v>5.1923076923076925</v>
      </c>
      <c r="CS118" s="5">
        <f ca="1">IF($BI118&lt;&gt;"",IF('Capacity summary'!$C$14="Yes",IF(COUNTBLANK('Capacity summary'!$H30:$BG30)&lt;52,IF('Capacity summary'!AP30&lt;&gt;"",IF(LOWER('Capacity summary'!AP30)="x",$BI118*AP118,VALUE('Capacity summary'!AP30)),0),AP118*$BI118),AP118*$BI118),0)</f>
        <v>5.1923076923076925</v>
      </c>
      <c r="CT118" s="5">
        <f ca="1">IF($BI118&lt;&gt;"",IF('Capacity summary'!$C$14="Yes",IF(COUNTBLANK('Capacity summary'!$H30:$BG30)&lt;52,IF('Capacity summary'!AQ30&lt;&gt;"",IF(LOWER('Capacity summary'!AQ30)="x",$BI118*AQ118,VALUE('Capacity summary'!AQ30)),0),AQ118*$BI118),AQ118*$BI118),0)</f>
        <v>5.1923076923076925</v>
      </c>
      <c r="CU118" s="5">
        <f ca="1">IF($BI118&lt;&gt;"",IF('Capacity summary'!$C$14="Yes",IF(COUNTBLANK('Capacity summary'!$H30:$BG30)&lt;52,IF('Capacity summary'!AR30&lt;&gt;"",IF(LOWER('Capacity summary'!AR30)="x",$BI118*AR118,VALUE('Capacity summary'!AR30)),0),AR118*$BI118),AR118*$BI118),0)</f>
        <v>5.1923076923076925</v>
      </c>
      <c r="CV118" s="5">
        <f ca="1">IF($BI118&lt;&gt;"",IF('Capacity summary'!$C$14="Yes",IF(COUNTBLANK('Capacity summary'!$H30:$BG30)&lt;52,IF('Capacity summary'!AS30&lt;&gt;"",IF(LOWER('Capacity summary'!AS30)="x",$BI118*AS118,VALUE('Capacity summary'!AS30)),0),AS118*$BI118),AS118*$BI118),0)</f>
        <v>5.1923076923076925</v>
      </c>
      <c r="CW118" s="5">
        <f ca="1">IF($BI118&lt;&gt;"",IF('Capacity summary'!$C$14="Yes",IF(COUNTBLANK('Capacity summary'!$H30:$BG30)&lt;52,IF('Capacity summary'!AT30&lt;&gt;"",IF(LOWER('Capacity summary'!AT30)="x",$BI118*AT118,VALUE('Capacity summary'!AT30)),0),AT118*$BI118),AT118*$BI118),0)</f>
        <v>5.1923076923076925</v>
      </c>
      <c r="CX118" s="5">
        <f ca="1">IF($BI118&lt;&gt;"",IF('Capacity summary'!$C$14="Yes",IF(COUNTBLANK('Capacity summary'!$H30:$BG30)&lt;52,IF('Capacity summary'!AU30&lt;&gt;"",IF(LOWER('Capacity summary'!AU30)="x",$BI118*AU118,VALUE('Capacity summary'!AU30)),0),AU118*$BI118),AU118*$BI118),0)</f>
        <v>5.1923076923076925</v>
      </c>
      <c r="CY118" s="5">
        <f ca="1">IF($BI118&lt;&gt;"",IF('Capacity summary'!$C$14="Yes",IF(COUNTBLANK('Capacity summary'!$H30:$BG30)&lt;52,IF('Capacity summary'!AV30&lt;&gt;"",IF(LOWER('Capacity summary'!AV30)="x",$BI118*AV118,VALUE('Capacity summary'!AV30)),0),AV118*$BI118),AV118*$BI118),0)</f>
        <v>5.1923076923076925</v>
      </c>
      <c r="CZ118" s="5">
        <f ca="1">IF($BI118&lt;&gt;"",IF('Capacity summary'!$C$14="Yes",IF(COUNTBLANK('Capacity summary'!$H30:$BG30)&lt;52,IF('Capacity summary'!AW30&lt;&gt;"",IF(LOWER('Capacity summary'!AW30)="x",$BI118*AW118,VALUE('Capacity summary'!AW30)),0),AW118*$BI118),AW118*$BI118),0)</f>
        <v>5.1923076923076925</v>
      </c>
      <c r="DA118" s="5">
        <f ca="1">IF($BI118&lt;&gt;"",IF('Capacity summary'!$C$14="Yes",IF(COUNTBLANK('Capacity summary'!$H30:$BG30)&lt;52,IF('Capacity summary'!AX30&lt;&gt;"",IF(LOWER('Capacity summary'!AX30)="x",$BI118*AX118,VALUE('Capacity summary'!AX30)),0),AX118*$BI118),AX118*$BI118),0)</f>
        <v>5.1923076923076925</v>
      </c>
      <c r="DB118" s="5">
        <f ca="1">IF($BI118&lt;&gt;"",IF('Capacity summary'!$C$14="Yes",IF(COUNTBLANK('Capacity summary'!$H30:$BG30)&lt;52,IF('Capacity summary'!AY30&lt;&gt;"",IF(LOWER('Capacity summary'!AY30)="x",$BI118*AY118,VALUE('Capacity summary'!AY30)),0),AY118*$BI118),AY118*$BI118),0)</f>
        <v>5.1923076923076925</v>
      </c>
      <c r="DC118" s="5">
        <f ca="1">IF($BI118&lt;&gt;"",IF('Capacity summary'!$C$14="Yes",IF(COUNTBLANK('Capacity summary'!$H30:$BG30)&lt;52,IF('Capacity summary'!AZ30&lt;&gt;"",IF(LOWER('Capacity summary'!AZ30)="x",$BI118*AZ118,VALUE('Capacity summary'!AZ30)),0),AZ118*$BI118),AZ118*$BI118),0)</f>
        <v>5.1923076923076925</v>
      </c>
      <c r="DD118" s="5">
        <f ca="1">IF($BI118&lt;&gt;"",IF('Capacity summary'!$C$14="Yes",IF(COUNTBLANK('Capacity summary'!$H30:$BG30)&lt;52,IF('Capacity summary'!BA30&lt;&gt;"",IF(LOWER('Capacity summary'!BA30)="x",$BI118*BA118,VALUE('Capacity summary'!BA30)),0),BA118*$BI118),BA118*$BI118),0)</f>
        <v>5.1923076923076925</v>
      </c>
      <c r="DE118" s="5">
        <f ca="1">IF($BI118&lt;&gt;"",IF('Capacity summary'!$C$14="Yes",IF(COUNTBLANK('Capacity summary'!$H30:$BG30)&lt;52,IF('Capacity summary'!BB30&lt;&gt;"",IF(LOWER('Capacity summary'!BB30)="x",$BI118*BB118,VALUE('Capacity summary'!BB30)),0),BB118*$BI118),BB118*$BI118),0)</f>
        <v>5.1923076923076925</v>
      </c>
      <c r="DF118" s="5">
        <f ca="1">IF($BI118&lt;&gt;"",IF('Capacity summary'!$C$14="Yes",IF(COUNTBLANK('Capacity summary'!$H30:$BG30)&lt;52,IF('Capacity summary'!BC30&lt;&gt;"",IF(LOWER('Capacity summary'!BC30)="x",$BI118*BC118,VALUE('Capacity summary'!BC30)),0),BC118*$BI118),BC118*$BI118),0)</f>
        <v>5.1923076923076925</v>
      </c>
      <c r="DG118" s="5">
        <f ca="1">IF($BI118&lt;&gt;"",IF('Capacity summary'!$C$14="Yes",IF(COUNTBLANK('Capacity summary'!$H30:$BG30)&lt;52,IF('Capacity summary'!BD30&lt;&gt;"",IF(LOWER('Capacity summary'!BD30)="x",$BI118*BD118,VALUE('Capacity summary'!BD30)),0),BD118*$BI118),BD118*$BI118),0)</f>
        <v>5.1923076923076925</v>
      </c>
      <c r="DH118" s="5">
        <f ca="1">IF($BI118&lt;&gt;"",IF('Capacity summary'!$C$14="Yes",IF(COUNTBLANK('Capacity summary'!$H30:$BG30)&lt;52,IF('Capacity summary'!BE30&lt;&gt;"",IF(LOWER('Capacity summary'!BE30)="x",$BI118*BE118,VALUE('Capacity summary'!BE30)),0),BE118*$BI118),BE118*$BI118),0)</f>
        <v>5.1923076923076925</v>
      </c>
      <c r="DI118" s="5">
        <f ca="1">IF($BI118&lt;&gt;"",IF('Capacity summary'!$C$14="Yes",IF(COUNTBLANK('Capacity summary'!$H30:$BG30)&lt;52,IF('Capacity summary'!BF30&lt;&gt;"",IF(LOWER('Capacity summary'!BF30)="x",$BI118*BF118,VALUE('Capacity summary'!BF30)),0),BF118*$BI118),BF118*$BI118),0)</f>
        <v>5.1923076923076925</v>
      </c>
      <c r="DJ118" s="5">
        <f ca="1">IF($BI118&lt;&gt;"",IF('Capacity summary'!$C$14="Yes",IF(COUNTBLANK('Capacity summary'!$H30:$BG30)&lt;52,IF('Capacity summary'!BG30&lt;&gt;"",IF(LOWER('Capacity summary'!BG30)="x",$BI118*BG118,VALUE('Capacity summary'!BG30)),0),BG118*$BI118),BG118*$BI118),0)</f>
        <v>5.1923076923076925</v>
      </c>
      <c r="DK118" s="388">
        <f t="shared" ca="1" si="8"/>
        <v>5.1923076923076925</v>
      </c>
      <c r="DL118" s="5">
        <f t="shared" ca="1" si="9"/>
        <v>269.99999999999966</v>
      </c>
    </row>
    <row r="119" spans="3:116" x14ac:dyDescent="0.2">
      <c r="C119" s="67" t="str">
        <f>ROW(A8)&amp;". "&amp;Capacity!N24</f>
        <v>8. 44338</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 ca="1">IF(ROW(A8)&lt;=Capacity!$M$16,IF('Capacity summary'!$C$14="No",SUM(H119:BG119),'Capacity summary'!$E31),0)</f>
        <v>52</v>
      </c>
      <c r="BI119" s="67">
        <f ca="1">IF(BH119&gt;0,IF(BH119&lt;Capacity!Q24,Capacity!R24,Capacity!T24/'Capacity calculation (hide)'!BH119),"")</f>
        <v>7.5</v>
      </c>
      <c r="BJ119" s="5"/>
      <c r="BK119" s="5">
        <f ca="1">IF($BI119&lt;&gt;"",IF('Capacity summary'!$C$14="Yes",IF(COUNTBLANK('Capacity summary'!$H31:$BG31)&lt;52,IF('Capacity summary'!H31&lt;&gt;"",IF(LOWER('Capacity summary'!H31)="x",$BI119*H119,VALUE('Capacity summary'!H31)),0),H119*$BI119),H119*$BI119),0)</f>
        <v>7.5</v>
      </c>
      <c r="BL119" s="5">
        <f ca="1">IF($BI119&lt;&gt;"",IF('Capacity summary'!$C$14="Yes",IF(COUNTBLANK('Capacity summary'!$H31:$BG31)&lt;52,IF('Capacity summary'!I31&lt;&gt;"",IF(LOWER('Capacity summary'!I31)="x",$BI119*I119,VALUE('Capacity summary'!I31)),0),I119*$BI119),I119*$BI119),0)</f>
        <v>7.5</v>
      </c>
      <c r="BM119" s="5">
        <f ca="1">IF($BI119&lt;&gt;"",IF('Capacity summary'!$C$14="Yes",IF(COUNTBLANK('Capacity summary'!$H31:$BG31)&lt;52,IF('Capacity summary'!J31&lt;&gt;"",IF(LOWER('Capacity summary'!J31)="x",$BI119*J119,VALUE('Capacity summary'!J31)),0),J119*$BI119),J119*$BI119),0)</f>
        <v>7.5</v>
      </c>
      <c r="BN119" s="5">
        <f ca="1">IF($BI119&lt;&gt;"",IF('Capacity summary'!$C$14="Yes",IF(COUNTBLANK('Capacity summary'!$H31:$BG31)&lt;52,IF('Capacity summary'!K31&lt;&gt;"",IF(LOWER('Capacity summary'!K31)="x",$BI119*K119,VALUE('Capacity summary'!K31)),0),K119*$BI119),K119*$BI119),0)</f>
        <v>7.5</v>
      </c>
      <c r="BO119" s="5">
        <f ca="1">IF($BI119&lt;&gt;"",IF('Capacity summary'!$C$14="Yes",IF(COUNTBLANK('Capacity summary'!$H31:$BG31)&lt;52,IF('Capacity summary'!L31&lt;&gt;"",IF(LOWER('Capacity summary'!L31)="x",$BI119*L119,VALUE('Capacity summary'!L31)),0),L119*$BI119),L119*$BI119),0)</f>
        <v>7.5</v>
      </c>
      <c r="BP119" s="5">
        <f ca="1">IF($BI119&lt;&gt;"",IF('Capacity summary'!$C$14="Yes",IF(COUNTBLANK('Capacity summary'!$H31:$BG31)&lt;52,IF('Capacity summary'!M31&lt;&gt;"",IF(LOWER('Capacity summary'!M31)="x",$BI119*M119,VALUE('Capacity summary'!M31)),0),M119*$BI119),M119*$BI119),0)</f>
        <v>7.5</v>
      </c>
      <c r="BQ119" s="5">
        <f ca="1">IF($BI119&lt;&gt;"",IF('Capacity summary'!$C$14="Yes",IF(COUNTBLANK('Capacity summary'!$H31:$BG31)&lt;52,IF('Capacity summary'!N31&lt;&gt;"",IF(LOWER('Capacity summary'!N31)="x",$BI119*N119,VALUE('Capacity summary'!N31)),0),N119*$BI119),N119*$BI119),0)</f>
        <v>7.5</v>
      </c>
      <c r="BR119" s="5">
        <f ca="1">IF($BI119&lt;&gt;"",IF('Capacity summary'!$C$14="Yes",IF(COUNTBLANK('Capacity summary'!$H31:$BG31)&lt;52,IF('Capacity summary'!O31&lt;&gt;"",IF(LOWER('Capacity summary'!O31)="x",$BI119*O119,VALUE('Capacity summary'!O31)),0),O119*$BI119),O119*$BI119),0)</f>
        <v>7.5</v>
      </c>
      <c r="BS119" s="5">
        <f ca="1">IF($BI119&lt;&gt;"",IF('Capacity summary'!$C$14="Yes",IF(COUNTBLANK('Capacity summary'!$H31:$BG31)&lt;52,IF('Capacity summary'!P31&lt;&gt;"",IF(LOWER('Capacity summary'!P31)="x",$BI119*P119,VALUE('Capacity summary'!P31)),0),P119*$BI119),P119*$BI119),0)</f>
        <v>7.5</v>
      </c>
      <c r="BT119" s="5">
        <f ca="1">IF($BI119&lt;&gt;"",IF('Capacity summary'!$C$14="Yes",IF(COUNTBLANK('Capacity summary'!$H31:$BG31)&lt;52,IF('Capacity summary'!Q31&lt;&gt;"",IF(LOWER('Capacity summary'!Q31)="x",$BI119*Q119,VALUE('Capacity summary'!Q31)),0),Q119*$BI119),Q119*$BI119),0)</f>
        <v>7.5</v>
      </c>
      <c r="BU119" s="5">
        <f ca="1">IF($BI119&lt;&gt;"",IF('Capacity summary'!$C$14="Yes",IF(COUNTBLANK('Capacity summary'!$H31:$BG31)&lt;52,IF('Capacity summary'!R31&lt;&gt;"",IF(LOWER('Capacity summary'!R31)="x",$BI119*R119,VALUE('Capacity summary'!R31)),0),R119*$BI119),R119*$BI119),0)</f>
        <v>7.5</v>
      </c>
      <c r="BV119" s="5">
        <f ca="1">IF($BI119&lt;&gt;"",IF('Capacity summary'!$C$14="Yes",IF(COUNTBLANK('Capacity summary'!$H31:$BG31)&lt;52,IF('Capacity summary'!S31&lt;&gt;"",IF(LOWER('Capacity summary'!S31)="x",$BI119*S119,VALUE('Capacity summary'!S31)),0),S119*$BI119),S119*$BI119),0)</f>
        <v>7.5</v>
      </c>
      <c r="BW119" s="5">
        <f ca="1">IF($BI119&lt;&gt;"",IF('Capacity summary'!$C$14="Yes",IF(COUNTBLANK('Capacity summary'!$H31:$BG31)&lt;52,IF('Capacity summary'!T31&lt;&gt;"",IF(LOWER('Capacity summary'!T31)="x",$BI119*T119,VALUE('Capacity summary'!T31)),0),T119*$BI119),T119*$BI119),0)</f>
        <v>7.5</v>
      </c>
      <c r="BX119" s="5">
        <f ca="1">IF($BI119&lt;&gt;"",IF('Capacity summary'!$C$14="Yes",IF(COUNTBLANK('Capacity summary'!$H31:$BG31)&lt;52,IF('Capacity summary'!U31&lt;&gt;"",IF(LOWER('Capacity summary'!U31)="x",$BI119*U119,VALUE('Capacity summary'!U31)),0),U119*$BI119),U119*$BI119),0)</f>
        <v>7.5</v>
      </c>
      <c r="BY119" s="5">
        <f ca="1">IF($BI119&lt;&gt;"",IF('Capacity summary'!$C$14="Yes",IF(COUNTBLANK('Capacity summary'!$H31:$BG31)&lt;52,IF('Capacity summary'!V31&lt;&gt;"",IF(LOWER('Capacity summary'!V31)="x",$BI119*V119,VALUE('Capacity summary'!V31)),0),V119*$BI119),V119*$BI119),0)</f>
        <v>7.5</v>
      </c>
      <c r="BZ119" s="5">
        <f ca="1">IF($BI119&lt;&gt;"",IF('Capacity summary'!$C$14="Yes",IF(COUNTBLANK('Capacity summary'!$H31:$BG31)&lt;52,IF('Capacity summary'!W31&lt;&gt;"",IF(LOWER('Capacity summary'!W31)="x",$BI119*W119,VALUE('Capacity summary'!W31)),0),W119*$BI119),W119*$BI119),0)</f>
        <v>7.5</v>
      </c>
      <c r="CA119" s="5">
        <f ca="1">IF($BI119&lt;&gt;"",IF('Capacity summary'!$C$14="Yes",IF(COUNTBLANK('Capacity summary'!$H31:$BG31)&lt;52,IF('Capacity summary'!X31&lt;&gt;"",IF(LOWER('Capacity summary'!X31)="x",$BI119*X119,VALUE('Capacity summary'!X31)),0),X119*$BI119),X119*$BI119),0)</f>
        <v>7.5</v>
      </c>
      <c r="CB119" s="5">
        <f ca="1">IF($BI119&lt;&gt;"",IF('Capacity summary'!$C$14="Yes",IF(COUNTBLANK('Capacity summary'!$H31:$BG31)&lt;52,IF('Capacity summary'!Y31&lt;&gt;"",IF(LOWER('Capacity summary'!Y31)="x",$BI119*Y119,VALUE('Capacity summary'!Y31)),0),Y119*$BI119),Y119*$BI119),0)</f>
        <v>7.5</v>
      </c>
      <c r="CC119" s="5">
        <f ca="1">IF($BI119&lt;&gt;"",IF('Capacity summary'!$C$14="Yes",IF(COUNTBLANK('Capacity summary'!$H31:$BG31)&lt;52,IF('Capacity summary'!Z31&lt;&gt;"",IF(LOWER('Capacity summary'!Z31)="x",$BI119*Z119,VALUE('Capacity summary'!Z31)),0),Z119*$BI119),Z119*$BI119),0)</f>
        <v>7.5</v>
      </c>
      <c r="CD119" s="5">
        <f ca="1">IF($BI119&lt;&gt;"",IF('Capacity summary'!$C$14="Yes",IF(COUNTBLANK('Capacity summary'!$H31:$BG31)&lt;52,IF('Capacity summary'!AA31&lt;&gt;"",IF(LOWER('Capacity summary'!AA31)="x",$BI119*AA119,VALUE('Capacity summary'!AA31)),0),AA119*$BI119),AA119*$BI119),0)</f>
        <v>7.5</v>
      </c>
      <c r="CE119" s="5">
        <f ca="1">IF($BI119&lt;&gt;"",IF('Capacity summary'!$C$14="Yes",IF(COUNTBLANK('Capacity summary'!$H31:$BG31)&lt;52,IF('Capacity summary'!AB31&lt;&gt;"",IF(LOWER('Capacity summary'!AB31)="x",$BI119*AB119,VALUE('Capacity summary'!AB31)),0),AB119*$BI119),AB119*$BI119),0)</f>
        <v>7.5</v>
      </c>
      <c r="CF119" s="5">
        <f ca="1">IF($BI119&lt;&gt;"",IF('Capacity summary'!$C$14="Yes",IF(COUNTBLANK('Capacity summary'!$H31:$BG31)&lt;52,IF('Capacity summary'!AC31&lt;&gt;"",IF(LOWER('Capacity summary'!AC31)="x",$BI119*AC119,VALUE('Capacity summary'!AC31)),0),AC119*$BI119),AC119*$BI119),0)</f>
        <v>7.5</v>
      </c>
      <c r="CG119" s="5">
        <f ca="1">IF($BI119&lt;&gt;"",IF('Capacity summary'!$C$14="Yes",IF(COUNTBLANK('Capacity summary'!$H31:$BG31)&lt;52,IF('Capacity summary'!AD31&lt;&gt;"",IF(LOWER('Capacity summary'!AD31)="x",$BI119*AD119,VALUE('Capacity summary'!AD31)),0),AD119*$BI119),AD119*$BI119),0)</f>
        <v>7.5</v>
      </c>
      <c r="CH119" s="5">
        <f ca="1">IF($BI119&lt;&gt;"",IF('Capacity summary'!$C$14="Yes",IF(COUNTBLANK('Capacity summary'!$H31:$BG31)&lt;52,IF('Capacity summary'!AE31&lt;&gt;"",IF(LOWER('Capacity summary'!AE31)="x",$BI119*AE119,VALUE('Capacity summary'!AE31)),0),AE119*$BI119),AE119*$BI119),0)</f>
        <v>7.5</v>
      </c>
      <c r="CI119" s="5">
        <f ca="1">IF($BI119&lt;&gt;"",IF('Capacity summary'!$C$14="Yes",IF(COUNTBLANK('Capacity summary'!$H31:$BG31)&lt;52,IF('Capacity summary'!AF31&lt;&gt;"",IF(LOWER('Capacity summary'!AF31)="x",$BI119*AF119,VALUE('Capacity summary'!AF31)),0),AF119*$BI119),AF119*$BI119),0)</f>
        <v>7.5</v>
      </c>
      <c r="CJ119" s="5">
        <f ca="1">IF($BI119&lt;&gt;"",IF('Capacity summary'!$C$14="Yes",IF(COUNTBLANK('Capacity summary'!$H31:$BG31)&lt;52,IF('Capacity summary'!AG31&lt;&gt;"",IF(LOWER('Capacity summary'!AG31)="x",$BI119*AG119,VALUE('Capacity summary'!AG31)),0),AG119*$BI119),AG119*$BI119),0)</f>
        <v>7.5</v>
      </c>
      <c r="CK119" s="5">
        <f ca="1">IF($BI119&lt;&gt;"",IF('Capacity summary'!$C$14="Yes",IF(COUNTBLANK('Capacity summary'!$H31:$BG31)&lt;52,IF('Capacity summary'!AH31&lt;&gt;"",IF(LOWER('Capacity summary'!AH31)="x",$BI119*AH119,VALUE('Capacity summary'!AH31)),0),AH119*$BI119),AH119*$BI119),0)</f>
        <v>7.5</v>
      </c>
      <c r="CL119" s="5">
        <f ca="1">IF($BI119&lt;&gt;"",IF('Capacity summary'!$C$14="Yes",IF(COUNTBLANK('Capacity summary'!$H31:$BG31)&lt;52,IF('Capacity summary'!AI31&lt;&gt;"",IF(LOWER('Capacity summary'!AI31)="x",$BI119*AI119,VALUE('Capacity summary'!AI31)),0),AI119*$BI119),AI119*$BI119),0)</f>
        <v>7.5</v>
      </c>
      <c r="CM119" s="5">
        <f ca="1">IF($BI119&lt;&gt;"",IF('Capacity summary'!$C$14="Yes",IF(COUNTBLANK('Capacity summary'!$H31:$BG31)&lt;52,IF('Capacity summary'!AJ31&lt;&gt;"",IF(LOWER('Capacity summary'!AJ31)="x",$BI119*AJ119,VALUE('Capacity summary'!AJ31)),0),AJ119*$BI119),AJ119*$BI119),0)</f>
        <v>7.5</v>
      </c>
      <c r="CN119" s="5">
        <f ca="1">IF($BI119&lt;&gt;"",IF('Capacity summary'!$C$14="Yes",IF(COUNTBLANK('Capacity summary'!$H31:$BG31)&lt;52,IF('Capacity summary'!AK31&lt;&gt;"",IF(LOWER('Capacity summary'!AK31)="x",$BI119*AK119,VALUE('Capacity summary'!AK31)),0),AK119*$BI119),AK119*$BI119),0)</f>
        <v>7.5</v>
      </c>
      <c r="CO119" s="5">
        <f ca="1">IF($BI119&lt;&gt;"",IF('Capacity summary'!$C$14="Yes",IF(COUNTBLANK('Capacity summary'!$H31:$BG31)&lt;52,IF('Capacity summary'!AL31&lt;&gt;"",IF(LOWER('Capacity summary'!AL31)="x",$BI119*AL119,VALUE('Capacity summary'!AL31)),0),AL119*$BI119),AL119*$BI119),0)</f>
        <v>7.5</v>
      </c>
      <c r="CP119" s="5">
        <f ca="1">IF($BI119&lt;&gt;"",IF('Capacity summary'!$C$14="Yes",IF(COUNTBLANK('Capacity summary'!$H31:$BG31)&lt;52,IF('Capacity summary'!AM31&lt;&gt;"",IF(LOWER('Capacity summary'!AM31)="x",$BI119*AM119,VALUE('Capacity summary'!AM31)),0),AM119*$BI119),AM119*$BI119),0)</f>
        <v>7.5</v>
      </c>
      <c r="CQ119" s="5">
        <f ca="1">IF($BI119&lt;&gt;"",IF('Capacity summary'!$C$14="Yes",IF(COUNTBLANK('Capacity summary'!$H31:$BG31)&lt;52,IF('Capacity summary'!AN31&lt;&gt;"",IF(LOWER('Capacity summary'!AN31)="x",$BI119*AN119,VALUE('Capacity summary'!AN31)),0),AN119*$BI119),AN119*$BI119),0)</f>
        <v>7.5</v>
      </c>
      <c r="CR119" s="5">
        <f ca="1">IF($BI119&lt;&gt;"",IF('Capacity summary'!$C$14="Yes",IF(COUNTBLANK('Capacity summary'!$H31:$BG31)&lt;52,IF('Capacity summary'!AO31&lt;&gt;"",IF(LOWER('Capacity summary'!AO31)="x",$BI119*AO119,VALUE('Capacity summary'!AO31)),0),AO119*$BI119),AO119*$BI119),0)</f>
        <v>7.5</v>
      </c>
      <c r="CS119" s="5">
        <f ca="1">IF($BI119&lt;&gt;"",IF('Capacity summary'!$C$14="Yes",IF(COUNTBLANK('Capacity summary'!$H31:$BG31)&lt;52,IF('Capacity summary'!AP31&lt;&gt;"",IF(LOWER('Capacity summary'!AP31)="x",$BI119*AP119,VALUE('Capacity summary'!AP31)),0),AP119*$BI119),AP119*$BI119),0)</f>
        <v>7.5</v>
      </c>
      <c r="CT119" s="5">
        <f ca="1">IF($BI119&lt;&gt;"",IF('Capacity summary'!$C$14="Yes",IF(COUNTBLANK('Capacity summary'!$H31:$BG31)&lt;52,IF('Capacity summary'!AQ31&lt;&gt;"",IF(LOWER('Capacity summary'!AQ31)="x",$BI119*AQ119,VALUE('Capacity summary'!AQ31)),0),AQ119*$BI119),AQ119*$BI119),0)</f>
        <v>7.5</v>
      </c>
      <c r="CU119" s="5">
        <f ca="1">IF($BI119&lt;&gt;"",IF('Capacity summary'!$C$14="Yes",IF(COUNTBLANK('Capacity summary'!$H31:$BG31)&lt;52,IF('Capacity summary'!AR31&lt;&gt;"",IF(LOWER('Capacity summary'!AR31)="x",$BI119*AR119,VALUE('Capacity summary'!AR31)),0),AR119*$BI119),AR119*$BI119),0)</f>
        <v>7.5</v>
      </c>
      <c r="CV119" s="5">
        <f ca="1">IF($BI119&lt;&gt;"",IF('Capacity summary'!$C$14="Yes",IF(COUNTBLANK('Capacity summary'!$H31:$BG31)&lt;52,IF('Capacity summary'!AS31&lt;&gt;"",IF(LOWER('Capacity summary'!AS31)="x",$BI119*AS119,VALUE('Capacity summary'!AS31)),0),AS119*$BI119),AS119*$BI119),0)</f>
        <v>7.5</v>
      </c>
      <c r="CW119" s="5">
        <f ca="1">IF($BI119&lt;&gt;"",IF('Capacity summary'!$C$14="Yes",IF(COUNTBLANK('Capacity summary'!$H31:$BG31)&lt;52,IF('Capacity summary'!AT31&lt;&gt;"",IF(LOWER('Capacity summary'!AT31)="x",$BI119*AT119,VALUE('Capacity summary'!AT31)),0),AT119*$BI119),AT119*$BI119),0)</f>
        <v>7.5</v>
      </c>
      <c r="CX119" s="5">
        <f ca="1">IF($BI119&lt;&gt;"",IF('Capacity summary'!$C$14="Yes",IF(COUNTBLANK('Capacity summary'!$H31:$BG31)&lt;52,IF('Capacity summary'!AU31&lt;&gt;"",IF(LOWER('Capacity summary'!AU31)="x",$BI119*AU119,VALUE('Capacity summary'!AU31)),0),AU119*$BI119),AU119*$BI119),0)</f>
        <v>7.5</v>
      </c>
      <c r="CY119" s="5">
        <f ca="1">IF($BI119&lt;&gt;"",IF('Capacity summary'!$C$14="Yes",IF(COUNTBLANK('Capacity summary'!$H31:$BG31)&lt;52,IF('Capacity summary'!AV31&lt;&gt;"",IF(LOWER('Capacity summary'!AV31)="x",$BI119*AV119,VALUE('Capacity summary'!AV31)),0),AV119*$BI119),AV119*$BI119),0)</f>
        <v>7.5</v>
      </c>
      <c r="CZ119" s="5">
        <f ca="1">IF($BI119&lt;&gt;"",IF('Capacity summary'!$C$14="Yes",IF(COUNTBLANK('Capacity summary'!$H31:$BG31)&lt;52,IF('Capacity summary'!AW31&lt;&gt;"",IF(LOWER('Capacity summary'!AW31)="x",$BI119*AW119,VALUE('Capacity summary'!AW31)),0),AW119*$BI119),AW119*$BI119),0)</f>
        <v>7.5</v>
      </c>
      <c r="DA119" s="5">
        <f ca="1">IF($BI119&lt;&gt;"",IF('Capacity summary'!$C$14="Yes",IF(COUNTBLANK('Capacity summary'!$H31:$BG31)&lt;52,IF('Capacity summary'!AX31&lt;&gt;"",IF(LOWER('Capacity summary'!AX31)="x",$BI119*AX119,VALUE('Capacity summary'!AX31)),0),AX119*$BI119),AX119*$BI119),0)</f>
        <v>7.5</v>
      </c>
      <c r="DB119" s="5">
        <f ca="1">IF($BI119&lt;&gt;"",IF('Capacity summary'!$C$14="Yes",IF(COUNTBLANK('Capacity summary'!$H31:$BG31)&lt;52,IF('Capacity summary'!AY31&lt;&gt;"",IF(LOWER('Capacity summary'!AY31)="x",$BI119*AY119,VALUE('Capacity summary'!AY31)),0),AY119*$BI119),AY119*$BI119),0)</f>
        <v>7.5</v>
      </c>
      <c r="DC119" s="5">
        <f ca="1">IF($BI119&lt;&gt;"",IF('Capacity summary'!$C$14="Yes",IF(COUNTBLANK('Capacity summary'!$H31:$BG31)&lt;52,IF('Capacity summary'!AZ31&lt;&gt;"",IF(LOWER('Capacity summary'!AZ31)="x",$BI119*AZ119,VALUE('Capacity summary'!AZ31)),0),AZ119*$BI119),AZ119*$BI119),0)</f>
        <v>7.5</v>
      </c>
      <c r="DD119" s="5">
        <f ca="1">IF($BI119&lt;&gt;"",IF('Capacity summary'!$C$14="Yes",IF(COUNTBLANK('Capacity summary'!$H31:$BG31)&lt;52,IF('Capacity summary'!BA31&lt;&gt;"",IF(LOWER('Capacity summary'!BA31)="x",$BI119*BA119,VALUE('Capacity summary'!BA31)),0),BA119*$BI119),BA119*$BI119),0)</f>
        <v>7.5</v>
      </c>
      <c r="DE119" s="5">
        <f ca="1">IF($BI119&lt;&gt;"",IF('Capacity summary'!$C$14="Yes",IF(COUNTBLANK('Capacity summary'!$H31:$BG31)&lt;52,IF('Capacity summary'!BB31&lt;&gt;"",IF(LOWER('Capacity summary'!BB31)="x",$BI119*BB119,VALUE('Capacity summary'!BB31)),0),BB119*$BI119),BB119*$BI119),0)</f>
        <v>7.5</v>
      </c>
      <c r="DF119" s="5">
        <f ca="1">IF($BI119&lt;&gt;"",IF('Capacity summary'!$C$14="Yes",IF(COUNTBLANK('Capacity summary'!$H31:$BG31)&lt;52,IF('Capacity summary'!BC31&lt;&gt;"",IF(LOWER('Capacity summary'!BC31)="x",$BI119*BC119,VALUE('Capacity summary'!BC31)),0),BC119*$BI119),BC119*$BI119),0)</f>
        <v>7.5</v>
      </c>
      <c r="DG119" s="5">
        <f ca="1">IF($BI119&lt;&gt;"",IF('Capacity summary'!$C$14="Yes",IF(COUNTBLANK('Capacity summary'!$H31:$BG31)&lt;52,IF('Capacity summary'!BD31&lt;&gt;"",IF(LOWER('Capacity summary'!BD31)="x",$BI119*BD119,VALUE('Capacity summary'!BD31)),0),BD119*$BI119),BD119*$BI119),0)</f>
        <v>7.5</v>
      </c>
      <c r="DH119" s="5">
        <f ca="1">IF($BI119&lt;&gt;"",IF('Capacity summary'!$C$14="Yes",IF(COUNTBLANK('Capacity summary'!$H31:$BG31)&lt;52,IF('Capacity summary'!BE31&lt;&gt;"",IF(LOWER('Capacity summary'!BE31)="x",$BI119*BE119,VALUE('Capacity summary'!BE31)),0),BE119*$BI119),BE119*$BI119),0)</f>
        <v>7.5</v>
      </c>
      <c r="DI119" s="5">
        <f ca="1">IF($BI119&lt;&gt;"",IF('Capacity summary'!$C$14="Yes",IF(COUNTBLANK('Capacity summary'!$H31:$BG31)&lt;52,IF('Capacity summary'!BF31&lt;&gt;"",IF(LOWER('Capacity summary'!BF31)="x",$BI119*BF119,VALUE('Capacity summary'!BF31)),0),BF119*$BI119),BF119*$BI119),0)</f>
        <v>7.5</v>
      </c>
      <c r="DJ119" s="5">
        <f ca="1">IF($BI119&lt;&gt;"",IF('Capacity summary'!$C$14="Yes",IF(COUNTBLANK('Capacity summary'!$H31:$BG31)&lt;52,IF('Capacity summary'!BG31&lt;&gt;"",IF(LOWER('Capacity summary'!BG31)="x",$BI119*BG119,VALUE('Capacity summary'!BG31)),0),BG119*$BI119),BG119*$BI119),0)</f>
        <v>7.5</v>
      </c>
      <c r="DK119" s="388">
        <f t="shared" ca="1" si="8"/>
        <v>7.5</v>
      </c>
      <c r="DL119" s="5">
        <f t="shared" ca="1" si="9"/>
        <v>390</v>
      </c>
    </row>
    <row r="120" spans="3:116" x14ac:dyDescent="0.2">
      <c r="C120" s="67" t="str">
        <f>ROW(A9)&amp;". "&amp;Capacity!N25</f>
        <v>9. 44341</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 ca="1">IF(ROW(A9)&lt;=Capacity!$M$16,IF('Capacity summary'!$C$14="No",SUM(H120:BG120),'Capacity summary'!$E32),0)</f>
        <v>52</v>
      </c>
      <c r="BI120" s="67">
        <f ca="1">IF(BH120&gt;0,IF(BH120&lt;Capacity!Q25,Capacity!R25,Capacity!T25/'Capacity calculation (hide)'!BH120),"")</f>
        <v>4.615384615384615</v>
      </c>
      <c r="BJ120" s="5"/>
      <c r="BK120" s="5">
        <f ca="1">IF($BI120&lt;&gt;"",IF('Capacity summary'!$C$14="Yes",IF(COUNTBLANK('Capacity summary'!$H32:$BG32)&lt;52,IF('Capacity summary'!H32&lt;&gt;"",IF(LOWER('Capacity summary'!H32)="x",$BI120*H120,VALUE('Capacity summary'!H32)),0),H120*$BI120),H120*$BI120),0)</f>
        <v>4.615384615384615</v>
      </c>
      <c r="BL120" s="5">
        <f ca="1">IF($BI120&lt;&gt;"",IF('Capacity summary'!$C$14="Yes",IF(COUNTBLANK('Capacity summary'!$H32:$BG32)&lt;52,IF('Capacity summary'!I32&lt;&gt;"",IF(LOWER('Capacity summary'!I32)="x",$BI120*I120,VALUE('Capacity summary'!I32)),0),I120*$BI120),I120*$BI120),0)</f>
        <v>4.615384615384615</v>
      </c>
      <c r="BM120" s="5">
        <f ca="1">IF($BI120&lt;&gt;"",IF('Capacity summary'!$C$14="Yes",IF(COUNTBLANK('Capacity summary'!$H32:$BG32)&lt;52,IF('Capacity summary'!J32&lt;&gt;"",IF(LOWER('Capacity summary'!J32)="x",$BI120*J120,VALUE('Capacity summary'!J32)),0),J120*$BI120),J120*$BI120),0)</f>
        <v>4.615384615384615</v>
      </c>
      <c r="BN120" s="5">
        <f ca="1">IF($BI120&lt;&gt;"",IF('Capacity summary'!$C$14="Yes",IF(COUNTBLANK('Capacity summary'!$H32:$BG32)&lt;52,IF('Capacity summary'!K32&lt;&gt;"",IF(LOWER('Capacity summary'!K32)="x",$BI120*K120,VALUE('Capacity summary'!K32)),0),K120*$BI120),K120*$BI120),0)</f>
        <v>4.615384615384615</v>
      </c>
      <c r="BO120" s="5">
        <f ca="1">IF($BI120&lt;&gt;"",IF('Capacity summary'!$C$14="Yes",IF(COUNTBLANK('Capacity summary'!$H32:$BG32)&lt;52,IF('Capacity summary'!L32&lt;&gt;"",IF(LOWER('Capacity summary'!L32)="x",$BI120*L120,VALUE('Capacity summary'!L32)),0),L120*$BI120),L120*$BI120),0)</f>
        <v>4.615384615384615</v>
      </c>
      <c r="BP120" s="5">
        <f ca="1">IF($BI120&lt;&gt;"",IF('Capacity summary'!$C$14="Yes",IF(COUNTBLANK('Capacity summary'!$H32:$BG32)&lt;52,IF('Capacity summary'!M32&lt;&gt;"",IF(LOWER('Capacity summary'!M32)="x",$BI120*M120,VALUE('Capacity summary'!M32)),0),M120*$BI120),M120*$BI120),0)</f>
        <v>4.615384615384615</v>
      </c>
      <c r="BQ120" s="5">
        <f ca="1">IF($BI120&lt;&gt;"",IF('Capacity summary'!$C$14="Yes",IF(COUNTBLANK('Capacity summary'!$H32:$BG32)&lt;52,IF('Capacity summary'!N32&lt;&gt;"",IF(LOWER('Capacity summary'!N32)="x",$BI120*N120,VALUE('Capacity summary'!N32)),0),N120*$BI120),N120*$BI120),0)</f>
        <v>4.615384615384615</v>
      </c>
      <c r="BR120" s="5">
        <f ca="1">IF($BI120&lt;&gt;"",IF('Capacity summary'!$C$14="Yes",IF(COUNTBLANK('Capacity summary'!$H32:$BG32)&lt;52,IF('Capacity summary'!O32&lt;&gt;"",IF(LOWER('Capacity summary'!O32)="x",$BI120*O120,VALUE('Capacity summary'!O32)),0),O120*$BI120),O120*$BI120),0)</f>
        <v>4.615384615384615</v>
      </c>
      <c r="BS120" s="5">
        <f ca="1">IF($BI120&lt;&gt;"",IF('Capacity summary'!$C$14="Yes",IF(COUNTBLANK('Capacity summary'!$H32:$BG32)&lt;52,IF('Capacity summary'!P32&lt;&gt;"",IF(LOWER('Capacity summary'!P32)="x",$BI120*P120,VALUE('Capacity summary'!P32)),0),P120*$BI120),P120*$BI120),0)</f>
        <v>4.615384615384615</v>
      </c>
      <c r="BT120" s="5">
        <f ca="1">IF($BI120&lt;&gt;"",IF('Capacity summary'!$C$14="Yes",IF(COUNTBLANK('Capacity summary'!$H32:$BG32)&lt;52,IF('Capacity summary'!Q32&lt;&gt;"",IF(LOWER('Capacity summary'!Q32)="x",$BI120*Q120,VALUE('Capacity summary'!Q32)),0),Q120*$BI120),Q120*$BI120),0)</f>
        <v>4.615384615384615</v>
      </c>
      <c r="BU120" s="5">
        <f ca="1">IF($BI120&lt;&gt;"",IF('Capacity summary'!$C$14="Yes",IF(COUNTBLANK('Capacity summary'!$H32:$BG32)&lt;52,IF('Capacity summary'!R32&lt;&gt;"",IF(LOWER('Capacity summary'!R32)="x",$BI120*R120,VALUE('Capacity summary'!R32)),0),R120*$BI120),R120*$BI120),0)</f>
        <v>4.615384615384615</v>
      </c>
      <c r="BV120" s="5">
        <f ca="1">IF($BI120&lt;&gt;"",IF('Capacity summary'!$C$14="Yes",IF(COUNTBLANK('Capacity summary'!$H32:$BG32)&lt;52,IF('Capacity summary'!S32&lt;&gt;"",IF(LOWER('Capacity summary'!S32)="x",$BI120*S120,VALUE('Capacity summary'!S32)),0),S120*$BI120),S120*$BI120),0)</f>
        <v>4.615384615384615</v>
      </c>
      <c r="BW120" s="5">
        <f ca="1">IF($BI120&lt;&gt;"",IF('Capacity summary'!$C$14="Yes",IF(COUNTBLANK('Capacity summary'!$H32:$BG32)&lt;52,IF('Capacity summary'!T32&lt;&gt;"",IF(LOWER('Capacity summary'!T32)="x",$BI120*T120,VALUE('Capacity summary'!T32)),0),T120*$BI120),T120*$BI120),0)</f>
        <v>4.615384615384615</v>
      </c>
      <c r="BX120" s="5">
        <f ca="1">IF($BI120&lt;&gt;"",IF('Capacity summary'!$C$14="Yes",IF(COUNTBLANK('Capacity summary'!$H32:$BG32)&lt;52,IF('Capacity summary'!U32&lt;&gt;"",IF(LOWER('Capacity summary'!U32)="x",$BI120*U120,VALUE('Capacity summary'!U32)),0),U120*$BI120),U120*$BI120),0)</f>
        <v>4.615384615384615</v>
      </c>
      <c r="BY120" s="5">
        <f ca="1">IF($BI120&lt;&gt;"",IF('Capacity summary'!$C$14="Yes",IF(COUNTBLANK('Capacity summary'!$H32:$BG32)&lt;52,IF('Capacity summary'!V32&lt;&gt;"",IF(LOWER('Capacity summary'!V32)="x",$BI120*V120,VALUE('Capacity summary'!V32)),0),V120*$BI120),V120*$BI120),0)</f>
        <v>4.615384615384615</v>
      </c>
      <c r="BZ120" s="5">
        <f ca="1">IF($BI120&lt;&gt;"",IF('Capacity summary'!$C$14="Yes",IF(COUNTBLANK('Capacity summary'!$H32:$BG32)&lt;52,IF('Capacity summary'!W32&lt;&gt;"",IF(LOWER('Capacity summary'!W32)="x",$BI120*W120,VALUE('Capacity summary'!W32)),0),W120*$BI120),W120*$BI120),0)</f>
        <v>4.615384615384615</v>
      </c>
      <c r="CA120" s="5">
        <f ca="1">IF($BI120&lt;&gt;"",IF('Capacity summary'!$C$14="Yes",IF(COUNTBLANK('Capacity summary'!$H32:$BG32)&lt;52,IF('Capacity summary'!X32&lt;&gt;"",IF(LOWER('Capacity summary'!X32)="x",$BI120*X120,VALUE('Capacity summary'!X32)),0),X120*$BI120),X120*$BI120),0)</f>
        <v>4.615384615384615</v>
      </c>
      <c r="CB120" s="5">
        <f ca="1">IF($BI120&lt;&gt;"",IF('Capacity summary'!$C$14="Yes",IF(COUNTBLANK('Capacity summary'!$H32:$BG32)&lt;52,IF('Capacity summary'!Y32&lt;&gt;"",IF(LOWER('Capacity summary'!Y32)="x",$BI120*Y120,VALUE('Capacity summary'!Y32)),0),Y120*$BI120),Y120*$BI120),0)</f>
        <v>4.615384615384615</v>
      </c>
      <c r="CC120" s="5">
        <f ca="1">IF($BI120&lt;&gt;"",IF('Capacity summary'!$C$14="Yes",IF(COUNTBLANK('Capacity summary'!$H32:$BG32)&lt;52,IF('Capacity summary'!Z32&lt;&gt;"",IF(LOWER('Capacity summary'!Z32)="x",$BI120*Z120,VALUE('Capacity summary'!Z32)),0),Z120*$BI120),Z120*$BI120),0)</f>
        <v>4.615384615384615</v>
      </c>
      <c r="CD120" s="5">
        <f ca="1">IF($BI120&lt;&gt;"",IF('Capacity summary'!$C$14="Yes",IF(COUNTBLANK('Capacity summary'!$H32:$BG32)&lt;52,IF('Capacity summary'!AA32&lt;&gt;"",IF(LOWER('Capacity summary'!AA32)="x",$BI120*AA120,VALUE('Capacity summary'!AA32)),0),AA120*$BI120),AA120*$BI120),0)</f>
        <v>4.615384615384615</v>
      </c>
      <c r="CE120" s="5">
        <f ca="1">IF($BI120&lt;&gt;"",IF('Capacity summary'!$C$14="Yes",IF(COUNTBLANK('Capacity summary'!$H32:$BG32)&lt;52,IF('Capacity summary'!AB32&lt;&gt;"",IF(LOWER('Capacity summary'!AB32)="x",$BI120*AB120,VALUE('Capacity summary'!AB32)),0),AB120*$BI120),AB120*$BI120),0)</f>
        <v>4.615384615384615</v>
      </c>
      <c r="CF120" s="5">
        <f ca="1">IF($BI120&lt;&gt;"",IF('Capacity summary'!$C$14="Yes",IF(COUNTBLANK('Capacity summary'!$H32:$BG32)&lt;52,IF('Capacity summary'!AC32&lt;&gt;"",IF(LOWER('Capacity summary'!AC32)="x",$BI120*AC120,VALUE('Capacity summary'!AC32)),0),AC120*$BI120),AC120*$BI120),0)</f>
        <v>4.615384615384615</v>
      </c>
      <c r="CG120" s="5">
        <f ca="1">IF($BI120&lt;&gt;"",IF('Capacity summary'!$C$14="Yes",IF(COUNTBLANK('Capacity summary'!$H32:$BG32)&lt;52,IF('Capacity summary'!AD32&lt;&gt;"",IF(LOWER('Capacity summary'!AD32)="x",$BI120*AD120,VALUE('Capacity summary'!AD32)),0),AD120*$BI120),AD120*$BI120),0)</f>
        <v>4.615384615384615</v>
      </c>
      <c r="CH120" s="5">
        <f ca="1">IF($BI120&lt;&gt;"",IF('Capacity summary'!$C$14="Yes",IF(COUNTBLANK('Capacity summary'!$H32:$BG32)&lt;52,IF('Capacity summary'!AE32&lt;&gt;"",IF(LOWER('Capacity summary'!AE32)="x",$BI120*AE120,VALUE('Capacity summary'!AE32)),0),AE120*$BI120),AE120*$BI120),0)</f>
        <v>4.615384615384615</v>
      </c>
      <c r="CI120" s="5">
        <f ca="1">IF($BI120&lt;&gt;"",IF('Capacity summary'!$C$14="Yes",IF(COUNTBLANK('Capacity summary'!$H32:$BG32)&lt;52,IF('Capacity summary'!AF32&lt;&gt;"",IF(LOWER('Capacity summary'!AF32)="x",$BI120*AF120,VALUE('Capacity summary'!AF32)),0),AF120*$BI120),AF120*$BI120),0)</f>
        <v>4.615384615384615</v>
      </c>
      <c r="CJ120" s="5">
        <f ca="1">IF($BI120&lt;&gt;"",IF('Capacity summary'!$C$14="Yes",IF(COUNTBLANK('Capacity summary'!$H32:$BG32)&lt;52,IF('Capacity summary'!AG32&lt;&gt;"",IF(LOWER('Capacity summary'!AG32)="x",$BI120*AG120,VALUE('Capacity summary'!AG32)),0),AG120*$BI120),AG120*$BI120),0)</f>
        <v>4.615384615384615</v>
      </c>
      <c r="CK120" s="5">
        <f ca="1">IF($BI120&lt;&gt;"",IF('Capacity summary'!$C$14="Yes",IF(COUNTBLANK('Capacity summary'!$H32:$BG32)&lt;52,IF('Capacity summary'!AH32&lt;&gt;"",IF(LOWER('Capacity summary'!AH32)="x",$BI120*AH120,VALUE('Capacity summary'!AH32)),0),AH120*$BI120),AH120*$BI120),0)</f>
        <v>4.615384615384615</v>
      </c>
      <c r="CL120" s="5">
        <f ca="1">IF($BI120&lt;&gt;"",IF('Capacity summary'!$C$14="Yes",IF(COUNTBLANK('Capacity summary'!$H32:$BG32)&lt;52,IF('Capacity summary'!AI32&lt;&gt;"",IF(LOWER('Capacity summary'!AI32)="x",$BI120*AI120,VALUE('Capacity summary'!AI32)),0),AI120*$BI120),AI120*$BI120),0)</f>
        <v>4.615384615384615</v>
      </c>
      <c r="CM120" s="5">
        <f ca="1">IF($BI120&lt;&gt;"",IF('Capacity summary'!$C$14="Yes",IF(COUNTBLANK('Capacity summary'!$H32:$BG32)&lt;52,IF('Capacity summary'!AJ32&lt;&gt;"",IF(LOWER('Capacity summary'!AJ32)="x",$BI120*AJ120,VALUE('Capacity summary'!AJ32)),0),AJ120*$BI120),AJ120*$BI120),0)</f>
        <v>4.615384615384615</v>
      </c>
      <c r="CN120" s="5">
        <f ca="1">IF($BI120&lt;&gt;"",IF('Capacity summary'!$C$14="Yes",IF(COUNTBLANK('Capacity summary'!$H32:$BG32)&lt;52,IF('Capacity summary'!AK32&lt;&gt;"",IF(LOWER('Capacity summary'!AK32)="x",$BI120*AK120,VALUE('Capacity summary'!AK32)),0),AK120*$BI120),AK120*$BI120),0)</f>
        <v>4.615384615384615</v>
      </c>
      <c r="CO120" s="5">
        <f ca="1">IF($BI120&lt;&gt;"",IF('Capacity summary'!$C$14="Yes",IF(COUNTBLANK('Capacity summary'!$H32:$BG32)&lt;52,IF('Capacity summary'!AL32&lt;&gt;"",IF(LOWER('Capacity summary'!AL32)="x",$BI120*AL120,VALUE('Capacity summary'!AL32)),0),AL120*$BI120),AL120*$BI120),0)</f>
        <v>4.615384615384615</v>
      </c>
      <c r="CP120" s="5">
        <f ca="1">IF($BI120&lt;&gt;"",IF('Capacity summary'!$C$14="Yes",IF(COUNTBLANK('Capacity summary'!$H32:$BG32)&lt;52,IF('Capacity summary'!AM32&lt;&gt;"",IF(LOWER('Capacity summary'!AM32)="x",$BI120*AM120,VALUE('Capacity summary'!AM32)),0),AM120*$BI120),AM120*$BI120),0)</f>
        <v>4.615384615384615</v>
      </c>
      <c r="CQ120" s="5">
        <f ca="1">IF($BI120&lt;&gt;"",IF('Capacity summary'!$C$14="Yes",IF(COUNTBLANK('Capacity summary'!$H32:$BG32)&lt;52,IF('Capacity summary'!AN32&lt;&gt;"",IF(LOWER('Capacity summary'!AN32)="x",$BI120*AN120,VALUE('Capacity summary'!AN32)),0),AN120*$BI120),AN120*$BI120),0)</f>
        <v>4.615384615384615</v>
      </c>
      <c r="CR120" s="5">
        <f ca="1">IF($BI120&lt;&gt;"",IF('Capacity summary'!$C$14="Yes",IF(COUNTBLANK('Capacity summary'!$H32:$BG32)&lt;52,IF('Capacity summary'!AO32&lt;&gt;"",IF(LOWER('Capacity summary'!AO32)="x",$BI120*AO120,VALUE('Capacity summary'!AO32)),0),AO120*$BI120),AO120*$BI120),0)</f>
        <v>4.615384615384615</v>
      </c>
      <c r="CS120" s="5">
        <f ca="1">IF($BI120&lt;&gt;"",IF('Capacity summary'!$C$14="Yes",IF(COUNTBLANK('Capacity summary'!$H32:$BG32)&lt;52,IF('Capacity summary'!AP32&lt;&gt;"",IF(LOWER('Capacity summary'!AP32)="x",$BI120*AP120,VALUE('Capacity summary'!AP32)),0),AP120*$BI120),AP120*$BI120),0)</f>
        <v>4.615384615384615</v>
      </c>
      <c r="CT120" s="5">
        <f ca="1">IF($BI120&lt;&gt;"",IF('Capacity summary'!$C$14="Yes",IF(COUNTBLANK('Capacity summary'!$H32:$BG32)&lt;52,IF('Capacity summary'!AQ32&lt;&gt;"",IF(LOWER('Capacity summary'!AQ32)="x",$BI120*AQ120,VALUE('Capacity summary'!AQ32)),0),AQ120*$BI120),AQ120*$BI120),0)</f>
        <v>4.615384615384615</v>
      </c>
      <c r="CU120" s="5">
        <f ca="1">IF($BI120&lt;&gt;"",IF('Capacity summary'!$C$14="Yes",IF(COUNTBLANK('Capacity summary'!$H32:$BG32)&lt;52,IF('Capacity summary'!AR32&lt;&gt;"",IF(LOWER('Capacity summary'!AR32)="x",$BI120*AR120,VALUE('Capacity summary'!AR32)),0),AR120*$BI120),AR120*$BI120),0)</f>
        <v>4.615384615384615</v>
      </c>
      <c r="CV120" s="5">
        <f ca="1">IF($BI120&lt;&gt;"",IF('Capacity summary'!$C$14="Yes",IF(COUNTBLANK('Capacity summary'!$H32:$BG32)&lt;52,IF('Capacity summary'!AS32&lt;&gt;"",IF(LOWER('Capacity summary'!AS32)="x",$BI120*AS120,VALUE('Capacity summary'!AS32)),0),AS120*$BI120),AS120*$BI120),0)</f>
        <v>4.615384615384615</v>
      </c>
      <c r="CW120" s="5">
        <f ca="1">IF($BI120&lt;&gt;"",IF('Capacity summary'!$C$14="Yes",IF(COUNTBLANK('Capacity summary'!$H32:$BG32)&lt;52,IF('Capacity summary'!AT32&lt;&gt;"",IF(LOWER('Capacity summary'!AT32)="x",$BI120*AT120,VALUE('Capacity summary'!AT32)),0),AT120*$BI120),AT120*$BI120),0)</f>
        <v>4.615384615384615</v>
      </c>
      <c r="CX120" s="5">
        <f ca="1">IF($BI120&lt;&gt;"",IF('Capacity summary'!$C$14="Yes",IF(COUNTBLANK('Capacity summary'!$H32:$BG32)&lt;52,IF('Capacity summary'!AU32&lt;&gt;"",IF(LOWER('Capacity summary'!AU32)="x",$BI120*AU120,VALUE('Capacity summary'!AU32)),0),AU120*$BI120),AU120*$BI120),0)</f>
        <v>4.615384615384615</v>
      </c>
      <c r="CY120" s="5">
        <f ca="1">IF($BI120&lt;&gt;"",IF('Capacity summary'!$C$14="Yes",IF(COUNTBLANK('Capacity summary'!$H32:$BG32)&lt;52,IF('Capacity summary'!AV32&lt;&gt;"",IF(LOWER('Capacity summary'!AV32)="x",$BI120*AV120,VALUE('Capacity summary'!AV32)),0),AV120*$BI120),AV120*$BI120),0)</f>
        <v>4.615384615384615</v>
      </c>
      <c r="CZ120" s="5">
        <f ca="1">IF($BI120&lt;&gt;"",IF('Capacity summary'!$C$14="Yes",IF(COUNTBLANK('Capacity summary'!$H32:$BG32)&lt;52,IF('Capacity summary'!AW32&lt;&gt;"",IF(LOWER('Capacity summary'!AW32)="x",$BI120*AW120,VALUE('Capacity summary'!AW32)),0),AW120*$BI120),AW120*$BI120),0)</f>
        <v>4.615384615384615</v>
      </c>
      <c r="DA120" s="5">
        <f ca="1">IF($BI120&lt;&gt;"",IF('Capacity summary'!$C$14="Yes",IF(COUNTBLANK('Capacity summary'!$H32:$BG32)&lt;52,IF('Capacity summary'!AX32&lt;&gt;"",IF(LOWER('Capacity summary'!AX32)="x",$BI120*AX120,VALUE('Capacity summary'!AX32)),0),AX120*$BI120),AX120*$BI120),0)</f>
        <v>4.615384615384615</v>
      </c>
      <c r="DB120" s="5">
        <f ca="1">IF($BI120&lt;&gt;"",IF('Capacity summary'!$C$14="Yes",IF(COUNTBLANK('Capacity summary'!$H32:$BG32)&lt;52,IF('Capacity summary'!AY32&lt;&gt;"",IF(LOWER('Capacity summary'!AY32)="x",$BI120*AY120,VALUE('Capacity summary'!AY32)),0),AY120*$BI120),AY120*$BI120),0)</f>
        <v>4.615384615384615</v>
      </c>
      <c r="DC120" s="5">
        <f ca="1">IF($BI120&lt;&gt;"",IF('Capacity summary'!$C$14="Yes",IF(COUNTBLANK('Capacity summary'!$H32:$BG32)&lt;52,IF('Capacity summary'!AZ32&lt;&gt;"",IF(LOWER('Capacity summary'!AZ32)="x",$BI120*AZ120,VALUE('Capacity summary'!AZ32)),0),AZ120*$BI120),AZ120*$BI120),0)</f>
        <v>4.615384615384615</v>
      </c>
      <c r="DD120" s="5">
        <f ca="1">IF($BI120&lt;&gt;"",IF('Capacity summary'!$C$14="Yes",IF(COUNTBLANK('Capacity summary'!$H32:$BG32)&lt;52,IF('Capacity summary'!BA32&lt;&gt;"",IF(LOWER('Capacity summary'!BA32)="x",$BI120*BA120,VALUE('Capacity summary'!BA32)),0),BA120*$BI120),BA120*$BI120),0)</f>
        <v>4.615384615384615</v>
      </c>
      <c r="DE120" s="5">
        <f ca="1">IF($BI120&lt;&gt;"",IF('Capacity summary'!$C$14="Yes",IF(COUNTBLANK('Capacity summary'!$H32:$BG32)&lt;52,IF('Capacity summary'!BB32&lt;&gt;"",IF(LOWER('Capacity summary'!BB32)="x",$BI120*BB120,VALUE('Capacity summary'!BB32)),0),BB120*$BI120),BB120*$BI120),0)</f>
        <v>4.615384615384615</v>
      </c>
      <c r="DF120" s="5">
        <f ca="1">IF($BI120&lt;&gt;"",IF('Capacity summary'!$C$14="Yes",IF(COUNTBLANK('Capacity summary'!$H32:$BG32)&lt;52,IF('Capacity summary'!BC32&lt;&gt;"",IF(LOWER('Capacity summary'!BC32)="x",$BI120*BC120,VALUE('Capacity summary'!BC32)),0),BC120*$BI120),BC120*$BI120),0)</f>
        <v>4.615384615384615</v>
      </c>
      <c r="DG120" s="5">
        <f ca="1">IF($BI120&lt;&gt;"",IF('Capacity summary'!$C$14="Yes",IF(COUNTBLANK('Capacity summary'!$H32:$BG32)&lt;52,IF('Capacity summary'!BD32&lt;&gt;"",IF(LOWER('Capacity summary'!BD32)="x",$BI120*BD120,VALUE('Capacity summary'!BD32)),0),BD120*$BI120),BD120*$BI120),0)</f>
        <v>4.615384615384615</v>
      </c>
      <c r="DH120" s="5">
        <f ca="1">IF($BI120&lt;&gt;"",IF('Capacity summary'!$C$14="Yes",IF(COUNTBLANK('Capacity summary'!$H32:$BG32)&lt;52,IF('Capacity summary'!BE32&lt;&gt;"",IF(LOWER('Capacity summary'!BE32)="x",$BI120*BE120,VALUE('Capacity summary'!BE32)),0),BE120*$BI120),BE120*$BI120),0)</f>
        <v>4.615384615384615</v>
      </c>
      <c r="DI120" s="5">
        <f ca="1">IF($BI120&lt;&gt;"",IF('Capacity summary'!$C$14="Yes",IF(COUNTBLANK('Capacity summary'!$H32:$BG32)&lt;52,IF('Capacity summary'!BF32&lt;&gt;"",IF(LOWER('Capacity summary'!BF32)="x",$BI120*BF120,VALUE('Capacity summary'!BF32)),0),BF120*$BI120),BF120*$BI120),0)</f>
        <v>4.615384615384615</v>
      </c>
      <c r="DJ120" s="5">
        <f ca="1">IF($BI120&lt;&gt;"",IF('Capacity summary'!$C$14="Yes",IF(COUNTBLANK('Capacity summary'!$H32:$BG32)&lt;52,IF('Capacity summary'!BG32&lt;&gt;"",IF(LOWER('Capacity summary'!BG32)="x",$BI120*BG120,VALUE('Capacity summary'!BG32)),0),BG120*$BI120),BG120*$BI120),0)</f>
        <v>4.615384615384615</v>
      </c>
      <c r="DK120" s="388">
        <f t="shared" ca="1" si="8"/>
        <v>4.615384615384615</v>
      </c>
      <c r="DL120" s="5">
        <f t="shared" ca="1" si="9"/>
        <v>239.99999999999991</v>
      </c>
    </row>
    <row r="121" spans="3:116" x14ac:dyDescent="0.2">
      <c r="C121" s="67" t="str">
        <f>ROW(A10)&amp;". "&amp;Capacity!N26</f>
        <v>10. 44349</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 ca="1">IF(ROW(A10)&lt;=Capacity!$M$16,IF('Capacity summary'!$C$14="No",SUM(H121:BG121),'Capacity summary'!$E33),0)</f>
        <v>52</v>
      </c>
      <c r="BI121" s="67">
        <f ca="1">IF(BH121&gt;0,IF(BH121&lt;Capacity!Q26,Capacity!R26,Capacity!T26/'Capacity calculation (hide)'!BH121),"")</f>
        <v>4.615384615384615</v>
      </c>
      <c r="BJ121" s="5"/>
      <c r="BK121" s="5">
        <f ca="1">IF($BI121&lt;&gt;"",IF('Capacity summary'!$C$14="Yes",IF(COUNTBLANK('Capacity summary'!$H33:$BG33)&lt;52,IF('Capacity summary'!H33&lt;&gt;"",IF(LOWER('Capacity summary'!H33)="x",$BI121*H121,VALUE('Capacity summary'!H33)),0),H121*$BI121),H121*$BI121),0)</f>
        <v>4.615384615384615</v>
      </c>
      <c r="BL121" s="5">
        <f ca="1">IF($BI121&lt;&gt;"",IF('Capacity summary'!$C$14="Yes",IF(COUNTBLANK('Capacity summary'!$H33:$BG33)&lt;52,IF('Capacity summary'!I33&lt;&gt;"",IF(LOWER('Capacity summary'!I33)="x",$BI121*I121,VALUE('Capacity summary'!I33)),0),I121*$BI121),I121*$BI121),0)</f>
        <v>4.615384615384615</v>
      </c>
      <c r="BM121" s="5">
        <f ca="1">IF($BI121&lt;&gt;"",IF('Capacity summary'!$C$14="Yes",IF(COUNTBLANK('Capacity summary'!$H33:$BG33)&lt;52,IF('Capacity summary'!J33&lt;&gt;"",IF(LOWER('Capacity summary'!J33)="x",$BI121*J121,VALUE('Capacity summary'!J33)),0),J121*$BI121),J121*$BI121),0)</f>
        <v>4.615384615384615</v>
      </c>
      <c r="BN121" s="5">
        <f ca="1">IF($BI121&lt;&gt;"",IF('Capacity summary'!$C$14="Yes",IF(COUNTBLANK('Capacity summary'!$H33:$BG33)&lt;52,IF('Capacity summary'!K33&lt;&gt;"",IF(LOWER('Capacity summary'!K33)="x",$BI121*K121,VALUE('Capacity summary'!K33)),0),K121*$BI121),K121*$BI121),0)</f>
        <v>4.615384615384615</v>
      </c>
      <c r="BO121" s="5">
        <f ca="1">IF($BI121&lt;&gt;"",IF('Capacity summary'!$C$14="Yes",IF(COUNTBLANK('Capacity summary'!$H33:$BG33)&lt;52,IF('Capacity summary'!L33&lt;&gt;"",IF(LOWER('Capacity summary'!L33)="x",$BI121*L121,VALUE('Capacity summary'!L33)),0),L121*$BI121),L121*$BI121),0)</f>
        <v>4.615384615384615</v>
      </c>
      <c r="BP121" s="5">
        <f ca="1">IF($BI121&lt;&gt;"",IF('Capacity summary'!$C$14="Yes",IF(COUNTBLANK('Capacity summary'!$H33:$BG33)&lt;52,IF('Capacity summary'!M33&lt;&gt;"",IF(LOWER('Capacity summary'!M33)="x",$BI121*M121,VALUE('Capacity summary'!M33)),0),M121*$BI121),M121*$BI121),0)</f>
        <v>4.615384615384615</v>
      </c>
      <c r="BQ121" s="5">
        <f ca="1">IF($BI121&lt;&gt;"",IF('Capacity summary'!$C$14="Yes",IF(COUNTBLANK('Capacity summary'!$H33:$BG33)&lt;52,IF('Capacity summary'!N33&lt;&gt;"",IF(LOWER('Capacity summary'!N33)="x",$BI121*N121,VALUE('Capacity summary'!N33)),0),N121*$BI121),N121*$BI121),0)</f>
        <v>4.615384615384615</v>
      </c>
      <c r="BR121" s="5">
        <f ca="1">IF($BI121&lt;&gt;"",IF('Capacity summary'!$C$14="Yes",IF(COUNTBLANK('Capacity summary'!$H33:$BG33)&lt;52,IF('Capacity summary'!O33&lt;&gt;"",IF(LOWER('Capacity summary'!O33)="x",$BI121*O121,VALUE('Capacity summary'!O33)),0),O121*$BI121),O121*$BI121),0)</f>
        <v>4.615384615384615</v>
      </c>
      <c r="BS121" s="5">
        <f ca="1">IF($BI121&lt;&gt;"",IF('Capacity summary'!$C$14="Yes",IF(COUNTBLANK('Capacity summary'!$H33:$BG33)&lt;52,IF('Capacity summary'!P33&lt;&gt;"",IF(LOWER('Capacity summary'!P33)="x",$BI121*P121,VALUE('Capacity summary'!P33)),0),P121*$BI121),P121*$BI121),0)</f>
        <v>4.615384615384615</v>
      </c>
      <c r="BT121" s="5">
        <f ca="1">IF($BI121&lt;&gt;"",IF('Capacity summary'!$C$14="Yes",IF(COUNTBLANK('Capacity summary'!$H33:$BG33)&lt;52,IF('Capacity summary'!Q33&lt;&gt;"",IF(LOWER('Capacity summary'!Q33)="x",$BI121*Q121,VALUE('Capacity summary'!Q33)),0),Q121*$BI121),Q121*$BI121),0)</f>
        <v>4.615384615384615</v>
      </c>
      <c r="BU121" s="5">
        <f ca="1">IF($BI121&lt;&gt;"",IF('Capacity summary'!$C$14="Yes",IF(COUNTBLANK('Capacity summary'!$H33:$BG33)&lt;52,IF('Capacity summary'!R33&lt;&gt;"",IF(LOWER('Capacity summary'!R33)="x",$BI121*R121,VALUE('Capacity summary'!R33)),0),R121*$BI121),R121*$BI121),0)</f>
        <v>4.615384615384615</v>
      </c>
      <c r="BV121" s="5">
        <f ca="1">IF($BI121&lt;&gt;"",IF('Capacity summary'!$C$14="Yes",IF(COUNTBLANK('Capacity summary'!$H33:$BG33)&lt;52,IF('Capacity summary'!S33&lt;&gt;"",IF(LOWER('Capacity summary'!S33)="x",$BI121*S121,VALUE('Capacity summary'!S33)),0),S121*$BI121),S121*$BI121),0)</f>
        <v>4.615384615384615</v>
      </c>
      <c r="BW121" s="5">
        <f ca="1">IF($BI121&lt;&gt;"",IF('Capacity summary'!$C$14="Yes",IF(COUNTBLANK('Capacity summary'!$H33:$BG33)&lt;52,IF('Capacity summary'!T33&lt;&gt;"",IF(LOWER('Capacity summary'!T33)="x",$BI121*T121,VALUE('Capacity summary'!T33)),0),T121*$BI121),T121*$BI121),0)</f>
        <v>4.615384615384615</v>
      </c>
      <c r="BX121" s="5">
        <f ca="1">IF($BI121&lt;&gt;"",IF('Capacity summary'!$C$14="Yes",IF(COUNTBLANK('Capacity summary'!$H33:$BG33)&lt;52,IF('Capacity summary'!U33&lt;&gt;"",IF(LOWER('Capacity summary'!U33)="x",$BI121*U121,VALUE('Capacity summary'!U33)),0),U121*$BI121),U121*$BI121),0)</f>
        <v>4.615384615384615</v>
      </c>
      <c r="BY121" s="5">
        <f ca="1">IF($BI121&lt;&gt;"",IF('Capacity summary'!$C$14="Yes",IF(COUNTBLANK('Capacity summary'!$H33:$BG33)&lt;52,IF('Capacity summary'!V33&lt;&gt;"",IF(LOWER('Capacity summary'!V33)="x",$BI121*V121,VALUE('Capacity summary'!V33)),0),V121*$BI121),V121*$BI121),0)</f>
        <v>4.615384615384615</v>
      </c>
      <c r="BZ121" s="5">
        <f ca="1">IF($BI121&lt;&gt;"",IF('Capacity summary'!$C$14="Yes",IF(COUNTBLANK('Capacity summary'!$H33:$BG33)&lt;52,IF('Capacity summary'!W33&lt;&gt;"",IF(LOWER('Capacity summary'!W33)="x",$BI121*W121,VALUE('Capacity summary'!W33)),0),W121*$BI121),W121*$BI121),0)</f>
        <v>4.615384615384615</v>
      </c>
      <c r="CA121" s="5">
        <f ca="1">IF($BI121&lt;&gt;"",IF('Capacity summary'!$C$14="Yes",IF(COUNTBLANK('Capacity summary'!$H33:$BG33)&lt;52,IF('Capacity summary'!X33&lt;&gt;"",IF(LOWER('Capacity summary'!X33)="x",$BI121*X121,VALUE('Capacity summary'!X33)),0),X121*$BI121),X121*$BI121),0)</f>
        <v>4.615384615384615</v>
      </c>
      <c r="CB121" s="5">
        <f ca="1">IF($BI121&lt;&gt;"",IF('Capacity summary'!$C$14="Yes",IF(COUNTBLANK('Capacity summary'!$H33:$BG33)&lt;52,IF('Capacity summary'!Y33&lt;&gt;"",IF(LOWER('Capacity summary'!Y33)="x",$BI121*Y121,VALUE('Capacity summary'!Y33)),0),Y121*$BI121),Y121*$BI121),0)</f>
        <v>4.615384615384615</v>
      </c>
      <c r="CC121" s="5">
        <f ca="1">IF($BI121&lt;&gt;"",IF('Capacity summary'!$C$14="Yes",IF(COUNTBLANK('Capacity summary'!$H33:$BG33)&lt;52,IF('Capacity summary'!Z33&lt;&gt;"",IF(LOWER('Capacity summary'!Z33)="x",$BI121*Z121,VALUE('Capacity summary'!Z33)),0),Z121*$BI121),Z121*$BI121),0)</f>
        <v>4.615384615384615</v>
      </c>
      <c r="CD121" s="5">
        <f ca="1">IF($BI121&lt;&gt;"",IF('Capacity summary'!$C$14="Yes",IF(COUNTBLANK('Capacity summary'!$H33:$BG33)&lt;52,IF('Capacity summary'!AA33&lt;&gt;"",IF(LOWER('Capacity summary'!AA33)="x",$BI121*AA121,VALUE('Capacity summary'!AA33)),0),AA121*$BI121),AA121*$BI121),0)</f>
        <v>4.615384615384615</v>
      </c>
      <c r="CE121" s="5">
        <f ca="1">IF($BI121&lt;&gt;"",IF('Capacity summary'!$C$14="Yes",IF(COUNTBLANK('Capacity summary'!$H33:$BG33)&lt;52,IF('Capacity summary'!AB33&lt;&gt;"",IF(LOWER('Capacity summary'!AB33)="x",$BI121*AB121,VALUE('Capacity summary'!AB33)),0),AB121*$BI121),AB121*$BI121),0)</f>
        <v>4.615384615384615</v>
      </c>
      <c r="CF121" s="5">
        <f ca="1">IF($BI121&lt;&gt;"",IF('Capacity summary'!$C$14="Yes",IF(COUNTBLANK('Capacity summary'!$H33:$BG33)&lt;52,IF('Capacity summary'!AC33&lt;&gt;"",IF(LOWER('Capacity summary'!AC33)="x",$BI121*AC121,VALUE('Capacity summary'!AC33)),0),AC121*$BI121),AC121*$BI121),0)</f>
        <v>4.615384615384615</v>
      </c>
      <c r="CG121" s="5">
        <f ca="1">IF($BI121&lt;&gt;"",IF('Capacity summary'!$C$14="Yes",IF(COUNTBLANK('Capacity summary'!$H33:$BG33)&lt;52,IF('Capacity summary'!AD33&lt;&gt;"",IF(LOWER('Capacity summary'!AD33)="x",$BI121*AD121,VALUE('Capacity summary'!AD33)),0),AD121*$BI121),AD121*$BI121),0)</f>
        <v>4.615384615384615</v>
      </c>
      <c r="CH121" s="5">
        <f ca="1">IF($BI121&lt;&gt;"",IF('Capacity summary'!$C$14="Yes",IF(COUNTBLANK('Capacity summary'!$H33:$BG33)&lt;52,IF('Capacity summary'!AE33&lt;&gt;"",IF(LOWER('Capacity summary'!AE33)="x",$BI121*AE121,VALUE('Capacity summary'!AE33)),0),AE121*$BI121),AE121*$BI121),0)</f>
        <v>4.615384615384615</v>
      </c>
      <c r="CI121" s="5">
        <f ca="1">IF($BI121&lt;&gt;"",IF('Capacity summary'!$C$14="Yes",IF(COUNTBLANK('Capacity summary'!$H33:$BG33)&lt;52,IF('Capacity summary'!AF33&lt;&gt;"",IF(LOWER('Capacity summary'!AF33)="x",$BI121*AF121,VALUE('Capacity summary'!AF33)),0),AF121*$BI121),AF121*$BI121),0)</f>
        <v>4.615384615384615</v>
      </c>
      <c r="CJ121" s="5">
        <f ca="1">IF($BI121&lt;&gt;"",IF('Capacity summary'!$C$14="Yes",IF(COUNTBLANK('Capacity summary'!$H33:$BG33)&lt;52,IF('Capacity summary'!AG33&lt;&gt;"",IF(LOWER('Capacity summary'!AG33)="x",$BI121*AG121,VALUE('Capacity summary'!AG33)),0),AG121*$BI121),AG121*$BI121),0)</f>
        <v>4.615384615384615</v>
      </c>
      <c r="CK121" s="5">
        <f ca="1">IF($BI121&lt;&gt;"",IF('Capacity summary'!$C$14="Yes",IF(COUNTBLANK('Capacity summary'!$H33:$BG33)&lt;52,IF('Capacity summary'!AH33&lt;&gt;"",IF(LOWER('Capacity summary'!AH33)="x",$BI121*AH121,VALUE('Capacity summary'!AH33)),0),AH121*$BI121),AH121*$BI121),0)</f>
        <v>4.615384615384615</v>
      </c>
      <c r="CL121" s="5">
        <f ca="1">IF($BI121&lt;&gt;"",IF('Capacity summary'!$C$14="Yes",IF(COUNTBLANK('Capacity summary'!$H33:$BG33)&lt;52,IF('Capacity summary'!AI33&lt;&gt;"",IF(LOWER('Capacity summary'!AI33)="x",$BI121*AI121,VALUE('Capacity summary'!AI33)),0),AI121*$BI121),AI121*$BI121),0)</f>
        <v>4.615384615384615</v>
      </c>
      <c r="CM121" s="5">
        <f ca="1">IF($BI121&lt;&gt;"",IF('Capacity summary'!$C$14="Yes",IF(COUNTBLANK('Capacity summary'!$H33:$BG33)&lt;52,IF('Capacity summary'!AJ33&lt;&gt;"",IF(LOWER('Capacity summary'!AJ33)="x",$BI121*AJ121,VALUE('Capacity summary'!AJ33)),0),AJ121*$BI121),AJ121*$BI121),0)</f>
        <v>4.615384615384615</v>
      </c>
      <c r="CN121" s="5">
        <f ca="1">IF($BI121&lt;&gt;"",IF('Capacity summary'!$C$14="Yes",IF(COUNTBLANK('Capacity summary'!$H33:$BG33)&lt;52,IF('Capacity summary'!AK33&lt;&gt;"",IF(LOWER('Capacity summary'!AK33)="x",$BI121*AK121,VALUE('Capacity summary'!AK33)),0),AK121*$BI121),AK121*$BI121),0)</f>
        <v>4.615384615384615</v>
      </c>
      <c r="CO121" s="5">
        <f ca="1">IF($BI121&lt;&gt;"",IF('Capacity summary'!$C$14="Yes",IF(COUNTBLANK('Capacity summary'!$H33:$BG33)&lt;52,IF('Capacity summary'!AL33&lt;&gt;"",IF(LOWER('Capacity summary'!AL33)="x",$BI121*AL121,VALUE('Capacity summary'!AL33)),0),AL121*$BI121),AL121*$BI121),0)</f>
        <v>4.615384615384615</v>
      </c>
      <c r="CP121" s="5">
        <f ca="1">IF($BI121&lt;&gt;"",IF('Capacity summary'!$C$14="Yes",IF(COUNTBLANK('Capacity summary'!$H33:$BG33)&lt;52,IF('Capacity summary'!AM33&lt;&gt;"",IF(LOWER('Capacity summary'!AM33)="x",$BI121*AM121,VALUE('Capacity summary'!AM33)),0),AM121*$BI121),AM121*$BI121),0)</f>
        <v>4.615384615384615</v>
      </c>
      <c r="CQ121" s="5">
        <f ca="1">IF($BI121&lt;&gt;"",IF('Capacity summary'!$C$14="Yes",IF(COUNTBLANK('Capacity summary'!$H33:$BG33)&lt;52,IF('Capacity summary'!AN33&lt;&gt;"",IF(LOWER('Capacity summary'!AN33)="x",$BI121*AN121,VALUE('Capacity summary'!AN33)),0),AN121*$BI121),AN121*$BI121),0)</f>
        <v>4.615384615384615</v>
      </c>
      <c r="CR121" s="5">
        <f ca="1">IF($BI121&lt;&gt;"",IF('Capacity summary'!$C$14="Yes",IF(COUNTBLANK('Capacity summary'!$H33:$BG33)&lt;52,IF('Capacity summary'!AO33&lt;&gt;"",IF(LOWER('Capacity summary'!AO33)="x",$BI121*AO121,VALUE('Capacity summary'!AO33)),0),AO121*$BI121),AO121*$BI121),0)</f>
        <v>4.615384615384615</v>
      </c>
      <c r="CS121" s="5">
        <f ca="1">IF($BI121&lt;&gt;"",IF('Capacity summary'!$C$14="Yes",IF(COUNTBLANK('Capacity summary'!$H33:$BG33)&lt;52,IF('Capacity summary'!AP33&lt;&gt;"",IF(LOWER('Capacity summary'!AP33)="x",$BI121*AP121,VALUE('Capacity summary'!AP33)),0),AP121*$BI121),AP121*$BI121),0)</f>
        <v>4.615384615384615</v>
      </c>
      <c r="CT121" s="5">
        <f ca="1">IF($BI121&lt;&gt;"",IF('Capacity summary'!$C$14="Yes",IF(COUNTBLANK('Capacity summary'!$H33:$BG33)&lt;52,IF('Capacity summary'!AQ33&lt;&gt;"",IF(LOWER('Capacity summary'!AQ33)="x",$BI121*AQ121,VALUE('Capacity summary'!AQ33)),0),AQ121*$BI121),AQ121*$BI121),0)</f>
        <v>4.615384615384615</v>
      </c>
      <c r="CU121" s="5">
        <f ca="1">IF($BI121&lt;&gt;"",IF('Capacity summary'!$C$14="Yes",IF(COUNTBLANK('Capacity summary'!$H33:$BG33)&lt;52,IF('Capacity summary'!AR33&lt;&gt;"",IF(LOWER('Capacity summary'!AR33)="x",$BI121*AR121,VALUE('Capacity summary'!AR33)),0),AR121*$BI121),AR121*$BI121),0)</f>
        <v>4.615384615384615</v>
      </c>
      <c r="CV121" s="5">
        <f ca="1">IF($BI121&lt;&gt;"",IF('Capacity summary'!$C$14="Yes",IF(COUNTBLANK('Capacity summary'!$H33:$BG33)&lt;52,IF('Capacity summary'!AS33&lt;&gt;"",IF(LOWER('Capacity summary'!AS33)="x",$BI121*AS121,VALUE('Capacity summary'!AS33)),0),AS121*$BI121),AS121*$BI121),0)</f>
        <v>4.615384615384615</v>
      </c>
      <c r="CW121" s="5">
        <f ca="1">IF($BI121&lt;&gt;"",IF('Capacity summary'!$C$14="Yes",IF(COUNTBLANK('Capacity summary'!$H33:$BG33)&lt;52,IF('Capacity summary'!AT33&lt;&gt;"",IF(LOWER('Capacity summary'!AT33)="x",$BI121*AT121,VALUE('Capacity summary'!AT33)),0),AT121*$BI121),AT121*$BI121),0)</f>
        <v>4.615384615384615</v>
      </c>
      <c r="CX121" s="5">
        <f ca="1">IF($BI121&lt;&gt;"",IF('Capacity summary'!$C$14="Yes",IF(COUNTBLANK('Capacity summary'!$H33:$BG33)&lt;52,IF('Capacity summary'!AU33&lt;&gt;"",IF(LOWER('Capacity summary'!AU33)="x",$BI121*AU121,VALUE('Capacity summary'!AU33)),0),AU121*$BI121),AU121*$BI121),0)</f>
        <v>4.615384615384615</v>
      </c>
      <c r="CY121" s="5">
        <f ca="1">IF($BI121&lt;&gt;"",IF('Capacity summary'!$C$14="Yes",IF(COUNTBLANK('Capacity summary'!$H33:$BG33)&lt;52,IF('Capacity summary'!AV33&lt;&gt;"",IF(LOWER('Capacity summary'!AV33)="x",$BI121*AV121,VALUE('Capacity summary'!AV33)),0),AV121*$BI121),AV121*$BI121),0)</f>
        <v>4.615384615384615</v>
      </c>
      <c r="CZ121" s="5">
        <f ca="1">IF($BI121&lt;&gt;"",IF('Capacity summary'!$C$14="Yes",IF(COUNTBLANK('Capacity summary'!$H33:$BG33)&lt;52,IF('Capacity summary'!AW33&lt;&gt;"",IF(LOWER('Capacity summary'!AW33)="x",$BI121*AW121,VALUE('Capacity summary'!AW33)),0),AW121*$BI121),AW121*$BI121),0)</f>
        <v>4.615384615384615</v>
      </c>
      <c r="DA121" s="5">
        <f ca="1">IF($BI121&lt;&gt;"",IF('Capacity summary'!$C$14="Yes",IF(COUNTBLANK('Capacity summary'!$H33:$BG33)&lt;52,IF('Capacity summary'!AX33&lt;&gt;"",IF(LOWER('Capacity summary'!AX33)="x",$BI121*AX121,VALUE('Capacity summary'!AX33)),0),AX121*$BI121),AX121*$BI121),0)</f>
        <v>4.615384615384615</v>
      </c>
      <c r="DB121" s="5">
        <f ca="1">IF($BI121&lt;&gt;"",IF('Capacity summary'!$C$14="Yes",IF(COUNTBLANK('Capacity summary'!$H33:$BG33)&lt;52,IF('Capacity summary'!AY33&lt;&gt;"",IF(LOWER('Capacity summary'!AY33)="x",$BI121*AY121,VALUE('Capacity summary'!AY33)),0),AY121*$BI121),AY121*$BI121),0)</f>
        <v>4.615384615384615</v>
      </c>
      <c r="DC121" s="5">
        <f ca="1">IF($BI121&lt;&gt;"",IF('Capacity summary'!$C$14="Yes",IF(COUNTBLANK('Capacity summary'!$H33:$BG33)&lt;52,IF('Capacity summary'!AZ33&lt;&gt;"",IF(LOWER('Capacity summary'!AZ33)="x",$BI121*AZ121,VALUE('Capacity summary'!AZ33)),0),AZ121*$BI121),AZ121*$BI121),0)</f>
        <v>4.615384615384615</v>
      </c>
      <c r="DD121" s="5">
        <f ca="1">IF($BI121&lt;&gt;"",IF('Capacity summary'!$C$14="Yes",IF(COUNTBLANK('Capacity summary'!$H33:$BG33)&lt;52,IF('Capacity summary'!BA33&lt;&gt;"",IF(LOWER('Capacity summary'!BA33)="x",$BI121*BA121,VALUE('Capacity summary'!BA33)),0),BA121*$BI121),BA121*$BI121),0)</f>
        <v>4.615384615384615</v>
      </c>
      <c r="DE121" s="5">
        <f ca="1">IF($BI121&lt;&gt;"",IF('Capacity summary'!$C$14="Yes",IF(COUNTBLANK('Capacity summary'!$H33:$BG33)&lt;52,IF('Capacity summary'!BB33&lt;&gt;"",IF(LOWER('Capacity summary'!BB33)="x",$BI121*BB121,VALUE('Capacity summary'!BB33)),0),BB121*$BI121),BB121*$BI121),0)</f>
        <v>4.615384615384615</v>
      </c>
      <c r="DF121" s="5">
        <f ca="1">IF($BI121&lt;&gt;"",IF('Capacity summary'!$C$14="Yes",IF(COUNTBLANK('Capacity summary'!$H33:$BG33)&lt;52,IF('Capacity summary'!BC33&lt;&gt;"",IF(LOWER('Capacity summary'!BC33)="x",$BI121*BC121,VALUE('Capacity summary'!BC33)),0),BC121*$BI121),BC121*$BI121),0)</f>
        <v>4.615384615384615</v>
      </c>
      <c r="DG121" s="5">
        <f ca="1">IF($BI121&lt;&gt;"",IF('Capacity summary'!$C$14="Yes",IF(COUNTBLANK('Capacity summary'!$H33:$BG33)&lt;52,IF('Capacity summary'!BD33&lt;&gt;"",IF(LOWER('Capacity summary'!BD33)="x",$BI121*BD121,VALUE('Capacity summary'!BD33)),0),BD121*$BI121),BD121*$BI121),0)</f>
        <v>4.615384615384615</v>
      </c>
      <c r="DH121" s="5">
        <f ca="1">IF($BI121&lt;&gt;"",IF('Capacity summary'!$C$14="Yes",IF(COUNTBLANK('Capacity summary'!$H33:$BG33)&lt;52,IF('Capacity summary'!BE33&lt;&gt;"",IF(LOWER('Capacity summary'!BE33)="x",$BI121*BE121,VALUE('Capacity summary'!BE33)),0),BE121*$BI121),BE121*$BI121),0)</f>
        <v>4.615384615384615</v>
      </c>
      <c r="DI121" s="5">
        <f ca="1">IF($BI121&lt;&gt;"",IF('Capacity summary'!$C$14="Yes",IF(COUNTBLANK('Capacity summary'!$H33:$BG33)&lt;52,IF('Capacity summary'!BF33&lt;&gt;"",IF(LOWER('Capacity summary'!BF33)="x",$BI121*BF121,VALUE('Capacity summary'!BF33)),0),BF121*$BI121),BF121*$BI121),0)</f>
        <v>4.615384615384615</v>
      </c>
      <c r="DJ121" s="5">
        <f ca="1">IF($BI121&lt;&gt;"",IF('Capacity summary'!$C$14="Yes",IF(COUNTBLANK('Capacity summary'!$H33:$BG33)&lt;52,IF('Capacity summary'!BG33&lt;&gt;"",IF(LOWER('Capacity summary'!BG33)="x",$BI121*BG121,VALUE('Capacity summary'!BG33)),0),BG121*$BI121),BG121*$BI121),0)</f>
        <v>4.615384615384615</v>
      </c>
      <c r="DK121" s="388">
        <f t="shared" ca="1" si="8"/>
        <v>4.615384615384615</v>
      </c>
      <c r="DL121" s="5">
        <f t="shared" ca="1" si="9"/>
        <v>239.99999999999991</v>
      </c>
    </row>
    <row r="122" spans="3:116" x14ac:dyDescent="0.2">
      <c r="C122" s="67" t="str">
        <f>ROW(A11)&amp;". "&amp;Capacity!N27</f>
        <v>11. 44356</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 ca="1">IF(ROW(A11)&lt;=Capacity!$M$16,IF('Capacity summary'!$C$14="No",SUM(H122:BG122),'Capacity summary'!$E34),0)</f>
        <v>52</v>
      </c>
      <c r="BI122" s="67">
        <f ca="1">IF(BH122&gt;0,IF(BH122&lt;Capacity!Q27,Capacity!R27,Capacity!T27/'Capacity calculation (hide)'!BH122),"")</f>
        <v>4.615384615384615</v>
      </c>
      <c r="BJ122" s="5"/>
      <c r="BK122" s="5">
        <f ca="1">IF($BI122&lt;&gt;"",IF('Capacity summary'!$C$14="Yes",IF(COUNTBLANK('Capacity summary'!$H34:$BG34)&lt;52,IF('Capacity summary'!H34&lt;&gt;"",IF(LOWER('Capacity summary'!H34)="x",$BI122*H122,VALUE('Capacity summary'!H34)),0),H122*$BI122),H122*$BI122),0)</f>
        <v>4.615384615384615</v>
      </c>
      <c r="BL122" s="5">
        <f ca="1">IF($BI122&lt;&gt;"",IF('Capacity summary'!$C$14="Yes",IF(COUNTBLANK('Capacity summary'!$H34:$BG34)&lt;52,IF('Capacity summary'!I34&lt;&gt;"",IF(LOWER('Capacity summary'!I34)="x",$BI122*I122,VALUE('Capacity summary'!I34)),0),I122*$BI122),I122*$BI122),0)</f>
        <v>4.615384615384615</v>
      </c>
      <c r="BM122" s="5">
        <f ca="1">IF($BI122&lt;&gt;"",IF('Capacity summary'!$C$14="Yes",IF(COUNTBLANK('Capacity summary'!$H34:$BG34)&lt;52,IF('Capacity summary'!J34&lt;&gt;"",IF(LOWER('Capacity summary'!J34)="x",$BI122*J122,VALUE('Capacity summary'!J34)),0),J122*$BI122),J122*$BI122),0)</f>
        <v>4.615384615384615</v>
      </c>
      <c r="BN122" s="5">
        <f ca="1">IF($BI122&lt;&gt;"",IF('Capacity summary'!$C$14="Yes",IF(COUNTBLANK('Capacity summary'!$H34:$BG34)&lt;52,IF('Capacity summary'!K34&lt;&gt;"",IF(LOWER('Capacity summary'!K34)="x",$BI122*K122,VALUE('Capacity summary'!K34)),0),K122*$BI122),K122*$BI122),0)</f>
        <v>4.615384615384615</v>
      </c>
      <c r="BO122" s="5">
        <f ca="1">IF($BI122&lt;&gt;"",IF('Capacity summary'!$C$14="Yes",IF(COUNTBLANK('Capacity summary'!$H34:$BG34)&lt;52,IF('Capacity summary'!L34&lt;&gt;"",IF(LOWER('Capacity summary'!L34)="x",$BI122*L122,VALUE('Capacity summary'!L34)),0),L122*$BI122),L122*$BI122),0)</f>
        <v>4.615384615384615</v>
      </c>
      <c r="BP122" s="5">
        <f ca="1">IF($BI122&lt;&gt;"",IF('Capacity summary'!$C$14="Yes",IF(COUNTBLANK('Capacity summary'!$H34:$BG34)&lt;52,IF('Capacity summary'!M34&lt;&gt;"",IF(LOWER('Capacity summary'!M34)="x",$BI122*M122,VALUE('Capacity summary'!M34)),0),M122*$BI122),M122*$BI122),0)</f>
        <v>4.615384615384615</v>
      </c>
      <c r="BQ122" s="5">
        <f ca="1">IF($BI122&lt;&gt;"",IF('Capacity summary'!$C$14="Yes",IF(COUNTBLANK('Capacity summary'!$H34:$BG34)&lt;52,IF('Capacity summary'!N34&lt;&gt;"",IF(LOWER('Capacity summary'!N34)="x",$BI122*N122,VALUE('Capacity summary'!N34)),0),N122*$BI122),N122*$BI122),0)</f>
        <v>4.615384615384615</v>
      </c>
      <c r="BR122" s="5">
        <f ca="1">IF($BI122&lt;&gt;"",IF('Capacity summary'!$C$14="Yes",IF(COUNTBLANK('Capacity summary'!$H34:$BG34)&lt;52,IF('Capacity summary'!O34&lt;&gt;"",IF(LOWER('Capacity summary'!O34)="x",$BI122*O122,VALUE('Capacity summary'!O34)),0),O122*$BI122),O122*$BI122),0)</f>
        <v>4.615384615384615</v>
      </c>
      <c r="BS122" s="5">
        <f ca="1">IF($BI122&lt;&gt;"",IF('Capacity summary'!$C$14="Yes",IF(COUNTBLANK('Capacity summary'!$H34:$BG34)&lt;52,IF('Capacity summary'!P34&lt;&gt;"",IF(LOWER('Capacity summary'!P34)="x",$BI122*P122,VALUE('Capacity summary'!P34)),0),P122*$BI122),P122*$BI122),0)</f>
        <v>4.615384615384615</v>
      </c>
      <c r="BT122" s="5">
        <f ca="1">IF($BI122&lt;&gt;"",IF('Capacity summary'!$C$14="Yes",IF(COUNTBLANK('Capacity summary'!$H34:$BG34)&lt;52,IF('Capacity summary'!Q34&lt;&gt;"",IF(LOWER('Capacity summary'!Q34)="x",$BI122*Q122,VALUE('Capacity summary'!Q34)),0),Q122*$BI122),Q122*$BI122),0)</f>
        <v>4.615384615384615</v>
      </c>
      <c r="BU122" s="5">
        <f ca="1">IF($BI122&lt;&gt;"",IF('Capacity summary'!$C$14="Yes",IF(COUNTBLANK('Capacity summary'!$H34:$BG34)&lt;52,IF('Capacity summary'!R34&lt;&gt;"",IF(LOWER('Capacity summary'!R34)="x",$BI122*R122,VALUE('Capacity summary'!R34)),0),R122*$BI122),R122*$BI122),0)</f>
        <v>4.615384615384615</v>
      </c>
      <c r="BV122" s="5">
        <f ca="1">IF($BI122&lt;&gt;"",IF('Capacity summary'!$C$14="Yes",IF(COUNTBLANK('Capacity summary'!$H34:$BG34)&lt;52,IF('Capacity summary'!S34&lt;&gt;"",IF(LOWER('Capacity summary'!S34)="x",$BI122*S122,VALUE('Capacity summary'!S34)),0),S122*$BI122),S122*$BI122),0)</f>
        <v>4.615384615384615</v>
      </c>
      <c r="BW122" s="5">
        <f ca="1">IF($BI122&lt;&gt;"",IF('Capacity summary'!$C$14="Yes",IF(COUNTBLANK('Capacity summary'!$H34:$BG34)&lt;52,IF('Capacity summary'!T34&lt;&gt;"",IF(LOWER('Capacity summary'!T34)="x",$BI122*T122,VALUE('Capacity summary'!T34)),0),T122*$BI122),T122*$BI122),0)</f>
        <v>4.615384615384615</v>
      </c>
      <c r="BX122" s="5">
        <f ca="1">IF($BI122&lt;&gt;"",IF('Capacity summary'!$C$14="Yes",IF(COUNTBLANK('Capacity summary'!$H34:$BG34)&lt;52,IF('Capacity summary'!U34&lt;&gt;"",IF(LOWER('Capacity summary'!U34)="x",$BI122*U122,VALUE('Capacity summary'!U34)),0),U122*$BI122),U122*$BI122),0)</f>
        <v>4.615384615384615</v>
      </c>
      <c r="BY122" s="5">
        <f ca="1">IF($BI122&lt;&gt;"",IF('Capacity summary'!$C$14="Yes",IF(COUNTBLANK('Capacity summary'!$H34:$BG34)&lt;52,IF('Capacity summary'!V34&lt;&gt;"",IF(LOWER('Capacity summary'!V34)="x",$BI122*V122,VALUE('Capacity summary'!V34)),0),V122*$BI122),V122*$BI122),0)</f>
        <v>4.615384615384615</v>
      </c>
      <c r="BZ122" s="5">
        <f ca="1">IF($BI122&lt;&gt;"",IF('Capacity summary'!$C$14="Yes",IF(COUNTBLANK('Capacity summary'!$H34:$BG34)&lt;52,IF('Capacity summary'!W34&lt;&gt;"",IF(LOWER('Capacity summary'!W34)="x",$BI122*W122,VALUE('Capacity summary'!W34)),0),W122*$BI122),W122*$BI122),0)</f>
        <v>4.615384615384615</v>
      </c>
      <c r="CA122" s="5">
        <f ca="1">IF($BI122&lt;&gt;"",IF('Capacity summary'!$C$14="Yes",IF(COUNTBLANK('Capacity summary'!$H34:$BG34)&lt;52,IF('Capacity summary'!X34&lt;&gt;"",IF(LOWER('Capacity summary'!X34)="x",$BI122*X122,VALUE('Capacity summary'!X34)),0),X122*$BI122),X122*$BI122),0)</f>
        <v>4.615384615384615</v>
      </c>
      <c r="CB122" s="5">
        <f ca="1">IF($BI122&lt;&gt;"",IF('Capacity summary'!$C$14="Yes",IF(COUNTBLANK('Capacity summary'!$H34:$BG34)&lt;52,IF('Capacity summary'!Y34&lt;&gt;"",IF(LOWER('Capacity summary'!Y34)="x",$BI122*Y122,VALUE('Capacity summary'!Y34)),0),Y122*$BI122),Y122*$BI122),0)</f>
        <v>4.615384615384615</v>
      </c>
      <c r="CC122" s="5">
        <f ca="1">IF($BI122&lt;&gt;"",IF('Capacity summary'!$C$14="Yes",IF(COUNTBLANK('Capacity summary'!$H34:$BG34)&lt;52,IF('Capacity summary'!Z34&lt;&gt;"",IF(LOWER('Capacity summary'!Z34)="x",$BI122*Z122,VALUE('Capacity summary'!Z34)),0),Z122*$BI122),Z122*$BI122),0)</f>
        <v>4.615384615384615</v>
      </c>
      <c r="CD122" s="5">
        <f ca="1">IF($BI122&lt;&gt;"",IF('Capacity summary'!$C$14="Yes",IF(COUNTBLANK('Capacity summary'!$H34:$BG34)&lt;52,IF('Capacity summary'!AA34&lt;&gt;"",IF(LOWER('Capacity summary'!AA34)="x",$BI122*AA122,VALUE('Capacity summary'!AA34)),0),AA122*$BI122),AA122*$BI122),0)</f>
        <v>4.615384615384615</v>
      </c>
      <c r="CE122" s="5">
        <f ca="1">IF($BI122&lt;&gt;"",IF('Capacity summary'!$C$14="Yes",IF(COUNTBLANK('Capacity summary'!$H34:$BG34)&lt;52,IF('Capacity summary'!AB34&lt;&gt;"",IF(LOWER('Capacity summary'!AB34)="x",$BI122*AB122,VALUE('Capacity summary'!AB34)),0),AB122*$BI122),AB122*$BI122),0)</f>
        <v>4.615384615384615</v>
      </c>
      <c r="CF122" s="5">
        <f ca="1">IF($BI122&lt;&gt;"",IF('Capacity summary'!$C$14="Yes",IF(COUNTBLANK('Capacity summary'!$H34:$BG34)&lt;52,IF('Capacity summary'!AC34&lt;&gt;"",IF(LOWER('Capacity summary'!AC34)="x",$BI122*AC122,VALUE('Capacity summary'!AC34)),0),AC122*$BI122),AC122*$BI122),0)</f>
        <v>4.615384615384615</v>
      </c>
      <c r="CG122" s="5">
        <f ca="1">IF($BI122&lt;&gt;"",IF('Capacity summary'!$C$14="Yes",IF(COUNTBLANK('Capacity summary'!$H34:$BG34)&lt;52,IF('Capacity summary'!AD34&lt;&gt;"",IF(LOWER('Capacity summary'!AD34)="x",$BI122*AD122,VALUE('Capacity summary'!AD34)),0),AD122*$BI122),AD122*$BI122),0)</f>
        <v>4.615384615384615</v>
      </c>
      <c r="CH122" s="5">
        <f ca="1">IF($BI122&lt;&gt;"",IF('Capacity summary'!$C$14="Yes",IF(COUNTBLANK('Capacity summary'!$H34:$BG34)&lt;52,IF('Capacity summary'!AE34&lt;&gt;"",IF(LOWER('Capacity summary'!AE34)="x",$BI122*AE122,VALUE('Capacity summary'!AE34)),0),AE122*$BI122),AE122*$BI122),0)</f>
        <v>4.615384615384615</v>
      </c>
      <c r="CI122" s="5">
        <f ca="1">IF($BI122&lt;&gt;"",IF('Capacity summary'!$C$14="Yes",IF(COUNTBLANK('Capacity summary'!$H34:$BG34)&lt;52,IF('Capacity summary'!AF34&lt;&gt;"",IF(LOWER('Capacity summary'!AF34)="x",$BI122*AF122,VALUE('Capacity summary'!AF34)),0),AF122*$BI122),AF122*$BI122),0)</f>
        <v>4.615384615384615</v>
      </c>
      <c r="CJ122" s="5">
        <f ca="1">IF($BI122&lt;&gt;"",IF('Capacity summary'!$C$14="Yes",IF(COUNTBLANK('Capacity summary'!$H34:$BG34)&lt;52,IF('Capacity summary'!AG34&lt;&gt;"",IF(LOWER('Capacity summary'!AG34)="x",$BI122*AG122,VALUE('Capacity summary'!AG34)),0),AG122*$BI122),AG122*$BI122),0)</f>
        <v>4.615384615384615</v>
      </c>
      <c r="CK122" s="5">
        <f ca="1">IF($BI122&lt;&gt;"",IF('Capacity summary'!$C$14="Yes",IF(COUNTBLANK('Capacity summary'!$H34:$BG34)&lt;52,IF('Capacity summary'!AH34&lt;&gt;"",IF(LOWER('Capacity summary'!AH34)="x",$BI122*AH122,VALUE('Capacity summary'!AH34)),0),AH122*$BI122),AH122*$BI122),0)</f>
        <v>4.615384615384615</v>
      </c>
      <c r="CL122" s="5">
        <f ca="1">IF($BI122&lt;&gt;"",IF('Capacity summary'!$C$14="Yes",IF(COUNTBLANK('Capacity summary'!$H34:$BG34)&lt;52,IF('Capacity summary'!AI34&lt;&gt;"",IF(LOWER('Capacity summary'!AI34)="x",$BI122*AI122,VALUE('Capacity summary'!AI34)),0),AI122*$BI122),AI122*$BI122),0)</f>
        <v>4.615384615384615</v>
      </c>
      <c r="CM122" s="5">
        <f ca="1">IF($BI122&lt;&gt;"",IF('Capacity summary'!$C$14="Yes",IF(COUNTBLANK('Capacity summary'!$H34:$BG34)&lt;52,IF('Capacity summary'!AJ34&lt;&gt;"",IF(LOWER('Capacity summary'!AJ34)="x",$BI122*AJ122,VALUE('Capacity summary'!AJ34)),0),AJ122*$BI122),AJ122*$BI122),0)</f>
        <v>4.615384615384615</v>
      </c>
      <c r="CN122" s="5">
        <f ca="1">IF($BI122&lt;&gt;"",IF('Capacity summary'!$C$14="Yes",IF(COUNTBLANK('Capacity summary'!$H34:$BG34)&lt;52,IF('Capacity summary'!AK34&lt;&gt;"",IF(LOWER('Capacity summary'!AK34)="x",$BI122*AK122,VALUE('Capacity summary'!AK34)),0),AK122*$BI122),AK122*$BI122),0)</f>
        <v>4.615384615384615</v>
      </c>
      <c r="CO122" s="5">
        <f ca="1">IF($BI122&lt;&gt;"",IF('Capacity summary'!$C$14="Yes",IF(COUNTBLANK('Capacity summary'!$H34:$BG34)&lt;52,IF('Capacity summary'!AL34&lt;&gt;"",IF(LOWER('Capacity summary'!AL34)="x",$BI122*AL122,VALUE('Capacity summary'!AL34)),0),AL122*$BI122),AL122*$BI122),0)</f>
        <v>4.615384615384615</v>
      </c>
      <c r="CP122" s="5">
        <f ca="1">IF($BI122&lt;&gt;"",IF('Capacity summary'!$C$14="Yes",IF(COUNTBLANK('Capacity summary'!$H34:$BG34)&lt;52,IF('Capacity summary'!AM34&lt;&gt;"",IF(LOWER('Capacity summary'!AM34)="x",$BI122*AM122,VALUE('Capacity summary'!AM34)),0),AM122*$BI122),AM122*$BI122),0)</f>
        <v>4.615384615384615</v>
      </c>
      <c r="CQ122" s="5">
        <f ca="1">IF($BI122&lt;&gt;"",IF('Capacity summary'!$C$14="Yes",IF(COUNTBLANK('Capacity summary'!$H34:$BG34)&lt;52,IF('Capacity summary'!AN34&lt;&gt;"",IF(LOWER('Capacity summary'!AN34)="x",$BI122*AN122,VALUE('Capacity summary'!AN34)),0),AN122*$BI122),AN122*$BI122),0)</f>
        <v>4.615384615384615</v>
      </c>
      <c r="CR122" s="5">
        <f ca="1">IF($BI122&lt;&gt;"",IF('Capacity summary'!$C$14="Yes",IF(COUNTBLANK('Capacity summary'!$H34:$BG34)&lt;52,IF('Capacity summary'!AO34&lt;&gt;"",IF(LOWER('Capacity summary'!AO34)="x",$BI122*AO122,VALUE('Capacity summary'!AO34)),0),AO122*$BI122),AO122*$BI122),0)</f>
        <v>4.615384615384615</v>
      </c>
      <c r="CS122" s="5">
        <f ca="1">IF($BI122&lt;&gt;"",IF('Capacity summary'!$C$14="Yes",IF(COUNTBLANK('Capacity summary'!$H34:$BG34)&lt;52,IF('Capacity summary'!AP34&lt;&gt;"",IF(LOWER('Capacity summary'!AP34)="x",$BI122*AP122,VALUE('Capacity summary'!AP34)),0),AP122*$BI122),AP122*$BI122),0)</f>
        <v>4.615384615384615</v>
      </c>
      <c r="CT122" s="5">
        <f ca="1">IF($BI122&lt;&gt;"",IF('Capacity summary'!$C$14="Yes",IF(COUNTBLANK('Capacity summary'!$H34:$BG34)&lt;52,IF('Capacity summary'!AQ34&lt;&gt;"",IF(LOWER('Capacity summary'!AQ34)="x",$BI122*AQ122,VALUE('Capacity summary'!AQ34)),0),AQ122*$BI122),AQ122*$BI122),0)</f>
        <v>4.615384615384615</v>
      </c>
      <c r="CU122" s="5">
        <f ca="1">IF($BI122&lt;&gt;"",IF('Capacity summary'!$C$14="Yes",IF(COUNTBLANK('Capacity summary'!$H34:$BG34)&lt;52,IF('Capacity summary'!AR34&lt;&gt;"",IF(LOWER('Capacity summary'!AR34)="x",$BI122*AR122,VALUE('Capacity summary'!AR34)),0),AR122*$BI122),AR122*$BI122),0)</f>
        <v>4.615384615384615</v>
      </c>
      <c r="CV122" s="5">
        <f ca="1">IF($BI122&lt;&gt;"",IF('Capacity summary'!$C$14="Yes",IF(COUNTBLANK('Capacity summary'!$H34:$BG34)&lt;52,IF('Capacity summary'!AS34&lt;&gt;"",IF(LOWER('Capacity summary'!AS34)="x",$BI122*AS122,VALUE('Capacity summary'!AS34)),0),AS122*$BI122),AS122*$BI122),0)</f>
        <v>4.615384615384615</v>
      </c>
      <c r="CW122" s="5">
        <f ca="1">IF($BI122&lt;&gt;"",IF('Capacity summary'!$C$14="Yes",IF(COUNTBLANK('Capacity summary'!$H34:$BG34)&lt;52,IF('Capacity summary'!AT34&lt;&gt;"",IF(LOWER('Capacity summary'!AT34)="x",$BI122*AT122,VALUE('Capacity summary'!AT34)),0),AT122*$BI122),AT122*$BI122),0)</f>
        <v>4.615384615384615</v>
      </c>
      <c r="CX122" s="5">
        <f ca="1">IF($BI122&lt;&gt;"",IF('Capacity summary'!$C$14="Yes",IF(COUNTBLANK('Capacity summary'!$H34:$BG34)&lt;52,IF('Capacity summary'!AU34&lt;&gt;"",IF(LOWER('Capacity summary'!AU34)="x",$BI122*AU122,VALUE('Capacity summary'!AU34)),0),AU122*$BI122),AU122*$BI122),0)</f>
        <v>4.615384615384615</v>
      </c>
      <c r="CY122" s="5">
        <f ca="1">IF($BI122&lt;&gt;"",IF('Capacity summary'!$C$14="Yes",IF(COUNTBLANK('Capacity summary'!$H34:$BG34)&lt;52,IF('Capacity summary'!AV34&lt;&gt;"",IF(LOWER('Capacity summary'!AV34)="x",$BI122*AV122,VALUE('Capacity summary'!AV34)),0),AV122*$BI122),AV122*$BI122),0)</f>
        <v>4.615384615384615</v>
      </c>
      <c r="CZ122" s="5">
        <f ca="1">IF($BI122&lt;&gt;"",IF('Capacity summary'!$C$14="Yes",IF(COUNTBLANK('Capacity summary'!$H34:$BG34)&lt;52,IF('Capacity summary'!AW34&lt;&gt;"",IF(LOWER('Capacity summary'!AW34)="x",$BI122*AW122,VALUE('Capacity summary'!AW34)),0),AW122*$BI122),AW122*$BI122),0)</f>
        <v>4.615384615384615</v>
      </c>
      <c r="DA122" s="5">
        <f ca="1">IF($BI122&lt;&gt;"",IF('Capacity summary'!$C$14="Yes",IF(COUNTBLANK('Capacity summary'!$H34:$BG34)&lt;52,IF('Capacity summary'!AX34&lt;&gt;"",IF(LOWER('Capacity summary'!AX34)="x",$BI122*AX122,VALUE('Capacity summary'!AX34)),0),AX122*$BI122),AX122*$BI122),0)</f>
        <v>4.615384615384615</v>
      </c>
      <c r="DB122" s="5">
        <f ca="1">IF($BI122&lt;&gt;"",IF('Capacity summary'!$C$14="Yes",IF(COUNTBLANK('Capacity summary'!$H34:$BG34)&lt;52,IF('Capacity summary'!AY34&lt;&gt;"",IF(LOWER('Capacity summary'!AY34)="x",$BI122*AY122,VALUE('Capacity summary'!AY34)),0),AY122*$BI122),AY122*$BI122),0)</f>
        <v>4.615384615384615</v>
      </c>
      <c r="DC122" s="5">
        <f ca="1">IF($BI122&lt;&gt;"",IF('Capacity summary'!$C$14="Yes",IF(COUNTBLANK('Capacity summary'!$H34:$BG34)&lt;52,IF('Capacity summary'!AZ34&lt;&gt;"",IF(LOWER('Capacity summary'!AZ34)="x",$BI122*AZ122,VALUE('Capacity summary'!AZ34)),0),AZ122*$BI122),AZ122*$BI122),0)</f>
        <v>4.615384615384615</v>
      </c>
      <c r="DD122" s="5">
        <f ca="1">IF($BI122&lt;&gt;"",IF('Capacity summary'!$C$14="Yes",IF(COUNTBLANK('Capacity summary'!$H34:$BG34)&lt;52,IF('Capacity summary'!BA34&lt;&gt;"",IF(LOWER('Capacity summary'!BA34)="x",$BI122*BA122,VALUE('Capacity summary'!BA34)),0),BA122*$BI122),BA122*$BI122),0)</f>
        <v>4.615384615384615</v>
      </c>
      <c r="DE122" s="5">
        <f ca="1">IF($BI122&lt;&gt;"",IF('Capacity summary'!$C$14="Yes",IF(COUNTBLANK('Capacity summary'!$H34:$BG34)&lt;52,IF('Capacity summary'!BB34&lt;&gt;"",IF(LOWER('Capacity summary'!BB34)="x",$BI122*BB122,VALUE('Capacity summary'!BB34)),0),BB122*$BI122),BB122*$BI122),0)</f>
        <v>4.615384615384615</v>
      </c>
      <c r="DF122" s="5">
        <f ca="1">IF($BI122&lt;&gt;"",IF('Capacity summary'!$C$14="Yes",IF(COUNTBLANK('Capacity summary'!$H34:$BG34)&lt;52,IF('Capacity summary'!BC34&lt;&gt;"",IF(LOWER('Capacity summary'!BC34)="x",$BI122*BC122,VALUE('Capacity summary'!BC34)),0),BC122*$BI122),BC122*$BI122),0)</f>
        <v>4.615384615384615</v>
      </c>
      <c r="DG122" s="5">
        <f ca="1">IF($BI122&lt;&gt;"",IF('Capacity summary'!$C$14="Yes",IF(COUNTBLANK('Capacity summary'!$H34:$BG34)&lt;52,IF('Capacity summary'!BD34&lt;&gt;"",IF(LOWER('Capacity summary'!BD34)="x",$BI122*BD122,VALUE('Capacity summary'!BD34)),0),BD122*$BI122),BD122*$BI122),0)</f>
        <v>4.615384615384615</v>
      </c>
      <c r="DH122" s="5">
        <f ca="1">IF($BI122&lt;&gt;"",IF('Capacity summary'!$C$14="Yes",IF(COUNTBLANK('Capacity summary'!$H34:$BG34)&lt;52,IF('Capacity summary'!BE34&lt;&gt;"",IF(LOWER('Capacity summary'!BE34)="x",$BI122*BE122,VALUE('Capacity summary'!BE34)),0),BE122*$BI122),BE122*$BI122),0)</f>
        <v>4.615384615384615</v>
      </c>
      <c r="DI122" s="5">
        <f ca="1">IF($BI122&lt;&gt;"",IF('Capacity summary'!$C$14="Yes",IF(COUNTBLANK('Capacity summary'!$H34:$BG34)&lt;52,IF('Capacity summary'!BF34&lt;&gt;"",IF(LOWER('Capacity summary'!BF34)="x",$BI122*BF122,VALUE('Capacity summary'!BF34)),0),BF122*$BI122),BF122*$BI122),0)</f>
        <v>4.615384615384615</v>
      </c>
      <c r="DJ122" s="5">
        <f ca="1">IF($BI122&lt;&gt;"",IF('Capacity summary'!$C$14="Yes",IF(COUNTBLANK('Capacity summary'!$H34:$BG34)&lt;52,IF('Capacity summary'!BG34&lt;&gt;"",IF(LOWER('Capacity summary'!BG34)="x",$BI122*BG122,VALUE('Capacity summary'!BG34)),0),BG122*$BI122),BG122*$BI122),0)</f>
        <v>4.615384615384615</v>
      </c>
      <c r="DK122" s="388">
        <f t="shared" ca="1" si="8"/>
        <v>4.615384615384615</v>
      </c>
      <c r="DL122" s="5">
        <f t="shared" ca="1" si="9"/>
        <v>239.99999999999991</v>
      </c>
    </row>
    <row r="123" spans="3:116" x14ac:dyDescent="0.2">
      <c r="C123" s="67" t="str">
        <f>ROW(A12)&amp;". "&amp;Capacity!N28</f>
        <v>12. 44357</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 ca="1">IF(ROW(A12)&lt;=Capacity!$M$16,IF('Capacity summary'!$C$14="No",SUM(H123:BG123),'Capacity summary'!$E35),0)</f>
        <v>52</v>
      </c>
      <c r="BI123" s="67">
        <f ca="1">IF(BH123&gt;0,IF(BH123&lt;Capacity!Q28,Capacity!R28,Capacity!T28/'Capacity calculation (hide)'!BH123),"")</f>
        <v>4.615384615384615</v>
      </c>
      <c r="BJ123" s="5"/>
      <c r="BK123" s="5">
        <f ca="1">IF($BI123&lt;&gt;"",IF('Capacity summary'!$C$14="Yes",IF(COUNTBLANK('Capacity summary'!$H35:$BG35)&lt;52,IF('Capacity summary'!H35&lt;&gt;"",IF(LOWER('Capacity summary'!H35)="x",$BI123*H123,VALUE('Capacity summary'!H35)),0),H123*$BI123),H123*$BI123),0)</f>
        <v>4.615384615384615</v>
      </c>
      <c r="BL123" s="5">
        <f ca="1">IF($BI123&lt;&gt;"",IF('Capacity summary'!$C$14="Yes",IF(COUNTBLANK('Capacity summary'!$H35:$BG35)&lt;52,IF('Capacity summary'!I35&lt;&gt;"",IF(LOWER('Capacity summary'!I35)="x",$BI123*I123,VALUE('Capacity summary'!I35)),0),I123*$BI123),I123*$BI123),0)</f>
        <v>4.615384615384615</v>
      </c>
      <c r="BM123" s="5">
        <f ca="1">IF($BI123&lt;&gt;"",IF('Capacity summary'!$C$14="Yes",IF(COUNTBLANK('Capacity summary'!$H35:$BG35)&lt;52,IF('Capacity summary'!J35&lt;&gt;"",IF(LOWER('Capacity summary'!J35)="x",$BI123*J123,VALUE('Capacity summary'!J35)),0),J123*$BI123),J123*$BI123),0)</f>
        <v>4.615384615384615</v>
      </c>
      <c r="BN123" s="5">
        <f ca="1">IF($BI123&lt;&gt;"",IF('Capacity summary'!$C$14="Yes",IF(COUNTBLANK('Capacity summary'!$H35:$BG35)&lt;52,IF('Capacity summary'!K35&lt;&gt;"",IF(LOWER('Capacity summary'!K35)="x",$BI123*K123,VALUE('Capacity summary'!K35)),0),K123*$BI123),K123*$BI123),0)</f>
        <v>4.615384615384615</v>
      </c>
      <c r="BO123" s="5">
        <f ca="1">IF($BI123&lt;&gt;"",IF('Capacity summary'!$C$14="Yes",IF(COUNTBLANK('Capacity summary'!$H35:$BG35)&lt;52,IF('Capacity summary'!L35&lt;&gt;"",IF(LOWER('Capacity summary'!L35)="x",$BI123*L123,VALUE('Capacity summary'!L35)),0),L123*$BI123),L123*$BI123),0)</f>
        <v>4.615384615384615</v>
      </c>
      <c r="BP123" s="5">
        <f ca="1">IF($BI123&lt;&gt;"",IF('Capacity summary'!$C$14="Yes",IF(COUNTBLANK('Capacity summary'!$H35:$BG35)&lt;52,IF('Capacity summary'!M35&lt;&gt;"",IF(LOWER('Capacity summary'!M35)="x",$BI123*M123,VALUE('Capacity summary'!M35)),0),M123*$BI123),M123*$BI123),0)</f>
        <v>4.615384615384615</v>
      </c>
      <c r="BQ123" s="5">
        <f ca="1">IF($BI123&lt;&gt;"",IF('Capacity summary'!$C$14="Yes",IF(COUNTBLANK('Capacity summary'!$H35:$BG35)&lt;52,IF('Capacity summary'!N35&lt;&gt;"",IF(LOWER('Capacity summary'!N35)="x",$BI123*N123,VALUE('Capacity summary'!N35)),0),N123*$BI123),N123*$BI123),0)</f>
        <v>4.615384615384615</v>
      </c>
      <c r="BR123" s="5">
        <f ca="1">IF($BI123&lt;&gt;"",IF('Capacity summary'!$C$14="Yes",IF(COUNTBLANK('Capacity summary'!$H35:$BG35)&lt;52,IF('Capacity summary'!O35&lt;&gt;"",IF(LOWER('Capacity summary'!O35)="x",$BI123*O123,VALUE('Capacity summary'!O35)),0),O123*$BI123),O123*$BI123),0)</f>
        <v>4.615384615384615</v>
      </c>
      <c r="BS123" s="5">
        <f ca="1">IF($BI123&lt;&gt;"",IF('Capacity summary'!$C$14="Yes",IF(COUNTBLANK('Capacity summary'!$H35:$BG35)&lt;52,IF('Capacity summary'!P35&lt;&gt;"",IF(LOWER('Capacity summary'!P35)="x",$BI123*P123,VALUE('Capacity summary'!P35)),0),P123*$BI123),P123*$BI123),0)</f>
        <v>4.615384615384615</v>
      </c>
      <c r="BT123" s="5">
        <f ca="1">IF($BI123&lt;&gt;"",IF('Capacity summary'!$C$14="Yes",IF(COUNTBLANK('Capacity summary'!$H35:$BG35)&lt;52,IF('Capacity summary'!Q35&lt;&gt;"",IF(LOWER('Capacity summary'!Q35)="x",$BI123*Q123,VALUE('Capacity summary'!Q35)),0),Q123*$BI123),Q123*$BI123),0)</f>
        <v>4.615384615384615</v>
      </c>
      <c r="BU123" s="5">
        <f ca="1">IF($BI123&lt;&gt;"",IF('Capacity summary'!$C$14="Yes",IF(COUNTBLANK('Capacity summary'!$H35:$BG35)&lt;52,IF('Capacity summary'!R35&lt;&gt;"",IF(LOWER('Capacity summary'!R35)="x",$BI123*R123,VALUE('Capacity summary'!R35)),0),R123*$BI123),R123*$BI123),0)</f>
        <v>4.615384615384615</v>
      </c>
      <c r="BV123" s="5">
        <f ca="1">IF($BI123&lt;&gt;"",IF('Capacity summary'!$C$14="Yes",IF(COUNTBLANK('Capacity summary'!$H35:$BG35)&lt;52,IF('Capacity summary'!S35&lt;&gt;"",IF(LOWER('Capacity summary'!S35)="x",$BI123*S123,VALUE('Capacity summary'!S35)),0),S123*$BI123),S123*$BI123),0)</f>
        <v>4.615384615384615</v>
      </c>
      <c r="BW123" s="5">
        <f ca="1">IF($BI123&lt;&gt;"",IF('Capacity summary'!$C$14="Yes",IF(COUNTBLANK('Capacity summary'!$H35:$BG35)&lt;52,IF('Capacity summary'!T35&lt;&gt;"",IF(LOWER('Capacity summary'!T35)="x",$BI123*T123,VALUE('Capacity summary'!T35)),0),T123*$BI123),T123*$BI123),0)</f>
        <v>4.615384615384615</v>
      </c>
      <c r="BX123" s="5">
        <f ca="1">IF($BI123&lt;&gt;"",IF('Capacity summary'!$C$14="Yes",IF(COUNTBLANK('Capacity summary'!$H35:$BG35)&lt;52,IF('Capacity summary'!U35&lt;&gt;"",IF(LOWER('Capacity summary'!U35)="x",$BI123*U123,VALUE('Capacity summary'!U35)),0),U123*$BI123),U123*$BI123),0)</f>
        <v>4.615384615384615</v>
      </c>
      <c r="BY123" s="5">
        <f ca="1">IF($BI123&lt;&gt;"",IF('Capacity summary'!$C$14="Yes",IF(COUNTBLANK('Capacity summary'!$H35:$BG35)&lt;52,IF('Capacity summary'!V35&lt;&gt;"",IF(LOWER('Capacity summary'!V35)="x",$BI123*V123,VALUE('Capacity summary'!V35)),0),V123*$BI123),V123*$BI123),0)</f>
        <v>4.615384615384615</v>
      </c>
      <c r="BZ123" s="5">
        <f ca="1">IF($BI123&lt;&gt;"",IF('Capacity summary'!$C$14="Yes",IF(COUNTBLANK('Capacity summary'!$H35:$BG35)&lt;52,IF('Capacity summary'!W35&lt;&gt;"",IF(LOWER('Capacity summary'!W35)="x",$BI123*W123,VALUE('Capacity summary'!W35)),0),W123*$BI123),W123*$BI123),0)</f>
        <v>4.615384615384615</v>
      </c>
      <c r="CA123" s="5">
        <f ca="1">IF($BI123&lt;&gt;"",IF('Capacity summary'!$C$14="Yes",IF(COUNTBLANK('Capacity summary'!$H35:$BG35)&lt;52,IF('Capacity summary'!X35&lt;&gt;"",IF(LOWER('Capacity summary'!X35)="x",$BI123*X123,VALUE('Capacity summary'!X35)),0),X123*$BI123),X123*$BI123),0)</f>
        <v>4.615384615384615</v>
      </c>
      <c r="CB123" s="5">
        <f ca="1">IF($BI123&lt;&gt;"",IF('Capacity summary'!$C$14="Yes",IF(COUNTBLANK('Capacity summary'!$H35:$BG35)&lt;52,IF('Capacity summary'!Y35&lt;&gt;"",IF(LOWER('Capacity summary'!Y35)="x",$BI123*Y123,VALUE('Capacity summary'!Y35)),0),Y123*$BI123),Y123*$BI123),0)</f>
        <v>4.615384615384615</v>
      </c>
      <c r="CC123" s="5">
        <f ca="1">IF($BI123&lt;&gt;"",IF('Capacity summary'!$C$14="Yes",IF(COUNTBLANK('Capacity summary'!$H35:$BG35)&lt;52,IF('Capacity summary'!Z35&lt;&gt;"",IF(LOWER('Capacity summary'!Z35)="x",$BI123*Z123,VALUE('Capacity summary'!Z35)),0),Z123*$BI123),Z123*$BI123),0)</f>
        <v>4.615384615384615</v>
      </c>
      <c r="CD123" s="5">
        <f ca="1">IF($BI123&lt;&gt;"",IF('Capacity summary'!$C$14="Yes",IF(COUNTBLANK('Capacity summary'!$H35:$BG35)&lt;52,IF('Capacity summary'!AA35&lt;&gt;"",IF(LOWER('Capacity summary'!AA35)="x",$BI123*AA123,VALUE('Capacity summary'!AA35)),0),AA123*$BI123),AA123*$BI123),0)</f>
        <v>4.615384615384615</v>
      </c>
      <c r="CE123" s="5">
        <f ca="1">IF($BI123&lt;&gt;"",IF('Capacity summary'!$C$14="Yes",IF(COUNTBLANK('Capacity summary'!$H35:$BG35)&lt;52,IF('Capacity summary'!AB35&lt;&gt;"",IF(LOWER('Capacity summary'!AB35)="x",$BI123*AB123,VALUE('Capacity summary'!AB35)),0),AB123*$BI123),AB123*$BI123),0)</f>
        <v>4.615384615384615</v>
      </c>
      <c r="CF123" s="5">
        <f ca="1">IF($BI123&lt;&gt;"",IF('Capacity summary'!$C$14="Yes",IF(COUNTBLANK('Capacity summary'!$H35:$BG35)&lt;52,IF('Capacity summary'!AC35&lt;&gt;"",IF(LOWER('Capacity summary'!AC35)="x",$BI123*AC123,VALUE('Capacity summary'!AC35)),0),AC123*$BI123),AC123*$BI123),0)</f>
        <v>4.615384615384615</v>
      </c>
      <c r="CG123" s="5">
        <f ca="1">IF($BI123&lt;&gt;"",IF('Capacity summary'!$C$14="Yes",IF(COUNTBLANK('Capacity summary'!$H35:$BG35)&lt;52,IF('Capacity summary'!AD35&lt;&gt;"",IF(LOWER('Capacity summary'!AD35)="x",$BI123*AD123,VALUE('Capacity summary'!AD35)),0),AD123*$BI123),AD123*$BI123),0)</f>
        <v>4.615384615384615</v>
      </c>
      <c r="CH123" s="5">
        <f ca="1">IF($BI123&lt;&gt;"",IF('Capacity summary'!$C$14="Yes",IF(COUNTBLANK('Capacity summary'!$H35:$BG35)&lt;52,IF('Capacity summary'!AE35&lt;&gt;"",IF(LOWER('Capacity summary'!AE35)="x",$BI123*AE123,VALUE('Capacity summary'!AE35)),0),AE123*$BI123),AE123*$BI123),0)</f>
        <v>4.615384615384615</v>
      </c>
      <c r="CI123" s="5">
        <f ca="1">IF($BI123&lt;&gt;"",IF('Capacity summary'!$C$14="Yes",IF(COUNTBLANK('Capacity summary'!$H35:$BG35)&lt;52,IF('Capacity summary'!AF35&lt;&gt;"",IF(LOWER('Capacity summary'!AF35)="x",$BI123*AF123,VALUE('Capacity summary'!AF35)),0),AF123*$BI123),AF123*$BI123),0)</f>
        <v>4.615384615384615</v>
      </c>
      <c r="CJ123" s="5">
        <f ca="1">IF($BI123&lt;&gt;"",IF('Capacity summary'!$C$14="Yes",IF(COUNTBLANK('Capacity summary'!$H35:$BG35)&lt;52,IF('Capacity summary'!AG35&lt;&gt;"",IF(LOWER('Capacity summary'!AG35)="x",$BI123*AG123,VALUE('Capacity summary'!AG35)),0),AG123*$BI123),AG123*$BI123),0)</f>
        <v>4.615384615384615</v>
      </c>
      <c r="CK123" s="5">
        <f ca="1">IF($BI123&lt;&gt;"",IF('Capacity summary'!$C$14="Yes",IF(COUNTBLANK('Capacity summary'!$H35:$BG35)&lt;52,IF('Capacity summary'!AH35&lt;&gt;"",IF(LOWER('Capacity summary'!AH35)="x",$BI123*AH123,VALUE('Capacity summary'!AH35)),0),AH123*$BI123),AH123*$BI123),0)</f>
        <v>4.615384615384615</v>
      </c>
      <c r="CL123" s="5">
        <f ca="1">IF($BI123&lt;&gt;"",IF('Capacity summary'!$C$14="Yes",IF(COUNTBLANK('Capacity summary'!$H35:$BG35)&lt;52,IF('Capacity summary'!AI35&lt;&gt;"",IF(LOWER('Capacity summary'!AI35)="x",$BI123*AI123,VALUE('Capacity summary'!AI35)),0),AI123*$BI123),AI123*$BI123),0)</f>
        <v>4.615384615384615</v>
      </c>
      <c r="CM123" s="5">
        <f ca="1">IF($BI123&lt;&gt;"",IF('Capacity summary'!$C$14="Yes",IF(COUNTBLANK('Capacity summary'!$H35:$BG35)&lt;52,IF('Capacity summary'!AJ35&lt;&gt;"",IF(LOWER('Capacity summary'!AJ35)="x",$BI123*AJ123,VALUE('Capacity summary'!AJ35)),0),AJ123*$BI123),AJ123*$BI123),0)</f>
        <v>4.615384615384615</v>
      </c>
      <c r="CN123" s="5">
        <f ca="1">IF($BI123&lt;&gt;"",IF('Capacity summary'!$C$14="Yes",IF(COUNTBLANK('Capacity summary'!$H35:$BG35)&lt;52,IF('Capacity summary'!AK35&lt;&gt;"",IF(LOWER('Capacity summary'!AK35)="x",$BI123*AK123,VALUE('Capacity summary'!AK35)),0),AK123*$BI123),AK123*$BI123),0)</f>
        <v>4.615384615384615</v>
      </c>
      <c r="CO123" s="5">
        <f ca="1">IF($BI123&lt;&gt;"",IF('Capacity summary'!$C$14="Yes",IF(COUNTBLANK('Capacity summary'!$H35:$BG35)&lt;52,IF('Capacity summary'!AL35&lt;&gt;"",IF(LOWER('Capacity summary'!AL35)="x",$BI123*AL123,VALUE('Capacity summary'!AL35)),0),AL123*$BI123),AL123*$BI123),0)</f>
        <v>4.615384615384615</v>
      </c>
      <c r="CP123" s="5">
        <f ca="1">IF($BI123&lt;&gt;"",IF('Capacity summary'!$C$14="Yes",IF(COUNTBLANK('Capacity summary'!$H35:$BG35)&lt;52,IF('Capacity summary'!AM35&lt;&gt;"",IF(LOWER('Capacity summary'!AM35)="x",$BI123*AM123,VALUE('Capacity summary'!AM35)),0),AM123*$BI123),AM123*$BI123),0)</f>
        <v>4.615384615384615</v>
      </c>
      <c r="CQ123" s="5">
        <f ca="1">IF($BI123&lt;&gt;"",IF('Capacity summary'!$C$14="Yes",IF(COUNTBLANK('Capacity summary'!$H35:$BG35)&lt;52,IF('Capacity summary'!AN35&lt;&gt;"",IF(LOWER('Capacity summary'!AN35)="x",$BI123*AN123,VALUE('Capacity summary'!AN35)),0),AN123*$BI123),AN123*$BI123),0)</f>
        <v>4.615384615384615</v>
      </c>
      <c r="CR123" s="5">
        <f ca="1">IF($BI123&lt;&gt;"",IF('Capacity summary'!$C$14="Yes",IF(COUNTBLANK('Capacity summary'!$H35:$BG35)&lt;52,IF('Capacity summary'!AO35&lt;&gt;"",IF(LOWER('Capacity summary'!AO35)="x",$BI123*AO123,VALUE('Capacity summary'!AO35)),0),AO123*$BI123),AO123*$BI123),0)</f>
        <v>4.615384615384615</v>
      </c>
      <c r="CS123" s="5">
        <f ca="1">IF($BI123&lt;&gt;"",IF('Capacity summary'!$C$14="Yes",IF(COUNTBLANK('Capacity summary'!$H35:$BG35)&lt;52,IF('Capacity summary'!AP35&lt;&gt;"",IF(LOWER('Capacity summary'!AP35)="x",$BI123*AP123,VALUE('Capacity summary'!AP35)),0),AP123*$BI123),AP123*$BI123),0)</f>
        <v>4.615384615384615</v>
      </c>
      <c r="CT123" s="5">
        <f ca="1">IF($BI123&lt;&gt;"",IF('Capacity summary'!$C$14="Yes",IF(COUNTBLANK('Capacity summary'!$H35:$BG35)&lt;52,IF('Capacity summary'!AQ35&lt;&gt;"",IF(LOWER('Capacity summary'!AQ35)="x",$BI123*AQ123,VALUE('Capacity summary'!AQ35)),0),AQ123*$BI123),AQ123*$BI123),0)</f>
        <v>4.615384615384615</v>
      </c>
      <c r="CU123" s="5">
        <f ca="1">IF($BI123&lt;&gt;"",IF('Capacity summary'!$C$14="Yes",IF(COUNTBLANK('Capacity summary'!$H35:$BG35)&lt;52,IF('Capacity summary'!AR35&lt;&gt;"",IF(LOWER('Capacity summary'!AR35)="x",$BI123*AR123,VALUE('Capacity summary'!AR35)),0),AR123*$BI123),AR123*$BI123),0)</f>
        <v>4.615384615384615</v>
      </c>
      <c r="CV123" s="5">
        <f ca="1">IF($BI123&lt;&gt;"",IF('Capacity summary'!$C$14="Yes",IF(COUNTBLANK('Capacity summary'!$H35:$BG35)&lt;52,IF('Capacity summary'!AS35&lt;&gt;"",IF(LOWER('Capacity summary'!AS35)="x",$BI123*AS123,VALUE('Capacity summary'!AS35)),0),AS123*$BI123),AS123*$BI123),0)</f>
        <v>4.615384615384615</v>
      </c>
      <c r="CW123" s="5">
        <f ca="1">IF($BI123&lt;&gt;"",IF('Capacity summary'!$C$14="Yes",IF(COUNTBLANK('Capacity summary'!$H35:$BG35)&lt;52,IF('Capacity summary'!AT35&lt;&gt;"",IF(LOWER('Capacity summary'!AT35)="x",$BI123*AT123,VALUE('Capacity summary'!AT35)),0),AT123*$BI123),AT123*$BI123),0)</f>
        <v>4.615384615384615</v>
      </c>
      <c r="CX123" s="5">
        <f ca="1">IF($BI123&lt;&gt;"",IF('Capacity summary'!$C$14="Yes",IF(COUNTBLANK('Capacity summary'!$H35:$BG35)&lt;52,IF('Capacity summary'!AU35&lt;&gt;"",IF(LOWER('Capacity summary'!AU35)="x",$BI123*AU123,VALUE('Capacity summary'!AU35)),0),AU123*$BI123),AU123*$BI123),0)</f>
        <v>4.615384615384615</v>
      </c>
      <c r="CY123" s="5">
        <f ca="1">IF($BI123&lt;&gt;"",IF('Capacity summary'!$C$14="Yes",IF(COUNTBLANK('Capacity summary'!$H35:$BG35)&lt;52,IF('Capacity summary'!AV35&lt;&gt;"",IF(LOWER('Capacity summary'!AV35)="x",$BI123*AV123,VALUE('Capacity summary'!AV35)),0),AV123*$BI123),AV123*$BI123),0)</f>
        <v>4.615384615384615</v>
      </c>
      <c r="CZ123" s="5">
        <f ca="1">IF($BI123&lt;&gt;"",IF('Capacity summary'!$C$14="Yes",IF(COUNTBLANK('Capacity summary'!$H35:$BG35)&lt;52,IF('Capacity summary'!AW35&lt;&gt;"",IF(LOWER('Capacity summary'!AW35)="x",$BI123*AW123,VALUE('Capacity summary'!AW35)),0),AW123*$BI123),AW123*$BI123),0)</f>
        <v>4.615384615384615</v>
      </c>
      <c r="DA123" s="5">
        <f ca="1">IF($BI123&lt;&gt;"",IF('Capacity summary'!$C$14="Yes",IF(COUNTBLANK('Capacity summary'!$H35:$BG35)&lt;52,IF('Capacity summary'!AX35&lt;&gt;"",IF(LOWER('Capacity summary'!AX35)="x",$BI123*AX123,VALUE('Capacity summary'!AX35)),0),AX123*$BI123),AX123*$BI123),0)</f>
        <v>4.615384615384615</v>
      </c>
      <c r="DB123" s="5">
        <f ca="1">IF($BI123&lt;&gt;"",IF('Capacity summary'!$C$14="Yes",IF(COUNTBLANK('Capacity summary'!$H35:$BG35)&lt;52,IF('Capacity summary'!AY35&lt;&gt;"",IF(LOWER('Capacity summary'!AY35)="x",$BI123*AY123,VALUE('Capacity summary'!AY35)),0),AY123*$BI123),AY123*$BI123),0)</f>
        <v>4.615384615384615</v>
      </c>
      <c r="DC123" s="5">
        <f ca="1">IF($BI123&lt;&gt;"",IF('Capacity summary'!$C$14="Yes",IF(COUNTBLANK('Capacity summary'!$H35:$BG35)&lt;52,IF('Capacity summary'!AZ35&lt;&gt;"",IF(LOWER('Capacity summary'!AZ35)="x",$BI123*AZ123,VALUE('Capacity summary'!AZ35)),0),AZ123*$BI123),AZ123*$BI123),0)</f>
        <v>4.615384615384615</v>
      </c>
      <c r="DD123" s="5">
        <f ca="1">IF($BI123&lt;&gt;"",IF('Capacity summary'!$C$14="Yes",IF(COUNTBLANK('Capacity summary'!$H35:$BG35)&lt;52,IF('Capacity summary'!BA35&lt;&gt;"",IF(LOWER('Capacity summary'!BA35)="x",$BI123*BA123,VALUE('Capacity summary'!BA35)),0),BA123*$BI123),BA123*$BI123),0)</f>
        <v>4.615384615384615</v>
      </c>
      <c r="DE123" s="5">
        <f ca="1">IF($BI123&lt;&gt;"",IF('Capacity summary'!$C$14="Yes",IF(COUNTBLANK('Capacity summary'!$H35:$BG35)&lt;52,IF('Capacity summary'!BB35&lt;&gt;"",IF(LOWER('Capacity summary'!BB35)="x",$BI123*BB123,VALUE('Capacity summary'!BB35)),0),BB123*$BI123),BB123*$BI123),0)</f>
        <v>4.615384615384615</v>
      </c>
      <c r="DF123" s="5">
        <f ca="1">IF($BI123&lt;&gt;"",IF('Capacity summary'!$C$14="Yes",IF(COUNTBLANK('Capacity summary'!$H35:$BG35)&lt;52,IF('Capacity summary'!BC35&lt;&gt;"",IF(LOWER('Capacity summary'!BC35)="x",$BI123*BC123,VALUE('Capacity summary'!BC35)),0),BC123*$BI123),BC123*$BI123),0)</f>
        <v>4.615384615384615</v>
      </c>
      <c r="DG123" s="5">
        <f ca="1">IF($BI123&lt;&gt;"",IF('Capacity summary'!$C$14="Yes",IF(COUNTBLANK('Capacity summary'!$H35:$BG35)&lt;52,IF('Capacity summary'!BD35&lt;&gt;"",IF(LOWER('Capacity summary'!BD35)="x",$BI123*BD123,VALUE('Capacity summary'!BD35)),0),BD123*$BI123),BD123*$BI123),0)</f>
        <v>4.615384615384615</v>
      </c>
      <c r="DH123" s="5">
        <f ca="1">IF($BI123&lt;&gt;"",IF('Capacity summary'!$C$14="Yes",IF(COUNTBLANK('Capacity summary'!$H35:$BG35)&lt;52,IF('Capacity summary'!BE35&lt;&gt;"",IF(LOWER('Capacity summary'!BE35)="x",$BI123*BE123,VALUE('Capacity summary'!BE35)),0),BE123*$BI123),BE123*$BI123),0)</f>
        <v>4.615384615384615</v>
      </c>
      <c r="DI123" s="5">
        <f ca="1">IF($BI123&lt;&gt;"",IF('Capacity summary'!$C$14="Yes",IF(COUNTBLANK('Capacity summary'!$H35:$BG35)&lt;52,IF('Capacity summary'!BF35&lt;&gt;"",IF(LOWER('Capacity summary'!BF35)="x",$BI123*BF123,VALUE('Capacity summary'!BF35)),0),BF123*$BI123),BF123*$BI123),0)</f>
        <v>4.615384615384615</v>
      </c>
      <c r="DJ123" s="5">
        <f ca="1">IF($BI123&lt;&gt;"",IF('Capacity summary'!$C$14="Yes",IF(COUNTBLANK('Capacity summary'!$H35:$BG35)&lt;52,IF('Capacity summary'!BG35&lt;&gt;"",IF(LOWER('Capacity summary'!BG35)="x",$BI123*BG123,VALUE('Capacity summary'!BG35)),0),BG123*$BI123),BG123*$BI123),0)</f>
        <v>4.615384615384615</v>
      </c>
      <c r="DK123" s="388">
        <f t="shared" ca="1" si="8"/>
        <v>4.615384615384615</v>
      </c>
      <c r="DL123" s="5">
        <f t="shared" ca="1" si="9"/>
        <v>239.99999999999991</v>
      </c>
    </row>
    <row r="124" spans="3:116" x14ac:dyDescent="0.2">
      <c r="C124" s="67" t="str">
        <f>ROW(A13)&amp;". "&amp;Capacity!N29</f>
        <v>13. 44359</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 ca="1">IF(ROW(A13)&lt;=Capacity!$M$16,IF('Capacity summary'!$C$14="No",SUM(H124:BG124),'Capacity summary'!$E36),0)</f>
        <v>52</v>
      </c>
      <c r="BI124" s="67">
        <f ca="1">IF(BH124&gt;0,IF(BH124&lt;Capacity!Q29,Capacity!R29,Capacity!T29/'Capacity calculation (hide)'!BH124),"")</f>
        <v>13.846153846153847</v>
      </c>
      <c r="BJ124" s="5"/>
      <c r="BK124" s="5">
        <f ca="1">IF($BI124&lt;&gt;"",IF('Capacity summary'!$C$14="Yes",IF(COUNTBLANK('Capacity summary'!$H36:$BG36)&lt;52,IF('Capacity summary'!H36&lt;&gt;"",IF(LOWER('Capacity summary'!H36)="x",$BI124*H124,VALUE('Capacity summary'!H36)),0),H124*$BI124),H124*$BI124),0)</f>
        <v>13.846153846153847</v>
      </c>
      <c r="BL124" s="5">
        <f ca="1">IF($BI124&lt;&gt;"",IF('Capacity summary'!$C$14="Yes",IF(COUNTBLANK('Capacity summary'!$H36:$BG36)&lt;52,IF('Capacity summary'!I36&lt;&gt;"",IF(LOWER('Capacity summary'!I36)="x",$BI124*I124,VALUE('Capacity summary'!I36)),0),I124*$BI124),I124*$BI124),0)</f>
        <v>13.846153846153847</v>
      </c>
      <c r="BM124" s="5">
        <f ca="1">IF($BI124&lt;&gt;"",IF('Capacity summary'!$C$14="Yes",IF(COUNTBLANK('Capacity summary'!$H36:$BG36)&lt;52,IF('Capacity summary'!J36&lt;&gt;"",IF(LOWER('Capacity summary'!J36)="x",$BI124*J124,VALUE('Capacity summary'!J36)),0),J124*$BI124),J124*$BI124),0)</f>
        <v>13.846153846153847</v>
      </c>
      <c r="BN124" s="5">
        <f ca="1">IF($BI124&lt;&gt;"",IF('Capacity summary'!$C$14="Yes",IF(COUNTBLANK('Capacity summary'!$H36:$BG36)&lt;52,IF('Capacity summary'!K36&lt;&gt;"",IF(LOWER('Capacity summary'!K36)="x",$BI124*K124,VALUE('Capacity summary'!K36)),0),K124*$BI124),K124*$BI124),0)</f>
        <v>13.846153846153847</v>
      </c>
      <c r="BO124" s="5">
        <f ca="1">IF($BI124&lt;&gt;"",IF('Capacity summary'!$C$14="Yes",IF(COUNTBLANK('Capacity summary'!$H36:$BG36)&lt;52,IF('Capacity summary'!L36&lt;&gt;"",IF(LOWER('Capacity summary'!L36)="x",$BI124*L124,VALUE('Capacity summary'!L36)),0),L124*$BI124),L124*$BI124),0)</f>
        <v>13.846153846153847</v>
      </c>
      <c r="BP124" s="5">
        <f ca="1">IF($BI124&lt;&gt;"",IF('Capacity summary'!$C$14="Yes",IF(COUNTBLANK('Capacity summary'!$H36:$BG36)&lt;52,IF('Capacity summary'!M36&lt;&gt;"",IF(LOWER('Capacity summary'!M36)="x",$BI124*M124,VALUE('Capacity summary'!M36)),0),M124*$BI124),M124*$BI124),0)</f>
        <v>13.846153846153847</v>
      </c>
      <c r="BQ124" s="5">
        <f ca="1">IF($BI124&lt;&gt;"",IF('Capacity summary'!$C$14="Yes",IF(COUNTBLANK('Capacity summary'!$H36:$BG36)&lt;52,IF('Capacity summary'!N36&lt;&gt;"",IF(LOWER('Capacity summary'!N36)="x",$BI124*N124,VALUE('Capacity summary'!N36)),0),N124*$BI124),N124*$BI124),0)</f>
        <v>13.846153846153847</v>
      </c>
      <c r="BR124" s="5">
        <f ca="1">IF($BI124&lt;&gt;"",IF('Capacity summary'!$C$14="Yes",IF(COUNTBLANK('Capacity summary'!$H36:$BG36)&lt;52,IF('Capacity summary'!O36&lt;&gt;"",IF(LOWER('Capacity summary'!O36)="x",$BI124*O124,VALUE('Capacity summary'!O36)),0),O124*$BI124),O124*$BI124),0)</f>
        <v>13.846153846153847</v>
      </c>
      <c r="BS124" s="5">
        <f ca="1">IF($BI124&lt;&gt;"",IF('Capacity summary'!$C$14="Yes",IF(COUNTBLANK('Capacity summary'!$H36:$BG36)&lt;52,IF('Capacity summary'!P36&lt;&gt;"",IF(LOWER('Capacity summary'!P36)="x",$BI124*P124,VALUE('Capacity summary'!P36)),0),P124*$BI124),P124*$BI124),0)</f>
        <v>13.846153846153847</v>
      </c>
      <c r="BT124" s="5">
        <f ca="1">IF($BI124&lt;&gt;"",IF('Capacity summary'!$C$14="Yes",IF(COUNTBLANK('Capacity summary'!$H36:$BG36)&lt;52,IF('Capacity summary'!Q36&lt;&gt;"",IF(LOWER('Capacity summary'!Q36)="x",$BI124*Q124,VALUE('Capacity summary'!Q36)),0),Q124*$BI124),Q124*$BI124),0)</f>
        <v>13.846153846153847</v>
      </c>
      <c r="BU124" s="5">
        <f ca="1">IF($BI124&lt;&gt;"",IF('Capacity summary'!$C$14="Yes",IF(COUNTBLANK('Capacity summary'!$H36:$BG36)&lt;52,IF('Capacity summary'!R36&lt;&gt;"",IF(LOWER('Capacity summary'!R36)="x",$BI124*R124,VALUE('Capacity summary'!R36)),0),R124*$BI124),R124*$BI124),0)</f>
        <v>13.846153846153847</v>
      </c>
      <c r="BV124" s="5">
        <f ca="1">IF($BI124&lt;&gt;"",IF('Capacity summary'!$C$14="Yes",IF(COUNTBLANK('Capacity summary'!$H36:$BG36)&lt;52,IF('Capacity summary'!S36&lt;&gt;"",IF(LOWER('Capacity summary'!S36)="x",$BI124*S124,VALUE('Capacity summary'!S36)),0),S124*$BI124),S124*$BI124),0)</f>
        <v>13.846153846153847</v>
      </c>
      <c r="BW124" s="5">
        <f ca="1">IF($BI124&lt;&gt;"",IF('Capacity summary'!$C$14="Yes",IF(COUNTBLANK('Capacity summary'!$H36:$BG36)&lt;52,IF('Capacity summary'!T36&lt;&gt;"",IF(LOWER('Capacity summary'!T36)="x",$BI124*T124,VALUE('Capacity summary'!T36)),0),T124*$BI124),T124*$BI124),0)</f>
        <v>13.846153846153847</v>
      </c>
      <c r="BX124" s="5">
        <f ca="1">IF($BI124&lt;&gt;"",IF('Capacity summary'!$C$14="Yes",IF(COUNTBLANK('Capacity summary'!$H36:$BG36)&lt;52,IF('Capacity summary'!U36&lt;&gt;"",IF(LOWER('Capacity summary'!U36)="x",$BI124*U124,VALUE('Capacity summary'!U36)),0),U124*$BI124),U124*$BI124),0)</f>
        <v>13.846153846153847</v>
      </c>
      <c r="BY124" s="5">
        <f ca="1">IF($BI124&lt;&gt;"",IF('Capacity summary'!$C$14="Yes",IF(COUNTBLANK('Capacity summary'!$H36:$BG36)&lt;52,IF('Capacity summary'!V36&lt;&gt;"",IF(LOWER('Capacity summary'!V36)="x",$BI124*V124,VALUE('Capacity summary'!V36)),0),V124*$BI124),V124*$BI124),0)</f>
        <v>13.846153846153847</v>
      </c>
      <c r="BZ124" s="5">
        <f ca="1">IF($BI124&lt;&gt;"",IF('Capacity summary'!$C$14="Yes",IF(COUNTBLANK('Capacity summary'!$H36:$BG36)&lt;52,IF('Capacity summary'!W36&lt;&gt;"",IF(LOWER('Capacity summary'!W36)="x",$BI124*W124,VALUE('Capacity summary'!W36)),0),W124*$BI124),W124*$BI124),0)</f>
        <v>13.846153846153847</v>
      </c>
      <c r="CA124" s="5">
        <f ca="1">IF($BI124&lt;&gt;"",IF('Capacity summary'!$C$14="Yes",IF(COUNTBLANK('Capacity summary'!$H36:$BG36)&lt;52,IF('Capacity summary'!X36&lt;&gt;"",IF(LOWER('Capacity summary'!X36)="x",$BI124*X124,VALUE('Capacity summary'!X36)),0),X124*$BI124),X124*$BI124),0)</f>
        <v>13.846153846153847</v>
      </c>
      <c r="CB124" s="5">
        <f ca="1">IF($BI124&lt;&gt;"",IF('Capacity summary'!$C$14="Yes",IF(COUNTBLANK('Capacity summary'!$H36:$BG36)&lt;52,IF('Capacity summary'!Y36&lt;&gt;"",IF(LOWER('Capacity summary'!Y36)="x",$BI124*Y124,VALUE('Capacity summary'!Y36)),0),Y124*$BI124),Y124*$BI124),0)</f>
        <v>13.846153846153847</v>
      </c>
      <c r="CC124" s="5">
        <f ca="1">IF($BI124&lt;&gt;"",IF('Capacity summary'!$C$14="Yes",IF(COUNTBLANK('Capacity summary'!$H36:$BG36)&lt;52,IF('Capacity summary'!Z36&lt;&gt;"",IF(LOWER('Capacity summary'!Z36)="x",$BI124*Z124,VALUE('Capacity summary'!Z36)),0),Z124*$BI124),Z124*$BI124),0)</f>
        <v>13.846153846153847</v>
      </c>
      <c r="CD124" s="5">
        <f ca="1">IF($BI124&lt;&gt;"",IF('Capacity summary'!$C$14="Yes",IF(COUNTBLANK('Capacity summary'!$H36:$BG36)&lt;52,IF('Capacity summary'!AA36&lt;&gt;"",IF(LOWER('Capacity summary'!AA36)="x",$BI124*AA124,VALUE('Capacity summary'!AA36)),0),AA124*$BI124),AA124*$BI124),0)</f>
        <v>13.846153846153847</v>
      </c>
      <c r="CE124" s="5">
        <f ca="1">IF($BI124&lt;&gt;"",IF('Capacity summary'!$C$14="Yes",IF(COUNTBLANK('Capacity summary'!$H36:$BG36)&lt;52,IF('Capacity summary'!AB36&lt;&gt;"",IF(LOWER('Capacity summary'!AB36)="x",$BI124*AB124,VALUE('Capacity summary'!AB36)),0),AB124*$BI124),AB124*$BI124),0)</f>
        <v>13.846153846153847</v>
      </c>
      <c r="CF124" s="5">
        <f ca="1">IF($BI124&lt;&gt;"",IF('Capacity summary'!$C$14="Yes",IF(COUNTBLANK('Capacity summary'!$H36:$BG36)&lt;52,IF('Capacity summary'!AC36&lt;&gt;"",IF(LOWER('Capacity summary'!AC36)="x",$BI124*AC124,VALUE('Capacity summary'!AC36)),0),AC124*$BI124),AC124*$BI124),0)</f>
        <v>13.846153846153847</v>
      </c>
      <c r="CG124" s="5">
        <f ca="1">IF($BI124&lt;&gt;"",IF('Capacity summary'!$C$14="Yes",IF(COUNTBLANK('Capacity summary'!$H36:$BG36)&lt;52,IF('Capacity summary'!AD36&lt;&gt;"",IF(LOWER('Capacity summary'!AD36)="x",$BI124*AD124,VALUE('Capacity summary'!AD36)),0),AD124*$BI124),AD124*$BI124),0)</f>
        <v>13.846153846153847</v>
      </c>
      <c r="CH124" s="5">
        <f ca="1">IF($BI124&lt;&gt;"",IF('Capacity summary'!$C$14="Yes",IF(COUNTBLANK('Capacity summary'!$H36:$BG36)&lt;52,IF('Capacity summary'!AE36&lt;&gt;"",IF(LOWER('Capacity summary'!AE36)="x",$BI124*AE124,VALUE('Capacity summary'!AE36)),0),AE124*$BI124),AE124*$BI124),0)</f>
        <v>13.846153846153847</v>
      </c>
      <c r="CI124" s="5">
        <f ca="1">IF($BI124&lt;&gt;"",IF('Capacity summary'!$C$14="Yes",IF(COUNTBLANK('Capacity summary'!$H36:$BG36)&lt;52,IF('Capacity summary'!AF36&lt;&gt;"",IF(LOWER('Capacity summary'!AF36)="x",$BI124*AF124,VALUE('Capacity summary'!AF36)),0),AF124*$BI124),AF124*$BI124),0)</f>
        <v>13.846153846153847</v>
      </c>
      <c r="CJ124" s="5">
        <f ca="1">IF($BI124&lt;&gt;"",IF('Capacity summary'!$C$14="Yes",IF(COUNTBLANK('Capacity summary'!$H36:$BG36)&lt;52,IF('Capacity summary'!AG36&lt;&gt;"",IF(LOWER('Capacity summary'!AG36)="x",$BI124*AG124,VALUE('Capacity summary'!AG36)),0),AG124*$BI124),AG124*$BI124),0)</f>
        <v>13.846153846153847</v>
      </c>
      <c r="CK124" s="5">
        <f ca="1">IF($BI124&lt;&gt;"",IF('Capacity summary'!$C$14="Yes",IF(COUNTBLANK('Capacity summary'!$H36:$BG36)&lt;52,IF('Capacity summary'!AH36&lt;&gt;"",IF(LOWER('Capacity summary'!AH36)="x",$BI124*AH124,VALUE('Capacity summary'!AH36)),0),AH124*$BI124),AH124*$BI124),0)</f>
        <v>13.846153846153847</v>
      </c>
      <c r="CL124" s="5">
        <f ca="1">IF($BI124&lt;&gt;"",IF('Capacity summary'!$C$14="Yes",IF(COUNTBLANK('Capacity summary'!$H36:$BG36)&lt;52,IF('Capacity summary'!AI36&lt;&gt;"",IF(LOWER('Capacity summary'!AI36)="x",$BI124*AI124,VALUE('Capacity summary'!AI36)),0),AI124*$BI124),AI124*$BI124),0)</f>
        <v>13.846153846153847</v>
      </c>
      <c r="CM124" s="5">
        <f ca="1">IF($BI124&lt;&gt;"",IF('Capacity summary'!$C$14="Yes",IF(COUNTBLANK('Capacity summary'!$H36:$BG36)&lt;52,IF('Capacity summary'!AJ36&lt;&gt;"",IF(LOWER('Capacity summary'!AJ36)="x",$BI124*AJ124,VALUE('Capacity summary'!AJ36)),0),AJ124*$BI124),AJ124*$BI124),0)</f>
        <v>13.846153846153847</v>
      </c>
      <c r="CN124" s="5">
        <f ca="1">IF($BI124&lt;&gt;"",IF('Capacity summary'!$C$14="Yes",IF(COUNTBLANK('Capacity summary'!$H36:$BG36)&lt;52,IF('Capacity summary'!AK36&lt;&gt;"",IF(LOWER('Capacity summary'!AK36)="x",$BI124*AK124,VALUE('Capacity summary'!AK36)),0),AK124*$BI124),AK124*$BI124),0)</f>
        <v>13.846153846153847</v>
      </c>
      <c r="CO124" s="5">
        <f ca="1">IF($BI124&lt;&gt;"",IF('Capacity summary'!$C$14="Yes",IF(COUNTBLANK('Capacity summary'!$H36:$BG36)&lt;52,IF('Capacity summary'!AL36&lt;&gt;"",IF(LOWER('Capacity summary'!AL36)="x",$BI124*AL124,VALUE('Capacity summary'!AL36)),0),AL124*$BI124),AL124*$BI124),0)</f>
        <v>13.846153846153847</v>
      </c>
      <c r="CP124" s="5">
        <f ca="1">IF($BI124&lt;&gt;"",IF('Capacity summary'!$C$14="Yes",IF(COUNTBLANK('Capacity summary'!$H36:$BG36)&lt;52,IF('Capacity summary'!AM36&lt;&gt;"",IF(LOWER('Capacity summary'!AM36)="x",$BI124*AM124,VALUE('Capacity summary'!AM36)),0),AM124*$BI124),AM124*$BI124),0)</f>
        <v>13.846153846153847</v>
      </c>
      <c r="CQ124" s="5">
        <f ca="1">IF($BI124&lt;&gt;"",IF('Capacity summary'!$C$14="Yes",IF(COUNTBLANK('Capacity summary'!$H36:$BG36)&lt;52,IF('Capacity summary'!AN36&lt;&gt;"",IF(LOWER('Capacity summary'!AN36)="x",$BI124*AN124,VALUE('Capacity summary'!AN36)),0),AN124*$BI124),AN124*$BI124),0)</f>
        <v>13.846153846153847</v>
      </c>
      <c r="CR124" s="5">
        <f ca="1">IF($BI124&lt;&gt;"",IF('Capacity summary'!$C$14="Yes",IF(COUNTBLANK('Capacity summary'!$H36:$BG36)&lt;52,IF('Capacity summary'!AO36&lt;&gt;"",IF(LOWER('Capacity summary'!AO36)="x",$BI124*AO124,VALUE('Capacity summary'!AO36)),0),AO124*$BI124),AO124*$BI124),0)</f>
        <v>13.846153846153847</v>
      </c>
      <c r="CS124" s="5">
        <f ca="1">IF($BI124&lt;&gt;"",IF('Capacity summary'!$C$14="Yes",IF(COUNTBLANK('Capacity summary'!$H36:$BG36)&lt;52,IF('Capacity summary'!AP36&lt;&gt;"",IF(LOWER('Capacity summary'!AP36)="x",$BI124*AP124,VALUE('Capacity summary'!AP36)),0),AP124*$BI124),AP124*$BI124),0)</f>
        <v>13.846153846153847</v>
      </c>
      <c r="CT124" s="5">
        <f ca="1">IF($BI124&lt;&gt;"",IF('Capacity summary'!$C$14="Yes",IF(COUNTBLANK('Capacity summary'!$H36:$BG36)&lt;52,IF('Capacity summary'!AQ36&lt;&gt;"",IF(LOWER('Capacity summary'!AQ36)="x",$BI124*AQ124,VALUE('Capacity summary'!AQ36)),0),AQ124*$BI124),AQ124*$BI124),0)</f>
        <v>13.846153846153847</v>
      </c>
      <c r="CU124" s="5">
        <f ca="1">IF($BI124&lt;&gt;"",IF('Capacity summary'!$C$14="Yes",IF(COUNTBLANK('Capacity summary'!$H36:$BG36)&lt;52,IF('Capacity summary'!AR36&lt;&gt;"",IF(LOWER('Capacity summary'!AR36)="x",$BI124*AR124,VALUE('Capacity summary'!AR36)),0),AR124*$BI124),AR124*$BI124),0)</f>
        <v>13.846153846153847</v>
      </c>
      <c r="CV124" s="5">
        <f ca="1">IF($BI124&lt;&gt;"",IF('Capacity summary'!$C$14="Yes",IF(COUNTBLANK('Capacity summary'!$H36:$BG36)&lt;52,IF('Capacity summary'!AS36&lt;&gt;"",IF(LOWER('Capacity summary'!AS36)="x",$BI124*AS124,VALUE('Capacity summary'!AS36)),0),AS124*$BI124),AS124*$BI124),0)</f>
        <v>13.846153846153847</v>
      </c>
      <c r="CW124" s="5">
        <f ca="1">IF($BI124&lt;&gt;"",IF('Capacity summary'!$C$14="Yes",IF(COUNTBLANK('Capacity summary'!$H36:$BG36)&lt;52,IF('Capacity summary'!AT36&lt;&gt;"",IF(LOWER('Capacity summary'!AT36)="x",$BI124*AT124,VALUE('Capacity summary'!AT36)),0),AT124*$BI124),AT124*$BI124),0)</f>
        <v>13.846153846153847</v>
      </c>
      <c r="CX124" s="5">
        <f ca="1">IF($BI124&lt;&gt;"",IF('Capacity summary'!$C$14="Yes",IF(COUNTBLANK('Capacity summary'!$H36:$BG36)&lt;52,IF('Capacity summary'!AU36&lt;&gt;"",IF(LOWER('Capacity summary'!AU36)="x",$BI124*AU124,VALUE('Capacity summary'!AU36)),0),AU124*$BI124),AU124*$BI124),0)</f>
        <v>13.846153846153847</v>
      </c>
      <c r="CY124" s="5">
        <f ca="1">IF($BI124&lt;&gt;"",IF('Capacity summary'!$C$14="Yes",IF(COUNTBLANK('Capacity summary'!$H36:$BG36)&lt;52,IF('Capacity summary'!AV36&lt;&gt;"",IF(LOWER('Capacity summary'!AV36)="x",$BI124*AV124,VALUE('Capacity summary'!AV36)),0),AV124*$BI124),AV124*$BI124),0)</f>
        <v>13.846153846153847</v>
      </c>
      <c r="CZ124" s="5">
        <f ca="1">IF($BI124&lt;&gt;"",IF('Capacity summary'!$C$14="Yes",IF(COUNTBLANK('Capacity summary'!$H36:$BG36)&lt;52,IF('Capacity summary'!AW36&lt;&gt;"",IF(LOWER('Capacity summary'!AW36)="x",$BI124*AW124,VALUE('Capacity summary'!AW36)),0),AW124*$BI124),AW124*$BI124),0)</f>
        <v>13.846153846153847</v>
      </c>
      <c r="DA124" s="5">
        <f ca="1">IF($BI124&lt;&gt;"",IF('Capacity summary'!$C$14="Yes",IF(COUNTBLANK('Capacity summary'!$H36:$BG36)&lt;52,IF('Capacity summary'!AX36&lt;&gt;"",IF(LOWER('Capacity summary'!AX36)="x",$BI124*AX124,VALUE('Capacity summary'!AX36)),0),AX124*$BI124),AX124*$BI124),0)</f>
        <v>13.846153846153847</v>
      </c>
      <c r="DB124" s="5">
        <f ca="1">IF($BI124&lt;&gt;"",IF('Capacity summary'!$C$14="Yes",IF(COUNTBLANK('Capacity summary'!$H36:$BG36)&lt;52,IF('Capacity summary'!AY36&lt;&gt;"",IF(LOWER('Capacity summary'!AY36)="x",$BI124*AY124,VALUE('Capacity summary'!AY36)),0),AY124*$BI124),AY124*$BI124),0)</f>
        <v>13.846153846153847</v>
      </c>
      <c r="DC124" s="5">
        <f ca="1">IF($BI124&lt;&gt;"",IF('Capacity summary'!$C$14="Yes",IF(COUNTBLANK('Capacity summary'!$H36:$BG36)&lt;52,IF('Capacity summary'!AZ36&lt;&gt;"",IF(LOWER('Capacity summary'!AZ36)="x",$BI124*AZ124,VALUE('Capacity summary'!AZ36)),0),AZ124*$BI124),AZ124*$BI124),0)</f>
        <v>13.846153846153847</v>
      </c>
      <c r="DD124" s="5">
        <f ca="1">IF($BI124&lt;&gt;"",IF('Capacity summary'!$C$14="Yes",IF(COUNTBLANK('Capacity summary'!$H36:$BG36)&lt;52,IF('Capacity summary'!BA36&lt;&gt;"",IF(LOWER('Capacity summary'!BA36)="x",$BI124*BA124,VALUE('Capacity summary'!BA36)),0),BA124*$BI124),BA124*$BI124),0)</f>
        <v>13.846153846153847</v>
      </c>
      <c r="DE124" s="5">
        <f ca="1">IF($BI124&lt;&gt;"",IF('Capacity summary'!$C$14="Yes",IF(COUNTBLANK('Capacity summary'!$H36:$BG36)&lt;52,IF('Capacity summary'!BB36&lt;&gt;"",IF(LOWER('Capacity summary'!BB36)="x",$BI124*BB124,VALUE('Capacity summary'!BB36)),0),BB124*$BI124),BB124*$BI124),0)</f>
        <v>13.846153846153847</v>
      </c>
      <c r="DF124" s="5">
        <f ca="1">IF($BI124&lt;&gt;"",IF('Capacity summary'!$C$14="Yes",IF(COUNTBLANK('Capacity summary'!$H36:$BG36)&lt;52,IF('Capacity summary'!BC36&lt;&gt;"",IF(LOWER('Capacity summary'!BC36)="x",$BI124*BC124,VALUE('Capacity summary'!BC36)),0),BC124*$BI124),BC124*$BI124),0)</f>
        <v>13.846153846153847</v>
      </c>
      <c r="DG124" s="5">
        <f ca="1">IF($BI124&lt;&gt;"",IF('Capacity summary'!$C$14="Yes",IF(COUNTBLANK('Capacity summary'!$H36:$BG36)&lt;52,IF('Capacity summary'!BD36&lt;&gt;"",IF(LOWER('Capacity summary'!BD36)="x",$BI124*BD124,VALUE('Capacity summary'!BD36)),0),BD124*$BI124),BD124*$BI124),0)</f>
        <v>13.846153846153847</v>
      </c>
      <c r="DH124" s="5">
        <f ca="1">IF($BI124&lt;&gt;"",IF('Capacity summary'!$C$14="Yes",IF(COUNTBLANK('Capacity summary'!$H36:$BG36)&lt;52,IF('Capacity summary'!BE36&lt;&gt;"",IF(LOWER('Capacity summary'!BE36)="x",$BI124*BE124,VALUE('Capacity summary'!BE36)),0),BE124*$BI124),BE124*$BI124),0)</f>
        <v>13.846153846153847</v>
      </c>
      <c r="DI124" s="5">
        <f ca="1">IF($BI124&lt;&gt;"",IF('Capacity summary'!$C$14="Yes",IF(COUNTBLANK('Capacity summary'!$H36:$BG36)&lt;52,IF('Capacity summary'!BF36&lt;&gt;"",IF(LOWER('Capacity summary'!BF36)="x",$BI124*BF124,VALUE('Capacity summary'!BF36)),0),BF124*$BI124),BF124*$BI124),0)</f>
        <v>13.846153846153847</v>
      </c>
      <c r="DJ124" s="5">
        <f ca="1">IF($BI124&lt;&gt;"",IF('Capacity summary'!$C$14="Yes",IF(COUNTBLANK('Capacity summary'!$H36:$BG36)&lt;52,IF('Capacity summary'!BG36&lt;&gt;"",IF(LOWER('Capacity summary'!BG36)="x",$BI124*BG124,VALUE('Capacity summary'!BG36)),0),BG124*$BI124),BG124*$BI124),0)</f>
        <v>13.846153846153847</v>
      </c>
      <c r="DK124" s="388">
        <f t="shared" ca="1" si="8"/>
        <v>13.846153846153847</v>
      </c>
      <c r="DL124" s="5">
        <f t="shared" ca="1" si="9"/>
        <v>719.99999999999977</v>
      </c>
    </row>
    <row r="125" spans="3:116" x14ac:dyDescent="0.2">
      <c r="C125" s="67" t="str">
        <f>ROW(A14)&amp;". "&amp;Capacity!N30</f>
        <v>14. 44360</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 ca="1">IF(ROW(A14)&lt;=Capacity!$M$16,IF('Capacity summary'!$C$14="No",SUM(H125:BG125),'Capacity summary'!$E37),0)</f>
        <v>52</v>
      </c>
      <c r="BI125" s="67">
        <f ca="1">IF(BH125&gt;0,IF(BH125&lt;Capacity!Q30,Capacity!R30,Capacity!T30/'Capacity calculation (hide)'!BH125),"")</f>
        <v>13.846153846153847</v>
      </c>
      <c r="BJ125" s="5"/>
      <c r="BK125" s="5">
        <f ca="1">IF($BI125&lt;&gt;"",IF('Capacity summary'!$C$14="Yes",IF(COUNTBLANK('Capacity summary'!$H37:$BG37)&lt;52,IF('Capacity summary'!H37&lt;&gt;"",IF(LOWER('Capacity summary'!H37)="x",$BI125*H125,VALUE('Capacity summary'!H37)),0),H125*$BI125),H125*$BI125),0)</f>
        <v>13.846153846153847</v>
      </c>
      <c r="BL125" s="5">
        <f ca="1">IF($BI125&lt;&gt;"",IF('Capacity summary'!$C$14="Yes",IF(COUNTBLANK('Capacity summary'!$H37:$BG37)&lt;52,IF('Capacity summary'!I37&lt;&gt;"",IF(LOWER('Capacity summary'!I37)="x",$BI125*I125,VALUE('Capacity summary'!I37)),0),I125*$BI125),I125*$BI125),0)</f>
        <v>13.846153846153847</v>
      </c>
      <c r="BM125" s="5">
        <f ca="1">IF($BI125&lt;&gt;"",IF('Capacity summary'!$C$14="Yes",IF(COUNTBLANK('Capacity summary'!$H37:$BG37)&lt;52,IF('Capacity summary'!J37&lt;&gt;"",IF(LOWER('Capacity summary'!J37)="x",$BI125*J125,VALUE('Capacity summary'!J37)),0),J125*$BI125),J125*$BI125),0)</f>
        <v>13.846153846153847</v>
      </c>
      <c r="BN125" s="5">
        <f ca="1">IF($BI125&lt;&gt;"",IF('Capacity summary'!$C$14="Yes",IF(COUNTBLANK('Capacity summary'!$H37:$BG37)&lt;52,IF('Capacity summary'!K37&lt;&gt;"",IF(LOWER('Capacity summary'!K37)="x",$BI125*K125,VALUE('Capacity summary'!K37)),0),K125*$BI125),K125*$BI125),0)</f>
        <v>13.846153846153847</v>
      </c>
      <c r="BO125" s="5">
        <f ca="1">IF($BI125&lt;&gt;"",IF('Capacity summary'!$C$14="Yes",IF(COUNTBLANK('Capacity summary'!$H37:$BG37)&lt;52,IF('Capacity summary'!L37&lt;&gt;"",IF(LOWER('Capacity summary'!L37)="x",$BI125*L125,VALUE('Capacity summary'!L37)),0),L125*$BI125),L125*$BI125),0)</f>
        <v>13.846153846153847</v>
      </c>
      <c r="BP125" s="5">
        <f ca="1">IF($BI125&lt;&gt;"",IF('Capacity summary'!$C$14="Yes",IF(COUNTBLANK('Capacity summary'!$H37:$BG37)&lt;52,IF('Capacity summary'!M37&lt;&gt;"",IF(LOWER('Capacity summary'!M37)="x",$BI125*M125,VALUE('Capacity summary'!M37)),0),M125*$BI125),M125*$BI125),0)</f>
        <v>13.846153846153847</v>
      </c>
      <c r="BQ125" s="5">
        <f ca="1">IF($BI125&lt;&gt;"",IF('Capacity summary'!$C$14="Yes",IF(COUNTBLANK('Capacity summary'!$H37:$BG37)&lt;52,IF('Capacity summary'!N37&lt;&gt;"",IF(LOWER('Capacity summary'!N37)="x",$BI125*N125,VALUE('Capacity summary'!N37)),0),N125*$BI125),N125*$BI125),0)</f>
        <v>13.846153846153847</v>
      </c>
      <c r="BR125" s="5">
        <f ca="1">IF($BI125&lt;&gt;"",IF('Capacity summary'!$C$14="Yes",IF(COUNTBLANK('Capacity summary'!$H37:$BG37)&lt;52,IF('Capacity summary'!O37&lt;&gt;"",IF(LOWER('Capacity summary'!O37)="x",$BI125*O125,VALUE('Capacity summary'!O37)),0),O125*$BI125),O125*$BI125),0)</f>
        <v>13.846153846153847</v>
      </c>
      <c r="BS125" s="5">
        <f ca="1">IF($BI125&lt;&gt;"",IF('Capacity summary'!$C$14="Yes",IF(COUNTBLANK('Capacity summary'!$H37:$BG37)&lt;52,IF('Capacity summary'!P37&lt;&gt;"",IF(LOWER('Capacity summary'!P37)="x",$BI125*P125,VALUE('Capacity summary'!P37)),0),P125*$BI125),P125*$BI125),0)</f>
        <v>13.846153846153847</v>
      </c>
      <c r="BT125" s="5">
        <f ca="1">IF($BI125&lt;&gt;"",IF('Capacity summary'!$C$14="Yes",IF(COUNTBLANK('Capacity summary'!$H37:$BG37)&lt;52,IF('Capacity summary'!Q37&lt;&gt;"",IF(LOWER('Capacity summary'!Q37)="x",$BI125*Q125,VALUE('Capacity summary'!Q37)),0),Q125*$BI125),Q125*$BI125),0)</f>
        <v>13.846153846153847</v>
      </c>
      <c r="BU125" s="5">
        <f ca="1">IF($BI125&lt;&gt;"",IF('Capacity summary'!$C$14="Yes",IF(COUNTBLANK('Capacity summary'!$H37:$BG37)&lt;52,IF('Capacity summary'!R37&lt;&gt;"",IF(LOWER('Capacity summary'!R37)="x",$BI125*R125,VALUE('Capacity summary'!R37)),0),R125*$BI125),R125*$BI125),0)</f>
        <v>13.846153846153847</v>
      </c>
      <c r="BV125" s="5">
        <f ca="1">IF($BI125&lt;&gt;"",IF('Capacity summary'!$C$14="Yes",IF(COUNTBLANK('Capacity summary'!$H37:$BG37)&lt;52,IF('Capacity summary'!S37&lt;&gt;"",IF(LOWER('Capacity summary'!S37)="x",$BI125*S125,VALUE('Capacity summary'!S37)),0),S125*$BI125),S125*$BI125),0)</f>
        <v>13.846153846153847</v>
      </c>
      <c r="BW125" s="5">
        <f ca="1">IF($BI125&lt;&gt;"",IF('Capacity summary'!$C$14="Yes",IF(COUNTBLANK('Capacity summary'!$H37:$BG37)&lt;52,IF('Capacity summary'!T37&lt;&gt;"",IF(LOWER('Capacity summary'!T37)="x",$BI125*T125,VALUE('Capacity summary'!T37)),0),T125*$BI125),T125*$BI125),0)</f>
        <v>13.846153846153847</v>
      </c>
      <c r="BX125" s="5">
        <f ca="1">IF($BI125&lt;&gt;"",IF('Capacity summary'!$C$14="Yes",IF(COUNTBLANK('Capacity summary'!$H37:$BG37)&lt;52,IF('Capacity summary'!U37&lt;&gt;"",IF(LOWER('Capacity summary'!U37)="x",$BI125*U125,VALUE('Capacity summary'!U37)),0),U125*$BI125),U125*$BI125),0)</f>
        <v>13.846153846153847</v>
      </c>
      <c r="BY125" s="5">
        <f ca="1">IF($BI125&lt;&gt;"",IF('Capacity summary'!$C$14="Yes",IF(COUNTBLANK('Capacity summary'!$H37:$BG37)&lt;52,IF('Capacity summary'!V37&lt;&gt;"",IF(LOWER('Capacity summary'!V37)="x",$BI125*V125,VALUE('Capacity summary'!V37)),0),V125*$BI125),V125*$BI125),0)</f>
        <v>13.846153846153847</v>
      </c>
      <c r="BZ125" s="5">
        <f ca="1">IF($BI125&lt;&gt;"",IF('Capacity summary'!$C$14="Yes",IF(COUNTBLANK('Capacity summary'!$H37:$BG37)&lt;52,IF('Capacity summary'!W37&lt;&gt;"",IF(LOWER('Capacity summary'!W37)="x",$BI125*W125,VALUE('Capacity summary'!W37)),0),W125*$BI125),W125*$BI125),0)</f>
        <v>13.846153846153847</v>
      </c>
      <c r="CA125" s="5">
        <f ca="1">IF($BI125&lt;&gt;"",IF('Capacity summary'!$C$14="Yes",IF(COUNTBLANK('Capacity summary'!$H37:$BG37)&lt;52,IF('Capacity summary'!X37&lt;&gt;"",IF(LOWER('Capacity summary'!X37)="x",$BI125*X125,VALUE('Capacity summary'!X37)),0),X125*$BI125),X125*$BI125),0)</f>
        <v>13.846153846153847</v>
      </c>
      <c r="CB125" s="5">
        <f ca="1">IF($BI125&lt;&gt;"",IF('Capacity summary'!$C$14="Yes",IF(COUNTBLANK('Capacity summary'!$H37:$BG37)&lt;52,IF('Capacity summary'!Y37&lt;&gt;"",IF(LOWER('Capacity summary'!Y37)="x",$BI125*Y125,VALUE('Capacity summary'!Y37)),0),Y125*$BI125),Y125*$BI125),0)</f>
        <v>13.846153846153847</v>
      </c>
      <c r="CC125" s="5">
        <f ca="1">IF($BI125&lt;&gt;"",IF('Capacity summary'!$C$14="Yes",IF(COUNTBLANK('Capacity summary'!$H37:$BG37)&lt;52,IF('Capacity summary'!Z37&lt;&gt;"",IF(LOWER('Capacity summary'!Z37)="x",$BI125*Z125,VALUE('Capacity summary'!Z37)),0),Z125*$BI125),Z125*$BI125),0)</f>
        <v>13.846153846153847</v>
      </c>
      <c r="CD125" s="5">
        <f ca="1">IF($BI125&lt;&gt;"",IF('Capacity summary'!$C$14="Yes",IF(COUNTBLANK('Capacity summary'!$H37:$BG37)&lt;52,IF('Capacity summary'!AA37&lt;&gt;"",IF(LOWER('Capacity summary'!AA37)="x",$BI125*AA125,VALUE('Capacity summary'!AA37)),0),AA125*$BI125),AA125*$BI125),0)</f>
        <v>13.846153846153847</v>
      </c>
      <c r="CE125" s="5">
        <f ca="1">IF($BI125&lt;&gt;"",IF('Capacity summary'!$C$14="Yes",IF(COUNTBLANK('Capacity summary'!$H37:$BG37)&lt;52,IF('Capacity summary'!AB37&lt;&gt;"",IF(LOWER('Capacity summary'!AB37)="x",$BI125*AB125,VALUE('Capacity summary'!AB37)),0),AB125*$BI125),AB125*$BI125),0)</f>
        <v>13.846153846153847</v>
      </c>
      <c r="CF125" s="5">
        <f ca="1">IF($BI125&lt;&gt;"",IF('Capacity summary'!$C$14="Yes",IF(COUNTBLANK('Capacity summary'!$H37:$BG37)&lt;52,IF('Capacity summary'!AC37&lt;&gt;"",IF(LOWER('Capacity summary'!AC37)="x",$BI125*AC125,VALUE('Capacity summary'!AC37)),0),AC125*$BI125),AC125*$BI125),0)</f>
        <v>13.846153846153847</v>
      </c>
      <c r="CG125" s="5">
        <f ca="1">IF($BI125&lt;&gt;"",IF('Capacity summary'!$C$14="Yes",IF(COUNTBLANK('Capacity summary'!$H37:$BG37)&lt;52,IF('Capacity summary'!AD37&lt;&gt;"",IF(LOWER('Capacity summary'!AD37)="x",$BI125*AD125,VALUE('Capacity summary'!AD37)),0),AD125*$BI125),AD125*$BI125),0)</f>
        <v>13.846153846153847</v>
      </c>
      <c r="CH125" s="5">
        <f ca="1">IF($BI125&lt;&gt;"",IF('Capacity summary'!$C$14="Yes",IF(COUNTBLANK('Capacity summary'!$H37:$BG37)&lt;52,IF('Capacity summary'!AE37&lt;&gt;"",IF(LOWER('Capacity summary'!AE37)="x",$BI125*AE125,VALUE('Capacity summary'!AE37)),0),AE125*$BI125),AE125*$BI125),0)</f>
        <v>13.846153846153847</v>
      </c>
      <c r="CI125" s="5">
        <f ca="1">IF($BI125&lt;&gt;"",IF('Capacity summary'!$C$14="Yes",IF(COUNTBLANK('Capacity summary'!$H37:$BG37)&lt;52,IF('Capacity summary'!AF37&lt;&gt;"",IF(LOWER('Capacity summary'!AF37)="x",$BI125*AF125,VALUE('Capacity summary'!AF37)),0),AF125*$BI125),AF125*$BI125),0)</f>
        <v>13.846153846153847</v>
      </c>
      <c r="CJ125" s="5">
        <f ca="1">IF($BI125&lt;&gt;"",IF('Capacity summary'!$C$14="Yes",IF(COUNTBLANK('Capacity summary'!$H37:$BG37)&lt;52,IF('Capacity summary'!AG37&lt;&gt;"",IF(LOWER('Capacity summary'!AG37)="x",$BI125*AG125,VALUE('Capacity summary'!AG37)),0),AG125*$BI125),AG125*$BI125),0)</f>
        <v>13.846153846153847</v>
      </c>
      <c r="CK125" s="5">
        <f ca="1">IF($BI125&lt;&gt;"",IF('Capacity summary'!$C$14="Yes",IF(COUNTBLANK('Capacity summary'!$H37:$BG37)&lt;52,IF('Capacity summary'!AH37&lt;&gt;"",IF(LOWER('Capacity summary'!AH37)="x",$BI125*AH125,VALUE('Capacity summary'!AH37)),0),AH125*$BI125),AH125*$BI125),0)</f>
        <v>13.846153846153847</v>
      </c>
      <c r="CL125" s="5">
        <f ca="1">IF($BI125&lt;&gt;"",IF('Capacity summary'!$C$14="Yes",IF(COUNTBLANK('Capacity summary'!$H37:$BG37)&lt;52,IF('Capacity summary'!AI37&lt;&gt;"",IF(LOWER('Capacity summary'!AI37)="x",$BI125*AI125,VALUE('Capacity summary'!AI37)),0),AI125*$BI125),AI125*$BI125),0)</f>
        <v>13.846153846153847</v>
      </c>
      <c r="CM125" s="5">
        <f ca="1">IF($BI125&lt;&gt;"",IF('Capacity summary'!$C$14="Yes",IF(COUNTBLANK('Capacity summary'!$H37:$BG37)&lt;52,IF('Capacity summary'!AJ37&lt;&gt;"",IF(LOWER('Capacity summary'!AJ37)="x",$BI125*AJ125,VALUE('Capacity summary'!AJ37)),0),AJ125*$BI125),AJ125*$BI125),0)</f>
        <v>13.846153846153847</v>
      </c>
      <c r="CN125" s="5">
        <f ca="1">IF($BI125&lt;&gt;"",IF('Capacity summary'!$C$14="Yes",IF(COUNTBLANK('Capacity summary'!$H37:$BG37)&lt;52,IF('Capacity summary'!AK37&lt;&gt;"",IF(LOWER('Capacity summary'!AK37)="x",$BI125*AK125,VALUE('Capacity summary'!AK37)),0),AK125*$BI125),AK125*$BI125),0)</f>
        <v>13.846153846153847</v>
      </c>
      <c r="CO125" s="5">
        <f ca="1">IF($BI125&lt;&gt;"",IF('Capacity summary'!$C$14="Yes",IF(COUNTBLANK('Capacity summary'!$H37:$BG37)&lt;52,IF('Capacity summary'!AL37&lt;&gt;"",IF(LOWER('Capacity summary'!AL37)="x",$BI125*AL125,VALUE('Capacity summary'!AL37)),0),AL125*$BI125),AL125*$BI125),0)</f>
        <v>13.846153846153847</v>
      </c>
      <c r="CP125" s="5">
        <f ca="1">IF($BI125&lt;&gt;"",IF('Capacity summary'!$C$14="Yes",IF(COUNTBLANK('Capacity summary'!$H37:$BG37)&lt;52,IF('Capacity summary'!AM37&lt;&gt;"",IF(LOWER('Capacity summary'!AM37)="x",$BI125*AM125,VALUE('Capacity summary'!AM37)),0),AM125*$BI125),AM125*$BI125),0)</f>
        <v>13.846153846153847</v>
      </c>
      <c r="CQ125" s="5">
        <f ca="1">IF($BI125&lt;&gt;"",IF('Capacity summary'!$C$14="Yes",IF(COUNTBLANK('Capacity summary'!$H37:$BG37)&lt;52,IF('Capacity summary'!AN37&lt;&gt;"",IF(LOWER('Capacity summary'!AN37)="x",$BI125*AN125,VALUE('Capacity summary'!AN37)),0),AN125*$BI125),AN125*$BI125),0)</f>
        <v>13.846153846153847</v>
      </c>
      <c r="CR125" s="5">
        <f ca="1">IF($BI125&lt;&gt;"",IF('Capacity summary'!$C$14="Yes",IF(COUNTBLANK('Capacity summary'!$H37:$BG37)&lt;52,IF('Capacity summary'!AO37&lt;&gt;"",IF(LOWER('Capacity summary'!AO37)="x",$BI125*AO125,VALUE('Capacity summary'!AO37)),0),AO125*$BI125),AO125*$BI125),0)</f>
        <v>13.846153846153847</v>
      </c>
      <c r="CS125" s="5">
        <f ca="1">IF($BI125&lt;&gt;"",IF('Capacity summary'!$C$14="Yes",IF(COUNTBLANK('Capacity summary'!$H37:$BG37)&lt;52,IF('Capacity summary'!AP37&lt;&gt;"",IF(LOWER('Capacity summary'!AP37)="x",$BI125*AP125,VALUE('Capacity summary'!AP37)),0),AP125*$BI125),AP125*$BI125),0)</f>
        <v>13.846153846153847</v>
      </c>
      <c r="CT125" s="5">
        <f ca="1">IF($BI125&lt;&gt;"",IF('Capacity summary'!$C$14="Yes",IF(COUNTBLANK('Capacity summary'!$H37:$BG37)&lt;52,IF('Capacity summary'!AQ37&lt;&gt;"",IF(LOWER('Capacity summary'!AQ37)="x",$BI125*AQ125,VALUE('Capacity summary'!AQ37)),0),AQ125*$BI125),AQ125*$BI125),0)</f>
        <v>13.846153846153847</v>
      </c>
      <c r="CU125" s="5">
        <f ca="1">IF($BI125&lt;&gt;"",IF('Capacity summary'!$C$14="Yes",IF(COUNTBLANK('Capacity summary'!$H37:$BG37)&lt;52,IF('Capacity summary'!AR37&lt;&gt;"",IF(LOWER('Capacity summary'!AR37)="x",$BI125*AR125,VALUE('Capacity summary'!AR37)),0),AR125*$BI125),AR125*$BI125),0)</f>
        <v>13.846153846153847</v>
      </c>
      <c r="CV125" s="5">
        <f ca="1">IF($BI125&lt;&gt;"",IF('Capacity summary'!$C$14="Yes",IF(COUNTBLANK('Capacity summary'!$H37:$BG37)&lt;52,IF('Capacity summary'!AS37&lt;&gt;"",IF(LOWER('Capacity summary'!AS37)="x",$BI125*AS125,VALUE('Capacity summary'!AS37)),0),AS125*$BI125),AS125*$BI125),0)</f>
        <v>13.846153846153847</v>
      </c>
      <c r="CW125" s="5">
        <f ca="1">IF($BI125&lt;&gt;"",IF('Capacity summary'!$C$14="Yes",IF(COUNTBLANK('Capacity summary'!$H37:$BG37)&lt;52,IF('Capacity summary'!AT37&lt;&gt;"",IF(LOWER('Capacity summary'!AT37)="x",$BI125*AT125,VALUE('Capacity summary'!AT37)),0),AT125*$BI125),AT125*$BI125),0)</f>
        <v>13.846153846153847</v>
      </c>
      <c r="CX125" s="5">
        <f ca="1">IF($BI125&lt;&gt;"",IF('Capacity summary'!$C$14="Yes",IF(COUNTBLANK('Capacity summary'!$H37:$BG37)&lt;52,IF('Capacity summary'!AU37&lt;&gt;"",IF(LOWER('Capacity summary'!AU37)="x",$BI125*AU125,VALUE('Capacity summary'!AU37)),0),AU125*$BI125),AU125*$BI125),0)</f>
        <v>13.846153846153847</v>
      </c>
      <c r="CY125" s="5">
        <f ca="1">IF($BI125&lt;&gt;"",IF('Capacity summary'!$C$14="Yes",IF(COUNTBLANK('Capacity summary'!$H37:$BG37)&lt;52,IF('Capacity summary'!AV37&lt;&gt;"",IF(LOWER('Capacity summary'!AV37)="x",$BI125*AV125,VALUE('Capacity summary'!AV37)),0),AV125*$BI125),AV125*$BI125),0)</f>
        <v>13.846153846153847</v>
      </c>
      <c r="CZ125" s="5">
        <f ca="1">IF($BI125&lt;&gt;"",IF('Capacity summary'!$C$14="Yes",IF(COUNTBLANK('Capacity summary'!$H37:$BG37)&lt;52,IF('Capacity summary'!AW37&lt;&gt;"",IF(LOWER('Capacity summary'!AW37)="x",$BI125*AW125,VALUE('Capacity summary'!AW37)),0),AW125*$BI125),AW125*$BI125),0)</f>
        <v>13.846153846153847</v>
      </c>
      <c r="DA125" s="5">
        <f ca="1">IF($BI125&lt;&gt;"",IF('Capacity summary'!$C$14="Yes",IF(COUNTBLANK('Capacity summary'!$H37:$BG37)&lt;52,IF('Capacity summary'!AX37&lt;&gt;"",IF(LOWER('Capacity summary'!AX37)="x",$BI125*AX125,VALUE('Capacity summary'!AX37)),0),AX125*$BI125),AX125*$BI125),0)</f>
        <v>13.846153846153847</v>
      </c>
      <c r="DB125" s="5">
        <f ca="1">IF($BI125&lt;&gt;"",IF('Capacity summary'!$C$14="Yes",IF(COUNTBLANK('Capacity summary'!$H37:$BG37)&lt;52,IF('Capacity summary'!AY37&lt;&gt;"",IF(LOWER('Capacity summary'!AY37)="x",$BI125*AY125,VALUE('Capacity summary'!AY37)),0),AY125*$BI125),AY125*$BI125),0)</f>
        <v>13.846153846153847</v>
      </c>
      <c r="DC125" s="5">
        <f ca="1">IF($BI125&lt;&gt;"",IF('Capacity summary'!$C$14="Yes",IF(COUNTBLANK('Capacity summary'!$H37:$BG37)&lt;52,IF('Capacity summary'!AZ37&lt;&gt;"",IF(LOWER('Capacity summary'!AZ37)="x",$BI125*AZ125,VALUE('Capacity summary'!AZ37)),0),AZ125*$BI125),AZ125*$BI125),0)</f>
        <v>13.846153846153847</v>
      </c>
      <c r="DD125" s="5">
        <f ca="1">IF($BI125&lt;&gt;"",IF('Capacity summary'!$C$14="Yes",IF(COUNTBLANK('Capacity summary'!$H37:$BG37)&lt;52,IF('Capacity summary'!BA37&lt;&gt;"",IF(LOWER('Capacity summary'!BA37)="x",$BI125*BA125,VALUE('Capacity summary'!BA37)),0),BA125*$BI125),BA125*$BI125),0)</f>
        <v>13.846153846153847</v>
      </c>
      <c r="DE125" s="5">
        <f ca="1">IF($BI125&lt;&gt;"",IF('Capacity summary'!$C$14="Yes",IF(COUNTBLANK('Capacity summary'!$H37:$BG37)&lt;52,IF('Capacity summary'!BB37&lt;&gt;"",IF(LOWER('Capacity summary'!BB37)="x",$BI125*BB125,VALUE('Capacity summary'!BB37)),0),BB125*$BI125),BB125*$BI125),0)</f>
        <v>13.846153846153847</v>
      </c>
      <c r="DF125" s="5">
        <f ca="1">IF($BI125&lt;&gt;"",IF('Capacity summary'!$C$14="Yes",IF(COUNTBLANK('Capacity summary'!$H37:$BG37)&lt;52,IF('Capacity summary'!BC37&lt;&gt;"",IF(LOWER('Capacity summary'!BC37)="x",$BI125*BC125,VALUE('Capacity summary'!BC37)),0),BC125*$BI125),BC125*$BI125),0)</f>
        <v>13.846153846153847</v>
      </c>
      <c r="DG125" s="5">
        <f ca="1">IF($BI125&lt;&gt;"",IF('Capacity summary'!$C$14="Yes",IF(COUNTBLANK('Capacity summary'!$H37:$BG37)&lt;52,IF('Capacity summary'!BD37&lt;&gt;"",IF(LOWER('Capacity summary'!BD37)="x",$BI125*BD125,VALUE('Capacity summary'!BD37)),0),BD125*$BI125),BD125*$BI125),0)</f>
        <v>13.846153846153847</v>
      </c>
      <c r="DH125" s="5">
        <f ca="1">IF($BI125&lt;&gt;"",IF('Capacity summary'!$C$14="Yes",IF(COUNTBLANK('Capacity summary'!$H37:$BG37)&lt;52,IF('Capacity summary'!BE37&lt;&gt;"",IF(LOWER('Capacity summary'!BE37)="x",$BI125*BE125,VALUE('Capacity summary'!BE37)),0),BE125*$BI125),BE125*$BI125),0)</f>
        <v>13.846153846153847</v>
      </c>
      <c r="DI125" s="5">
        <f ca="1">IF($BI125&lt;&gt;"",IF('Capacity summary'!$C$14="Yes",IF(COUNTBLANK('Capacity summary'!$H37:$BG37)&lt;52,IF('Capacity summary'!BF37&lt;&gt;"",IF(LOWER('Capacity summary'!BF37)="x",$BI125*BF125,VALUE('Capacity summary'!BF37)),0),BF125*$BI125),BF125*$BI125),0)</f>
        <v>13.846153846153847</v>
      </c>
      <c r="DJ125" s="5">
        <f ca="1">IF($BI125&lt;&gt;"",IF('Capacity summary'!$C$14="Yes",IF(COUNTBLANK('Capacity summary'!$H37:$BG37)&lt;52,IF('Capacity summary'!BG37&lt;&gt;"",IF(LOWER('Capacity summary'!BG37)="x",$BI125*BG125,VALUE('Capacity summary'!BG37)),0),BG125*$BI125),BG125*$BI125),0)</f>
        <v>13.846153846153847</v>
      </c>
      <c r="DK125" s="388">
        <f t="shared" ca="1" si="8"/>
        <v>13.846153846153847</v>
      </c>
      <c r="DL125" s="5">
        <f t="shared" ca="1" si="9"/>
        <v>719.99999999999977</v>
      </c>
    </row>
    <row r="126" spans="3:116" x14ac:dyDescent="0.2">
      <c r="C126" s="67" t="str">
        <f>ROW(A15)&amp;". "&amp;Capacity!N31</f>
        <v>15. 44362</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 ca="1">IF(ROW(A15)&lt;=Capacity!$M$16,IF('Capacity summary'!$C$14="No",SUM(H126:BG126),'Capacity summary'!$E38),0)</f>
        <v>52</v>
      </c>
      <c r="BI126" s="67">
        <f ca="1">IF(BH126&gt;0,IF(BH126&lt;Capacity!Q31,Capacity!R31,Capacity!T31/'Capacity calculation (hide)'!BH126),"")</f>
        <v>4.615384615384615</v>
      </c>
      <c r="BJ126" s="5"/>
      <c r="BK126" s="5">
        <f ca="1">IF($BI126&lt;&gt;"",IF('Capacity summary'!$C$14="Yes",IF(COUNTBLANK('Capacity summary'!$H38:$BG38)&lt;52,IF('Capacity summary'!H38&lt;&gt;"",IF(LOWER('Capacity summary'!H38)="x",$BI126*H126,VALUE('Capacity summary'!H38)),0),H126*$BI126),H126*$BI126),0)</f>
        <v>4.615384615384615</v>
      </c>
      <c r="BL126" s="5">
        <f ca="1">IF($BI126&lt;&gt;"",IF('Capacity summary'!$C$14="Yes",IF(COUNTBLANK('Capacity summary'!$H38:$BG38)&lt;52,IF('Capacity summary'!I38&lt;&gt;"",IF(LOWER('Capacity summary'!I38)="x",$BI126*I126,VALUE('Capacity summary'!I38)),0),I126*$BI126),I126*$BI126),0)</f>
        <v>4.615384615384615</v>
      </c>
      <c r="BM126" s="5">
        <f ca="1">IF($BI126&lt;&gt;"",IF('Capacity summary'!$C$14="Yes",IF(COUNTBLANK('Capacity summary'!$H38:$BG38)&lt;52,IF('Capacity summary'!J38&lt;&gt;"",IF(LOWER('Capacity summary'!J38)="x",$BI126*J126,VALUE('Capacity summary'!J38)),0),J126*$BI126),J126*$BI126),0)</f>
        <v>4.615384615384615</v>
      </c>
      <c r="BN126" s="5">
        <f ca="1">IF($BI126&lt;&gt;"",IF('Capacity summary'!$C$14="Yes",IF(COUNTBLANK('Capacity summary'!$H38:$BG38)&lt;52,IF('Capacity summary'!K38&lt;&gt;"",IF(LOWER('Capacity summary'!K38)="x",$BI126*K126,VALUE('Capacity summary'!K38)),0),K126*$BI126),K126*$BI126),0)</f>
        <v>4.615384615384615</v>
      </c>
      <c r="BO126" s="5">
        <f ca="1">IF($BI126&lt;&gt;"",IF('Capacity summary'!$C$14="Yes",IF(COUNTBLANK('Capacity summary'!$H38:$BG38)&lt;52,IF('Capacity summary'!L38&lt;&gt;"",IF(LOWER('Capacity summary'!L38)="x",$BI126*L126,VALUE('Capacity summary'!L38)),0),L126*$BI126),L126*$BI126),0)</f>
        <v>4.615384615384615</v>
      </c>
      <c r="BP126" s="5">
        <f ca="1">IF($BI126&lt;&gt;"",IF('Capacity summary'!$C$14="Yes",IF(COUNTBLANK('Capacity summary'!$H38:$BG38)&lt;52,IF('Capacity summary'!M38&lt;&gt;"",IF(LOWER('Capacity summary'!M38)="x",$BI126*M126,VALUE('Capacity summary'!M38)),0),M126*$BI126),M126*$BI126),0)</f>
        <v>4.615384615384615</v>
      </c>
      <c r="BQ126" s="5">
        <f ca="1">IF($BI126&lt;&gt;"",IF('Capacity summary'!$C$14="Yes",IF(COUNTBLANK('Capacity summary'!$H38:$BG38)&lt;52,IF('Capacity summary'!N38&lt;&gt;"",IF(LOWER('Capacity summary'!N38)="x",$BI126*N126,VALUE('Capacity summary'!N38)),0),N126*$BI126),N126*$BI126),0)</f>
        <v>4.615384615384615</v>
      </c>
      <c r="BR126" s="5">
        <f ca="1">IF($BI126&lt;&gt;"",IF('Capacity summary'!$C$14="Yes",IF(COUNTBLANK('Capacity summary'!$H38:$BG38)&lt;52,IF('Capacity summary'!O38&lt;&gt;"",IF(LOWER('Capacity summary'!O38)="x",$BI126*O126,VALUE('Capacity summary'!O38)),0),O126*$BI126),O126*$BI126),0)</f>
        <v>4.615384615384615</v>
      </c>
      <c r="BS126" s="5">
        <f ca="1">IF($BI126&lt;&gt;"",IF('Capacity summary'!$C$14="Yes",IF(COUNTBLANK('Capacity summary'!$H38:$BG38)&lt;52,IF('Capacity summary'!P38&lt;&gt;"",IF(LOWER('Capacity summary'!P38)="x",$BI126*P126,VALUE('Capacity summary'!P38)),0),P126*$BI126),P126*$BI126),0)</f>
        <v>4.615384615384615</v>
      </c>
      <c r="BT126" s="5">
        <f ca="1">IF($BI126&lt;&gt;"",IF('Capacity summary'!$C$14="Yes",IF(COUNTBLANK('Capacity summary'!$H38:$BG38)&lt;52,IF('Capacity summary'!Q38&lt;&gt;"",IF(LOWER('Capacity summary'!Q38)="x",$BI126*Q126,VALUE('Capacity summary'!Q38)),0),Q126*$BI126),Q126*$BI126),0)</f>
        <v>4.615384615384615</v>
      </c>
      <c r="BU126" s="5">
        <f ca="1">IF($BI126&lt;&gt;"",IF('Capacity summary'!$C$14="Yes",IF(COUNTBLANK('Capacity summary'!$H38:$BG38)&lt;52,IF('Capacity summary'!R38&lt;&gt;"",IF(LOWER('Capacity summary'!R38)="x",$BI126*R126,VALUE('Capacity summary'!R38)),0),R126*$BI126),R126*$BI126),0)</f>
        <v>4.615384615384615</v>
      </c>
      <c r="BV126" s="5">
        <f ca="1">IF($BI126&lt;&gt;"",IF('Capacity summary'!$C$14="Yes",IF(COUNTBLANK('Capacity summary'!$H38:$BG38)&lt;52,IF('Capacity summary'!S38&lt;&gt;"",IF(LOWER('Capacity summary'!S38)="x",$BI126*S126,VALUE('Capacity summary'!S38)),0),S126*$BI126),S126*$BI126),0)</f>
        <v>4.615384615384615</v>
      </c>
      <c r="BW126" s="5">
        <f ca="1">IF($BI126&lt;&gt;"",IF('Capacity summary'!$C$14="Yes",IF(COUNTBLANK('Capacity summary'!$H38:$BG38)&lt;52,IF('Capacity summary'!T38&lt;&gt;"",IF(LOWER('Capacity summary'!T38)="x",$BI126*T126,VALUE('Capacity summary'!T38)),0),T126*$BI126),T126*$BI126),0)</f>
        <v>4.615384615384615</v>
      </c>
      <c r="BX126" s="5">
        <f ca="1">IF($BI126&lt;&gt;"",IF('Capacity summary'!$C$14="Yes",IF(COUNTBLANK('Capacity summary'!$H38:$BG38)&lt;52,IF('Capacity summary'!U38&lt;&gt;"",IF(LOWER('Capacity summary'!U38)="x",$BI126*U126,VALUE('Capacity summary'!U38)),0),U126*$BI126),U126*$BI126),0)</f>
        <v>4.615384615384615</v>
      </c>
      <c r="BY126" s="5">
        <f ca="1">IF($BI126&lt;&gt;"",IF('Capacity summary'!$C$14="Yes",IF(COUNTBLANK('Capacity summary'!$H38:$BG38)&lt;52,IF('Capacity summary'!V38&lt;&gt;"",IF(LOWER('Capacity summary'!V38)="x",$BI126*V126,VALUE('Capacity summary'!V38)),0),V126*$BI126),V126*$BI126),0)</f>
        <v>4.615384615384615</v>
      </c>
      <c r="BZ126" s="5">
        <f ca="1">IF($BI126&lt;&gt;"",IF('Capacity summary'!$C$14="Yes",IF(COUNTBLANK('Capacity summary'!$H38:$BG38)&lt;52,IF('Capacity summary'!W38&lt;&gt;"",IF(LOWER('Capacity summary'!W38)="x",$BI126*W126,VALUE('Capacity summary'!W38)),0),W126*$BI126),W126*$BI126),0)</f>
        <v>4.615384615384615</v>
      </c>
      <c r="CA126" s="5">
        <f ca="1">IF($BI126&lt;&gt;"",IF('Capacity summary'!$C$14="Yes",IF(COUNTBLANK('Capacity summary'!$H38:$BG38)&lt;52,IF('Capacity summary'!X38&lt;&gt;"",IF(LOWER('Capacity summary'!X38)="x",$BI126*X126,VALUE('Capacity summary'!X38)),0),X126*$BI126),X126*$BI126),0)</f>
        <v>4.615384615384615</v>
      </c>
      <c r="CB126" s="5">
        <f ca="1">IF($BI126&lt;&gt;"",IF('Capacity summary'!$C$14="Yes",IF(COUNTBLANK('Capacity summary'!$H38:$BG38)&lt;52,IF('Capacity summary'!Y38&lt;&gt;"",IF(LOWER('Capacity summary'!Y38)="x",$BI126*Y126,VALUE('Capacity summary'!Y38)),0),Y126*$BI126),Y126*$BI126),0)</f>
        <v>4.615384615384615</v>
      </c>
      <c r="CC126" s="5">
        <f ca="1">IF($BI126&lt;&gt;"",IF('Capacity summary'!$C$14="Yes",IF(COUNTBLANK('Capacity summary'!$H38:$BG38)&lt;52,IF('Capacity summary'!Z38&lt;&gt;"",IF(LOWER('Capacity summary'!Z38)="x",$BI126*Z126,VALUE('Capacity summary'!Z38)),0),Z126*$BI126),Z126*$BI126),0)</f>
        <v>4.615384615384615</v>
      </c>
      <c r="CD126" s="5">
        <f ca="1">IF($BI126&lt;&gt;"",IF('Capacity summary'!$C$14="Yes",IF(COUNTBLANK('Capacity summary'!$H38:$BG38)&lt;52,IF('Capacity summary'!AA38&lt;&gt;"",IF(LOWER('Capacity summary'!AA38)="x",$BI126*AA126,VALUE('Capacity summary'!AA38)),0),AA126*$BI126),AA126*$BI126),0)</f>
        <v>4.615384615384615</v>
      </c>
      <c r="CE126" s="5">
        <f ca="1">IF($BI126&lt;&gt;"",IF('Capacity summary'!$C$14="Yes",IF(COUNTBLANK('Capacity summary'!$H38:$BG38)&lt;52,IF('Capacity summary'!AB38&lt;&gt;"",IF(LOWER('Capacity summary'!AB38)="x",$BI126*AB126,VALUE('Capacity summary'!AB38)),0),AB126*$BI126),AB126*$BI126),0)</f>
        <v>4.615384615384615</v>
      </c>
      <c r="CF126" s="5">
        <f ca="1">IF($BI126&lt;&gt;"",IF('Capacity summary'!$C$14="Yes",IF(COUNTBLANK('Capacity summary'!$H38:$BG38)&lt;52,IF('Capacity summary'!AC38&lt;&gt;"",IF(LOWER('Capacity summary'!AC38)="x",$BI126*AC126,VALUE('Capacity summary'!AC38)),0),AC126*$BI126),AC126*$BI126),0)</f>
        <v>4.615384615384615</v>
      </c>
      <c r="CG126" s="5">
        <f ca="1">IF($BI126&lt;&gt;"",IF('Capacity summary'!$C$14="Yes",IF(COUNTBLANK('Capacity summary'!$H38:$BG38)&lt;52,IF('Capacity summary'!AD38&lt;&gt;"",IF(LOWER('Capacity summary'!AD38)="x",$BI126*AD126,VALUE('Capacity summary'!AD38)),0),AD126*$BI126),AD126*$BI126),0)</f>
        <v>4.615384615384615</v>
      </c>
      <c r="CH126" s="5">
        <f ca="1">IF($BI126&lt;&gt;"",IF('Capacity summary'!$C$14="Yes",IF(COUNTBLANK('Capacity summary'!$H38:$BG38)&lt;52,IF('Capacity summary'!AE38&lt;&gt;"",IF(LOWER('Capacity summary'!AE38)="x",$BI126*AE126,VALUE('Capacity summary'!AE38)),0),AE126*$BI126),AE126*$BI126),0)</f>
        <v>4.615384615384615</v>
      </c>
      <c r="CI126" s="5">
        <f ca="1">IF($BI126&lt;&gt;"",IF('Capacity summary'!$C$14="Yes",IF(COUNTBLANK('Capacity summary'!$H38:$BG38)&lt;52,IF('Capacity summary'!AF38&lt;&gt;"",IF(LOWER('Capacity summary'!AF38)="x",$BI126*AF126,VALUE('Capacity summary'!AF38)),0),AF126*$BI126),AF126*$BI126),0)</f>
        <v>4.615384615384615</v>
      </c>
      <c r="CJ126" s="5">
        <f ca="1">IF($BI126&lt;&gt;"",IF('Capacity summary'!$C$14="Yes",IF(COUNTBLANK('Capacity summary'!$H38:$BG38)&lt;52,IF('Capacity summary'!AG38&lt;&gt;"",IF(LOWER('Capacity summary'!AG38)="x",$BI126*AG126,VALUE('Capacity summary'!AG38)),0),AG126*$BI126),AG126*$BI126),0)</f>
        <v>4.615384615384615</v>
      </c>
      <c r="CK126" s="5">
        <f ca="1">IF($BI126&lt;&gt;"",IF('Capacity summary'!$C$14="Yes",IF(COUNTBLANK('Capacity summary'!$H38:$BG38)&lt;52,IF('Capacity summary'!AH38&lt;&gt;"",IF(LOWER('Capacity summary'!AH38)="x",$BI126*AH126,VALUE('Capacity summary'!AH38)),0),AH126*$BI126),AH126*$BI126),0)</f>
        <v>4.615384615384615</v>
      </c>
      <c r="CL126" s="5">
        <f ca="1">IF($BI126&lt;&gt;"",IF('Capacity summary'!$C$14="Yes",IF(COUNTBLANK('Capacity summary'!$H38:$BG38)&lt;52,IF('Capacity summary'!AI38&lt;&gt;"",IF(LOWER('Capacity summary'!AI38)="x",$BI126*AI126,VALUE('Capacity summary'!AI38)),0),AI126*$BI126),AI126*$BI126),0)</f>
        <v>4.615384615384615</v>
      </c>
      <c r="CM126" s="5">
        <f ca="1">IF($BI126&lt;&gt;"",IF('Capacity summary'!$C$14="Yes",IF(COUNTBLANK('Capacity summary'!$H38:$BG38)&lt;52,IF('Capacity summary'!AJ38&lt;&gt;"",IF(LOWER('Capacity summary'!AJ38)="x",$BI126*AJ126,VALUE('Capacity summary'!AJ38)),0),AJ126*$BI126),AJ126*$BI126),0)</f>
        <v>4.615384615384615</v>
      </c>
      <c r="CN126" s="5">
        <f ca="1">IF($BI126&lt;&gt;"",IF('Capacity summary'!$C$14="Yes",IF(COUNTBLANK('Capacity summary'!$H38:$BG38)&lt;52,IF('Capacity summary'!AK38&lt;&gt;"",IF(LOWER('Capacity summary'!AK38)="x",$BI126*AK126,VALUE('Capacity summary'!AK38)),0),AK126*$BI126),AK126*$BI126),0)</f>
        <v>4.615384615384615</v>
      </c>
      <c r="CO126" s="5">
        <f ca="1">IF($BI126&lt;&gt;"",IF('Capacity summary'!$C$14="Yes",IF(COUNTBLANK('Capacity summary'!$H38:$BG38)&lt;52,IF('Capacity summary'!AL38&lt;&gt;"",IF(LOWER('Capacity summary'!AL38)="x",$BI126*AL126,VALUE('Capacity summary'!AL38)),0),AL126*$BI126),AL126*$BI126),0)</f>
        <v>4.615384615384615</v>
      </c>
      <c r="CP126" s="5">
        <f ca="1">IF($BI126&lt;&gt;"",IF('Capacity summary'!$C$14="Yes",IF(COUNTBLANK('Capacity summary'!$H38:$BG38)&lt;52,IF('Capacity summary'!AM38&lt;&gt;"",IF(LOWER('Capacity summary'!AM38)="x",$BI126*AM126,VALUE('Capacity summary'!AM38)),0),AM126*$BI126),AM126*$BI126),0)</f>
        <v>4.615384615384615</v>
      </c>
      <c r="CQ126" s="5">
        <f ca="1">IF($BI126&lt;&gt;"",IF('Capacity summary'!$C$14="Yes",IF(COUNTBLANK('Capacity summary'!$H38:$BG38)&lt;52,IF('Capacity summary'!AN38&lt;&gt;"",IF(LOWER('Capacity summary'!AN38)="x",$BI126*AN126,VALUE('Capacity summary'!AN38)),0),AN126*$BI126),AN126*$BI126),0)</f>
        <v>4.615384615384615</v>
      </c>
      <c r="CR126" s="5">
        <f ca="1">IF($BI126&lt;&gt;"",IF('Capacity summary'!$C$14="Yes",IF(COUNTBLANK('Capacity summary'!$H38:$BG38)&lt;52,IF('Capacity summary'!AO38&lt;&gt;"",IF(LOWER('Capacity summary'!AO38)="x",$BI126*AO126,VALUE('Capacity summary'!AO38)),0),AO126*$BI126),AO126*$BI126),0)</f>
        <v>4.615384615384615</v>
      </c>
      <c r="CS126" s="5">
        <f ca="1">IF($BI126&lt;&gt;"",IF('Capacity summary'!$C$14="Yes",IF(COUNTBLANK('Capacity summary'!$H38:$BG38)&lt;52,IF('Capacity summary'!AP38&lt;&gt;"",IF(LOWER('Capacity summary'!AP38)="x",$BI126*AP126,VALUE('Capacity summary'!AP38)),0),AP126*$BI126),AP126*$BI126),0)</f>
        <v>4.615384615384615</v>
      </c>
      <c r="CT126" s="5">
        <f ca="1">IF($BI126&lt;&gt;"",IF('Capacity summary'!$C$14="Yes",IF(COUNTBLANK('Capacity summary'!$H38:$BG38)&lt;52,IF('Capacity summary'!AQ38&lt;&gt;"",IF(LOWER('Capacity summary'!AQ38)="x",$BI126*AQ126,VALUE('Capacity summary'!AQ38)),0),AQ126*$BI126),AQ126*$BI126),0)</f>
        <v>4.615384615384615</v>
      </c>
      <c r="CU126" s="5">
        <f ca="1">IF($BI126&lt;&gt;"",IF('Capacity summary'!$C$14="Yes",IF(COUNTBLANK('Capacity summary'!$H38:$BG38)&lt;52,IF('Capacity summary'!AR38&lt;&gt;"",IF(LOWER('Capacity summary'!AR38)="x",$BI126*AR126,VALUE('Capacity summary'!AR38)),0),AR126*$BI126),AR126*$BI126),0)</f>
        <v>4.615384615384615</v>
      </c>
      <c r="CV126" s="5">
        <f ca="1">IF($BI126&lt;&gt;"",IF('Capacity summary'!$C$14="Yes",IF(COUNTBLANK('Capacity summary'!$H38:$BG38)&lt;52,IF('Capacity summary'!AS38&lt;&gt;"",IF(LOWER('Capacity summary'!AS38)="x",$BI126*AS126,VALUE('Capacity summary'!AS38)),0),AS126*$BI126),AS126*$BI126),0)</f>
        <v>4.615384615384615</v>
      </c>
      <c r="CW126" s="5">
        <f ca="1">IF($BI126&lt;&gt;"",IF('Capacity summary'!$C$14="Yes",IF(COUNTBLANK('Capacity summary'!$H38:$BG38)&lt;52,IF('Capacity summary'!AT38&lt;&gt;"",IF(LOWER('Capacity summary'!AT38)="x",$BI126*AT126,VALUE('Capacity summary'!AT38)),0),AT126*$BI126),AT126*$BI126),0)</f>
        <v>4.615384615384615</v>
      </c>
      <c r="CX126" s="5">
        <f ca="1">IF($BI126&lt;&gt;"",IF('Capacity summary'!$C$14="Yes",IF(COUNTBLANK('Capacity summary'!$H38:$BG38)&lt;52,IF('Capacity summary'!AU38&lt;&gt;"",IF(LOWER('Capacity summary'!AU38)="x",$BI126*AU126,VALUE('Capacity summary'!AU38)),0),AU126*$BI126),AU126*$BI126),0)</f>
        <v>4.615384615384615</v>
      </c>
      <c r="CY126" s="5">
        <f ca="1">IF($BI126&lt;&gt;"",IF('Capacity summary'!$C$14="Yes",IF(COUNTBLANK('Capacity summary'!$H38:$BG38)&lt;52,IF('Capacity summary'!AV38&lt;&gt;"",IF(LOWER('Capacity summary'!AV38)="x",$BI126*AV126,VALUE('Capacity summary'!AV38)),0),AV126*$BI126),AV126*$BI126),0)</f>
        <v>4.615384615384615</v>
      </c>
      <c r="CZ126" s="5">
        <f ca="1">IF($BI126&lt;&gt;"",IF('Capacity summary'!$C$14="Yes",IF(COUNTBLANK('Capacity summary'!$H38:$BG38)&lt;52,IF('Capacity summary'!AW38&lt;&gt;"",IF(LOWER('Capacity summary'!AW38)="x",$BI126*AW126,VALUE('Capacity summary'!AW38)),0),AW126*$BI126),AW126*$BI126),0)</f>
        <v>4.615384615384615</v>
      </c>
      <c r="DA126" s="5">
        <f ca="1">IF($BI126&lt;&gt;"",IF('Capacity summary'!$C$14="Yes",IF(COUNTBLANK('Capacity summary'!$H38:$BG38)&lt;52,IF('Capacity summary'!AX38&lt;&gt;"",IF(LOWER('Capacity summary'!AX38)="x",$BI126*AX126,VALUE('Capacity summary'!AX38)),0),AX126*$BI126),AX126*$BI126),0)</f>
        <v>4.615384615384615</v>
      </c>
      <c r="DB126" s="5">
        <f ca="1">IF($BI126&lt;&gt;"",IF('Capacity summary'!$C$14="Yes",IF(COUNTBLANK('Capacity summary'!$H38:$BG38)&lt;52,IF('Capacity summary'!AY38&lt;&gt;"",IF(LOWER('Capacity summary'!AY38)="x",$BI126*AY126,VALUE('Capacity summary'!AY38)),0),AY126*$BI126),AY126*$BI126),0)</f>
        <v>4.615384615384615</v>
      </c>
      <c r="DC126" s="5">
        <f ca="1">IF($BI126&lt;&gt;"",IF('Capacity summary'!$C$14="Yes",IF(COUNTBLANK('Capacity summary'!$H38:$BG38)&lt;52,IF('Capacity summary'!AZ38&lt;&gt;"",IF(LOWER('Capacity summary'!AZ38)="x",$BI126*AZ126,VALUE('Capacity summary'!AZ38)),0),AZ126*$BI126),AZ126*$BI126),0)</f>
        <v>4.615384615384615</v>
      </c>
      <c r="DD126" s="5">
        <f ca="1">IF($BI126&lt;&gt;"",IF('Capacity summary'!$C$14="Yes",IF(COUNTBLANK('Capacity summary'!$H38:$BG38)&lt;52,IF('Capacity summary'!BA38&lt;&gt;"",IF(LOWER('Capacity summary'!BA38)="x",$BI126*BA126,VALUE('Capacity summary'!BA38)),0),BA126*$BI126),BA126*$BI126),0)</f>
        <v>4.615384615384615</v>
      </c>
      <c r="DE126" s="5">
        <f ca="1">IF($BI126&lt;&gt;"",IF('Capacity summary'!$C$14="Yes",IF(COUNTBLANK('Capacity summary'!$H38:$BG38)&lt;52,IF('Capacity summary'!BB38&lt;&gt;"",IF(LOWER('Capacity summary'!BB38)="x",$BI126*BB126,VALUE('Capacity summary'!BB38)),0),BB126*$BI126),BB126*$BI126),0)</f>
        <v>4.615384615384615</v>
      </c>
      <c r="DF126" s="5">
        <f ca="1">IF($BI126&lt;&gt;"",IF('Capacity summary'!$C$14="Yes",IF(COUNTBLANK('Capacity summary'!$H38:$BG38)&lt;52,IF('Capacity summary'!BC38&lt;&gt;"",IF(LOWER('Capacity summary'!BC38)="x",$BI126*BC126,VALUE('Capacity summary'!BC38)),0),BC126*$BI126),BC126*$BI126),0)</f>
        <v>4.615384615384615</v>
      </c>
      <c r="DG126" s="5">
        <f ca="1">IF($BI126&lt;&gt;"",IF('Capacity summary'!$C$14="Yes",IF(COUNTBLANK('Capacity summary'!$H38:$BG38)&lt;52,IF('Capacity summary'!BD38&lt;&gt;"",IF(LOWER('Capacity summary'!BD38)="x",$BI126*BD126,VALUE('Capacity summary'!BD38)),0),BD126*$BI126),BD126*$BI126),0)</f>
        <v>4.615384615384615</v>
      </c>
      <c r="DH126" s="5">
        <f ca="1">IF($BI126&lt;&gt;"",IF('Capacity summary'!$C$14="Yes",IF(COUNTBLANK('Capacity summary'!$H38:$BG38)&lt;52,IF('Capacity summary'!BE38&lt;&gt;"",IF(LOWER('Capacity summary'!BE38)="x",$BI126*BE126,VALUE('Capacity summary'!BE38)),0),BE126*$BI126),BE126*$BI126),0)</f>
        <v>4.615384615384615</v>
      </c>
      <c r="DI126" s="5">
        <f ca="1">IF($BI126&lt;&gt;"",IF('Capacity summary'!$C$14="Yes",IF(COUNTBLANK('Capacity summary'!$H38:$BG38)&lt;52,IF('Capacity summary'!BF38&lt;&gt;"",IF(LOWER('Capacity summary'!BF38)="x",$BI126*BF126,VALUE('Capacity summary'!BF38)),0),BF126*$BI126),BF126*$BI126),0)</f>
        <v>4.615384615384615</v>
      </c>
      <c r="DJ126" s="5">
        <f ca="1">IF($BI126&lt;&gt;"",IF('Capacity summary'!$C$14="Yes",IF(COUNTBLANK('Capacity summary'!$H38:$BG38)&lt;52,IF('Capacity summary'!BG38&lt;&gt;"",IF(LOWER('Capacity summary'!BG38)="x",$BI126*BG126,VALUE('Capacity summary'!BG38)),0),BG126*$BI126),BG126*$BI126),0)</f>
        <v>4.615384615384615</v>
      </c>
      <c r="DK126" s="388">
        <f t="shared" ca="1" si="8"/>
        <v>4.615384615384615</v>
      </c>
      <c r="DL126" s="5">
        <f t="shared" ca="1" si="9"/>
        <v>239.99999999999991</v>
      </c>
    </row>
    <row r="127" spans="3:116" x14ac:dyDescent="0.2">
      <c r="C127" s="67" t="str">
        <f>ROW(A16)&amp;". "&amp;Capacity!N32</f>
        <v>16. 44364</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 ca="1">IF(ROW(A16)&lt;=Capacity!$M$16,IF('Capacity summary'!$C$14="No",SUM(H127:BG127),'Capacity summary'!$E39),0)</f>
        <v>52</v>
      </c>
      <c r="BI127" s="67">
        <f ca="1">IF(BH127&gt;0,IF(BH127&lt;Capacity!Q32,Capacity!R32,Capacity!T32/'Capacity calculation (hide)'!BH127),"")</f>
        <v>4.615384615384615</v>
      </c>
      <c r="BJ127" s="5"/>
      <c r="BK127" s="5">
        <f ca="1">IF($BI127&lt;&gt;"",IF('Capacity summary'!$C$14="Yes",IF(COUNTBLANK('Capacity summary'!$H39:$BG39)&lt;52,IF('Capacity summary'!H39&lt;&gt;"",IF(LOWER('Capacity summary'!H39)="x",$BI127*H127,VALUE('Capacity summary'!H39)),0),H127*$BI127),H127*$BI127),0)</f>
        <v>4.615384615384615</v>
      </c>
      <c r="BL127" s="5">
        <f ca="1">IF($BI127&lt;&gt;"",IF('Capacity summary'!$C$14="Yes",IF(COUNTBLANK('Capacity summary'!$H39:$BG39)&lt;52,IF('Capacity summary'!I39&lt;&gt;"",IF(LOWER('Capacity summary'!I39)="x",$BI127*I127,VALUE('Capacity summary'!I39)),0),I127*$BI127),I127*$BI127),0)</f>
        <v>4.615384615384615</v>
      </c>
      <c r="BM127" s="5">
        <f ca="1">IF($BI127&lt;&gt;"",IF('Capacity summary'!$C$14="Yes",IF(COUNTBLANK('Capacity summary'!$H39:$BG39)&lt;52,IF('Capacity summary'!J39&lt;&gt;"",IF(LOWER('Capacity summary'!J39)="x",$BI127*J127,VALUE('Capacity summary'!J39)),0),J127*$BI127),J127*$BI127),0)</f>
        <v>4.615384615384615</v>
      </c>
      <c r="BN127" s="5">
        <f ca="1">IF($BI127&lt;&gt;"",IF('Capacity summary'!$C$14="Yes",IF(COUNTBLANK('Capacity summary'!$H39:$BG39)&lt;52,IF('Capacity summary'!K39&lt;&gt;"",IF(LOWER('Capacity summary'!K39)="x",$BI127*K127,VALUE('Capacity summary'!K39)),0),K127*$BI127),K127*$BI127),0)</f>
        <v>4.615384615384615</v>
      </c>
      <c r="BO127" s="5">
        <f ca="1">IF($BI127&lt;&gt;"",IF('Capacity summary'!$C$14="Yes",IF(COUNTBLANK('Capacity summary'!$H39:$BG39)&lt;52,IF('Capacity summary'!L39&lt;&gt;"",IF(LOWER('Capacity summary'!L39)="x",$BI127*L127,VALUE('Capacity summary'!L39)),0),L127*$BI127),L127*$BI127),0)</f>
        <v>4.615384615384615</v>
      </c>
      <c r="BP127" s="5">
        <f ca="1">IF($BI127&lt;&gt;"",IF('Capacity summary'!$C$14="Yes",IF(COUNTBLANK('Capacity summary'!$H39:$BG39)&lt;52,IF('Capacity summary'!M39&lt;&gt;"",IF(LOWER('Capacity summary'!M39)="x",$BI127*M127,VALUE('Capacity summary'!M39)),0),M127*$BI127),M127*$BI127),0)</f>
        <v>4.615384615384615</v>
      </c>
      <c r="BQ127" s="5">
        <f ca="1">IF($BI127&lt;&gt;"",IF('Capacity summary'!$C$14="Yes",IF(COUNTBLANK('Capacity summary'!$H39:$BG39)&lt;52,IF('Capacity summary'!N39&lt;&gt;"",IF(LOWER('Capacity summary'!N39)="x",$BI127*N127,VALUE('Capacity summary'!N39)),0),N127*$BI127),N127*$BI127),0)</f>
        <v>4.615384615384615</v>
      </c>
      <c r="BR127" s="5">
        <f ca="1">IF($BI127&lt;&gt;"",IF('Capacity summary'!$C$14="Yes",IF(COUNTBLANK('Capacity summary'!$H39:$BG39)&lt;52,IF('Capacity summary'!O39&lt;&gt;"",IF(LOWER('Capacity summary'!O39)="x",$BI127*O127,VALUE('Capacity summary'!O39)),0),O127*$BI127),O127*$BI127),0)</f>
        <v>4.615384615384615</v>
      </c>
      <c r="BS127" s="5">
        <f ca="1">IF($BI127&lt;&gt;"",IF('Capacity summary'!$C$14="Yes",IF(COUNTBLANK('Capacity summary'!$H39:$BG39)&lt;52,IF('Capacity summary'!P39&lt;&gt;"",IF(LOWER('Capacity summary'!P39)="x",$BI127*P127,VALUE('Capacity summary'!P39)),0),P127*$BI127),P127*$BI127),0)</f>
        <v>4.615384615384615</v>
      </c>
      <c r="BT127" s="5">
        <f ca="1">IF($BI127&lt;&gt;"",IF('Capacity summary'!$C$14="Yes",IF(COUNTBLANK('Capacity summary'!$H39:$BG39)&lt;52,IF('Capacity summary'!Q39&lt;&gt;"",IF(LOWER('Capacity summary'!Q39)="x",$BI127*Q127,VALUE('Capacity summary'!Q39)),0),Q127*$BI127),Q127*$BI127),0)</f>
        <v>4.615384615384615</v>
      </c>
      <c r="BU127" s="5">
        <f ca="1">IF($BI127&lt;&gt;"",IF('Capacity summary'!$C$14="Yes",IF(COUNTBLANK('Capacity summary'!$H39:$BG39)&lt;52,IF('Capacity summary'!R39&lt;&gt;"",IF(LOWER('Capacity summary'!R39)="x",$BI127*R127,VALUE('Capacity summary'!R39)),0),R127*$BI127),R127*$BI127),0)</f>
        <v>4.615384615384615</v>
      </c>
      <c r="BV127" s="5">
        <f ca="1">IF($BI127&lt;&gt;"",IF('Capacity summary'!$C$14="Yes",IF(COUNTBLANK('Capacity summary'!$H39:$BG39)&lt;52,IF('Capacity summary'!S39&lt;&gt;"",IF(LOWER('Capacity summary'!S39)="x",$BI127*S127,VALUE('Capacity summary'!S39)),0),S127*$BI127),S127*$BI127),0)</f>
        <v>4.615384615384615</v>
      </c>
      <c r="BW127" s="5">
        <f ca="1">IF($BI127&lt;&gt;"",IF('Capacity summary'!$C$14="Yes",IF(COUNTBLANK('Capacity summary'!$H39:$BG39)&lt;52,IF('Capacity summary'!T39&lt;&gt;"",IF(LOWER('Capacity summary'!T39)="x",$BI127*T127,VALUE('Capacity summary'!T39)),0),T127*$BI127),T127*$BI127),0)</f>
        <v>4.615384615384615</v>
      </c>
      <c r="BX127" s="5">
        <f ca="1">IF($BI127&lt;&gt;"",IF('Capacity summary'!$C$14="Yes",IF(COUNTBLANK('Capacity summary'!$H39:$BG39)&lt;52,IF('Capacity summary'!U39&lt;&gt;"",IF(LOWER('Capacity summary'!U39)="x",$BI127*U127,VALUE('Capacity summary'!U39)),0),U127*$BI127),U127*$BI127),0)</f>
        <v>4.615384615384615</v>
      </c>
      <c r="BY127" s="5">
        <f ca="1">IF($BI127&lt;&gt;"",IF('Capacity summary'!$C$14="Yes",IF(COUNTBLANK('Capacity summary'!$H39:$BG39)&lt;52,IF('Capacity summary'!V39&lt;&gt;"",IF(LOWER('Capacity summary'!V39)="x",$BI127*V127,VALUE('Capacity summary'!V39)),0),V127*$BI127),V127*$BI127),0)</f>
        <v>4.615384615384615</v>
      </c>
      <c r="BZ127" s="5">
        <f ca="1">IF($BI127&lt;&gt;"",IF('Capacity summary'!$C$14="Yes",IF(COUNTBLANK('Capacity summary'!$H39:$BG39)&lt;52,IF('Capacity summary'!W39&lt;&gt;"",IF(LOWER('Capacity summary'!W39)="x",$BI127*W127,VALUE('Capacity summary'!W39)),0),W127*$BI127),W127*$BI127),0)</f>
        <v>4.615384615384615</v>
      </c>
      <c r="CA127" s="5">
        <f ca="1">IF($BI127&lt;&gt;"",IF('Capacity summary'!$C$14="Yes",IF(COUNTBLANK('Capacity summary'!$H39:$BG39)&lt;52,IF('Capacity summary'!X39&lt;&gt;"",IF(LOWER('Capacity summary'!X39)="x",$BI127*X127,VALUE('Capacity summary'!X39)),0),X127*$BI127),X127*$BI127),0)</f>
        <v>4.615384615384615</v>
      </c>
      <c r="CB127" s="5">
        <f ca="1">IF($BI127&lt;&gt;"",IF('Capacity summary'!$C$14="Yes",IF(COUNTBLANK('Capacity summary'!$H39:$BG39)&lt;52,IF('Capacity summary'!Y39&lt;&gt;"",IF(LOWER('Capacity summary'!Y39)="x",$BI127*Y127,VALUE('Capacity summary'!Y39)),0),Y127*$BI127),Y127*$BI127),0)</f>
        <v>4.615384615384615</v>
      </c>
      <c r="CC127" s="5">
        <f ca="1">IF($BI127&lt;&gt;"",IF('Capacity summary'!$C$14="Yes",IF(COUNTBLANK('Capacity summary'!$H39:$BG39)&lt;52,IF('Capacity summary'!Z39&lt;&gt;"",IF(LOWER('Capacity summary'!Z39)="x",$BI127*Z127,VALUE('Capacity summary'!Z39)),0),Z127*$BI127),Z127*$BI127),0)</f>
        <v>4.615384615384615</v>
      </c>
      <c r="CD127" s="5">
        <f ca="1">IF($BI127&lt;&gt;"",IF('Capacity summary'!$C$14="Yes",IF(COUNTBLANK('Capacity summary'!$H39:$BG39)&lt;52,IF('Capacity summary'!AA39&lt;&gt;"",IF(LOWER('Capacity summary'!AA39)="x",$BI127*AA127,VALUE('Capacity summary'!AA39)),0),AA127*$BI127),AA127*$BI127),0)</f>
        <v>4.615384615384615</v>
      </c>
      <c r="CE127" s="5">
        <f ca="1">IF($BI127&lt;&gt;"",IF('Capacity summary'!$C$14="Yes",IF(COUNTBLANK('Capacity summary'!$H39:$BG39)&lt;52,IF('Capacity summary'!AB39&lt;&gt;"",IF(LOWER('Capacity summary'!AB39)="x",$BI127*AB127,VALUE('Capacity summary'!AB39)),0),AB127*$BI127),AB127*$BI127),0)</f>
        <v>4.615384615384615</v>
      </c>
      <c r="CF127" s="5">
        <f ca="1">IF($BI127&lt;&gt;"",IF('Capacity summary'!$C$14="Yes",IF(COUNTBLANK('Capacity summary'!$H39:$BG39)&lt;52,IF('Capacity summary'!AC39&lt;&gt;"",IF(LOWER('Capacity summary'!AC39)="x",$BI127*AC127,VALUE('Capacity summary'!AC39)),0),AC127*$BI127),AC127*$BI127),0)</f>
        <v>4.615384615384615</v>
      </c>
      <c r="CG127" s="5">
        <f ca="1">IF($BI127&lt;&gt;"",IF('Capacity summary'!$C$14="Yes",IF(COUNTBLANK('Capacity summary'!$H39:$BG39)&lt;52,IF('Capacity summary'!AD39&lt;&gt;"",IF(LOWER('Capacity summary'!AD39)="x",$BI127*AD127,VALUE('Capacity summary'!AD39)),0),AD127*$BI127),AD127*$BI127),0)</f>
        <v>4.615384615384615</v>
      </c>
      <c r="CH127" s="5">
        <f ca="1">IF($BI127&lt;&gt;"",IF('Capacity summary'!$C$14="Yes",IF(COUNTBLANK('Capacity summary'!$H39:$BG39)&lt;52,IF('Capacity summary'!AE39&lt;&gt;"",IF(LOWER('Capacity summary'!AE39)="x",$BI127*AE127,VALUE('Capacity summary'!AE39)),0),AE127*$BI127),AE127*$BI127),0)</f>
        <v>4.615384615384615</v>
      </c>
      <c r="CI127" s="5">
        <f ca="1">IF($BI127&lt;&gt;"",IF('Capacity summary'!$C$14="Yes",IF(COUNTBLANK('Capacity summary'!$H39:$BG39)&lt;52,IF('Capacity summary'!AF39&lt;&gt;"",IF(LOWER('Capacity summary'!AF39)="x",$BI127*AF127,VALUE('Capacity summary'!AF39)),0),AF127*$BI127),AF127*$BI127),0)</f>
        <v>4.615384615384615</v>
      </c>
      <c r="CJ127" s="5">
        <f ca="1">IF($BI127&lt;&gt;"",IF('Capacity summary'!$C$14="Yes",IF(COUNTBLANK('Capacity summary'!$H39:$BG39)&lt;52,IF('Capacity summary'!AG39&lt;&gt;"",IF(LOWER('Capacity summary'!AG39)="x",$BI127*AG127,VALUE('Capacity summary'!AG39)),0),AG127*$BI127),AG127*$BI127),0)</f>
        <v>4.615384615384615</v>
      </c>
      <c r="CK127" s="5">
        <f ca="1">IF($BI127&lt;&gt;"",IF('Capacity summary'!$C$14="Yes",IF(COUNTBLANK('Capacity summary'!$H39:$BG39)&lt;52,IF('Capacity summary'!AH39&lt;&gt;"",IF(LOWER('Capacity summary'!AH39)="x",$BI127*AH127,VALUE('Capacity summary'!AH39)),0),AH127*$BI127),AH127*$BI127),0)</f>
        <v>4.615384615384615</v>
      </c>
      <c r="CL127" s="5">
        <f ca="1">IF($BI127&lt;&gt;"",IF('Capacity summary'!$C$14="Yes",IF(COUNTBLANK('Capacity summary'!$H39:$BG39)&lt;52,IF('Capacity summary'!AI39&lt;&gt;"",IF(LOWER('Capacity summary'!AI39)="x",$BI127*AI127,VALUE('Capacity summary'!AI39)),0),AI127*$BI127),AI127*$BI127),0)</f>
        <v>4.615384615384615</v>
      </c>
      <c r="CM127" s="5">
        <f ca="1">IF($BI127&lt;&gt;"",IF('Capacity summary'!$C$14="Yes",IF(COUNTBLANK('Capacity summary'!$H39:$BG39)&lt;52,IF('Capacity summary'!AJ39&lt;&gt;"",IF(LOWER('Capacity summary'!AJ39)="x",$BI127*AJ127,VALUE('Capacity summary'!AJ39)),0),AJ127*$BI127),AJ127*$BI127),0)</f>
        <v>4.615384615384615</v>
      </c>
      <c r="CN127" s="5">
        <f ca="1">IF($BI127&lt;&gt;"",IF('Capacity summary'!$C$14="Yes",IF(COUNTBLANK('Capacity summary'!$H39:$BG39)&lt;52,IF('Capacity summary'!AK39&lt;&gt;"",IF(LOWER('Capacity summary'!AK39)="x",$BI127*AK127,VALUE('Capacity summary'!AK39)),0),AK127*$BI127),AK127*$BI127),0)</f>
        <v>4.615384615384615</v>
      </c>
      <c r="CO127" s="5">
        <f ca="1">IF($BI127&lt;&gt;"",IF('Capacity summary'!$C$14="Yes",IF(COUNTBLANK('Capacity summary'!$H39:$BG39)&lt;52,IF('Capacity summary'!AL39&lt;&gt;"",IF(LOWER('Capacity summary'!AL39)="x",$BI127*AL127,VALUE('Capacity summary'!AL39)),0),AL127*$BI127),AL127*$BI127),0)</f>
        <v>4.615384615384615</v>
      </c>
      <c r="CP127" s="5">
        <f ca="1">IF($BI127&lt;&gt;"",IF('Capacity summary'!$C$14="Yes",IF(COUNTBLANK('Capacity summary'!$H39:$BG39)&lt;52,IF('Capacity summary'!AM39&lt;&gt;"",IF(LOWER('Capacity summary'!AM39)="x",$BI127*AM127,VALUE('Capacity summary'!AM39)),0),AM127*$BI127),AM127*$BI127),0)</f>
        <v>4.615384615384615</v>
      </c>
      <c r="CQ127" s="5">
        <f ca="1">IF($BI127&lt;&gt;"",IF('Capacity summary'!$C$14="Yes",IF(COUNTBLANK('Capacity summary'!$H39:$BG39)&lt;52,IF('Capacity summary'!AN39&lt;&gt;"",IF(LOWER('Capacity summary'!AN39)="x",$BI127*AN127,VALUE('Capacity summary'!AN39)),0),AN127*$BI127),AN127*$BI127),0)</f>
        <v>4.615384615384615</v>
      </c>
      <c r="CR127" s="5">
        <f ca="1">IF($BI127&lt;&gt;"",IF('Capacity summary'!$C$14="Yes",IF(COUNTBLANK('Capacity summary'!$H39:$BG39)&lt;52,IF('Capacity summary'!AO39&lt;&gt;"",IF(LOWER('Capacity summary'!AO39)="x",$BI127*AO127,VALUE('Capacity summary'!AO39)),0),AO127*$BI127),AO127*$BI127),0)</f>
        <v>4.615384615384615</v>
      </c>
      <c r="CS127" s="5">
        <f ca="1">IF($BI127&lt;&gt;"",IF('Capacity summary'!$C$14="Yes",IF(COUNTBLANK('Capacity summary'!$H39:$BG39)&lt;52,IF('Capacity summary'!AP39&lt;&gt;"",IF(LOWER('Capacity summary'!AP39)="x",$BI127*AP127,VALUE('Capacity summary'!AP39)),0),AP127*$BI127),AP127*$BI127),0)</f>
        <v>4.615384615384615</v>
      </c>
      <c r="CT127" s="5">
        <f ca="1">IF($BI127&lt;&gt;"",IF('Capacity summary'!$C$14="Yes",IF(COUNTBLANK('Capacity summary'!$H39:$BG39)&lt;52,IF('Capacity summary'!AQ39&lt;&gt;"",IF(LOWER('Capacity summary'!AQ39)="x",$BI127*AQ127,VALUE('Capacity summary'!AQ39)),0),AQ127*$BI127),AQ127*$BI127),0)</f>
        <v>4.615384615384615</v>
      </c>
      <c r="CU127" s="5">
        <f ca="1">IF($BI127&lt;&gt;"",IF('Capacity summary'!$C$14="Yes",IF(COUNTBLANK('Capacity summary'!$H39:$BG39)&lt;52,IF('Capacity summary'!AR39&lt;&gt;"",IF(LOWER('Capacity summary'!AR39)="x",$BI127*AR127,VALUE('Capacity summary'!AR39)),0),AR127*$BI127),AR127*$BI127),0)</f>
        <v>4.615384615384615</v>
      </c>
      <c r="CV127" s="5">
        <f ca="1">IF($BI127&lt;&gt;"",IF('Capacity summary'!$C$14="Yes",IF(COUNTBLANK('Capacity summary'!$H39:$BG39)&lt;52,IF('Capacity summary'!AS39&lt;&gt;"",IF(LOWER('Capacity summary'!AS39)="x",$BI127*AS127,VALUE('Capacity summary'!AS39)),0),AS127*$BI127),AS127*$BI127),0)</f>
        <v>4.615384615384615</v>
      </c>
      <c r="CW127" s="5">
        <f ca="1">IF($BI127&lt;&gt;"",IF('Capacity summary'!$C$14="Yes",IF(COUNTBLANK('Capacity summary'!$H39:$BG39)&lt;52,IF('Capacity summary'!AT39&lt;&gt;"",IF(LOWER('Capacity summary'!AT39)="x",$BI127*AT127,VALUE('Capacity summary'!AT39)),0),AT127*$BI127),AT127*$BI127),0)</f>
        <v>4.615384615384615</v>
      </c>
      <c r="CX127" s="5">
        <f ca="1">IF($BI127&lt;&gt;"",IF('Capacity summary'!$C$14="Yes",IF(COUNTBLANK('Capacity summary'!$H39:$BG39)&lt;52,IF('Capacity summary'!AU39&lt;&gt;"",IF(LOWER('Capacity summary'!AU39)="x",$BI127*AU127,VALUE('Capacity summary'!AU39)),0),AU127*$BI127),AU127*$BI127),0)</f>
        <v>4.615384615384615</v>
      </c>
      <c r="CY127" s="5">
        <f ca="1">IF($BI127&lt;&gt;"",IF('Capacity summary'!$C$14="Yes",IF(COUNTBLANK('Capacity summary'!$H39:$BG39)&lt;52,IF('Capacity summary'!AV39&lt;&gt;"",IF(LOWER('Capacity summary'!AV39)="x",$BI127*AV127,VALUE('Capacity summary'!AV39)),0),AV127*$BI127),AV127*$BI127),0)</f>
        <v>4.615384615384615</v>
      </c>
      <c r="CZ127" s="5">
        <f ca="1">IF($BI127&lt;&gt;"",IF('Capacity summary'!$C$14="Yes",IF(COUNTBLANK('Capacity summary'!$H39:$BG39)&lt;52,IF('Capacity summary'!AW39&lt;&gt;"",IF(LOWER('Capacity summary'!AW39)="x",$BI127*AW127,VALUE('Capacity summary'!AW39)),0),AW127*$BI127),AW127*$BI127),0)</f>
        <v>4.615384615384615</v>
      </c>
      <c r="DA127" s="5">
        <f ca="1">IF($BI127&lt;&gt;"",IF('Capacity summary'!$C$14="Yes",IF(COUNTBLANK('Capacity summary'!$H39:$BG39)&lt;52,IF('Capacity summary'!AX39&lt;&gt;"",IF(LOWER('Capacity summary'!AX39)="x",$BI127*AX127,VALUE('Capacity summary'!AX39)),0),AX127*$BI127),AX127*$BI127),0)</f>
        <v>4.615384615384615</v>
      </c>
      <c r="DB127" s="5">
        <f ca="1">IF($BI127&lt;&gt;"",IF('Capacity summary'!$C$14="Yes",IF(COUNTBLANK('Capacity summary'!$H39:$BG39)&lt;52,IF('Capacity summary'!AY39&lt;&gt;"",IF(LOWER('Capacity summary'!AY39)="x",$BI127*AY127,VALUE('Capacity summary'!AY39)),0),AY127*$BI127),AY127*$BI127),0)</f>
        <v>4.615384615384615</v>
      </c>
      <c r="DC127" s="5">
        <f ca="1">IF($BI127&lt;&gt;"",IF('Capacity summary'!$C$14="Yes",IF(COUNTBLANK('Capacity summary'!$H39:$BG39)&lt;52,IF('Capacity summary'!AZ39&lt;&gt;"",IF(LOWER('Capacity summary'!AZ39)="x",$BI127*AZ127,VALUE('Capacity summary'!AZ39)),0),AZ127*$BI127),AZ127*$BI127),0)</f>
        <v>4.615384615384615</v>
      </c>
      <c r="DD127" s="5">
        <f ca="1">IF($BI127&lt;&gt;"",IF('Capacity summary'!$C$14="Yes",IF(COUNTBLANK('Capacity summary'!$H39:$BG39)&lt;52,IF('Capacity summary'!BA39&lt;&gt;"",IF(LOWER('Capacity summary'!BA39)="x",$BI127*BA127,VALUE('Capacity summary'!BA39)),0),BA127*$BI127),BA127*$BI127),0)</f>
        <v>4.615384615384615</v>
      </c>
      <c r="DE127" s="5">
        <f ca="1">IF($BI127&lt;&gt;"",IF('Capacity summary'!$C$14="Yes",IF(COUNTBLANK('Capacity summary'!$H39:$BG39)&lt;52,IF('Capacity summary'!BB39&lt;&gt;"",IF(LOWER('Capacity summary'!BB39)="x",$BI127*BB127,VALUE('Capacity summary'!BB39)),0),BB127*$BI127),BB127*$BI127),0)</f>
        <v>4.615384615384615</v>
      </c>
      <c r="DF127" s="5">
        <f ca="1">IF($BI127&lt;&gt;"",IF('Capacity summary'!$C$14="Yes",IF(COUNTBLANK('Capacity summary'!$H39:$BG39)&lt;52,IF('Capacity summary'!BC39&lt;&gt;"",IF(LOWER('Capacity summary'!BC39)="x",$BI127*BC127,VALUE('Capacity summary'!BC39)),0),BC127*$BI127),BC127*$BI127),0)</f>
        <v>4.615384615384615</v>
      </c>
      <c r="DG127" s="5">
        <f ca="1">IF($BI127&lt;&gt;"",IF('Capacity summary'!$C$14="Yes",IF(COUNTBLANK('Capacity summary'!$H39:$BG39)&lt;52,IF('Capacity summary'!BD39&lt;&gt;"",IF(LOWER('Capacity summary'!BD39)="x",$BI127*BD127,VALUE('Capacity summary'!BD39)),0),BD127*$BI127),BD127*$BI127),0)</f>
        <v>4.615384615384615</v>
      </c>
      <c r="DH127" s="5">
        <f ca="1">IF($BI127&lt;&gt;"",IF('Capacity summary'!$C$14="Yes",IF(COUNTBLANK('Capacity summary'!$H39:$BG39)&lt;52,IF('Capacity summary'!BE39&lt;&gt;"",IF(LOWER('Capacity summary'!BE39)="x",$BI127*BE127,VALUE('Capacity summary'!BE39)),0),BE127*$BI127),BE127*$BI127),0)</f>
        <v>4.615384615384615</v>
      </c>
      <c r="DI127" s="5">
        <f ca="1">IF($BI127&lt;&gt;"",IF('Capacity summary'!$C$14="Yes",IF(COUNTBLANK('Capacity summary'!$H39:$BG39)&lt;52,IF('Capacity summary'!BF39&lt;&gt;"",IF(LOWER('Capacity summary'!BF39)="x",$BI127*BF127,VALUE('Capacity summary'!BF39)),0),BF127*$BI127),BF127*$BI127),0)</f>
        <v>4.615384615384615</v>
      </c>
      <c r="DJ127" s="5">
        <f ca="1">IF($BI127&lt;&gt;"",IF('Capacity summary'!$C$14="Yes",IF(COUNTBLANK('Capacity summary'!$H39:$BG39)&lt;52,IF('Capacity summary'!BG39&lt;&gt;"",IF(LOWER('Capacity summary'!BG39)="x",$BI127*BG127,VALUE('Capacity summary'!BG39)),0),BG127*$BI127),BG127*$BI127),0)</f>
        <v>4.615384615384615</v>
      </c>
      <c r="DK127" s="388">
        <f t="shared" ca="1" si="8"/>
        <v>4.615384615384615</v>
      </c>
      <c r="DL127" s="5">
        <f t="shared" ca="1" si="9"/>
        <v>239.99999999999991</v>
      </c>
    </row>
    <row r="128" spans="3:116" x14ac:dyDescent="0.2">
      <c r="C128" s="67" t="str">
        <f>ROW(A17)&amp;". "&amp;Capacity!N33</f>
        <v>17. 44368</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 ca="1">IF(ROW(A17)&lt;=Capacity!$M$16,IF('Capacity summary'!$C$14="No",SUM(H128:BG128),'Capacity summary'!$E40),0)</f>
        <v>52</v>
      </c>
      <c r="BI128" s="67">
        <f ca="1">IF(BH128&gt;0,IF(BH128&lt;Capacity!Q33,Capacity!R33,Capacity!T33/'Capacity calculation (hide)'!BH128),"")</f>
        <v>4.615384615384615</v>
      </c>
      <c r="BJ128" s="5"/>
      <c r="BK128" s="5">
        <f ca="1">IF($BI128&lt;&gt;"",IF('Capacity summary'!$C$14="Yes",IF(COUNTBLANK('Capacity summary'!$H40:$BG40)&lt;52,IF('Capacity summary'!H40&lt;&gt;"",IF(LOWER('Capacity summary'!H40)="x",$BI128*H128,VALUE('Capacity summary'!H40)),0),H128*$BI128),H128*$BI128),0)</f>
        <v>4.615384615384615</v>
      </c>
      <c r="BL128" s="5">
        <f ca="1">IF($BI128&lt;&gt;"",IF('Capacity summary'!$C$14="Yes",IF(COUNTBLANK('Capacity summary'!$H40:$BG40)&lt;52,IF('Capacity summary'!I40&lt;&gt;"",IF(LOWER('Capacity summary'!I40)="x",$BI128*I128,VALUE('Capacity summary'!I40)),0),I128*$BI128),I128*$BI128),0)</f>
        <v>4.615384615384615</v>
      </c>
      <c r="BM128" s="5">
        <f ca="1">IF($BI128&lt;&gt;"",IF('Capacity summary'!$C$14="Yes",IF(COUNTBLANK('Capacity summary'!$H40:$BG40)&lt;52,IF('Capacity summary'!J40&lt;&gt;"",IF(LOWER('Capacity summary'!J40)="x",$BI128*J128,VALUE('Capacity summary'!J40)),0),J128*$BI128),J128*$BI128),0)</f>
        <v>4.615384615384615</v>
      </c>
      <c r="BN128" s="5">
        <f ca="1">IF($BI128&lt;&gt;"",IF('Capacity summary'!$C$14="Yes",IF(COUNTBLANK('Capacity summary'!$H40:$BG40)&lt;52,IF('Capacity summary'!K40&lt;&gt;"",IF(LOWER('Capacity summary'!K40)="x",$BI128*K128,VALUE('Capacity summary'!K40)),0),K128*$BI128),K128*$BI128),0)</f>
        <v>4.615384615384615</v>
      </c>
      <c r="BO128" s="5">
        <f ca="1">IF($BI128&lt;&gt;"",IF('Capacity summary'!$C$14="Yes",IF(COUNTBLANK('Capacity summary'!$H40:$BG40)&lt;52,IF('Capacity summary'!L40&lt;&gt;"",IF(LOWER('Capacity summary'!L40)="x",$BI128*L128,VALUE('Capacity summary'!L40)),0),L128*$BI128),L128*$BI128),0)</f>
        <v>4.615384615384615</v>
      </c>
      <c r="BP128" s="5">
        <f ca="1">IF($BI128&lt;&gt;"",IF('Capacity summary'!$C$14="Yes",IF(COUNTBLANK('Capacity summary'!$H40:$BG40)&lt;52,IF('Capacity summary'!M40&lt;&gt;"",IF(LOWER('Capacity summary'!M40)="x",$BI128*M128,VALUE('Capacity summary'!M40)),0),M128*$BI128),M128*$BI128),0)</f>
        <v>4.615384615384615</v>
      </c>
      <c r="BQ128" s="5">
        <f ca="1">IF($BI128&lt;&gt;"",IF('Capacity summary'!$C$14="Yes",IF(COUNTBLANK('Capacity summary'!$H40:$BG40)&lt;52,IF('Capacity summary'!N40&lt;&gt;"",IF(LOWER('Capacity summary'!N40)="x",$BI128*N128,VALUE('Capacity summary'!N40)),0),N128*$BI128),N128*$BI128),0)</f>
        <v>4.615384615384615</v>
      </c>
      <c r="BR128" s="5">
        <f ca="1">IF($BI128&lt;&gt;"",IF('Capacity summary'!$C$14="Yes",IF(COUNTBLANK('Capacity summary'!$H40:$BG40)&lt;52,IF('Capacity summary'!O40&lt;&gt;"",IF(LOWER('Capacity summary'!O40)="x",$BI128*O128,VALUE('Capacity summary'!O40)),0),O128*$BI128),O128*$BI128),0)</f>
        <v>4.615384615384615</v>
      </c>
      <c r="BS128" s="5">
        <f ca="1">IF($BI128&lt;&gt;"",IF('Capacity summary'!$C$14="Yes",IF(COUNTBLANK('Capacity summary'!$H40:$BG40)&lt;52,IF('Capacity summary'!P40&lt;&gt;"",IF(LOWER('Capacity summary'!P40)="x",$BI128*P128,VALUE('Capacity summary'!P40)),0),P128*$BI128),P128*$BI128),0)</f>
        <v>4.615384615384615</v>
      </c>
      <c r="BT128" s="5">
        <f ca="1">IF($BI128&lt;&gt;"",IF('Capacity summary'!$C$14="Yes",IF(COUNTBLANK('Capacity summary'!$H40:$BG40)&lt;52,IF('Capacity summary'!Q40&lt;&gt;"",IF(LOWER('Capacity summary'!Q40)="x",$BI128*Q128,VALUE('Capacity summary'!Q40)),0),Q128*$BI128),Q128*$BI128),0)</f>
        <v>4.615384615384615</v>
      </c>
      <c r="BU128" s="5">
        <f ca="1">IF($BI128&lt;&gt;"",IF('Capacity summary'!$C$14="Yes",IF(COUNTBLANK('Capacity summary'!$H40:$BG40)&lt;52,IF('Capacity summary'!R40&lt;&gt;"",IF(LOWER('Capacity summary'!R40)="x",$BI128*R128,VALUE('Capacity summary'!R40)),0),R128*$BI128),R128*$BI128),0)</f>
        <v>4.615384615384615</v>
      </c>
      <c r="BV128" s="5">
        <f ca="1">IF($BI128&lt;&gt;"",IF('Capacity summary'!$C$14="Yes",IF(COUNTBLANK('Capacity summary'!$H40:$BG40)&lt;52,IF('Capacity summary'!S40&lt;&gt;"",IF(LOWER('Capacity summary'!S40)="x",$BI128*S128,VALUE('Capacity summary'!S40)),0),S128*$BI128),S128*$BI128),0)</f>
        <v>4.615384615384615</v>
      </c>
      <c r="BW128" s="5">
        <f ca="1">IF($BI128&lt;&gt;"",IF('Capacity summary'!$C$14="Yes",IF(COUNTBLANK('Capacity summary'!$H40:$BG40)&lt;52,IF('Capacity summary'!T40&lt;&gt;"",IF(LOWER('Capacity summary'!T40)="x",$BI128*T128,VALUE('Capacity summary'!T40)),0),T128*$BI128),T128*$BI128),0)</f>
        <v>4.615384615384615</v>
      </c>
      <c r="BX128" s="5">
        <f ca="1">IF($BI128&lt;&gt;"",IF('Capacity summary'!$C$14="Yes",IF(COUNTBLANK('Capacity summary'!$H40:$BG40)&lt;52,IF('Capacity summary'!U40&lt;&gt;"",IF(LOWER('Capacity summary'!U40)="x",$BI128*U128,VALUE('Capacity summary'!U40)),0),U128*$BI128),U128*$BI128),0)</f>
        <v>4.615384615384615</v>
      </c>
      <c r="BY128" s="5">
        <f ca="1">IF($BI128&lt;&gt;"",IF('Capacity summary'!$C$14="Yes",IF(COUNTBLANK('Capacity summary'!$H40:$BG40)&lt;52,IF('Capacity summary'!V40&lt;&gt;"",IF(LOWER('Capacity summary'!V40)="x",$BI128*V128,VALUE('Capacity summary'!V40)),0),V128*$BI128),V128*$BI128),0)</f>
        <v>4.615384615384615</v>
      </c>
      <c r="BZ128" s="5">
        <f ca="1">IF($BI128&lt;&gt;"",IF('Capacity summary'!$C$14="Yes",IF(COUNTBLANK('Capacity summary'!$H40:$BG40)&lt;52,IF('Capacity summary'!W40&lt;&gt;"",IF(LOWER('Capacity summary'!W40)="x",$BI128*W128,VALUE('Capacity summary'!W40)),0),W128*$BI128),W128*$BI128),0)</f>
        <v>4.615384615384615</v>
      </c>
      <c r="CA128" s="5">
        <f ca="1">IF($BI128&lt;&gt;"",IF('Capacity summary'!$C$14="Yes",IF(COUNTBLANK('Capacity summary'!$H40:$BG40)&lt;52,IF('Capacity summary'!X40&lt;&gt;"",IF(LOWER('Capacity summary'!X40)="x",$BI128*X128,VALUE('Capacity summary'!X40)),0),X128*$BI128),X128*$BI128),0)</f>
        <v>4.615384615384615</v>
      </c>
      <c r="CB128" s="5">
        <f ca="1">IF($BI128&lt;&gt;"",IF('Capacity summary'!$C$14="Yes",IF(COUNTBLANK('Capacity summary'!$H40:$BG40)&lt;52,IF('Capacity summary'!Y40&lt;&gt;"",IF(LOWER('Capacity summary'!Y40)="x",$BI128*Y128,VALUE('Capacity summary'!Y40)),0),Y128*$BI128),Y128*$BI128),0)</f>
        <v>4.615384615384615</v>
      </c>
      <c r="CC128" s="5">
        <f ca="1">IF($BI128&lt;&gt;"",IF('Capacity summary'!$C$14="Yes",IF(COUNTBLANK('Capacity summary'!$H40:$BG40)&lt;52,IF('Capacity summary'!Z40&lt;&gt;"",IF(LOWER('Capacity summary'!Z40)="x",$BI128*Z128,VALUE('Capacity summary'!Z40)),0),Z128*$BI128),Z128*$BI128),0)</f>
        <v>4.615384615384615</v>
      </c>
      <c r="CD128" s="5">
        <f ca="1">IF($BI128&lt;&gt;"",IF('Capacity summary'!$C$14="Yes",IF(COUNTBLANK('Capacity summary'!$H40:$BG40)&lt;52,IF('Capacity summary'!AA40&lt;&gt;"",IF(LOWER('Capacity summary'!AA40)="x",$BI128*AA128,VALUE('Capacity summary'!AA40)),0),AA128*$BI128),AA128*$BI128),0)</f>
        <v>4.615384615384615</v>
      </c>
      <c r="CE128" s="5">
        <f ca="1">IF($BI128&lt;&gt;"",IF('Capacity summary'!$C$14="Yes",IF(COUNTBLANK('Capacity summary'!$H40:$BG40)&lt;52,IF('Capacity summary'!AB40&lt;&gt;"",IF(LOWER('Capacity summary'!AB40)="x",$BI128*AB128,VALUE('Capacity summary'!AB40)),0),AB128*$BI128),AB128*$BI128),0)</f>
        <v>4.615384615384615</v>
      </c>
      <c r="CF128" s="5">
        <f ca="1">IF($BI128&lt;&gt;"",IF('Capacity summary'!$C$14="Yes",IF(COUNTBLANK('Capacity summary'!$H40:$BG40)&lt;52,IF('Capacity summary'!AC40&lt;&gt;"",IF(LOWER('Capacity summary'!AC40)="x",$BI128*AC128,VALUE('Capacity summary'!AC40)),0),AC128*$BI128),AC128*$BI128),0)</f>
        <v>4.615384615384615</v>
      </c>
      <c r="CG128" s="5">
        <f ca="1">IF($BI128&lt;&gt;"",IF('Capacity summary'!$C$14="Yes",IF(COUNTBLANK('Capacity summary'!$H40:$BG40)&lt;52,IF('Capacity summary'!AD40&lt;&gt;"",IF(LOWER('Capacity summary'!AD40)="x",$BI128*AD128,VALUE('Capacity summary'!AD40)),0),AD128*$BI128),AD128*$BI128),0)</f>
        <v>4.615384615384615</v>
      </c>
      <c r="CH128" s="5">
        <f ca="1">IF($BI128&lt;&gt;"",IF('Capacity summary'!$C$14="Yes",IF(COUNTBLANK('Capacity summary'!$H40:$BG40)&lt;52,IF('Capacity summary'!AE40&lt;&gt;"",IF(LOWER('Capacity summary'!AE40)="x",$BI128*AE128,VALUE('Capacity summary'!AE40)),0),AE128*$BI128),AE128*$BI128),0)</f>
        <v>4.615384615384615</v>
      </c>
      <c r="CI128" s="5">
        <f ca="1">IF($BI128&lt;&gt;"",IF('Capacity summary'!$C$14="Yes",IF(COUNTBLANK('Capacity summary'!$H40:$BG40)&lt;52,IF('Capacity summary'!AF40&lt;&gt;"",IF(LOWER('Capacity summary'!AF40)="x",$BI128*AF128,VALUE('Capacity summary'!AF40)),0),AF128*$BI128),AF128*$BI128),0)</f>
        <v>4.615384615384615</v>
      </c>
      <c r="CJ128" s="5">
        <f ca="1">IF($BI128&lt;&gt;"",IF('Capacity summary'!$C$14="Yes",IF(COUNTBLANK('Capacity summary'!$H40:$BG40)&lt;52,IF('Capacity summary'!AG40&lt;&gt;"",IF(LOWER('Capacity summary'!AG40)="x",$BI128*AG128,VALUE('Capacity summary'!AG40)),0),AG128*$BI128),AG128*$BI128),0)</f>
        <v>4.615384615384615</v>
      </c>
      <c r="CK128" s="5">
        <f ca="1">IF($BI128&lt;&gt;"",IF('Capacity summary'!$C$14="Yes",IF(COUNTBLANK('Capacity summary'!$H40:$BG40)&lt;52,IF('Capacity summary'!AH40&lt;&gt;"",IF(LOWER('Capacity summary'!AH40)="x",$BI128*AH128,VALUE('Capacity summary'!AH40)),0),AH128*$BI128),AH128*$BI128),0)</f>
        <v>4.615384615384615</v>
      </c>
      <c r="CL128" s="5">
        <f ca="1">IF($BI128&lt;&gt;"",IF('Capacity summary'!$C$14="Yes",IF(COUNTBLANK('Capacity summary'!$H40:$BG40)&lt;52,IF('Capacity summary'!AI40&lt;&gt;"",IF(LOWER('Capacity summary'!AI40)="x",$BI128*AI128,VALUE('Capacity summary'!AI40)),0),AI128*$BI128),AI128*$BI128),0)</f>
        <v>4.615384615384615</v>
      </c>
      <c r="CM128" s="5">
        <f ca="1">IF($BI128&lt;&gt;"",IF('Capacity summary'!$C$14="Yes",IF(COUNTBLANK('Capacity summary'!$H40:$BG40)&lt;52,IF('Capacity summary'!AJ40&lt;&gt;"",IF(LOWER('Capacity summary'!AJ40)="x",$BI128*AJ128,VALUE('Capacity summary'!AJ40)),0),AJ128*$BI128),AJ128*$BI128),0)</f>
        <v>4.615384615384615</v>
      </c>
      <c r="CN128" s="5">
        <f ca="1">IF($BI128&lt;&gt;"",IF('Capacity summary'!$C$14="Yes",IF(COUNTBLANK('Capacity summary'!$H40:$BG40)&lt;52,IF('Capacity summary'!AK40&lt;&gt;"",IF(LOWER('Capacity summary'!AK40)="x",$BI128*AK128,VALUE('Capacity summary'!AK40)),0),AK128*$BI128),AK128*$BI128),0)</f>
        <v>4.615384615384615</v>
      </c>
      <c r="CO128" s="5">
        <f ca="1">IF($BI128&lt;&gt;"",IF('Capacity summary'!$C$14="Yes",IF(COUNTBLANK('Capacity summary'!$H40:$BG40)&lt;52,IF('Capacity summary'!AL40&lt;&gt;"",IF(LOWER('Capacity summary'!AL40)="x",$BI128*AL128,VALUE('Capacity summary'!AL40)),0),AL128*$BI128),AL128*$BI128),0)</f>
        <v>4.615384615384615</v>
      </c>
      <c r="CP128" s="5">
        <f ca="1">IF($BI128&lt;&gt;"",IF('Capacity summary'!$C$14="Yes",IF(COUNTBLANK('Capacity summary'!$H40:$BG40)&lt;52,IF('Capacity summary'!AM40&lt;&gt;"",IF(LOWER('Capacity summary'!AM40)="x",$BI128*AM128,VALUE('Capacity summary'!AM40)),0),AM128*$BI128),AM128*$BI128),0)</f>
        <v>4.615384615384615</v>
      </c>
      <c r="CQ128" s="5">
        <f ca="1">IF($BI128&lt;&gt;"",IF('Capacity summary'!$C$14="Yes",IF(COUNTBLANK('Capacity summary'!$H40:$BG40)&lt;52,IF('Capacity summary'!AN40&lt;&gt;"",IF(LOWER('Capacity summary'!AN40)="x",$BI128*AN128,VALUE('Capacity summary'!AN40)),0),AN128*$BI128),AN128*$BI128),0)</f>
        <v>4.615384615384615</v>
      </c>
      <c r="CR128" s="5">
        <f ca="1">IF($BI128&lt;&gt;"",IF('Capacity summary'!$C$14="Yes",IF(COUNTBLANK('Capacity summary'!$H40:$BG40)&lt;52,IF('Capacity summary'!AO40&lt;&gt;"",IF(LOWER('Capacity summary'!AO40)="x",$BI128*AO128,VALUE('Capacity summary'!AO40)),0),AO128*$BI128),AO128*$BI128),0)</f>
        <v>4.615384615384615</v>
      </c>
      <c r="CS128" s="5">
        <f ca="1">IF($BI128&lt;&gt;"",IF('Capacity summary'!$C$14="Yes",IF(COUNTBLANK('Capacity summary'!$H40:$BG40)&lt;52,IF('Capacity summary'!AP40&lt;&gt;"",IF(LOWER('Capacity summary'!AP40)="x",$BI128*AP128,VALUE('Capacity summary'!AP40)),0),AP128*$BI128),AP128*$BI128),0)</f>
        <v>4.615384615384615</v>
      </c>
      <c r="CT128" s="5">
        <f ca="1">IF($BI128&lt;&gt;"",IF('Capacity summary'!$C$14="Yes",IF(COUNTBLANK('Capacity summary'!$H40:$BG40)&lt;52,IF('Capacity summary'!AQ40&lt;&gt;"",IF(LOWER('Capacity summary'!AQ40)="x",$BI128*AQ128,VALUE('Capacity summary'!AQ40)),0),AQ128*$BI128),AQ128*$BI128),0)</f>
        <v>4.615384615384615</v>
      </c>
      <c r="CU128" s="5">
        <f ca="1">IF($BI128&lt;&gt;"",IF('Capacity summary'!$C$14="Yes",IF(COUNTBLANK('Capacity summary'!$H40:$BG40)&lt;52,IF('Capacity summary'!AR40&lt;&gt;"",IF(LOWER('Capacity summary'!AR40)="x",$BI128*AR128,VALUE('Capacity summary'!AR40)),0),AR128*$BI128),AR128*$BI128),0)</f>
        <v>4.615384615384615</v>
      </c>
      <c r="CV128" s="5">
        <f ca="1">IF($BI128&lt;&gt;"",IF('Capacity summary'!$C$14="Yes",IF(COUNTBLANK('Capacity summary'!$H40:$BG40)&lt;52,IF('Capacity summary'!AS40&lt;&gt;"",IF(LOWER('Capacity summary'!AS40)="x",$BI128*AS128,VALUE('Capacity summary'!AS40)),0),AS128*$BI128),AS128*$BI128),0)</f>
        <v>4.615384615384615</v>
      </c>
      <c r="CW128" s="5">
        <f ca="1">IF($BI128&lt;&gt;"",IF('Capacity summary'!$C$14="Yes",IF(COUNTBLANK('Capacity summary'!$H40:$BG40)&lt;52,IF('Capacity summary'!AT40&lt;&gt;"",IF(LOWER('Capacity summary'!AT40)="x",$BI128*AT128,VALUE('Capacity summary'!AT40)),0),AT128*$BI128),AT128*$BI128),0)</f>
        <v>4.615384615384615</v>
      </c>
      <c r="CX128" s="5">
        <f ca="1">IF($BI128&lt;&gt;"",IF('Capacity summary'!$C$14="Yes",IF(COUNTBLANK('Capacity summary'!$H40:$BG40)&lt;52,IF('Capacity summary'!AU40&lt;&gt;"",IF(LOWER('Capacity summary'!AU40)="x",$BI128*AU128,VALUE('Capacity summary'!AU40)),0),AU128*$BI128),AU128*$BI128),0)</f>
        <v>4.615384615384615</v>
      </c>
      <c r="CY128" s="5">
        <f ca="1">IF($BI128&lt;&gt;"",IF('Capacity summary'!$C$14="Yes",IF(COUNTBLANK('Capacity summary'!$H40:$BG40)&lt;52,IF('Capacity summary'!AV40&lt;&gt;"",IF(LOWER('Capacity summary'!AV40)="x",$BI128*AV128,VALUE('Capacity summary'!AV40)),0),AV128*$BI128),AV128*$BI128),0)</f>
        <v>4.615384615384615</v>
      </c>
      <c r="CZ128" s="5">
        <f ca="1">IF($BI128&lt;&gt;"",IF('Capacity summary'!$C$14="Yes",IF(COUNTBLANK('Capacity summary'!$H40:$BG40)&lt;52,IF('Capacity summary'!AW40&lt;&gt;"",IF(LOWER('Capacity summary'!AW40)="x",$BI128*AW128,VALUE('Capacity summary'!AW40)),0),AW128*$BI128),AW128*$BI128),0)</f>
        <v>4.615384615384615</v>
      </c>
      <c r="DA128" s="5">
        <f ca="1">IF($BI128&lt;&gt;"",IF('Capacity summary'!$C$14="Yes",IF(COUNTBLANK('Capacity summary'!$H40:$BG40)&lt;52,IF('Capacity summary'!AX40&lt;&gt;"",IF(LOWER('Capacity summary'!AX40)="x",$BI128*AX128,VALUE('Capacity summary'!AX40)),0),AX128*$BI128),AX128*$BI128),0)</f>
        <v>4.615384615384615</v>
      </c>
      <c r="DB128" s="5">
        <f ca="1">IF($BI128&lt;&gt;"",IF('Capacity summary'!$C$14="Yes",IF(COUNTBLANK('Capacity summary'!$H40:$BG40)&lt;52,IF('Capacity summary'!AY40&lt;&gt;"",IF(LOWER('Capacity summary'!AY40)="x",$BI128*AY128,VALUE('Capacity summary'!AY40)),0),AY128*$BI128),AY128*$BI128),0)</f>
        <v>4.615384615384615</v>
      </c>
      <c r="DC128" s="5">
        <f ca="1">IF($BI128&lt;&gt;"",IF('Capacity summary'!$C$14="Yes",IF(COUNTBLANK('Capacity summary'!$H40:$BG40)&lt;52,IF('Capacity summary'!AZ40&lt;&gt;"",IF(LOWER('Capacity summary'!AZ40)="x",$BI128*AZ128,VALUE('Capacity summary'!AZ40)),0),AZ128*$BI128),AZ128*$BI128),0)</f>
        <v>4.615384615384615</v>
      </c>
      <c r="DD128" s="5">
        <f ca="1">IF($BI128&lt;&gt;"",IF('Capacity summary'!$C$14="Yes",IF(COUNTBLANK('Capacity summary'!$H40:$BG40)&lt;52,IF('Capacity summary'!BA40&lt;&gt;"",IF(LOWER('Capacity summary'!BA40)="x",$BI128*BA128,VALUE('Capacity summary'!BA40)),0),BA128*$BI128),BA128*$BI128),0)</f>
        <v>4.615384615384615</v>
      </c>
      <c r="DE128" s="5">
        <f ca="1">IF($BI128&lt;&gt;"",IF('Capacity summary'!$C$14="Yes",IF(COUNTBLANK('Capacity summary'!$H40:$BG40)&lt;52,IF('Capacity summary'!BB40&lt;&gt;"",IF(LOWER('Capacity summary'!BB40)="x",$BI128*BB128,VALUE('Capacity summary'!BB40)),0),BB128*$BI128),BB128*$BI128),0)</f>
        <v>4.615384615384615</v>
      </c>
      <c r="DF128" s="5">
        <f ca="1">IF($BI128&lt;&gt;"",IF('Capacity summary'!$C$14="Yes",IF(COUNTBLANK('Capacity summary'!$H40:$BG40)&lt;52,IF('Capacity summary'!BC40&lt;&gt;"",IF(LOWER('Capacity summary'!BC40)="x",$BI128*BC128,VALUE('Capacity summary'!BC40)),0),BC128*$BI128),BC128*$BI128),0)</f>
        <v>4.615384615384615</v>
      </c>
      <c r="DG128" s="5">
        <f ca="1">IF($BI128&lt;&gt;"",IF('Capacity summary'!$C$14="Yes",IF(COUNTBLANK('Capacity summary'!$H40:$BG40)&lt;52,IF('Capacity summary'!BD40&lt;&gt;"",IF(LOWER('Capacity summary'!BD40)="x",$BI128*BD128,VALUE('Capacity summary'!BD40)),0),BD128*$BI128),BD128*$BI128),0)</f>
        <v>4.615384615384615</v>
      </c>
      <c r="DH128" s="5">
        <f ca="1">IF($BI128&lt;&gt;"",IF('Capacity summary'!$C$14="Yes",IF(COUNTBLANK('Capacity summary'!$H40:$BG40)&lt;52,IF('Capacity summary'!BE40&lt;&gt;"",IF(LOWER('Capacity summary'!BE40)="x",$BI128*BE128,VALUE('Capacity summary'!BE40)),0),BE128*$BI128),BE128*$BI128),0)</f>
        <v>4.615384615384615</v>
      </c>
      <c r="DI128" s="5">
        <f ca="1">IF($BI128&lt;&gt;"",IF('Capacity summary'!$C$14="Yes",IF(COUNTBLANK('Capacity summary'!$H40:$BG40)&lt;52,IF('Capacity summary'!BF40&lt;&gt;"",IF(LOWER('Capacity summary'!BF40)="x",$BI128*BF128,VALUE('Capacity summary'!BF40)),0),BF128*$BI128),BF128*$BI128),0)</f>
        <v>4.615384615384615</v>
      </c>
      <c r="DJ128" s="5">
        <f ca="1">IF($BI128&lt;&gt;"",IF('Capacity summary'!$C$14="Yes",IF(COUNTBLANK('Capacity summary'!$H40:$BG40)&lt;52,IF('Capacity summary'!BG40&lt;&gt;"",IF(LOWER('Capacity summary'!BG40)="x",$BI128*BG128,VALUE('Capacity summary'!BG40)),0),BG128*$BI128),BG128*$BI128),0)</f>
        <v>4.615384615384615</v>
      </c>
      <c r="DK128" s="388">
        <f t="shared" ca="1" si="8"/>
        <v>4.615384615384615</v>
      </c>
      <c r="DL128" s="5">
        <f t="shared" ca="1" si="9"/>
        <v>239.99999999999991</v>
      </c>
    </row>
    <row r="129" spans="3:116" x14ac:dyDescent="0.2">
      <c r="C129" s="67" t="str">
        <f>ROW(A18)&amp;". "&amp;Capacity!N34</f>
        <v>18. 44370</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 ca="1">IF(ROW(A18)&lt;=Capacity!$M$16,IF('Capacity summary'!$C$14="No",SUM(H129:BG129),'Capacity summary'!$E41),0)</f>
        <v>52</v>
      </c>
      <c r="BI129" s="67">
        <f ca="1">IF(BH129&gt;0,IF(BH129&lt;Capacity!Q34,Capacity!R34,Capacity!T34/'Capacity calculation (hide)'!BH129),"")</f>
        <v>5.1923076923076925</v>
      </c>
      <c r="BJ129" s="5"/>
      <c r="BK129" s="5">
        <f ca="1">IF($BI129&lt;&gt;"",IF('Capacity summary'!$C$14="Yes",IF(COUNTBLANK('Capacity summary'!$H41:$BG41)&lt;52,IF('Capacity summary'!H41&lt;&gt;"",IF(LOWER('Capacity summary'!H41)="x",$BI129*H129,VALUE('Capacity summary'!H41)),0),H129*$BI129),H129*$BI129),0)</f>
        <v>5.1923076923076925</v>
      </c>
      <c r="BL129" s="5">
        <f ca="1">IF($BI129&lt;&gt;"",IF('Capacity summary'!$C$14="Yes",IF(COUNTBLANK('Capacity summary'!$H41:$BG41)&lt;52,IF('Capacity summary'!I41&lt;&gt;"",IF(LOWER('Capacity summary'!I41)="x",$BI129*I129,VALUE('Capacity summary'!I41)),0),I129*$BI129),I129*$BI129),0)</f>
        <v>5.1923076923076925</v>
      </c>
      <c r="BM129" s="5">
        <f ca="1">IF($BI129&lt;&gt;"",IF('Capacity summary'!$C$14="Yes",IF(COUNTBLANK('Capacity summary'!$H41:$BG41)&lt;52,IF('Capacity summary'!J41&lt;&gt;"",IF(LOWER('Capacity summary'!J41)="x",$BI129*J129,VALUE('Capacity summary'!J41)),0),J129*$BI129),J129*$BI129),0)</f>
        <v>5.1923076923076925</v>
      </c>
      <c r="BN129" s="5">
        <f ca="1">IF($BI129&lt;&gt;"",IF('Capacity summary'!$C$14="Yes",IF(COUNTBLANK('Capacity summary'!$H41:$BG41)&lt;52,IF('Capacity summary'!K41&lt;&gt;"",IF(LOWER('Capacity summary'!K41)="x",$BI129*K129,VALUE('Capacity summary'!K41)),0),K129*$BI129),K129*$BI129),0)</f>
        <v>5.1923076923076925</v>
      </c>
      <c r="BO129" s="5">
        <f ca="1">IF($BI129&lt;&gt;"",IF('Capacity summary'!$C$14="Yes",IF(COUNTBLANK('Capacity summary'!$H41:$BG41)&lt;52,IF('Capacity summary'!L41&lt;&gt;"",IF(LOWER('Capacity summary'!L41)="x",$BI129*L129,VALUE('Capacity summary'!L41)),0),L129*$BI129),L129*$BI129),0)</f>
        <v>5.1923076923076925</v>
      </c>
      <c r="BP129" s="5">
        <f ca="1">IF($BI129&lt;&gt;"",IF('Capacity summary'!$C$14="Yes",IF(COUNTBLANK('Capacity summary'!$H41:$BG41)&lt;52,IF('Capacity summary'!M41&lt;&gt;"",IF(LOWER('Capacity summary'!M41)="x",$BI129*M129,VALUE('Capacity summary'!M41)),0),M129*$BI129),M129*$BI129),0)</f>
        <v>5.1923076923076925</v>
      </c>
      <c r="BQ129" s="5">
        <f ca="1">IF($BI129&lt;&gt;"",IF('Capacity summary'!$C$14="Yes",IF(COUNTBLANK('Capacity summary'!$H41:$BG41)&lt;52,IF('Capacity summary'!N41&lt;&gt;"",IF(LOWER('Capacity summary'!N41)="x",$BI129*N129,VALUE('Capacity summary'!N41)),0),N129*$BI129),N129*$BI129),0)</f>
        <v>5.1923076923076925</v>
      </c>
      <c r="BR129" s="5">
        <f ca="1">IF($BI129&lt;&gt;"",IF('Capacity summary'!$C$14="Yes",IF(COUNTBLANK('Capacity summary'!$H41:$BG41)&lt;52,IF('Capacity summary'!O41&lt;&gt;"",IF(LOWER('Capacity summary'!O41)="x",$BI129*O129,VALUE('Capacity summary'!O41)),0),O129*$BI129),O129*$BI129),0)</f>
        <v>5.1923076923076925</v>
      </c>
      <c r="BS129" s="5">
        <f ca="1">IF($BI129&lt;&gt;"",IF('Capacity summary'!$C$14="Yes",IF(COUNTBLANK('Capacity summary'!$H41:$BG41)&lt;52,IF('Capacity summary'!P41&lt;&gt;"",IF(LOWER('Capacity summary'!P41)="x",$BI129*P129,VALUE('Capacity summary'!P41)),0),P129*$BI129),P129*$BI129),0)</f>
        <v>5.1923076923076925</v>
      </c>
      <c r="BT129" s="5">
        <f ca="1">IF($BI129&lt;&gt;"",IF('Capacity summary'!$C$14="Yes",IF(COUNTBLANK('Capacity summary'!$H41:$BG41)&lt;52,IF('Capacity summary'!Q41&lt;&gt;"",IF(LOWER('Capacity summary'!Q41)="x",$BI129*Q129,VALUE('Capacity summary'!Q41)),0),Q129*$BI129),Q129*$BI129),0)</f>
        <v>5.1923076923076925</v>
      </c>
      <c r="BU129" s="5">
        <f ca="1">IF($BI129&lt;&gt;"",IF('Capacity summary'!$C$14="Yes",IF(COUNTBLANK('Capacity summary'!$H41:$BG41)&lt;52,IF('Capacity summary'!R41&lt;&gt;"",IF(LOWER('Capacity summary'!R41)="x",$BI129*R129,VALUE('Capacity summary'!R41)),0),R129*$BI129),R129*$BI129),0)</f>
        <v>5.1923076923076925</v>
      </c>
      <c r="BV129" s="5">
        <f ca="1">IF($BI129&lt;&gt;"",IF('Capacity summary'!$C$14="Yes",IF(COUNTBLANK('Capacity summary'!$H41:$BG41)&lt;52,IF('Capacity summary'!S41&lt;&gt;"",IF(LOWER('Capacity summary'!S41)="x",$BI129*S129,VALUE('Capacity summary'!S41)),0),S129*$BI129),S129*$BI129),0)</f>
        <v>5.1923076923076925</v>
      </c>
      <c r="BW129" s="5">
        <f ca="1">IF($BI129&lt;&gt;"",IF('Capacity summary'!$C$14="Yes",IF(COUNTBLANK('Capacity summary'!$H41:$BG41)&lt;52,IF('Capacity summary'!T41&lt;&gt;"",IF(LOWER('Capacity summary'!T41)="x",$BI129*T129,VALUE('Capacity summary'!T41)),0),T129*$BI129),T129*$BI129),0)</f>
        <v>5.1923076923076925</v>
      </c>
      <c r="BX129" s="5">
        <f ca="1">IF($BI129&lt;&gt;"",IF('Capacity summary'!$C$14="Yes",IF(COUNTBLANK('Capacity summary'!$H41:$BG41)&lt;52,IF('Capacity summary'!U41&lt;&gt;"",IF(LOWER('Capacity summary'!U41)="x",$BI129*U129,VALUE('Capacity summary'!U41)),0),U129*$BI129),U129*$BI129),0)</f>
        <v>5.1923076923076925</v>
      </c>
      <c r="BY129" s="5">
        <f ca="1">IF($BI129&lt;&gt;"",IF('Capacity summary'!$C$14="Yes",IF(COUNTBLANK('Capacity summary'!$H41:$BG41)&lt;52,IF('Capacity summary'!V41&lt;&gt;"",IF(LOWER('Capacity summary'!V41)="x",$BI129*V129,VALUE('Capacity summary'!V41)),0),V129*$BI129),V129*$BI129),0)</f>
        <v>5.1923076923076925</v>
      </c>
      <c r="BZ129" s="5">
        <f ca="1">IF($BI129&lt;&gt;"",IF('Capacity summary'!$C$14="Yes",IF(COUNTBLANK('Capacity summary'!$H41:$BG41)&lt;52,IF('Capacity summary'!W41&lt;&gt;"",IF(LOWER('Capacity summary'!W41)="x",$BI129*W129,VALUE('Capacity summary'!W41)),0),W129*$BI129),W129*$BI129),0)</f>
        <v>5.1923076923076925</v>
      </c>
      <c r="CA129" s="5">
        <f ca="1">IF($BI129&lt;&gt;"",IF('Capacity summary'!$C$14="Yes",IF(COUNTBLANK('Capacity summary'!$H41:$BG41)&lt;52,IF('Capacity summary'!X41&lt;&gt;"",IF(LOWER('Capacity summary'!X41)="x",$BI129*X129,VALUE('Capacity summary'!X41)),0),X129*$BI129),X129*$BI129),0)</f>
        <v>5.1923076923076925</v>
      </c>
      <c r="CB129" s="5">
        <f ca="1">IF($BI129&lt;&gt;"",IF('Capacity summary'!$C$14="Yes",IF(COUNTBLANK('Capacity summary'!$H41:$BG41)&lt;52,IF('Capacity summary'!Y41&lt;&gt;"",IF(LOWER('Capacity summary'!Y41)="x",$BI129*Y129,VALUE('Capacity summary'!Y41)),0),Y129*$BI129),Y129*$BI129),0)</f>
        <v>5.1923076923076925</v>
      </c>
      <c r="CC129" s="5">
        <f ca="1">IF($BI129&lt;&gt;"",IF('Capacity summary'!$C$14="Yes",IF(COUNTBLANK('Capacity summary'!$H41:$BG41)&lt;52,IF('Capacity summary'!Z41&lt;&gt;"",IF(LOWER('Capacity summary'!Z41)="x",$BI129*Z129,VALUE('Capacity summary'!Z41)),0),Z129*$BI129),Z129*$BI129),0)</f>
        <v>5.1923076923076925</v>
      </c>
      <c r="CD129" s="5">
        <f ca="1">IF($BI129&lt;&gt;"",IF('Capacity summary'!$C$14="Yes",IF(COUNTBLANK('Capacity summary'!$H41:$BG41)&lt;52,IF('Capacity summary'!AA41&lt;&gt;"",IF(LOWER('Capacity summary'!AA41)="x",$BI129*AA129,VALUE('Capacity summary'!AA41)),0),AA129*$BI129),AA129*$BI129),0)</f>
        <v>5.1923076923076925</v>
      </c>
      <c r="CE129" s="5">
        <f ca="1">IF($BI129&lt;&gt;"",IF('Capacity summary'!$C$14="Yes",IF(COUNTBLANK('Capacity summary'!$H41:$BG41)&lt;52,IF('Capacity summary'!AB41&lt;&gt;"",IF(LOWER('Capacity summary'!AB41)="x",$BI129*AB129,VALUE('Capacity summary'!AB41)),0),AB129*$BI129),AB129*$BI129),0)</f>
        <v>5.1923076923076925</v>
      </c>
      <c r="CF129" s="5">
        <f ca="1">IF($BI129&lt;&gt;"",IF('Capacity summary'!$C$14="Yes",IF(COUNTBLANK('Capacity summary'!$H41:$BG41)&lt;52,IF('Capacity summary'!AC41&lt;&gt;"",IF(LOWER('Capacity summary'!AC41)="x",$BI129*AC129,VALUE('Capacity summary'!AC41)),0),AC129*$BI129),AC129*$BI129),0)</f>
        <v>5.1923076923076925</v>
      </c>
      <c r="CG129" s="5">
        <f ca="1">IF($BI129&lt;&gt;"",IF('Capacity summary'!$C$14="Yes",IF(COUNTBLANK('Capacity summary'!$H41:$BG41)&lt;52,IF('Capacity summary'!AD41&lt;&gt;"",IF(LOWER('Capacity summary'!AD41)="x",$BI129*AD129,VALUE('Capacity summary'!AD41)),0),AD129*$BI129),AD129*$BI129),0)</f>
        <v>5.1923076923076925</v>
      </c>
      <c r="CH129" s="5">
        <f ca="1">IF($BI129&lt;&gt;"",IF('Capacity summary'!$C$14="Yes",IF(COUNTBLANK('Capacity summary'!$H41:$BG41)&lt;52,IF('Capacity summary'!AE41&lt;&gt;"",IF(LOWER('Capacity summary'!AE41)="x",$BI129*AE129,VALUE('Capacity summary'!AE41)),0),AE129*$BI129),AE129*$BI129),0)</f>
        <v>5.1923076923076925</v>
      </c>
      <c r="CI129" s="5">
        <f ca="1">IF($BI129&lt;&gt;"",IF('Capacity summary'!$C$14="Yes",IF(COUNTBLANK('Capacity summary'!$H41:$BG41)&lt;52,IF('Capacity summary'!AF41&lt;&gt;"",IF(LOWER('Capacity summary'!AF41)="x",$BI129*AF129,VALUE('Capacity summary'!AF41)),0),AF129*$BI129),AF129*$BI129),0)</f>
        <v>5.1923076923076925</v>
      </c>
      <c r="CJ129" s="5">
        <f ca="1">IF($BI129&lt;&gt;"",IF('Capacity summary'!$C$14="Yes",IF(COUNTBLANK('Capacity summary'!$H41:$BG41)&lt;52,IF('Capacity summary'!AG41&lt;&gt;"",IF(LOWER('Capacity summary'!AG41)="x",$BI129*AG129,VALUE('Capacity summary'!AG41)),0),AG129*$BI129),AG129*$BI129),0)</f>
        <v>5.1923076923076925</v>
      </c>
      <c r="CK129" s="5">
        <f ca="1">IF($BI129&lt;&gt;"",IF('Capacity summary'!$C$14="Yes",IF(COUNTBLANK('Capacity summary'!$H41:$BG41)&lt;52,IF('Capacity summary'!AH41&lt;&gt;"",IF(LOWER('Capacity summary'!AH41)="x",$BI129*AH129,VALUE('Capacity summary'!AH41)),0),AH129*$BI129),AH129*$BI129),0)</f>
        <v>5.1923076923076925</v>
      </c>
      <c r="CL129" s="5">
        <f ca="1">IF($BI129&lt;&gt;"",IF('Capacity summary'!$C$14="Yes",IF(COUNTBLANK('Capacity summary'!$H41:$BG41)&lt;52,IF('Capacity summary'!AI41&lt;&gt;"",IF(LOWER('Capacity summary'!AI41)="x",$BI129*AI129,VALUE('Capacity summary'!AI41)),0),AI129*$BI129),AI129*$BI129),0)</f>
        <v>5.1923076923076925</v>
      </c>
      <c r="CM129" s="5">
        <f ca="1">IF($BI129&lt;&gt;"",IF('Capacity summary'!$C$14="Yes",IF(COUNTBLANK('Capacity summary'!$H41:$BG41)&lt;52,IF('Capacity summary'!AJ41&lt;&gt;"",IF(LOWER('Capacity summary'!AJ41)="x",$BI129*AJ129,VALUE('Capacity summary'!AJ41)),0),AJ129*$BI129),AJ129*$BI129),0)</f>
        <v>5.1923076923076925</v>
      </c>
      <c r="CN129" s="5">
        <f ca="1">IF($BI129&lt;&gt;"",IF('Capacity summary'!$C$14="Yes",IF(COUNTBLANK('Capacity summary'!$H41:$BG41)&lt;52,IF('Capacity summary'!AK41&lt;&gt;"",IF(LOWER('Capacity summary'!AK41)="x",$BI129*AK129,VALUE('Capacity summary'!AK41)),0),AK129*$BI129),AK129*$BI129),0)</f>
        <v>5.1923076923076925</v>
      </c>
      <c r="CO129" s="5">
        <f ca="1">IF($BI129&lt;&gt;"",IF('Capacity summary'!$C$14="Yes",IF(COUNTBLANK('Capacity summary'!$H41:$BG41)&lt;52,IF('Capacity summary'!AL41&lt;&gt;"",IF(LOWER('Capacity summary'!AL41)="x",$BI129*AL129,VALUE('Capacity summary'!AL41)),0),AL129*$BI129),AL129*$BI129),0)</f>
        <v>5.1923076923076925</v>
      </c>
      <c r="CP129" s="5">
        <f ca="1">IF($BI129&lt;&gt;"",IF('Capacity summary'!$C$14="Yes",IF(COUNTBLANK('Capacity summary'!$H41:$BG41)&lt;52,IF('Capacity summary'!AM41&lt;&gt;"",IF(LOWER('Capacity summary'!AM41)="x",$BI129*AM129,VALUE('Capacity summary'!AM41)),0),AM129*$BI129),AM129*$BI129),0)</f>
        <v>5.1923076923076925</v>
      </c>
      <c r="CQ129" s="5">
        <f ca="1">IF($BI129&lt;&gt;"",IF('Capacity summary'!$C$14="Yes",IF(COUNTBLANK('Capacity summary'!$H41:$BG41)&lt;52,IF('Capacity summary'!AN41&lt;&gt;"",IF(LOWER('Capacity summary'!AN41)="x",$BI129*AN129,VALUE('Capacity summary'!AN41)),0),AN129*$BI129),AN129*$BI129),0)</f>
        <v>5.1923076923076925</v>
      </c>
      <c r="CR129" s="5">
        <f ca="1">IF($BI129&lt;&gt;"",IF('Capacity summary'!$C$14="Yes",IF(COUNTBLANK('Capacity summary'!$H41:$BG41)&lt;52,IF('Capacity summary'!AO41&lt;&gt;"",IF(LOWER('Capacity summary'!AO41)="x",$BI129*AO129,VALUE('Capacity summary'!AO41)),0),AO129*$BI129),AO129*$BI129),0)</f>
        <v>5.1923076923076925</v>
      </c>
      <c r="CS129" s="5">
        <f ca="1">IF($BI129&lt;&gt;"",IF('Capacity summary'!$C$14="Yes",IF(COUNTBLANK('Capacity summary'!$H41:$BG41)&lt;52,IF('Capacity summary'!AP41&lt;&gt;"",IF(LOWER('Capacity summary'!AP41)="x",$BI129*AP129,VALUE('Capacity summary'!AP41)),0),AP129*$BI129),AP129*$BI129),0)</f>
        <v>5.1923076923076925</v>
      </c>
      <c r="CT129" s="5">
        <f ca="1">IF($BI129&lt;&gt;"",IF('Capacity summary'!$C$14="Yes",IF(COUNTBLANK('Capacity summary'!$H41:$BG41)&lt;52,IF('Capacity summary'!AQ41&lt;&gt;"",IF(LOWER('Capacity summary'!AQ41)="x",$BI129*AQ129,VALUE('Capacity summary'!AQ41)),0),AQ129*$BI129),AQ129*$BI129),0)</f>
        <v>5.1923076923076925</v>
      </c>
      <c r="CU129" s="5">
        <f ca="1">IF($BI129&lt;&gt;"",IF('Capacity summary'!$C$14="Yes",IF(COUNTBLANK('Capacity summary'!$H41:$BG41)&lt;52,IF('Capacity summary'!AR41&lt;&gt;"",IF(LOWER('Capacity summary'!AR41)="x",$BI129*AR129,VALUE('Capacity summary'!AR41)),0),AR129*$BI129),AR129*$BI129),0)</f>
        <v>5.1923076923076925</v>
      </c>
      <c r="CV129" s="5">
        <f ca="1">IF($BI129&lt;&gt;"",IF('Capacity summary'!$C$14="Yes",IF(COUNTBLANK('Capacity summary'!$H41:$BG41)&lt;52,IF('Capacity summary'!AS41&lt;&gt;"",IF(LOWER('Capacity summary'!AS41)="x",$BI129*AS129,VALUE('Capacity summary'!AS41)),0),AS129*$BI129),AS129*$BI129),0)</f>
        <v>5.1923076923076925</v>
      </c>
      <c r="CW129" s="5">
        <f ca="1">IF($BI129&lt;&gt;"",IF('Capacity summary'!$C$14="Yes",IF(COUNTBLANK('Capacity summary'!$H41:$BG41)&lt;52,IF('Capacity summary'!AT41&lt;&gt;"",IF(LOWER('Capacity summary'!AT41)="x",$BI129*AT129,VALUE('Capacity summary'!AT41)),0),AT129*$BI129),AT129*$BI129),0)</f>
        <v>5.1923076923076925</v>
      </c>
      <c r="CX129" s="5">
        <f ca="1">IF($BI129&lt;&gt;"",IF('Capacity summary'!$C$14="Yes",IF(COUNTBLANK('Capacity summary'!$H41:$BG41)&lt;52,IF('Capacity summary'!AU41&lt;&gt;"",IF(LOWER('Capacity summary'!AU41)="x",$BI129*AU129,VALUE('Capacity summary'!AU41)),0),AU129*$BI129),AU129*$BI129),0)</f>
        <v>5.1923076923076925</v>
      </c>
      <c r="CY129" s="5">
        <f ca="1">IF($BI129&lt;&gt;"",IF('Capacity summary'!$C$14="Yes",IF(COUNTBLANK('Capacity summary'!$H41:$BG41)&lt;52,IF('Capacity summary'!AV41&lt;&gt;"",IF(LOWER('Capacity summary'!AV41)="x",$BI129*AV129,VALUE('Capacity summary'!AV41)),0),AV129*$BI129),AV129*$BI129),0)</f>
        <v>5.1923076923076925</v>
      </c>
      <c r="CZ129" s="5">
        <f ca="1">IF($BI129&lt;&gt;"",IF('Capacity summary'!$C$14="Yes",IF(COUNTBLANK('Capacity summary'!$H41:$BG41)&lt;52,IF('Capacity summary'!AW41&lt;&gt;"",IF(LOWER('Capacity summary'!AW41)="x",$BI129*AW129,VALUE('Capacity summary'!AW41)),0),AW129*$BI129),AW129*$BI129),0)</f>
        <v>5.1923076923076925</v>
      </c>
      <c r="DA129" s="5">
        <f ca="1">IF($BI129&lt;&gt;"",IF('Capacity summary'!$C$14="Yes",IF(COUNTBLANK('Capacity summary'!$H41:$BG41)&lt;52,IF('Capacity summary'!AX41&lt;&gt;"",IF(LOWER('Capacity summary'!AX41)="x",$BI129*AX129,VALUE('Capacity summary'!AX41)),0),AX129*$BI129),AX129*$BI129),0)</f>
        <v>5.1923076923076925</v>
      </c>
      <c r="DB129" s="5">
        <f ca="1">IF($BI129&lt;&gt;"",IF('Capacity summary'!$C$14="Yes",IF(COUNTBLANK('Capacity summary'!$H41:$BG41)&lt;52,IF('Capacity summary'!AY41&lt;&gt;"",IF(LOWER('Capacity summary'!AY41)="x",$BI129*AY129,VALUE('Capacity summary'!AY41)),0),AY129*$BI129),AY129*$BI129),0)</f>
        <v>5.1923076923076925</v>
      </c>
      <c r="DC129" s="5">
        <f ca="1">IF($BI129&lt;&gt;"",IF('Capacity summary'!$C$14="Yes",IF(COUNTBLANK('Capacity summary'!$H41:$BG41)&lt;52,IF('Capacity summary'!AZ41&lt;&gt;"",IF(LOWER('Capacity summary'!AZ41)="x",$BI129*AZ129,VALUE('Capacity summary'!AZ41)),0),AZ129*$BI129),AZ129*$BI129),0)</f>
        <v>5.1923076923076925</v>
      </c>
      <c r="DD129" s="5">
        <f ca="1">IF($BI129&lt;&gt;"",IF('Capacity summary'!$C$14="Yes",IF(COUNTBLANK('Capacity summary'!$H41:$BG41)&lt;52,IF('Capacity summary'!BA41&lt;&gt;"",IF(LOWER('Capacity summary'!BA41)="x",$BI129*BA129,VALUE('Capacity summary'!BA41)),0),BA129*$BI129),BA129*$BI129),0)</f>
        <v>5.1923076923076925</v>
      </c>
      <c r="DE129" s="5">
        <f ca="1">IF($BI129&lt;&gt;"",IF('Capacity summary'!$C$14="Yes",IF(COUNTBLANK('Capacity summary'!$H41:$BG41)&lt;52,IF('Capacity summary'!BB41&lt;&gt;"",IF(LOWER('Capacity summary'!BB41)="x",$BI129*BB129,VALUE('Capacity summary'!BB41)),0),BB129*$BI129),BB129*$BI129),0)</f>
        <v>5.1923076923076925</v>
      </c>
      <c r="DF129" s="5">
        <f ca="1">IF($BI129&lt;&gt;"",IF('Capacity summary'!$C$14="Yes",IF(COUNTBLANK('Capacity summary'!$H41:$BG41)&lt;52,IF('Capacity summary'!BC41&lt;&gt;"",IF(LOWER('Capacity summary'!BC41)="x",$BI129*BC129,VALUE('Capacity summary'!BC41)),0),BC129*$BI129),BC129*$BI129),0)</f>
        <v>5.1923076923076925</v>
      </c>
      <c r="DG129" s="5">
        <f ca="1">IF($BI129&lt;&gt;"",IF('Capacity summary'!$C$14="Yes",IF(COUNTBLANK('Capacity summary'!$H41:$BG41)&lt;52,IF('Capacity summary'!BD41&lt;&gt;"",IF(LOWER('Capacity summary'!BD41)="x",$BI129*BD129,VALUE('Capacity summary'!BD41)),0),BD129*$BI129),BD129*$BI129),0)</f>
        <v>5.1923076923076925</v>
      </c>
      <c r="DH129" s="5">
        <f ca="1">IF($BI129&lt;&gt;"",IF('Capacity summary'!$C$14="Yes",IF(COUNTBLANK('Capacity summary'!$H41:$BG41)&lt;52,IF('Capacity summary'!BE41&lt;&gt;"",IF(LOWER('Capacity summary'!BE41)="x",$BI129*BE129,VALUE('Capacity summary'!BE41)),0),BE129*$BI129),BE129*$BI129),0)</f>
        <v>5.1923076923076925</v>
      </c>
      <c r="DI129" s="5">
        <f ca="1">IF($BI129&lt;&gt;"",IF('Capacity summary'!$C$14="Yes",IF(COUNTBLANK('Capacity summary'!$H41:$BG41)&lt;52,IF('Capacity summary'!BF41&lt;&gt;"",IF(LOWER('Capacity summary'!BF41)="x",$BI129*BF129,VALUE('Capacity summary'!BF41)),0),BF129*$BI129),BF129*$BI129),0)</f>
        <v>5.1923076923076925</v>
      </c>
      <c r="DJ129" s="5">
        <f ca="1">IF($BI129&lt;&gt;"",IF('Capacity summary'!$C$14="Yes",IF(COUNTBLANK('Capacity summary'!$H41:$BG41)&lt;52,IF('Capacity summary'!BG41&lt;&gt;"",IF(LOWER('Capacity summary'!BG41)="x",$BI129*BG129,VALUE('Capacity summary'!BG41)),0),BG129*$BI129),BG129*$BI129),0)</f>
        <v>5.1923076923076925</v>
      </c>
      <c r="DK129" s="388">
        <f t="shared" ca="1" si="8"/>
        <v>5.1923076923076925</v>
      </c>
      <c r="DL129" s="5">
        <f t="shared" ca="1" si="9"/>
        <v>269.99999999999966</v>
      </c>
    </row>
    <row r="130" spans="3:116" x14ac:dyDescent="0.2">
      <c r="C130" s="67" t="str">
        <f>ROW(A19)&amp;". "&amp;Capacity!N35</f>
        <v>19. 44371</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 ca="1">IF(ROW(A19)&lt;=Capacity!$M$16,IF('Capacity summary'!$C$14="No",SUM(H130:BG130),'Capacity summary'!$E42),0)</f>
        <v>52</v>
      </c>
      <c r="BI130" s="67">
        <f ca="1">IF(BH130&gt;0,IF(BH130&lt;Capacity!Q35,Capacity!R35,Capacity!T35/'Capacity calculation (hide)'!BH130),"")</f>
        <v>6.9230769230769234</v>
      </c>
      <c r="BJ130" s="5"/>
      <c r="BK130" s="5">
        <f ca="1">IF($BI130&lt;&gt;"",IF('Capacity summary'!$C$14="Yes",IF(COUNTBLANK('Capacity summary'!$H42:$BG42)&lt;52,IF('Capacity summary'!H42&lt;&gt;"",IF(LOWER('Capacity summary'!H42)="x",$BI130*H130,VALUE('Capacity summary'!H42)),0),H130*$BI130),H130*$BI130),0)</f>
        <v>6.9230769230769234</v>
      </c>
      <c r="BL130" s="5">
        <f ca="1">IF($BI130&lt;&gt;"",IF('Capacity summary'!$C$14="Yes",IF(COUNTBLANK('Capacity summary'!$H42:$BG42)&lt;52,IF('Capacity summary'!I42&lt;&gt;"",IF(LOWER('Capacity summary'!I42)="x",$BI130*I130,VALUE('Capacity summary'!I42)),0),I130*$BI130),I130*$BI130),0)</f>
        <v>6.9230769230769234</v>
      </c>
      <c r="BM130" s="5">
        <f ca="1">IF($BI130&lt;&gt;"",IF('Capacity summary'!$C$14="Yes",IF(COUNTBLANK('Capacity summary'!$H42:$BG42)&lt;52,IF('Capacity summary'!J42&lt;&gt;"",IF(LOWER('Capacity summary'!J42)="x",$BI130*J130,VALUE('Capacity summary'!J42)),0),J130*$BI130),J130*$BI130),0)</f>
        <v>6.9230769230769234</v>
      </c>
      <c r="BN130" s="5">
        <f ca="1">IF($BI130&lt;&gt;"",IF('Capacity summary'!$C$14="Yes",IF(COUNTBLANK('Capacity summary'!$H42:$BG42)&lt;52,IF('Capacity summary'!K42&lt;&gt;"",IF(LOWER('Capacity summary'!K42)="x",$BI130*K130,VALUE('Capacity summary'!K42)),0),K130*$BI130),K130*$BI130),0)</f>
        <v>6.9230769230769234</v>
      </c>
      <c r="BO130" s="5">
        <f ca="1">IF($BI130&lt;&gt;"",IF('Capacity summary'!$C$14="Yes",IF(COUNTBLANK('Capacity summary'!$H42:$BG42)&lt;52,IF('Capacity summary'!L42&lt;&gt;"",IF(LOWER('Capacity summary'!L42)="x",$BI130*L130,VALUE('Capacity summary'!L42)),0),L130*$BI130),L130*$BI130),0)</f>
        <v>6.9230769230769234</v>
      </c>
      <c r="BP130" s="5">
        <f ca="1">IF($BI130&lt;&gt;"",IF('Capacity summary'!$C$14="Yes",IF(COUNTBLANK('Capacity summary'!$H42:$BG42)&lt;52,IF('Capacity summary'!M42&lt;&gt;"",IF(LOWER('Capacity summary'!M42)="x",$BI130*M130,VALUE('Capacity summary'!M42)),0),M130*$BI130),M130*$BI130),0)</f>
        <v>6.9230769230769234</v>
      </c>
      <c r="BQ130" s="5">
        <f ca="1">IF($BI130&lt;&gt;"",IF('Capacity summary'!$C$14="Yes",IF(COUNTBLANK('Capacity summary'!$H42:$BG42)&lt;52,IF('Capacity summary'!N42&lt;&gt;"",IF(LOWER('Capacity summary'!N42)="x",$BI130*N130,VALUE('Capacity summary'!N42)),0),N130*$BI130),N130*$BI130),0)</f>
        <v>6.9230769230769234</v>
      </c>
      <c r="BR130" s="5">
        <f ca="1">IF($BI130&lt;&gt;"",IF('Capacity summary'!$C$14="Yes",IF(COUNTBLANK('Capacity summary'!$H42:$BG42)&lt;52,IF('Capacity summary'!O42&lt;&gt;"",IF(LOWER('Capacity summary'!O42)="x",$BI130*O130,VALUE('Capacity summary'!O42)),0),O130*$BI130),O130*$BI130),0)</f>
        <v>6.9230769230769234</v>
      </c>
      <c r="BS130" s="5">
        <f ca="1">IF($BI130&lt;&gt;"",IF('Capacity summary'!$C$14="Yes",IF(COUNTBLANK('Capacity summary'!$H42:$BG42)&lt;52,IF('Capacity summary'!P42&lt;&gt;"",IF(LOWER('Capacity summary'!P42)="x",$BI130*P130,VALUE('Capacity summary'!P42)),0),P130*$BI130),P130*$BI130),0)</f>
        <v>6.9230769230769234</v>
      </c>
      <c r="BT130" s="5">
        <f ca="1">IF($BI130&lt;&gt;"",IF('Capacity summary'!$C$14="Yes",IF(COUNTBLANK('Capacity summary'!$H42:$BG42)&lt;52,IF('Capacity summary'!Q42&lt;&gt;"",IF(LOWER('Capacity summary'!Q42)="x",$BI130*Q130,VALUE('Capacity summary'!Q42)),0),Q130*$BI130),Q130*$BI130),0)</f>
        <v>6.9230769230769234</v>
      </c>
      <c r="BU130" s="5">
        <f ca="1">IF($BI130&lt;&gt;"",IF('Capacity summary'!$C$14="Yes",IF(COUNTBLANK('Capacity summary'!$H42:$BG42)&lt;52,IF('Capacity summary'!R42&lt;&gt;"",IF(LOWER('Capacity summary'!R42)="x",$BI130*R130,VALUE('Capacity summary'!R42)),0),R130*$BI130),R130*$BI130),0)</f>
        <v>6.9230769230769234</v>
      </c>
      <c r="BV130" s="5">
        <f ca="1">IF($BI130&lt;&gt;"",IF('Capacity summary'!$C$14="Yes",IF(COUNTBLANK('Capacity summary'!$H42:$BG42)&lt;52,IF('Capacity summary'!S42&lt;&gt;"",IF(LOWER('Capacity summary'!S42)="x",$BI130*S130,VALUE('Capacity summary'!S42)),0),S130*$BI130),S130*$BI130),0)</f>
        <v>6.9230769230769234</v>
      </c>
      <c r="BW130" s="5">
        <f ca="1">IF($BI130&lt;&gt;"",IF('Capacity summary'!$C$14="Yes",IF(COUNTBLANK('Capacity summary'!$H42:$BG42)&lt;52,IF('Capacity summary'!T42&lt;&gt;"",IF(LOWER('Capacity summary'!T42)="x",$BI130*T130,VALUE('Capacity summary'!T42)),0),T130*$BI130),T130*$BI130),0)</f>
        <v>6.9230769230769234</v>
      </c>
      <c r="BX130" s="5">
        <f ca="1">IF($BI130&lt;&gt;"",IF('Capacity summary'!$C$14="Yes",IF(COUNTBLANK('Capacity summary'!$H42:$BG42)&lt;52,IF('Capacity summary'!U42&lt;&gt;"",IF(LOWER('Capacity summary'!U42)="x",$BI130*U130,VALUE('Capacity summary'!U42)),0),U130*$BI130),U130*$BI130),0)</f>
        <v>6.9230769230769234</v>
      </c>
      <c r="BY130" s="5">
        <f ca="1">IF($BI130&lt;&gt;"",IF('Capacity summary'!$C$14="Yes",IF(COUNTBLANK('Capacity summary'!$H42:$BG42)&lt;52,IF('Capacity summary'!V42&lt;&gt;"",IF(LOWER('Capacity summary'!V42)="x",$BI130*V130,VALUE('Capacity summary'!V42)),0),V130*$BI130),V130*$BI130),0)</f>
        <v>6.9230769230769234</v>
      </c>
      <c r="BZ130" s="5">
        <f ca="1">IF($BI130&lt;&gt;"",IF('Capacity summary'!$C$14="Yes",IF(COUNTBLANK('Capacity summary'!$H42:$BG42)&lt;52,IF('Capacity summary'!W42&lt;&gt;"",IF(LOWER('Capacity summary'!W42)="x",$BI130*W130,VALUE('Capacity summary'!W42)),0),W130*$BI130),W130*$BI130),0)</f>
        <v>6.9230769230769234</v>
      </c>
      <c r="CA130" s="5">
        <f ca="1">IF($BI130&lt;&gt;"",IF('Capacity summary'!$C$14="Yes",IF(COUNTBLANK('Capacity summary'!$H42:$BG42)&lt;52,IF('Capacity summary'!X42&lt;&gt;"",IF(LOWER('Capacity summary'!X42)="x",$BI130*X130,VALUE('Capacity summary'!X42)),0),X130*$BI130),X130*$BI130),0)</f>
        <v>6.9230769230769234</v>
      </c>
      <c r="CB130" s="5">
        <f ca="1">IF($BI130&lt;&gt;"",IF('Capacity summary'!$C$14="Yes",IF(COUNTBLANK('Capacity summary'!$H42:$BG42)&lt;52,IF('Capacity summary'!Y42&lt;&gt;"",IF(LOWER('Capacity summary'!Y42)="x",$BI130*Y130,VALUE('Capacity summary'!Y42)),0),Y130*$BI130),Y130*$BI130),0)</f>
        <v>6.9230769230769234</v>
      </c>
      <c r="CC130" s="5">
        <f ca="1">IF($BI130&lt;&gt;"",IF('Capacity summary'!$C$14="Yes",IF(COUNTBLANK('Capacity summary'!$H42:$BG42)&lt;52,IF('Capacity summary'!Z42&lt;&gt;"",IF(LOWER('Capacity summary'!Z42)="x",$BI130*Z130,VALUE('Capacity summary'!Z42)),0),Z130*$BI130),Z130*$BI130),0)</f>
        <v>6.9230769230769234</v>
      </c>
      <c r="CD130" s="5">
        <f ca="1">IF($BI130&lt;&gt;"",IF('Capacity summary'!$C$14="Yes",IF(COUNTBLANK('Capacity summary'!$H42:$BG42)&lt;52,IF('Capacity summary'!AA42&lt;&gt;"",IF(LOWER('Capacity summary'!AA42)="x",$BI130*AA130,VALUE('Capacity summary'!AA42)),0),AA130*$BI130),AA130*$BI130),0)</f>
        <v>6.9230769230769234</v>
      </c>
      <c r="CE130" s="5">
        <f ca="1">IF($BI130&lt;&gt;"",IF('Capacity summary'!$C$14="Yes",IF(COUNTBLANK('Capacity summary'!$H42:$BG42)&lt;52,IF('Capacity summary'!AB42&lt;&gt;"",IF(LOWER('Capacity summary'!AB42)="x",$BI130*AB130,VALUE('Capacity summary'!AB42)),0),AB130*$BI130),AB130*$BI130),0)</f>
        <v>6.9230769230769234</v>
      </c>
      <c r="CF130" s="5">
        <f ca="1">IF($BI130&lt;&gt;"",IF('Capacity summary'!$C$14="Yes",IF(COUNTBLANK('Capacity summary'!$H42:$BG42)&lt;52,IF('Capacity summary'!AC42&lt;&gt;"",IF(LOWER('Capacity summary'!AC42)="x",$BI130*AC130,VALUE('Capacity summary'!AC42)),0),AC130*$BI130),AC130*$BI130),0)</f>
        <v>6.9230769230769234</v>
      </c>
      <c r="CG130" s="5">
        <f ca="1">IF($BI130&lt;&gt;"",IF('Capacity summary'!$C$14="Yes",IF(COUNTBLANK('Capacity summary'!$H42:$BG42)&lt;52,IF('Capacity summary'!AD42&lt;&gt;"",IF(LOWER('Capacity summary'!AD42)="x",$BI130*AD130,VALUE('Capacity summary'!AD42)),0),AD130*$BI130),AD130*$BI130),0)</f>
        <v>6.9230769230769234</v>
      </c>
      <c r="CH130" s="5">
        <f ca="1">IF($BI130&lt;&gt;"",IF('Capacity summary'!$C$14="Yes",IF(COUNTBLANK('Capacity summary'!$H42:$BG42)&lt;52,IF('Capacity summary'!AE42&lt;&gt;"",IF(LOWER('Capacity summary'!AE42)="x",$BI130*AE130,VALUE('Capacity summary'!AE42)),0),AE130*$BI130),AE130*$BI130),0)</f>
        <v>6.9230769230769234</v>
      </c>
      <c r="CI130" s="5">
        <f ca="1">IF($BI130&lt;&gt;"",IF('Capacity summary'!$C$14="Yes",IF(COUNTBLANK('Capacity summary'!$H42:$BG42)&lt;52,IF('Capacity summary'!AF42&lt;&gt;"",IF(LOWER('Capacity summary'!AF42)="x",$BI130*AF130,VALUE('Capacity summary'!AF42)),0),AF130*$BI130),AF130*$BI130),0)</f>
        <v>6.9230769230769234</v>
      </c>
      <c r="CJ130" s="5">
        <f ca="1">IF($BI130&lt;&gt;"",IF('Capacity summary'!$C$14="Yes",IF(COUNTBLANK('Capacity summary'!$H42:$BG42)&lt;52,IF('Capacity summary'!AG42&lt;&gt;"",IF(LOWER('Capacity summary'!AG42)="x",$BI130*AG130,VALUE('Capacity summary'!AG42)),0),AG130*$BI130),AG130*$BI130),0)</f>
        <v>6.9230769230769234</v>
      </c>
      <c r="CK130" s="5">
        <f ca="1">IF($BI130&lt;&gt;"",IF('Capacity summary'!$C$14="Yes",IF(COUNTBLANK('Capacity summary'!$H42:$BG42)&lt;52,IF('Capacity summary'!AH42&lt;&gt;"",IF(LOWER('Capacity summary'!AH42)="x",$BI130*AH130,VALUE('Capacity summary'!AH42)),0),AH130*$BI130),AH130*$BI130),0)</f>
        <v>6.9230769230769234</v>
      </c>
      <c r="CL130" s="5">
        <f ca="1">IF($BI130&lt;&gt;"",IF('Capacity summary'!$C$14="Yes",IF(COUNTBLANK('Capacity summary'!$H42:$BG42)&lt;52,IF('Capacity summary'!AI42&lt;&gt;"",IF(LOWER('Capacity summary'!AI42)="x",$BI130*AI130,VALUE('Capacity summary'!AI42)),0),AI130*$BI130),AI130*$BI130),0)</f>
        <v>6.9230769230769234</v>
      </c>
      <c r="CM130" s="5">
        <f ca="1">IF($BI130&lt;&gt;"",IF('Capacity summary'!$C$14="Yes",IF(COUNTBLANK('Capacity summary'!$H42:$BG42)&lt;52,IF('Capacity summary'!AJ42&lt;&gt;"",IF(LOWER('Capacity summary'!AJ42)="x",$BI130*AJ130,VALUE('Capacity summary'!AJ42)),0),AJ130*$BI130),AJ130*$BI130),0)</f>
        <v>6.9230769230769234</v>
      </c>
      <c r="CN130" s="5">
        <f ca="1">IF($BI130&lt;&gt;"",IF('Capacity summary'!$C$14="Yes",IF(COUNTBLANK('Capacity summary'!$H42:$BG42)&lt;52,IF('Capacity summary'!AK42&lt;&gt;"",IF(LOWER('Capacity summary'!AK42)="x",$BI130*AK130,VALUE('Capacity summary'!AK42)),0),AK130*$BI130),AK130*$BI130),0)</f>
        <v>6.9230769230769234</v>
      </c>
      <c r="CO130" s="5">
        <f ca="1">IF($BI130&lt;&gt;"",IF('Capacity summary'!$C$14="Yes",IF(COUNTBLANK('Capacity summary'!$H42:$BG42)&lt;52,IF('Capacity summary'!AL42&lt;&gt;"",IF(LOWER('Capacity summary'!AL42)="x",$BI130*AL130,VALUE('Capacity summary'!AL42)),0),AL130*$BI130),AL130*$BI130),0)</f>
        <v>6.9230769230769234</v>
      </c>
      <c r="CP130" s="5">
        <f ca="1">IF($BI130&lt;&gt;"",IF('Capacity summary'!$C$14="Yes",IF(COUNTBLANK('Capacity summary'!$H42:$BG42)&lt;52,IF('Capacity summary'!AM42&lt;&gt;"",IF(LOWER('Capacity summary'!AM42)="x",$BI130*AM130,VALUE('Capacity summary'!AM42)),0),AM130*$BI130),AM130*$BI130),0)</f>
        <v>6.9230769230769234</v>
      </c>
      <c r="CQ130" s="5">
        <f ca="1">IF($BI130&lt;&gt;"",IF('Capacity summary'!$C$14="Yes",IF(COUNTBLANK('Capacity summary'!$H42:$BG42)&lt;52,IF('Capacity summary'!AN42&lt;&gt;"",IF(LOWER('Capacity summary'!AN42)="x",$BI130*AN130,VALUE('Capacity summary'!AN42)),0),AN130*$BI130),AN130*$BI130),0)</f>
        <v>6.9230769230769234</v>
      </c>
      <c r="CR130" s="5">
        <f ca="1">IF($BI130&lt;&gt;"",IF('Capacity summary'!$C$14="Yes",IF(COUNTBLANK('Capacity summary'!$H42:$BG42)&lt;52,IF('Capacity summary'!AO42&lt;&gt;"",IF(LOWER('Capacity summary'!AO42)="x",$BI130*AO130,VALUE('Capacity summary'!AO42)),0),AO130*$BI130),AO130*$BI130),0)</f>
        <v>6.9230769230769234</v>
      </c>
      <c r="CS130" s="5">
        <f ca="1">IF($BI130&lt;&gt;"",IF('Capacity summary'!$C$14="Yes",IF(COUNTBLANK('Capacity summary'!$H42:$BG42)&lt;52,IF('Capacity summary'!AP42&lt;&gt;"",IF(LOWER('Capacity summary'!AP42)="x",$BI130*AP130,VALUE('Capacity summary'!AP42)),0),AP130*$BI130),AP130*$BI130),0)</f>
        <v>6.9230769230769234</v>
      </c>
      <c r="CT130" s="5">
        <f ca="1">IF($BI130&lt;&gt;"",IF('Capacity summary'!$C$14="Yes",IF(COUNTBLANK('Capacity summary'!$H42:$BG42)&lt;52,IF('Capacity summary'!AQ42&lt;&gt;"",IF(LOWER('Capacity summary'!AQ42)="x",$BI130*AQ130,VALUE('Capacity summary'!AQ42)),0),AQ130*$BI130),AQ130*$BI130),0)</f>
        <v>6.9230769230769234</v>
      </c>
      <c r="CU130" s="5">
        <f ca="1">IF($BI130&lt;&gt;"",IF('Capacity summary'!$C$14="Yes",IF(COUNTBLANK('Capacity summary'!$H42:$BG42)&lt;52,IF('Capacity summary'!AR42&lt;&gt;"",IF(LOWER('Capacity summary'!AR42)="x",$BI130*AR130,VALUE('Capacity summary'!AR42)),0),AR130*$BI130),AR130*$BI130),0)</f>
        <v>6.9230769230769234</v>
      </c>
      <c r="CV130" s="5">
        <f ca="1">IF($BI130&lt;&gt;"",IF('Capacity summary'!$C$14="Yes",IF(COUNTBLANK('Capacity summary'!$H42:$BG42)&lt;52,IF('Capacity summary'!AS42&lt;&gt;"",IF(LOWER('Capacity summary'!AS42)="x",$BI130*AS130,VALUE('Capacity summary'!AS42)),0),AS130*$BI130),AS130*$BI130),0)</f>
        <v>6.9230769230769234</v>
      </c>
      <c r="CW130" s="5">
        <f ca="1">IF($BI130&lt;&gt;"",IF('Capacity summary'!$C$14="Yes",IF(COUNTBLANK('Capacity summary'!$H42:$BG42)&lt;52,IF('Capacity summary'!AT42&lt;&gt;"",IF(LOWER('Capacity summary'!AT42)="x",$BI130*AT130,VALUE('Capacity summary'!AT42)),0),AT130*$BI130),AT130*$BI130),0)</f>
        <v>6.9230769230769234</v>
      </c>
      <c r="CX130" s="5">
        <f ca="1">IF($BI130&lt;&gt;"",IF('Capacity summary'!$C$14="Yes",IF(COUNTBLANK('Capacity summary'!$H42:$BG42)&lt;52,IF('Capacity summary'!AU42&lt;&gt;"",IF(LOWER('Capacity summary'!AU42)="x",$BI130*AU130,VALUE('Capacity summary'!AU42)),0),AU130*$BI130),AU130*$BI130),0)</f>
        <v>6.9230769230769234</v>
      </c>
      <c r="CY130" s="5">
        <f ca="1">IF($BI130&lt;&gt;"",IF('Capacity summary'!$C$14="Yes",IF(COUNTBLANK('Capacity summary'!$H42:$BG42)&lt;52,IF('Capacity summary'!AV42&lt;&gt;"",IF(LOWER('Capacity summary'!AV42)="x",$BI130*AV130,VALUE('Capacity summary'!AV42)),0),AV130*$BI130),AV130*$BI130),0)</f>
        <v>6.9230769230769234</v>
      </c>
      <c r="CZ130" s="5">
        <f ca="1">IF($BI130&lt;&gt;"",IF('Capacity summary'!$C$14="Yes",IF(COUNTBLANK('Capacity summary'!$H42:$BG42)&lt;52,IF('Capacity summary'!AW42&lt;&gt;"",IF(LOWER('Capacity summary'!AW42)="x",$BI130*AW130,VALUE('Capacity summary'!AW42)),0),AW130*$BI130),AW130*$BI130),0)</f>
        <v>6.9230769230769234</v>
      </c>
      <c r="DA130" s="5">
        <f ca="1">IF($BI130&lt;&gt;"",IF('Capacity summary'!$C$14="Yes",IF(COUNTBLANK('Capacity summary'!$H42:$BG42)&lt;52,IF('Capacity summary'!AX42&lt;&gt;"",IF(LOWER('Capacity summary'!AX42)="x",$BI130*AX130,VALUE('Capacity summary'!AX42)),0),AX130*$BI130),AX130*$BI130),0)</f>
        <v>6.9230769230769234</v>
      </c>
      <c r="DB130" s="5">
        <f ca="1">IF($BI130&lt;&gt;"",IF('Capacity summary'!$C$14="Yes",IF(COUNTBLANK('Capacity summary'!$H42:$BG42)&lt;52,IF('Capacity summary'!AY42&lt;&gt;"",IF(LOWER('Capacity summary'!AY42)="x",$BI130*AY130,VALUE('Capacity summary'!AY42)),0),AY130*$BI130),AY130*$BI130),0)</f>
        <v>6.9230769230769234</v>
      </c>
      <c r="DC130" s="5">
        <f ca="1">IF($BI130&lt;&gt;"",IF('Capacity summary'!$C$14="Yes",IF(COUNTBLANK('Capacity summary'!$H42:$BG42)&lt;52,IF('Capacity summary'!AZ42&lt;&gt;"",IF(LOWER('Capacity summary'!AZ42)="x",$BI130*AZ130,VALUE('Capacity summary'!AZ42)),0),AZ130*$BI130),AZ130*$BI130),0)</f>
        <v>6.9230769230769234</v>
      </c>
      <c r="DD130" s="5">
        <f ca="1">IF($BI130&lt;&gt;"",IF('Capacity summary'!$C$14="Yes",IF(COUNTBLANK('Capacity summary'!$H42:$BG42)&lt;52,IF('Capacity summary'!BA42&lt;&gt;"",IF(LOWER('Capacity summary'!BA42)="x",$BI130*BA130,VALUE('Capacity summary'!BA42)),0),BA130*$BI130),BA130*$BI130),0)</f>
        <v>6.9230769230769234</v>
      </c>
      <c r="DE130" s="5">
        <f ca="1">IF($BI130&lt;&gt;"",IF('Capacity summary'!$C$14="Yes",IF(COUNTBLANK('Capacity summary'!$H42:$BG42)&lt;52,IF('Capacity summary'!BB42&lt;&gt;"",IF(LOWER('Capacity summary'!BB42)="x",$BI130*BB130,VALUE('Capacity summary'!BB42)),0),BB130*$BI130),BB130*$BI130),0)</f>
        <v>6.9230769230769234</v>
      </c>
      <c r="DF130" s="5">
        <f ca="1">IF($BI130&lt;&gt;"",IF('Capacity summary'!$C$14="Yes",IF(COUNTBLANK('Capacity summary'!$H42:$BG42)&lt;52,IF('Capacity summary'!BC42&lt;&gt;"",IF(LOWER('Capacity summary'!BC42)="x",$BI130*BC130,VALUE('Capacity summary'!BC42)),0),BC130*$BI130),BC130*$BI130),0)</f>
        <v>6.9230769230769234</v>
      </c>
      <c r="DG130" s="5">
        <f ca="1">IF($BI130&lt;&gt;"",IF('Capacity summary'!$C$14="Yes",IF(COUNTBLANK('Capacity summary'!$H42:$BG42)&lt;52,IF('Capacity summary'!BD42&lt;&gt;"",IF(LOWER('Capacity summary'!BD42)="x",$BI130*BD130,VALUE('Capacity summary'!BD42)),0),BD130*$BI130),BD130*$BI130),0)</f>
        <v>6.9230769230769234</v>
      </c>
      <c r="DH130" s="5">
        <f ca="1">IF($BI130&lt;&gt;"",IF('Capacity summary'!$C$14="Yes",IF(COUNTBLANK('Capacity summary'!$H42:$BG42)&lt;52,IF('Capacity summary'!BE42&lt;&gt;"",IF(LOWER('Capacity summary'!BE42)="x",$BI130*BE130,VALUE('Capacity summary'!BE42)),0),BE130*$BI130),BE130*$BI130),0)</f>
        <v>6.9230769230769234</v>
      </c>
      <c r="DI130" s="5">
        <f ca="1">IF($BI130&lt;&gt;"",IF('Capacity summary'!$C$14="Yes",IF(COUNTBLANK('Capacity summary'!$H42:$BG42)&lt;52,IF('Capacity summary'!BF42&lt;&gt;"",IF(LOWER('Capacity summary'!BF42)="x",$BI130*BF130,VALUE('Capacity summary'!BF42)),0),BF130*$BI130),BF130*$BI130),0)</f>
        <v>6.9230769230769234</v>
      </c>
      <c r="DJ130" s="5">
        <f ca="1">IF($BI130&lt;&gt;"",IF('Capacity summary'!$C$14="Yes",IF(COUNTBLANK('Capacity summary'!$H42:$BG42)&lt;52,IF('Capacity summary'!BG42&lt;&gt;"",IF(LOWER('Capacity summary'!BG42)="x",$BI130*BG130,VALUE('Capacity summary'!BG42)),0),BG130*$BI130),BG130*$BI130),0)</f>
        <v>6.9230769230769234</v>
      </c>
      <c r="DK130" s="388">
        <f t="shared" ca="1" si="8"/>
        <v>6.9230769230769234</v>
      </c>
      <c r="DL130" s="5">
        <f t="shared" ca="1" si="9"/>
        <v>359.99999999999989</v>
      </c>
    </row>
    <row r="131" spans="3:116" x14ac:dyDescent="0.2">
      <c r="C131" s="67" t="str">
        <f>ROW(A20)&amp;". "&amp;Capacity!N36</f>
        <v>20. 44371</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 ca="1">IF(ROW(A20)&lt;=Capacity!$M$16,IF('Capacity summary'!$C$14="No",SUM(H131:BG131),'Capacity summary'!$E43),0)</f>
        <v>52</v>
      </c>
      <c r="BI131" s="67">
        <f ca="1">IF(BH131&gt;0,IF(BH131&lt;Capacity!Q36,Capacity!R36,Capacity!T36/'Capacity calculation (hide)'!BH131),"")</f>
        <v>5.1923076923076925</v>
      </c>
      <c r="BJ131" s="5"/>
      <c r="BK131" s="5">
        <f ca="1">IF($BI131&lt;&gt;"",IF('Capacity summary'!$C$14="Yes",IF(COUNTBLANK('Capacity summary'!$H43:$BG43)&lt;52,IF('Capacity summary'!H43&lt;&gt;"",IF(LOWER('Capacity summary'!H43)="x",$BI131*H131,VALUE('Capacity summary'!H43)),0),H131*$BI131),H131*$BI131),0)</f>
        <v>5.1923076923076925</v>
      </c>
      <c r="BL131" s="5">
        <f ca="1">IF($BI131&lt;&gt;"",IF('Capacity summary'!$C$14="Yes",IF(COUNTBLANK('Capacity summary'!$H43:$BG43)&lt;52,IF('Capacity summary'!I43&lt;&gt;"",IF(LOWER('Capacity summary'!I43)="x",$BI131*I131,VALUE('Capacity summary'!I43)),0),I131*$BI131),I131*$BI131),0)</f>
        <v>5.1923076923076925</v>
      </c>
      <c r="BM131" s="5">
        <f ca="1">IF($BI131&lt;&gt;"",IF('Capacity summary'!$C$14="Yes",IF(COUNTBLANK('Capacity summary'!$H43:$BG43)&lt;52,IF('Capacity summary'!J43&lt;&gt;"",IF(LOWER('Capacity summary'!J43)="x",$BI131*J131,VALUE('Capacity summary'!J43)),0),J131*$BI131),J131*$BI131),0)</f>
        <v>5.1923076923076925</v>
      </c>
      <c r="BN131" s="5">
        <f ca="1">IF($BI131&lt;&gt;"",IF('Capacity summary'!$C$14="Yes",IF(COUNTBLANK('Capacity summary'!$H43:$BG43)&lt;52,IF('Capacity summary'!K43&lt;&gt;"",IF(LOWER('Capacity summary'!K43)="x",$BI131*K131,VALUE('Capacity summary'!K43)),0),K131*$BI131),K131*$BI131),0)</f>
        <v>5.1923076923076925</v>
      </c>
      <c r="BO131" s="5">
        <f ca="1">IF($BI131&lt;&gt;"",IF('Capacity summary'!$C$14="Yes",IF(COUNTBLANK('Capacity summary'!$H43:$BG43)&lt;52,IF('Capacity summary'!L43&lt;&gt;"",IF(LOWER('Capacity summary'!L43)="x",$BI131*L131,VALUE('Capacity summary'!L43)),0),L131*$BI131),L131*$BI131),0)</f>
        <v>5.1923076923076925</v>
      </c>
      <c r="BP131" s="5">
        <f ca="1">IF($BI131&lt;&gt;"",IF('Capacity summary'!$C$14="Yes",IF(COUNTBLANK('Capacity summary'!$H43:$BG43)&lt;52,IF('Capacity summary'!M43&lt;&gt;"",IF(LOWER('Capacity summary'!M43)="x",$BI131*M131,VALUE('Capacity summary'!M43)),0),M131*$BI131),M131*$BI131),0)</f>
        <v>5.1923076923076925</v>
      </c>
      <c r="BQ131" s="5">
        <f ca="1">IF($BI131&lt;&gt;"",IF('Capacity summary'!$C$14="Yes",IF(COUNTBLANK('Capacity summary'!$H43:$BG43)&lt;52,IF('Capacity summary'!N43&lt;&gt;"",IF(LOWER('Capacity summary'!N43)="x",$BI131*N131,VALUE('Capacity summary'!N43)),0),N131*$BI131),N131*$BI131),0)</f>
        <v>5.1923076923076925</v>
      </c>
      <c r="BR131" s="5">
        <f ca="1">IF($BI131&lt;&gt;"",IF('Capacity summary'!$C$14="Yes",IF(COUNTBLANK('Capacity summary'!$H43:$BG43)&lt;52,IF('Capacity summary'!O43&lt;&gt;"",IF(LOWER('Capacity summary'!O43)="x",$BI131*O131,VALUE('Capacity summary'!O43)),0),O131*$BI131),O131*$BI131),0)</f>
        <v>5.1923076923076925</v>
      </c>
      <c r="BS131" s="5">
        <f ca="1">IF($BI131&lt;&gt;"",IF('Capacity summary'!$C$14="Yes",IF(COUNTBLANK('Capacity summary'!$H43:$BG43)&lt;52,IF('Capacity summary'!P43&lt;&gt;"",IF(LOWER('Capacity summary'!P43)="x",$BI131*P131,VALUE('Capacity summary'!P43)),0),P131*$BI131),P131*$BI131),0)</f>
        <v>5.1923076923076925</v>
      </c>
      <c r="BT131" s="5">
        <f ca="1">IF($BI131&lt;&gt;"",IF('Capacity summary'!$C$14="Yes",IF(COUNTBLANK('Capacity summary'!$H43:$BG43)&lt;52,IF('Capacity summary'!Q43&lt;&gt;"",IF(LOWER('Capacity summary'!Q43)="x",$BI131*Q131,VALUE('Capacity summary'!Q43)),0),Q131*$BI131),Q131*$BI131),0)</f>
        <v>5.1923076923076925</v>
      </c>
      <c r="BU131" s="5">
        <f ca="1">IF($BI131&lt;&gt;"",IF('Capacity summary'!$C$14="Yes",IF(COUNTBLANK('Capacity summary'!$H43:$BG43)&lt;52,IF('Capacity summary'!R43&lt;&gt;"",IF(LOWER('Capacity summary'!R43)="x",$BI131*R131,VALUE('Capacity summary'!R43)),0),R131*$BI131),R131*$BI131),0)</f>
        <v>5.1923076923076925</v>
      </c>
      <c r="BV131" s="5">
        <f ca="1">IF($BI131&lt;&gt;"",IF('Capacity summary'!$C$14="Yes",IF(COUNTBLANK('Capacity summary'!$H43:$BG43)&lt;52,IF('Capacity summary'!S43&lt;&gt;"",IF(LOWER('Capacity summary'!S43)="x",$BI131*S131,VALUE('Capacity summary'!S43)),0),S131*$BI131),S131*$BI131),0)</f>
        <v>5.1923076923076925</v>
      </c>
      <c r="BW131" s="5">
        <f ca="1">IF($BI131&lt;&gt;"",IF('Capacity summary'!$C$14="Yes",IF(COUNTBLANK('Capacity summary'!$H43:$BG43)&lt;52,IF('Capacity summary'!T43&lt;&gt;"",IF(LOWER('Capacity summary'!T43)="x",$BI131*T131,VALUE('Capacity summary'!T43)),0),T131*$BI131),T131*$BI131),0)</f>
        <v>5.1923076923076925</v>
      </c>
      <c r="BX131" s="5">
        <f ca="1">IF($BI131&lt;&gt;"",IF('Capacity summary'!$C$14="Yes",IF(COUNTBLANK('Capacity summary'!$H43:$BG43)&lt;52,IF('Capacity summary'!U43&lt;&gt;"",IF(LOWER('Capacity summary'!U43)="x",$BI131*U131,VALUE('Capacity summary'!U43)),0),U131*$BI131),U131*$BI131),0)</f>
        <v>5.1923076923076925</v>
      </c>
      <c r="BY131" s="5">
        <f ca="1">IF($BI131&lt;&gt;"",IF('Capacity summary'!$C$14="Yes",IF(COUNTBLANK('Capacity summary'!$H43:$BG43)&lt;52,IF('Capacity summary'!V43&lt;&gt;"",IF(LOWER('Capacity summary'!V43)="x",$BI131*V131,VALUE('Capacity summary'!V43)),0),V131*$BI131),V131*$BI131),0)</f>
        <v>5.1923076923076925</v>
      </c>
      <c r="BZ131" s="5">
        <f ca="1">IF($BI131&lt;&gt;"",IF('Capacity summary'!$C$14="Yes",IF(COUNTBLANK('Capacity summary'!$H43:$BG43)&lt;52,IF('Capacity summary'!W43&lt;&gt;"",IF(LOWER('Capacity summary'!W43)="x",$BI131*W131,VALUE('Capacity summary'!W43)),0),W131*$BI131),W131*$BI131),0)</f>
        <v>5.1923076923076925</v>
      </c>
      <c r="CA131" s="5">
        <f ca="1">IF($BI131&lt;&gt;"",IF('Capacity summary'!$C$14="Yes",IF(COUNTBLANK('Capacity summary'!$H43:$BG43)&lt;52,IF('Capacity summary'!X43&lt;&gt;"",IF(LOWER('Capacity summary'!X43)="x",$BI131*X131,VALUE('Capacity summary'!X43)),0),X131*$BI131),X131*$BI131),0)</f>
        <v>5.1923076923076925</v>
      </c>
      <c r="CB131" s="5">
        <f ca="1">IF($BI131&lt;&gt;"",IF('Capacity summary'!$C$14="Yes",IF(COUNTBLANK('Capacity summary'!$H43:$BG43)&lt;52,IF('Capacity summary'!Y43&lt;&gt;"",IF(LOWER('Capacity summary'!Y43)="x",$BI131*Y131,VALUE('Capacity summary'!Y43)),0),Y131*$BI131),Y131*$BI131),0)</f>
        <v>5.1923076923076925</v>
      </c>
      <c r="CC131" s="5">
        <f ca="1">IF($BI131&lt;&gt;"",IF('Capacity summary'!$C$14="Yes",IF(COUNTBLANK('Capacity summary'!$H43:$BG43)&lt;52,IF('Capacity summary'!Z43&lt;&gt;"",IF(LOWER('Capacity summary'!Z43)="x",$BI131*Z131,VALUE('Capacity summary'!Z43)),0),Z131*$BI131),Z131*$BI131),0)</f>
        <v>5.1923076923076925</v>
      </c>
      <c r="CD131" s="5">
        <f ca="1">IF($BI131&lt;&gt;"",IF('Capacity summary'!$C$14="Yes",IF(COUNTBLANK('Capacity summary'!$H43:$BG43)&lt;52,IF('Capacity summary'!AA43&lt;&gt;"",IF(LOWER('Capacity summary'!AA43)="x",$BI131*AA131,VALUE('Capacity summary'!AA43)),0),AA131*$BI131),AA131*$BI131),0)</f>
        <v>5.1923076923076925</v>
      </c>
      <c r="CE131" s="5">
        <f ca="1">IF($BI131&lt;&gt;"",IF('Capacity summary'!$C$14="Yes",IF(COUNTBLANK('Capacity summary'!$H43:$BG43)&lt;52,IF('Capacity summary'!AB43&lt;&gt;"",IF(LOWER('Capacity summary'!AB43)="x",$BI131*AB131,VALUE('Capacity summary'!AB43)),0),AB131*$BI131),AB131*$BI131),0)</f>
        <v>5.1923076923076925</v>
      </c>
      <c r="CF131" s="5">
        <f ca="1">IF($BI131&lt;&gt;"",IF('Capacity summary'!$C$14="Yes",IF(COUNTBLANK('Capacity summary'!$H43:$BG43)&lt;52,IF('Capacity summary'!AC43&lt;&gt;"",IF(LOWER('Capacity summary'!AC43)="x",$BI131*AC131,VALUE('Capacity summary'!AC43)),0),AC131*$BI131),AC131*$BI131),0)</f>
        <v>5.1923076923076925</v>
      </c>
      <c r="CG131" s="5">
        <f ca="1">IF($BI131&lt;&gt;"",IF('Capacity summary'!$C$14="Yes",IF(COUNTBLANK('Capacity summary'!$H43:$BG43)&lt;52,IF('Capacity summary'!AD43&lt;&gt;"",IF(LOWER('Capacity summary'!AD43)="x",$BI131*AD131,VALUE('Capacity summary'!AD43)),0),AD131*$BI131),AD131*$BI131),0)</f>
        <v>5.1923076923076925</v>
      </c>
      <c r="CH131" s="5">
        <f ca="1">IF($BI131&lt;&gt;"",IF('Capacity summary'!$C$14="Yes",IF(COUNTBLANK('Capacity summary'!$H43:$BG43)&lt;52,IF('Capacity summary'!AE43&lt;&gt;"",IF(LOWER('Capacity summary'!AE43)="x",$BI131*AE131,VALUE('Capacity summary'!AE43)),0),AE131*$BI131),AE131*$BI131),0)</f>
        <v>5.1923076923076925</v>
      </c>
      <c r="CI131" s="5">
        <f ca="1">IF($BI131&lt;&gt;"",IF('Capacity summary'!$C$14="Yes",IF(COUNTBLANK('Capacity summary'!$H43:$BG43)&lt;52,IF('Capacity summary'!AF43&lt;&gt;"",IF(LOWER('Capacity summary'!AF43)="x",$BI131*AF131,VALUE('Capacity summary'!AF43)),0),AF131*$BI131),AF131*$BI131),0)</f>
        <v>5.1923076923076925</v>
      </c>
      <c r="CJ131" s="5">
        <f ca="1">IF($BI131&lt;&gt;"",IF('Capacity summary'!$C$14="Yes",IF(COUNTBLANK('Capacity summary'!$H43:$BG43)&lt;52,IF('Capacity summary'!AG43&lt;&gt;"",IF(LOWER('Capacity summary'!AG43)="x",$BI131*AG131,VALUE('Capacity summary'!AG43)),0),AG131*$BI131),AG131*$BI131),0)</f>
        <v>5.1923076923076925</v>
      </c>
      <c r="CK131" s="5">
        <f ca="1">IF($BI131&lt;&gt;"",IF('Capacity summary'!$C$14="Yes",IF(COUNTBLANK('Capacity summary'!$H43:$BG43)&lt;52,IF('Capacity summary'!AH43&lt;&gt;"",IF(LOWER('Capacity summary'!AH43)="x",$BI131*AH131,VALUE('Capacity summary'!AH43)),0),AH131*$BI131),AH131*$BI131),0)</f>
        <v>5.1923076923076925</v>
      </c>
      <c r="CL131" s="5">
        <f ca="1">IF($BI131&lt;&gt;"",IF('Capacity summary'!$C$14="Yes",IF(COUNTBLANK('Capacity summary'!$H43:$BG43)&lt;52,IF('Capacity summary'!AI43&lt;&gt;"",IF(LOWER('Capacity summary'!AI43)="x",$BI131*AI131,VALUE('Capacity summary'!AI43)),0),AI131*$BI131),AI131*$BI131),0)</f>
        <v>5.1923076923076925</v>
      </c>
      <c r="CM131" s="5">
        <f ca="1">IF($BI131&lt;&gt;"",IF('Capacity summary'!$C$14="Yes",IF(COUNTBLANK('Capacity summary'!$H43:$BG43)&lt;52,IF('Capacity summary'!AJ43&lt;&gt;"",IF(LOWER('Capacity summary'!AJ43)="x",$BI131*AJ131,VALUE('Capacity summary'!AJ43)),0),AJ131*$BI131),AJ131*$BI131),0)</f>
        <v>5.1923076923076925</v>
      </c>
      <c r="CN131" s="5">
        <f ca="1">IF($BI131&lt;&gt;"",IF('Capacity summary'!$C$14="Yes",IF(COUNTBLANK('Capacity summary'!$H43:$BG43)&lt;52,IF('Capacity summary'!AK43&lt;&gt;"",IF(LOWER('Capacity summary'!AK43)="x",$BI131*AK131,VALUE('Capacity summary'!AK43)),0),AK131*$BI131),AK131*$BI131),0)</f>
        <v>5.1923076923076925</v>
      </c>
      <c r="CO131" s="5">
        <f ca="1">IF($BI131&lt;&gt;"",IF('Capacity summary'!$C$14="Yes",IF(COUNTBLANK('Capacity summary'!$H43:$BG43)&lt;52,IF('Capacity summary'!AL43&lt;&gt;"",IF(LOWER('Capacity summary'!AL43)="x",$BI131*AL131,VALUE('Capacity summary'!AL43)),0),AL131*$BI131),AL131*$BI131),0)</f>
        <v>5.1923076923076925</v>
      </c>
      <c r="CP131" s="5">
        <f ca="1">IF($BI131&lt;&gt;"",IF('Capacity summary'!$C$14="Yes",IF(COUNTBLANK('Capacity summary'!$H43:$BG43)&lt;52,IF('Capacity summary'!AM43&lt;&gt;"",IF(LOWER('Capacity summary'!AM43)="x",$BI131*AM131,VALUE('Capacity summary'!AM43)),0),AM131*$BI131),AM131*$BI131),0)</f>
        <v>5.1923076923076925</v>
      </c>
      <c r="CQ131" s="5">
        <f ca="1">IF($BI131&lt;&gt;"",IF('Capacity summary'!$C$14="Yes",IF(COUNTBLANK('Capacity summary'!$H43:$BG43)&lt;52,IF('Capacity summary'!AN43&lt;&gt;"",IF(LOWER('Capacity summary'!AN43)="x",$BI131*AN131,VALUE('Capacity summary'!AN43)),0),AN131*$BI131),AN131*$BI131),0)</f>
        <v>5.1923076923076925</v>
      </c>
      <c r="CR131" s="5">
        <f ca="1">IF($BI131&lt;&gt;"",IF('Capacity summary'!$C$14="Yes",IF(COUNTBLANK('Capacity summary'!$H43:$BG43)&lt;52,IF('Capacity summary'!AO43&lt;&gt;"",IF(LOWER('Capacity summary'!AO43)="x",$BI131*AO131,VALUE('Capacity summary'!AO43)),0),AO131*$BI131),AO131*$BI131),0)</f>
        <v>5.1923076923076925</v>
      </c>
      <c r="CS131" s="5">
        <f ca="1">IF($BI131&lt;&gt;"",IF('Capacity summary'!$C$14="Yes",IF(COUNTBLANK('Capacity summary'!$H43:$BG43)&lt;52,IF('Capacity summary'!AP43&lt;&gt;"",IF(LOWER('Capacity summary'!AP43)="x",$BI131*AP131,VALUE('Capacity summary'!AP43)),0),AP131*$BI131),AP131*$BI131),0)</f>
        <v>5.1923076923076925</v>
      </c>
      <c r="CT131" s="5">
        <f ca="1">IF($BI131&lt;&gt;"",IF('Capacity summary'!$C$14="Yes",IF(COUNTBLANK('Capacity summary'!$H43:$BG43)&lt;52,IF('Capacity summary'!AQ43&lt;&gt;"",IF(LOWER('Capacity summary'!AQ43)="x",$BI131*AQ131,VALUE('Capacity summary'!AQ43)),0),AQ131*$BI131),AQ131*$BI131),0)</f>
        <v>5.1923076923076925</v>
      </c>
      <c r="CU131" s="5">
        <f ca="1">IF($BI131&lt;&gt;"",IF('Capacity summary'!$C$14="Yes",IF(COUNTBLANK('Capacity summary'!$H43:$BG43)&lt;52,IF('Capacity summary'!AR43&lt;&gt;"",IF(LOWER('Capacity summary'!AR43)="x",$BI131*AR131,VALUE('Capacity summary'!AR43)),0),AR131*$BI131),AR131*$BI131),0)</f>
        <v>5.1923076923076925</v>
      </c>
      <c r="CV131" s="5">
        <f ca="1">IF($BI131&lt;&gt;"",IF('Capacity summary'!$C$14="Yes",IF(COUNTBLANK('Capacity summary'!$H43:$BG43)&lt;52,IF('Capacity summary'!AS43&lt;&gt;"",IF(LOWER('Capacity summary'!AS43)="x",$BI131*AS131,VALUE('Capacity summary'!AS43)),0),AS131*$BI131),AS131*$BI131),0)</f>
        <v>5.1923076923076925</v>
      </c>
      <c r="CW131" s="5">
        <f ca="1">IF($BI131&lt;&gt;"",IF('Capacity summary'!$C$14="Yes",IF(COUNTBLANK('Capacity summary'!$H43:$BG43)&lt;52,IF('Capacity summary'!AT43&lt;&gt;"",IF(LOWER('Capacity summary'!AT43)="x",$BI131*AT131,VALUE('Capacity summary'!AT43)),0),AT131*$BI131),AT131*$BI131),0)</f>
        <v>5.1923076923076925</v>
      </c>
      <c r="CX131" s="5">
        <f ca="1">IF($BI131&lt;&gt;"",IF('Capacity summary'!$C$14="Yes",IF(COUNTBLANK('Capacity summary'!$H43:$BG43)&lt;52,IF('Capacity summary'!AU43&lt;&gt;"",IF(LOWER('Capacity summary'!AU43)="x",$BI131*AU131,VALUE('Capacity summary'!AU43)),0),AU131*$BI131),AU131*$BI131),0)</f>
        <v>5.1923076923076925</v>
      </c>
      <c r="CY131" s="5">
        <f ca="1">IF($BI131&lt;&gt;"",IF('Capacity summary'!$C$14="Yes",IF(COUNTBLANK('Capacity summary'!$H43:$BG43)&lt;52,IF('Capacity summary'!AV43&lt;&gt;"",IF(LOWER('Capacity summary'!AV43)="x",$BI131*AV131,VALUE('Capacity summary'!AV43)),0),AV131*$BI131),AV131*$BI131),0)</f>
        <v>5.1923076923076925</v>
      </c>
      <c r="CZ131" s="5">
        <f ca="1">IF($BI131&lt;&gt;"",IF('Capacity summary'!$C$14="Yes",IF(COUNTBLANK('Capacity summary'!$H43:$BG43)&lt;52,IF('Capacity summary'!AW43&lt;&gt;"",IF(LOWER('Capacity summary'!AW43)="x",$BI131*AW131,VALUE('Capacity summary'!AW43)),0),AW131*$BI131),AW131*$BI131),0)</f>
        <v>5.1923076923076925</v>
      </c>
      <c r="DA131" s="5">
        <f ca="1">IF($BI131&lt;&gt;"",IF('Capacity summary'!$C$14="Yes",IF(COUNTBLANK('Capacity summary'!$H43:$BG43)&lt;52,IF('Capacity summary'!AX43&lt;&gt;"",IF(LOWER('Capacity summary'!AX43)="x",$BI131*AX131,VALUE('Capacity summary'!AX43)),0),AX131*$BI131),AX131*$BI131),0)</f>
        <v>5.1923076923076925</v>
      </c>
      <c r="DB131" s="5">
        <f ca="1">IF($BI131&lt;&gt;"",IF('Capacity summary'!$C$14="Yes",IF(COUNTBLANK('Capacity summary'!$H43:$BG43)&lt;52,IF('Capacity summary'!AY43&lt;&gt;"",IF(LOWER('Capacity summary'!AY43)="x",$BI131*AY131,VALUE('Capacity summary'!AY43)),0),AY131*$BI131),AY131*$BI131),0)</f>
        <v>5.1923076923076925</v>
      </c>
      <c r="DC131" s="5">
        <f ca="1">IF($BI131&lt;&gt;"",IF('Capacity summary'!$C$14="Yes",IF(COUNTBLANK('Capacity summary'!$H43:$BG43)&lt;52,IF('Capacity summary'!AZ43&lt;&gt;"",IF(LOWER('Capacity summary'!AZ43)="x",$BI131*AZ131,VALUE('Capacity summary'!AZ43)),0),AZ131*$BI131),AZ131*$BI131),0)</f>
        <v>5.1923076923076925</v>
      </c>
      <c r="DD131" s="5">
        <f ca="1">IF($BI131&lt;&gt;"",IF('Capacity summary'!$C$14="Yes",IF(COUNTBLANK('Capacity summary'!$H43:$BG43)&lt;52,IF('Capacity summary'!BA43&lt;&gt;"",IF(LOWER('Capacity summary'!BA43)="x",$BI131*BA131,VALUE('Capacity summary'!BA43)),0),BA131*$BI131),BA131*$BI131),0)</f>
        <v>5.1923076923076925</v>
      </c>
      <c r="DE131" s="5">
        <f ca="1">IF($BI131&lt;&gt;"",IF('Capacity summary'!$C$14="Yes",IF(COUNTBLANK('Capacity summary'!$H43:$BG43)&lt;52,IF('Capacity summary'!BB43&lt;&gt;"",IF(LOWER('Capacity summary'!BB43)="x",$BI131*BB131,VALUE('Capacity summary'!BB43)),0),BB131*$BI131),BB131*$BI131),0)</f>
        <v>5.1923076923076925</v>
      </c>
      <c r="DF131" s="5">
        <f ca="1">IF($BI131&lt;&gt;"",IF('Capacity summary'!$C$14="Yes",IF(COUNTBLANK('Capacity summary'!$H43:$BG43)&lt;52,IF('Capacity summary'!BC43&lt;&gt;"",IF(LOWER('Capacity summary'!BC43)="x",$BI131*BC131,VALUE('Capacity summary'!BC43)),0),BC131*$BI131),BC131*$BI131),0)</f>
        <v>5.1923076923076925</v>
      </c>
      <c r="DG131" s="5">
        <f ca="1">IF($BI131&lt;&gt;"",IF('Capacity summary'!$C$14="Yes",IF(COUNTBLANK('Capacity summary'!$H43:$BG43)&lt;52,IF('Capacity summary'!BD43&lt;&gt;"",IF(LOWER('Capacity summary'!BD43)="x",$BI131*BD131,VALUE('Capacity summary'!BD43)),0),BD131*$BI131),BD131*$BI131),0)</f>
        <v>5.1923076923076925</v>
      </c>
      <c r="DH131" s="5">
        <f ca="1">IF($BI131&lt;&gt;"",IF('Capacity summary'!$C$14="Yes",IF(COUNTBLANK('Capacity summary'!$H43:$BG43)&lt;52,IF('Capacity summary'!BE43&lt;&gt;"",IF(LOWER('Capacity summary'!BE43)="x",$BI131*BE131,VALUE('Capacity summary'!BE43)),0),BE131*$BI131),BE131*$BI131),0)</f>
        <v>5.1923076923076925</v>
      </c>
      <c r="DI131" s="5">
        <f ca="1">IF($BI131&lt;&gt;"",IF('Capacity summary'!$C$14="Yes",IF(COUNTBLANK('Capacity summary'!$H43:$BG43)&lt;52,IF('Capacity summary'!BF43&lt;&gt;"",IF(LOWER('Capacity summary'!BF43)="x",$BI131*BF131,VALUE('Capacity summary'!BF43)),0),BF131*$BI131),BF131*$BI131),0)</f>
        <v>5.1923076923076925</v>
      </c>
      <c r="DJ131" s="5">
        <f ca="1">IF($BI131&lt;&gt;"",IF('Capacity summary'!$C$14="Yes",IF(COUNTBLANK('Capacity summary'!$H43:$BG43)&lt;52,IF('Capacity summary'!BG43&lt;&gt;"",IF(LOWER('Capacity summary'!BG43)="x",$BI131*BG131,VALUE('Capacity summary'!BG43)),0),BG131*$BI131),BG131*$BI131),0)</f>
        <v>5.1923076923076925</v>
      </c>
      <c r="DK131" s="388">
        <f t="shared" ca="1" si="8"/>
        <v>5.1923076923076925</v>
      </c>
      <c r="DL131" s="5">
        <f t="shared" ca="1" si="9"/>
        <v>269.99999999999966</v>
      </c>
    </row>
    <row r="132" spans="3:116" x14ac:dyDescent="0.2">
      <c r="C132" s="67" t="str">
        <f>ROW(A21)&amp;". "&amp;Capacity!N37</f>
        <v>21. 44376</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 ca="1">IF(ROW(A21)&lt;=Capacity!$M$16,IF('Capacity summary'!$C$14="No",SUM(H132:BG132),'Capacity summary'!$E44),0)</f>
        <v>52</v>
      </c>
      <c r="BI132" s="67">
        <f ca="1">IF(BH132&gt;0,IF(BH132&lt;Capacity!Q37,Capacity!R37,Capacity!T37/'Capacity calculation (hide)'!BH132),"")</f>
        <v>4.615384615384615</v>
      </c>
      <c r="BJ132" s="5"/>
      <c r="BK132" s="5">
        <f ca="1">IF($BI132&lt;&gt;"",IF('Capacity summary'!$C$14="Yes",IF(COUNTBLANK('Capacity summary'!$H44:$BG44)&lt;52,IF('Capacity summary'!H44&lt;&gt;"",IF(LOWER('Capacity summary'!H44)="x",$BI132*H132,VALUE('Capacity summary'!H44)),0),H132*$BI132),H132*$BI132),0)</f>
        <v>4.615384615384615</v>
      </c>
      <c r="BL132" s="5">
        <f ca="1">IF($BI132&lt;&gt;"",IF('Capacity summary'!$C$14="Yes",IF(COUNTBLANK('Capacity summary'!$H44:$BG44)&lt;52,IF('Capacity summary'!I44&lt;&gt;"",IF(LOWER('Capacity summary'!I44)="x",$BI132*I132,VALUE('Capacity summary'!I44)),0),I132*$BI132),I132*$BI132),0)</f>
        <v>4.615384615384615</v>
      </c>
      <c r="BM132" s="5">
        <f ca="1">IF($BI132&lt;&gt;"",IF('Capacity summary'!$C$14="Yes",IF(COUNTBLANK('Capacity summary'!$H44:$BG44)&lt;52,IF('Capacity summary'!J44&lt;&gt;"",IF(LOWER('Capacity summary'!J44)="x",$BI132*J132,VALUE('Capacity summary'!J44)),0),J132*$BI132),J132*$BI132),0)</f>
        <v>4.615384615384615</v>
      </c>
      <c r="BN132" s="5">
        <f ca="1">IF($BI132&lt;&gt;"",IF('Capacity summary'!$C$14="Yes",IF(COUNTBLANK('Capacity summary'!$H44:$BG44)&lt;52,IF('Capacity summary'!K44&lt;&gt;"",IF(LOWER('Capacity summary'!K44)="x",$BI132*K132,VALUE('Capacity summary'!K44)),0),K132*$BI132),K132*$BI132),0)</f>
        <v>4.615384615384615</v>
      </c>
      <c r="BO132" s="5">
        <f ca="1">IF($BI132&lt;&gt;"",IF('Capacity summary'!$C$14="Yes",IF(COUNTBLANK('Capacity summary'!$H44:$BG44)&lt;52,IF('Capacity summary'!L44&lt;&gt;"",IF(LOWER('Capacity summary'!L44)="x",$BI132*L132,VALUE('Capacity summary'!L44)),0),L132*$BI132),L132*$BI132),0)</f>
        <v>4.615384615384615</v>
      </c>
      <c r="BP132" s="5">
        <f ca="1">IF($BI132&lt;&gt;"",IF('Capacity summary'!$C$14="Yes",IF(COUNTBLANK('Capacity summary'!$H44:$BG44)&lt;52,IF('Capacity summary'!M44&lt;&gt;"",IF(LOWER('Capacity summary'!M44)="x",$BI132*M132,VALUE('Capacity summary'!M44)),0),M132*$BI132),M132*$BI132),0)</f>
        <v>4.615384615384615</v>
      </c>
      <c r="BQ132" s="5">
        <f ca="1">IF($BI132&lt;&gt;"",IF('Capacity summary'!$C$14="Yes",IF(COUNTBLANK('Capacity summary'!$H44:$BG44)&lt;52,IF('Capacity summary'!N44&lt;&gt;"",IF(LOWER('Capacity summary'!N44)="x",$BI132*N132,VALUE('Capacity summary'!N44)),0),N132*$BI132),N132*$BI132),0)</f>
        <v>4.615384615384615</v>
      </c>
      <c r="BR132" s="5">
        <f ca="1">IF($BI132&lt;&gt;"",IF('Capacity summary'!$C$14="Yes",IF(COUNTBLANK('Capacity summary'!$H44:$BG44)&lt;52,IF('Capacity summary'!O44&lt;&gt;"",IF(LOWER('Capacity summary'!O44)="x",$BI132*O132,VALUE('Capacity summary'!O44)),0),O132*$BI132),O132*$BI132),0)</f>
        <v>4.615384615384615</v>
      </c>
      <c r="BS132" s="5">
        <f ca="1">IF($BI132&lt;&gt;"",IF('Capacity summary'!$C$14="Yes",IF(COUNTBLANK('Capacity summary'!$H44:$BG44)&lt;52,IF('Capacity summary'!P44&lt;&gt;"",IF(LOWER('Capacity summary'!P44)="x",$BI132*P132,VALUE('Capacity summary'!P44)),0),P132*$BI132),P132*$BI132),0)</f>
        <v>4.615384615384615</v>
      </c>
      <c r="BT132" s="5">
        <f ca="1">IF($BI132&lt;&gt;"",IF('Capacity summary'!$C$14="Yes",IF(COUNTBLANK('Capacity summary'!$H44:$BG44)&lt;52,IF('Capacity summary'!Q44&lt;&gt;"",IF(LOWER('Capacity summary'!Q44)="x",$BI132*Q132,VALUE('Capacity summary'!Q44)),0),Q132*$BI132),Q132*$BI132),0)</f>
        <v>4.615384615384615</v>
      </c>
      <c r="BU132" s="5">
        <f ca="1">IF($BI132&lt;&gt;"",IF('Capacity summary'!$C$14="Yes",IF(COUNTBLANK('Capacity summary'!$H44:$BG44)&lt;52,IF('Capacity summary'!R44&lt;&gt;"",IF(LOWER('Capacity summary'!R44)="x",$BI132*R132,VALUE('Capacity summary'!R44)),0),R132*$BI132),R132*$BI132),0)</f>
        <v>4.615384615384615</v>
      </c>
      <c r="BV132" s="5">
        <f ca="1">IF($BI132&lt;&gt;"",IF('Capacity summary'!$C$14="Yes",IF(COUNTBLANK('Capacity summary'!$H44:$BG44)&lt;52,IF('Capacity summary'!S44&lt;&gt;"",IF(LOWER('Capacity summary'!S44)="x",$BI132*S132,VALUE('Capacity summary'!S44)),0),S132*$BI132),S132*$BI132),0)</f>
        <v>4.615384615384615</v>
      </c>
      <c r="BW132" s="5">
        <f ca="1">IF($BI132&lt;&gt;"",IF('Capacity summary'!$C$14="Yes",IF(COUNTBLANK('Capacity summary'!$H44:$BG44)&lt;52,IF('Capacity summary'!T44&lt;&gt;"",IF(LOWER('Capacity summary'!T44)="x",$BI132*T132,VALUE('Capacity summary'!T44)),0),T132*$BI132),T132*$BI132),0)</f>
        <v>4.615384615384615</v>
      </c>
      <c r="BX132" s="5">
        <f ca="1">IF($BI132&lt;&gt;"",IF('Capacity summary'!$C$14="Yes",IF(COUNTBLANK('Capacity summary'!$H44:$BG44)&lt;52,IF('Capacity summary'!U44&lt;&gt;"",IF(LOWER('Capacity summary'!U44)="x",$BI132*U132,VALUE('Capacity summary'!U44)),0),U132*$BI132),U132*$BI132),0)</f>
        <v>4.615384615384615</v>
      </c>
      <c r="BY132" s="5">
        <f ca="1">IF($BI132&lt;&gt;"",IF('Capacity summary'!$C$14="Yes",IF(COUNTBLANK('Capacity summary'!$H44:$BG44)&lt;52,IF('Capacity summary'!V44&lt;&gt;"",IF(LOWER('Capacity summary'!V44)="x",$BI132*V132,VALUE('Capacity summary'!V44)),0),V132*$BI132),V132*$BI132),0)</f>
        <v>4.615384615384615</v>
      </c>
      <c r="BZ132" s="5">
        <f ca="1">IF($BI132&lt;&gt;"",IF('Capacity summary'!$C$14="Yes",IF(COUNTBLANK('Capacity summary'!$H44:$BG44)&lt;52,IF('Capacity summary'!W44&lt;&gt;"",IF(LOWER('Capacity summary'!W44)="x",$BI132*W132,VALUE('Capacity summary'!W44)),0),W132*$BI132),W132*$BI132),0)</f>
        <v>4.615384615384615</v>
      </c>
      <c r="CA132" s="5">
        <f ca="1">IF($BI132&lt;&gt;"",IF('Capacity summary'!$C$14="Yes",IF(COUNTBLANK('Capacity summary'!$H44:$BG44)&lt;52,IF('Capacity summary'!X44&lt;&gt;"",IF(LOWER('Capacity summary'!X44)="x",$BI132*X132,VALUE('Capacity summary'!X44)),0),X132*$BI132),X132*$BI132),0)</f>
        <v>4.615384615384615</v>
      </c>
      <c r="CB132" s="5">
        <f ca="1">IF($BI132&lt;&gt;"",IF('Capacity summary'!$C$14="Yes",IF(COUNTBLANK('Capacity summary'!$H44:$BG44)&lt;52,IF('Capacity summary'!Y44&lt;&gt;"",IF(LOWER('Capacity summary'!Y44)="x",$BI132*Y132,VALUE('Capacity summary'!Y44)),0),Y132*$BI132),Y132*$BI132),0)</f>
        <v>4.615384615384615</v>
      </c>
      <c r="CC132" s="5">
        <f ca="1">IF($BI132&lt;&gt;"",IF('Capacity summary'!$C$14="Yes",IF(COUNTBLANK('Capacity summary'!$H44:$BG44)&lt;52,IF('Capacity summary'!Z44&lt;&gt;"",IF(LOWER('Capacity summary'!Z44)="x",$BI132*Z132,VALUE('Capacity summary'!Z44)),0),Z132*$BI132),Z132*$BI132),0)</f>
        <v>4.615384615384615</v>
      </c>
      <c r="CD132" s="5">
        <f ca="1">IF($BI132&lt;&gt;"",IF('Capacity summary'!$C$14="Yes",IF(COUNTBLANK('Capacity summary'!$H44:$BG44)&lt;52,IF('Capacity summary'!AA44&lt;&gt;"",IF(LOWER('Capacity summary'!AA44)="x",$BI132*AA132,VALUE('Capacity summary'!AA44)),0),AA132*$BI132),AA132*$BI132),0)</f>
        <v>4.615384615384615</v>
      </c>
      <c r="CE132" s="5">
        <f ca="1">IF($BI132&lt;&gt;"",IF('Capacity summary'!$C$14="Yes",IF(COUNTBLANK('Capacity summary'!$H44:$BG44)&lt;52,IF('Capacity summary'!AB44&lt;&gt;"",IF(LOWER('Capacity summary'!AB44)="x",$BI132*AB132,VALUE('Capacity summary'!AB44)),0),AB132*$BI132),AB132*$BI132),0)</f>
        <v>4.615384615384615</v>
      </c>
      <c r="CF132" s="5">
        <f ca="1">IF($BI132&lt;&gt;"",IF('Capacity summary'!$C$14="Yes",IF(COUNTBLANK('Capacity summary'!$H44:$BG44)&lt;52,IF('Capacity summary'!AC44&lt;&gt;"",IF(LOWER('Capacity summary'!AC44)="x",$BI132*AC132,VALUE('Capacity summary'!AC44)),0),AC132*$BI132),AC132*$BI132),0)</f>
        <v>4.615384615384615</v>
      </c>
      <c r="CG132" s="5">
        <f ca="1">IF($BI132&lt;&gt;"",IF('Capacity summary'!$C$14="Yes",IF(COUNTBLANK('Capacity summary'!$H44:$BG44)&lt;52,IF('Capacity summary'!AD44&lt;&gt;"",IF(LOWER('Capacity summary'!AD44)="x",$BI132*AD132,VALUE('Capacity summary'!AD44)),0),AD132*$BI132),AD132*$BI132),0)</f>
        <v>4.615384615384615</v>
      </c>
      <c r="CH132" s="5">
        <f ca="1">IF($BI132&lt;&gt;"",IF('Capacity summary'!$C$14="Yes",IF(COUNTBLANK('Capacity summary'!$H44:$BG44)&lt;52,IF('Capacity summary'!AE44&lt;&gt;"",IF(LOWER('Capacity summary'!AE44)="x",$BI132*AE132,VALUE('Capacity summary'!AE44)),0),AE132*$BI132),AE132*$BI132),0)</f>
        <v>4.615384615384615</v>
      </c>
      <c r="CI132" s="5">
        <f ca="1">IF($BI132&lt;&gt;"",IF('Capacity summary'!$C$14="Yes",IF(COUNTBLANK('Capacity summary'!$H44:$BG44)&lt;52,IF('Capacity summary'!AF44&lt;&gt;"",IF(LOWER('Capacity summary'!AF44)="x",$BI132*AF132,VALUE('Capacity summary'!AF44)),0),AF132*$BI132),AF132*$BI132),0)</f>
        <v>4.615384615384615</v>
      </c>
      <c r="CJ132" s="5">
        <f ca="1">IF($BI132&lt;&gt;"",IF('Capacity summary'!$C$14="Yes",IF(COUNTBLANK('Capacity summary'!$H44:$BG44)&lt;52,IF('Capacity summary'!AG44&lt;&gt;"",IF(LOWER('Capacity summary'!AG44)="x",$BI132*AG132,VALUE('Capacity summary'!AG44)),0),AG132*$BI132),AG132*$BI132),0)</f>
        <v>4.615384615384615</v>
      </c>
      <c r="CK132" s="5">
        <f ca="1">IF($BI132&lt;&gt;"",IF('Capacity summary'!$C$14="Yes",IF(COUNTBLANK('Capacity summary'!$H44:$BG44)&lt;52,IF('Capacity summary'!AH44&lt;&gt;"",IF(LOWER('Capacity summary'!AH44)="x",$BI132*AH132,VALUE('Capacity summary'!AH44)),0),AH132*$BI132),AH132*$BI132),0)</f>
        <v>4.615384615384615</v>
      </c>
      <c r="CL132" s="5">
        <f ca="1">IF($BI132&lt;&gt;"",IF('Capacity summary'!$C$14="Yes",IF(COUNTBLANK('Capacity summary'!$H44:$BG44)&lt;52,IF('Capacity summary'!AI44&lt;&gt;"",IF(LOWER('Capacity summary'!AI44)="x",$BI132*AI132,VALUE('Capacity summary'!AI44)),0),AI132*$BI132),AI132*$BI132),0)</f>
        <v>4.615384615384615</v>
      </c>
      <c r="CM132" s="5">
        <f ca="1">IF($BI132&lt;&gt;"",IF('Capacity summary'!$C$14="Yes",IF(COUNTBLANK('Capacity summary'!$H44:$BG44)&lt;52,IF('Capacity summary'!AJ44&lt;&gt;"",IF(LOWER('Capacity summary'!AJ44)="x",$BI132*AJ132,VALUE('Capacity summary'!AJ44)),0),AJ132*$BI132),AJ132*$BI132),0)</f>
        <v>4.615384615384615</v>
      </c>
      <c r="CN132" s="5">
        <f ca="1">IF($BI132&lt;&gt;"",IF('Capacity summary'!$C$14="Yes",IF(COUNTBLANK('Capacity summary'!$H44:$BG44)&lt;52,IF('Capacity summary'!AK44&lt;&gt;"",IF(LOWER('Capacity summary'!AK44)="x",$BI132*AK132,VALUE('Capacity summary'!AK44)),0),AK132*$BI132),AK132*$BI132),0)</f>
        <v>4.615384615384615</v>
      </c>
      <c r="CO132" s="5">
        <f ca="1">IF($BI132&lt;&gt;"",IF('Capacity summary'!$C$14="Yes",IF(COUNTBLANK('Capacity summary'!$H44:$BG44)&lt;52,IF('Capacity summary'!AL44&lt;&gt;"",IF(LOWER('Capacity summary'!AL44)="x",$BI132*AL132,VALUE('Capacity summary'!AL44)),0),AL132*$BI132),AL132*$BI132),0)</f>
        <v>4.615384615384615</v>
      </c>
      <c r="CP132" s="5">
        <f ca="1">IF($BI132&lt;&gt;"",IF('Capacity summary'!$C$14="Yes",IF(COUNTBLANK('Capacity summary'!$H44:$BG44)&lt;52,IF('Capacity summary'!AM44&lt;&gt;"",IF(LOWER('Capacity summary'!AM44)="x",$BI132*AM132,VALUE('Capacity summary'!AM44)),0),AM132*$BI132),AM132*$BI132),0)</f>
        <v>4.615384615384615</v>
      </c>
      <c r="CQ132" s="5">
        <f ca="1">IF($BI132&lt;&gt;"",IF('Capacity summary'!$C$14="Yes",IF(COUNTBLANK('Capacity summary'!$H44:$BG44)&lt;52,IF('Capacity summary'!AN44&lt;&gt;"",IF(LOWER('Capacity summary'!AN44)="x",$BI132*AN132,VALUE('Capacity summary'!AN44)),0),AN132*$BI132),AN132*$BI132),0)</f>
        <v>4.615384615384615</v>
      </c>
      <c r="CR132" s="5">
        <f ca="1">IF($BI132&lt;&gt;"",IF('Capacity summary'!$C$14="Yes",IF(COUNTBLANK('Capacity summary'!$H44:$BG44)&lt;52,IF('Capacity summary'!AO44&lt;&gt;"",IF(LOWER('Capacity summary'!AO44)="x",$BI132*AO132,VALUE('Capacity summary'!AO44)),0),AO132*$BI132),AO132*$BI132),0)</f>
        <v>4.615384615384615</v>
      </c>
      <c r="CS132" s="5">
        <f ca="1">IF($BI132&lt;&gt;"",IF('Capacity summary'!$C$14="Yes",IF(COUNTBLANK('Capacity summary'!$H44:$BG44)&lt;52,IF('Capacity summary'!AP44&lt;&gt;"",IF(LOWER('Capacity summary'!AP44)="x",$BI132*AP132,VALUE('Capacity summary'!AP44)),0),AP132*$BI132),AP132*$BI132),0)</f>
        <v>4.615384615384615</v>
      </c>
      <c r="CT132" s="5">
        <f ca="1">IF($BI132&lt;&gt;"",IF('Capacity summary'!$C$14="Yes",IF(COUNTBLANK('Capacity summary'!$H44:$BG44)&lt;52,IF('Capacity summary'!AQ44&lt;&gt;"",IF(LOWER('Capacity summary'!AQ44)="x",$BI132*AQ132,VALUE('Capacity summary'!AQ44)),0),AQ132*$BI132),AQ132*$BI132),0)</f>
        <v>4.615384615384615</v>
      </c>
      <c r="CU132" s="5">
        <f ca="1">IF($BI132&lt;&gt;"",IF('Capacity summary'!$C$14="Yes",IF(COUNTBLANK('Capacity summary'!$H44:$BG44)&lt;52,IF('Capacity summary'!AR44&lt;&gt;"",IF(LOWER('Capacity summary'!AR44)="x",$BI132*AR132,VALUE('Capacity summary'!AR44)),0),AR132*$BI132),AR132*$BI132),0)</f>
        <v>4.615384615384615</v>
      </c>
      <c r="CV132" s="5">
        <f ca="1">IF($BI132&lt;&gt;"",IF('Capacity summary'!$C$14="Yes",IF(COUNTBLANK('Capacity summary'!$H44:$BG44)&lt;52,IF('Capacity summary'!AS44&lt;&gt;"",IF(LOWER('Capacity summary'!AS44)="x",$BI132*AS132,VALUE('Capacity summary'!AS44)),0),AS132*$BI132),AS132*$BI132),0)</f>
        <v>4.615384615384615</v>
      </c>
      <c r="CW132" s="5">
        <f ca="1">IF($BI132&lt;&gt;"",IF('Capacity summary'!$C$14="Yes",IF(COUNTBLANK('Capacity summary'!$H44:$BG44)&lt;52,IF('Capacity summary'!AT44&lt;&gt;"",IF(LOWER('Capacity summary'!AT44)="x",$BI132*AT132,VALUE('Capacity summary'!AT44)),0),AT132*$BI132),AT132*$BI132),0)</f>
        <v>4.615384615384615</v>
      </c>
      <c r="CX132" s="5">
        <f ca="1">IF($BI132&lt;&gt;"",IF('Capacity summary'!$C$14="Yes",IF(COUNTBLANK('Capacity summary'!$H44:$BG44)&lt;52,IF('Capacity summary'!AU44&lt;&gt;"",IF(LOWER('Capacity summary'!AU44)="x",$BI132*AU132,VALUE('Capacity summary'!AU44)),0),AU132*$BI132),AU132*$BI132),0)</f>
        <v>4.615384615384615</v>
      </c>
      <c r="CY132" s="5">
        <f ca="1">IF($BI132&lt;&gt;"",IF('Capacity summary'!$C$14="Yes",IF(COUNTBLANK('Capacity summary'!$H44:$BG44)&lt;52,IF('Capacity summary'!AV44&lt;&gt;"",IF(LOWER('Capacity summary'!AV44)="x",$BI132*AV132,VALUE('Capacity summary'!AV44)),0),AV132*$BI132),AV132*$BI132),0)</f>
        <v>4.615384615384615</v>
      </c>
      <c r="CZ132" s="5">
        <f ca="1">IF($BI132&lt;&gt;"",IF('Capacity summary'!$C$14="Yes",IF(COUNTBLANK('Capacity summary'!$H44:$BG44)&lt;52,IF('Capacity summary'!AW44&lt;&gt;"",IF(LOWER('Capacity summary'!AW44)="x",$BI132*AW132,VALUE('Capacity summary'!AW44)),0),AW132*$BI132),AW132*$BI132),0)</f>
        <v>4.615384615384615</v>
      </c>
      <c r="DA132" s="5">
        <f ca="1">IF($BI132&lt;&gt;"",IF('Capacity summary'!$C$14="Yes",IF(COUNTBLANK('Capacity summary'!$H44:$BG44)&lt;52,IF('Capacity summary'!AX44&lt;&gt;"",IF(LOWER('Capacity summary'!AX44)="x",$BI132*AX132,VALUE('Capacity summary'!AX44)),0),AX132*$BI132),AX132*$BI132),0)</f>
        <v>4.615384615384615</v>
      </c>
      <c r="DB132" s="5">
        <f ca="1">IF($BI132&lt;&gt;"",IF('Capacity summary'!$C$14="Yes",IF(COUNTBLANK('Capacity summary'!$H44:$BG44)&lt;52,IF('Capacity summary'!AY44&lt;&gt;"",IF(LOWER('Capacity summary'!AY44)="x",$BI132*AY132,VALUE('Capacity summary'!AY44)),0),AY132*$BI132),AY132*$BI132),0)</f>
        <v>4.615384615384615</v>
      </c>
      <c r="DC132" s="5">
        <f ca="1">IF($BI132&lt;&gt;"",IF('Capacity summary'!$C$14="Yes",IF(COUNTBLANK('Capacity summary'!$H44:$BG44)&lt;52,IF('Capacity summary'!AZ44&lt;&gt;"",IF(LOWER('Capacity summary'!AZ44)="x",$BI132*AZ132,VALUE('Capacity summary'!AZ44)),0),AZ132*$BI132),AZ132*$BI132),0)</f>
        <v>4.615384615384615</v>
      </c>
      <c r="DD132" s="5">
        <f ca="1">IF($BI132&lt;&gt;"",IF('Capacity summary'!$C$14="Yes",IF(COUNTBLANK('Capacity summary'!$H44:$BG44)&lt;52,IF('Capacity summary'!BA44&lt;&gt;"",IF(LOWER('Capacity summary'!BA44)="x",$BI132*BA132,VALUE('Capacity summary'!BA44)),0),BA132*$BI132),BA132*$BI132),0)</f>
        <v>4.615384615384615</v>
      </c>
      <c r="DE132" s="5">
        <f ca="1">IF($BI132&lt;&gt;"",IF('Capacity summary'!$C$14="Yes",IF(COUNTBLANK('Capacity summary'!$H44:$BG44)&lt;52,IF('Capacity summary'!BB44&lt;&gt;"",IF(LOWER('Capacity summary'!BB44)="x",$BI132*BB132,VALUE('Capacity summary'!BB44)),0),BB132*$BI132),BB132*$BI132),0)</f>
        <v>4.615384615384615</v>
      </c>
      <c r="DF132" s="5">
        <f ca="1">IF($BI132&lt;&gt;"",IF('Capacity summary'!$C$14="Yes",IF(COUNTBLANK('Capacity summary'!$H44:$BG44)&lt;52,IF('Capacity summary'!BC44&lt;&gt;"",IF(LOWER('Capacity summary'!BC44)="x",$BI132*BC132,VALUE('Capacity summary'!BC44)),0),BC132*$BI132),BC132*$BI132),0)</f>
        <v>4.615384615384615</v>
      </c>
      <c r="DG132" s="5">
        <f ca="1">IF($BI132&lt;&gt;"",IF('Capacity summary'!$C$14="Yes",IF(COUNTBLANK('Capacity summary'!$H44:$BG44)&lt;52,IF('Capacity summary'!BD44&lt;&gt;"",IF(LOWER('Capacity summary'!BD44)="x",$BI132*BD132,VALUE('Capacity summary'!BD44)),0),BD132*$BI132),BD132*$BI132),0)</f>
        <v>4.615384615384615</v>
      </c>
      <c r="DH132" s="5">
        <f ca="1">IF($BI132&lt;&gt;"",IF('Capacity summary'!$C$14="Yes",IF(COUNTBLANK('Capacity summary'!$H44:$BG44)&lt;52,IF('Capacity summary'!BE44&lt;&gt;"",IF(LOWER('Capacity summary'!BE44)="x",$BI132*BE132,VALUE('Capacity summary'!BE44)),0),BE132*$BI132),BE132*$BI132),0)</f>
        <v>4.615384615384615</v>
      </c>
      <c r="DI132" s="5">
        <f ca="1">IF($BI132&lt;&gt;"",IF('Capacity summary'!$C$14="Yes",IF(COUNTBLANK('Capacity summary'!$H44:$BG44)&lt;52,IF('Capacity summary'!BF44&lt;&gt;"",IF(LOWER('Capacity summary'!BF44)="x",$BI132*BF132,VALUE('Capacity summary'!BF44)),0),BF132*$BI132),BF132*$BI132),0)</f>
        <v>4.615384615384615</v>
      </c>
      <c r="DJ132" s="5">
        <f ca="1">IF($BI132&lt;&gt;"",IF('Capacity summary'!$C$14="Yes",IF(COUNTBLANK('Capacity summary'!$H44:$BG44)&lt;52,IF('Capacity summary'!BG44&lt;&gt;"",IF(LOWER('Capacity summary'!BG44)="x",$BI132*BG132,VALUE('Capacity summary'!BG44)),0),BG132*$BI132),BG132*$BI132),0)</f>
        <v>4.615384615384615</v>
      </c>
      <c r="DK132" s="388">
        <f t="shared" ca="1" si="8"/>
        <v>4.615384615384615</v>
      </c>
      <c r="DL132" s="5">
        <f t="shared" ca="1" si="9"/>
        <v>239.99999999999991</v>
      </c>
    </row>
    <row r="133" spans="3:116" x14ac:dyDescent="0.2">
      <c r="C133" s="67" t="str">
        <f>ROW(A22)&amp;". "&amp;Capacity!N38</f>
        <v>22. 44381</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 ca="1">IF(ROW(A22)&lt;=Capacity!$M$16,IF('Capacity summary'!$C$14="No",SUM(H133:BG133),'Capacity summary'!$E45),0)</f>
        <v>52</v>
      </c>
      <c r="BI133" s="67">
        <f ca="1">IF(BH133&gt;0,IF(BH133&lt;Capacity!Q38,Capacity!R38,Capacity!T38/'Capacity calculation (hide)'!BH133),"")</f>
        <v>6.9230769230769234</v>
      </c>
      <c r="BJ133" s="5"/>
      <c r="BK133" s="5">
        <f ca="1">IF($BI133&lt;&gt;"",IF('Capacity summary'!$C$14="Yes",IF(COUNTBLANK('Capacity summary'!$H45:$BG45)&lt;52,IF('Capacity summary'!H45&lt;&gt;"",IF(LOWER('Capacity summary'!H45)="x",$BI133*H133,VALUE('Capacity summary'!H45)),0),H133*$BI133),H133*$BI133),0)</f>
        <v>6.9230769230769234</v>
      </c>
      <c r="BL133" s="5">
        <f ca="1">IF($BI133&lt;&gt;"",IF('Capacity summary'!$C$14="Yes",IF(COUNTBLANK('Capacity summary'!$H45:$BG45)&lt;52,IF('Capacity summary'!I45&lt;&gt;"",IF(LOWER('Capacity summary'!I45)="x",$BI133*I133,VALUE('Capacity summary'!I45)),0),I133*$BI133),I133*$BI133),0)</f>
        <v>6.9230769230769234</v>
      </c>
      <c r="BM133" s="5">
        <f ca="1">IF($BI133&lt;&gt;"",IF('Capacity summary'!$C$14="Yes",IF(COUNTBLANK('Capacity summary'!$H45:$BG45)&lt;52,IF('Capacity summary'!J45&lt;&gt;"",IF(LOWER('Capacity summary'!J45)="x",$BI133*J133,VALUE('Capacity summary'!J45)),0),J133*$BI133),J133*$BI133),0)</f>
        <v>6.9230769230769234</v>
      </c>
      <c r="BN133" s="5">
        <f ca="1">IF($BI133&lt;&gt;"",IF('Capacity summary'!$C$14="Yes",IF(COUNTBLANK('Capacity summary'!$H45:$BG45)&lt;52,IF('Capacity summary'!K45&lt;&gt;"",IF(LOWER('Capacity summary'!K45)="x",$BI133*K133,VALUE('Capacity summary'!K45)),0),K133*$BI133),K133*$BI133),0)</f>
        <v>6.9230769230769234</v>
      </c>
      <c r="BO133" s="5">
        <f ca="1">IF($BI133&lt;&gt;"",IF('Capacity summary'!$C$14="Yes",IF(COUNTBLANK('Capacity summary'!$H45:$BG45)&lt;52,IF('Capacity summary'!L45&lt;&gt;"",IF(LOWER('Capacity summary'!L45)="x",$BI133*L133,VALUE('Capacity summary'!L45)),0),L133*$BI133),L133*$BI133),0)</f>
        <v>6.9230769230769234</v>
      </c>
      <c r="BP133" s="5">
        <f ca="1">IF($BI133&lt;&gt;"",IF('Capacity summary'!$C$14="Yes",IF(COUNTBLANK('Capacity summary'!$H45:$BG45)&lt;52,IF('Capacity summary'!M45&lt;&gt;"",IF(LOWER('Capacity summary'!M45)="x",$BI133*M133,VALUE('Capacity summary'!M45)),0),M133*$BI133),M133*$BI133),0)</f>
        <v>6.9230769230769234</v>
      </c>
      <c r="BQ133" s="5">
        <f ca="1">IF($BI133&lt;&gt;"",IF('Capacity summary'!$C$14="Yes",IF(COUNTBLANK('Capacity summary'!$H45:$BG45)&lt;52,IF('Capacity summary'!N45&lt;&gt;"",IF(LOWER('Capacity summary'!N45)="x",$BI133*N133,VALUE('Capacity summary'!N45)),0),N133*$BI133),N133*$BI133),0)</f>
        <v>6.9230769230769234</v>
      </c>
      <c r="BR133" s="5">
        <f ca="1">IF($BI133&lt;&gt;"",IF('Capacity summary'!$C$14="Yes",IF(COUNTBLANK('Capacity summary'!$H45:$BG45)&lt;52,IF('Capacity summary'!O45&lt;&gt;"",IF(LOWER('Capacity summary'!O45)="x",$BI133*O133,VALUE('Capacity summary'!O45)),0),O133*$BI133),O133*$BI133),0)</f>
        <v>6.9230769230769234</v>
      </c>
      <c r="BS133" s="5">
        <f ca="1">IF($BI133&lt;&gt;"",IF('Capacity summary'!$C$14="Yes",IF(COUNTBLANK('Capacity summary'!$H45:$BG45)&lt;52,IF('Capacity summary'!P45&lt;&gt;"",IF(LOWER('Capacity summary'!P45)="x",$BI133*P133,VALUE('Capacity summary'!P45)),0),P133*$BI133),P133*$BI133),0)</f>
        <v>6.9230769230769234</v>
      </c>
      <c r="BT133" s="5">
        <f ca="1">IF($BI133&lt;&gt;"",IF('Capacity summary'!$C$14="Yes",IF(COUNTBLANK('Capacity summary'!$H45:$BG45)&lt;52,IF('Capacity summary'!Q45&lt;&gt;"",IF(LOWER('Capacity summary'!Q45)="x",$BI133*Q133,VALUE('Capacity summary'!Q45)),0),Q133*$BI133),Q133*$BI133),0)</f>
        <v>6.9230769230769234</v>
      </c>
      <c r="BU133" s="5">
        <f ca="1">IF($BI133&lt;&gt;"",IF('Capacity summary'!$C$14="Yes",IF(COUNTBLANK('Capacity summary'!$H45:$BG45)&lt;52,IF('Capacity summary'!R45&lt;&gt;"",IF(LOWER('Capacity summary'!R45)="x",$BI133*R133,VALUE('Capacity summary'!R45)),0),R133*$BI133),R133*$BI133),0)</f>
        <v>6.9230769230769234</v>
      </c>
      <c r="BV133" s="5">
        <f ca="1">IF($BI133&lt;&gt;"",IF('Capacity summary'!$C$14="Yes",IF(COUNTBLANK('Capacity summary'!$H45:$BG45)&lt;52,IF('Capacity summary'!S45&lt;&gt;"",IF(LOWER('Capacity summary'!S45)="x",$BI133*S133,VALUE('Capacity summary'!S45)),0),S133*$BI133),S133*$BI133),0)</f>
        <v>6.9230769230769234</v>
      </c>
      <c r="BW133" s="5">
        <f ca="1">IF($BI133&lt;&gt;"",IF('Capacity summary'!$C$14="Yes",IF(COUNTBLANK('Capacity summary'!$H45:$BG45)&lt;52,IF('Capacity summary'!T45&lt;&gt;"",IF(LOWER('Capacity summary'!T45)="x",$BI133*T133,VALUE('Capacity summary'!T45)),0),T133*$BI133),T133*$BI133),0)</f>
        <v>6.9230769230769234</v>
      </c>
      <c r="BX133" s="5">
        <f ca="1">IF($BI133&lt;&gt;"",IF('Capacity summary'!$C$14="Yes",IF(COUNTBLANK('Capacity summary'!$H45:$BG45)&lt;52,IF('Capacity summary'!U45&lt;&gt;"",IF(LOWER('Capacity summary'!U45)="x",$BI133*U133,VALUE('Capacity summary'!U45)),0),U133*$BI133),U133*$BI133),0)</f>
        <v>6.9230769230769234</v>
      </c>
      <c r="BY133" s="5">
        <f ca="1">IF($BI133&lt;&gt;"",IF('Capacity summary'!$C$14="Yes",IF(COUNTBLANK('Capacity summary'!$H45:$BG45)&lt;52,IF('Capacity summary'!V45&lt;&gt;"",IF(LOWER('Capacity summary'!V45)="x",$BI133*V133,VALUE('Capacity summary'!V45)),0),V133*$BI133),V133*$BI133),0)</f>
        <v>6.9230769230769234</v>
      </c>
      <c r="BZ133" s="5">
        <f ca="1">IF($BI133&lt;&gt;"",IF('Capacity summary'!$C$14="Yes",IF(COUNTBLANK('Capacity summary'!$H45:$BG45)&lt;52,IF('Capacity summary'!W45&lt;&gt;"",IF(LOWER('Capacity summary'!W45)="x",$BI133*W133,VALUE('Capacity summary'!W45)),0),W133*$BI133),W133*$BI133),0)</f>
        <v>6.9230769230769234</v>
      </c>
      <c r="CA133" s="5">
        <f ca="1">IF($BI133&lt;&gt;"",IF('Capacity summary'!$C$14="Yes",IF(COUNTBLANK('Capacity summary'!$H45:$BG45)&lt;52,IF('Capacity summary'!X45&lt;&gt;"",IF(LOWER('Capacity summary'!X45)="x",$BI133*X133,VALUE('Capacity summary'!X45)),0),X133*$BI133),X133*$BI133),0)</f>
        <v>6.9230769230769234</v>
      </c>
      <c r="CB133" s="5">
        <f ca="1">IF($BI133&lt;&gt;"",IF('Capacity summary'!$C$14="Yes",IF(COUNTBLANK('Capacity summary'!$H45:$BG45)&lt;52,IF('Capacity summary'!Y45&lt;&gt;"",IF(LOWER('Capacity summary'!Y45)="x",$BI133*Y133,VALUE('Capacity summary'!Y45)),0),Y133*$BI133),Y133*$BI133),0)</f>
        <v>6.9230769230769234</v>
      </c>
      <c r="CC133" s="5">
        <f ca="1">IF($BI133&lt;&gt;"",IF('Capacity summary'!$C$14="Yes",IF(COUNTBLANK('Capacity summary'!$H45:$BG45)&lt;52,IF('Capacity summary'!Z45&lt;&gt;"",IF(LOWER('Capacity summary'!Z45)="x",$BI133*Z133,VALUE('Capacity summary'!Z45)),0),Z133*$BI133),Z133*$BI133),0)</f>
        <v>6.9230769230769234</v>
      </c>
      <c r="CD133" s="5">
        <f ca="1">IF($BI133&lt;&gt;"",IF('Capacity summary'!$C$14="Yes",IF(COUNTBLANK('Capacity summary'!$H45:$BG45)&lt;52,IF('Capacity summary'!AA45&lt;&gt;"",IF(LOWER('Capacity summary'!AA45)="x",$BI133*AA133,VALUE('Capacity summary'!AA45)),0),AA133*$BI133),AA133*$BI133),0)</f>
        <v>6.9230769230769234</v>
      </c>
      <c r="CE133" s="5">
        <f ca="1">IF($BI133&lt;&gt;"",IF('Capacity summary'!$C$14="Yes",IF(COUNTBLANK('Capacity summary'!$H45:$BG45)&lt;52,IF('Capacity summary'!AB45&lt;&gt;"",IF(LOWER('Capacity summary'!AB45)="x",$BI133*AB133,VALUE('Capacity summary'!AB45)),0),AB133*$BI133),AB133*$BI133),0)</f>
        <v>6.9230769230769234</v>
      </c>
      <c r="CF133" s="5">
        <f ca="1">IF($BI133&lt;&gt;"",IF('Capacity summary'!$C$14="Yes",IF(COUNTBLANK('Capacity summary'!$H45:$BG45)&lt;52,IF('Capacity summary'!AC45&lt;&gt;"",IF(LOWER('Capacity summary'!AC45)="x",$BI133*AC133,VALUE('Capacity summary'!AC45)),0),AC133*$BI133),AC133*$BI133),0)</f>
        <v>6.9230769230769234</v>
      </c>
      <c r="CG133" s="5">
        <f ca="1">IF($BI133&lt;&gt;"",IF('Capacity summary'!$C$14="Yes",IF(COUNTBLANK('Capacity summary'!$H45:$BG45)&lt;52,IF('Capacity summary'!AD45&lt;&gt;"",IF(LOWER('Capacity summary'!AD45)="x",$BI133*AD133,VALUE('Capacity summary'!AD45)),0),AD133*$BI133),AD133*$BI133),0)</f>
        <v>6.9230769230769234</v>
      </c>
      <c r="CH133" s="5">
        <f ca="1">IF($BI133&lt;&gt;"",IF('Capacity summary'!$C$14="Yes",IF(COUNTBLANK('Capacity summary'!$H45:$BG45)&lt;52,IF('Capacity summary'!AE45&lt;&gt;"",IF(LOWER('Capacity summary'!AE45)="x",$BI133*AE133,VALUE('Capacity summary'!AE45)),0),AE133*$BI133),AE133*$BI133),0)</f>
        <v>6.9230769230769234</v>
      </c>
      <c r="CI133" s="5">
        <f ca="1">IF($BI133&lt;&gt;"",IF('Capacity summary'!$C$14="Yes",IF(COUNTBLANK('Capacity summary'!$H45:$BG45)&lt;52,IF('Capacity summary'!AF45&lt;&gt;"",IF(LOWER('Capacity summary'!AF45)="x",$BI133*AF133,VALUE('Capacity summary'!AF45)),0),AF133*$BI133),AF133*$BI133),0)</f>
        <v>6.9230769230769234</v>
      </c>
      <c r="CJ133" s="5">
        <f ca="1">IF($BI133&lt;&gt;"",IF('Capacity summary'!$C$14="Yes",IF(COUNTBLANK('Capacity summary'!$H45:$BG45)&lt;52,IF('Capacity summary'!AG45&lt;&gt;"",IF(LOWER('Capacity summary'!AG45)="x",$BI133*AG133,VALUE('Capacity summary'!AG45)),0),AG133*$BI133),AG133*$BI133),0)</f>
        <v>6.9230769230769234</v>
      </c>
      <c r="CK133" s="5">
        <f ca="1">IF($BI133&lt;&gt;"",IF('Capacity summary'!$C$14="Yes",IF(COUNTBLANK('Capacity summary'!$H45:$BG45)&lt;52,IF('Capacity summary'!AH45&lt;&gt;"",IF(LOWER('Capacity summary'!AH45)="x",$BI133*AH133,VALUE('Capacity summary'!AH45)),0),AH133*$BI133),AH133*$BI133),0)</f>
        <v>6.9230769230769234</v>
      </c>
      <c r="CL133" s="5">
        <f ca="1">IF($BI133&lt;&gt;"",IF('Capacity summary'!$C$14="Yes",IF(COUNTBLANK('Capacity summary'!$H45:$BG45)&lt;52,IF('Capacity summary'!AI45&lt;&gt;"",IF(LOWER('Capacity summary'!AI45)="x",$BI133*AI133,VALUE('Capacity summary'!AI45)),0),AI133*$BI133),AI133*$BI133),0)</f>
        <v>6.9230769230769234</v>
      </c>
      <c r="CM133" s="5">
        <f ca="1">IF($BI133&lt;&gt;"",IF('Capacity summary'!$C$14="Yes",IF(COUNTBLANK('Capacity summary'!$H45:$BG45)&lt;52,IF('Capacity summary'!AJ45&lt;&gt;"",IF(LOWER('Capacity summary'!AJ45)="x",$BI133*AJ133,VALUE('Capacity summary'!AJ45)),0),AJ133*$BI133),AJ133*$BI133),0)</f>
        <v>6.9230769230769234</v>
      </c>
      <c r="CN133" s="5">
        <f ca="1">IF($BI133&lt;&gt;"",IF('Capacity summary'!$C$14="Yes",IF(COUNTBLANK('Capacity summary'!$H45:$BG45)&lt;52,IF('Capacity summary'!AK45&lt;&gt;"",IF(LOWER('Capacity summary'!AK45)="x",$BI133*AK133,VALUE('Capacity summary'!AK45)),0),AK133*$BI133),AK133*$BI133),0)</f>
        <v>6.9230769230769234</v>
      </c>
      <c r="CO133" s="5">
        <f ca="1">IF($BI133&lt;&gt;"",IF('Capacity summary'!$C$14="Yes",IF(COUNTBLANK('Capacity summary'!$H45:$BG45)&lt;52,IF('Capacity summary'!AL45&lt;&gt;"",IF(LOWER('Capacity summary'!AL45)="x",$BI133*AL133,VALUE('Capacity summary'!AL45)),0),AL133*$BI133),AL133*$BI133),0)</f>
        <v>6.9230769230769234</v>
      </c>
      <c r="CP133" s="5">
        <f ca="1">IF($BI133&lt;&gt;"",IF('Capacity summary'!$C$14="Yes",IF(COUNTBLANK('Capacity summary'!$H45:$BG45)&lt;52,IF('Capacity summary'!AM45&lt;&gt;"",IF(LOWER('Capacity summary'!AM45)="x",$BI133*AM133,VALUE('Capacity summary'!AM45)),0),AM133*$BI133),AM133*$BI133),0)</f>
        <v>6.9230769230769234</v>
      </c>
      <c r="CQ133" s="5">
        <f ca="1">IF($BI133&lt;&gt;"",IF('Capacity summary'!$C$14="Yes",IF(COUNTBLANK('Capacity summary'!$H45:$BG45)&lt;52,IF('Capacity summary'!AN45&lt;&gt;"",IF(LOWER('Capacity summary'!AN45)="x",$BI133*AN133,VALUE('Capacity summary'!AN45)),0),AN133*$BI133),AN133*$BI133),0)</f>
        <v>6.9230769230769234</v>
      </c>
      <c r="CR133" s="5">
        <f ca="1">IF($BI133&lt;&gt;"",IF('Capacity summary'!$C$14="Yes",IF(COUNTBLANK('Capacity summary'!$H45:$BG45)&lt;52,IF('Capacity summary'!AO45&lt;&gt;"",IF(LOWER('Capacity summary'!AO45)="x",$BI133*AO133,VALUE('Capacity summary'!AO45)),0),AO133*$BI133),AO133*$BI133),0)</f>
        <v>6.9230769230769234</v>
      </c>
      <c r="CS133" s="5">
        <f ca="1">IF($BI133&lt;&gt;"",IF('Capacity summary'!$C$14="Yes",IF(COUNTBLANK('Capacity summary'!$H45:$BG45)&lt;52,IF('Capacity summary'!AP45&lt;&gt;"",IF(LOWER('Capacity summary'!AP45)="x",$BI133*AP133,VALUE('Capacity summary'!AP45)),0),AP133*$BI133),AP133*$BI133),0)</f>
        <v>6.9230769230769234</v>
      </c>
      <c r="CT133" s="5">
        <f ca="1">IF($BI133&lt;&gt;"",IF('Capacity summary'!$C$14="Yes",IF(COUNTBLANK('Capacity summary'!$H45:$BG45)&lt;52,IF('Capacity summary'!AQ45&lt;&gt;"",IF(LOWER('Capacity summary'!AQ45)="x",$BI133*AQ133,VALUE('Capacity summary'!AQ45)),0),AQ133*$BI133),AQ133*$BI133),0)</f>
        <v>6.9230769230769234</v>
      </c>
      <c r="CU133" s="5">
        <f ca="1">IF($BI133&lt;&gt;"",IF('Capacity summary'!$C$14="Yes",IF(COUNTBLANK('Capacity summary'!$H45:$BG45)&lt;52,IF('Capacity summary'!AR45&lt;&gt;"",IF(LOWER('Capacity summary'!AR45)="x",$BI133*AR133,VALUE('Capacity summary'!AR45)),0),AR133*$BI133),AR133*$BI133),0)</f>
        <v>6.9230769230769234</v>
      </c>
      <c r="CV133" s="5">
        <f ca="1">IF($BI133&lt;&gt;"",IF('Capacity summary'!$C$14="Yes",IF(COUNTBLANK('Capacity summary'!$H45:$BG45)&lt;52,IF('Capacity summary'!AS45&lt;&gt;"",IF(LOWER('Capacity summary'!AS45)="x",$BI133*AS133,VALUE('Capacity summary'!AS45)),0),AS133*$BI133),AS133*$BI133),0)</f>
        <v>6.9230769230769234</v>
      </c>
      <c r="CW133" s="5">
        <f ca="1">IF($BI133&lt;&gt;"",IF('Capacity summary'!$C$14="Yes",IF(COUNTBLANK('Capacity summary'!$H45:$BG45)&lt;52,IF('Capacity summary'!AT45&lt;&gt;"",IF(LOWER('Capacity summary'!AT45)="x",$BI133*AT133,VALUE('Capacity summary'!AT45)),0),AT133*$BI133),AT133*$BI133),0)</f>
        <v>6.9230769230769234</v>
      </c>
      <c r="CX133" s="5">
        <f ca="1">IF($BI133&lt;&gt;"",IF('Capacity summary'!$C$14="Yes",IF(COUNTBLANK('Capacity summary'!$H45:$BG45)&lt;52,IF('Capacity summary'!AU45&lt;&gt;"",IF(LOWER('Capacity summary'!AU45)="x",$BI133*AU133,VALUE('Capacity summary'!AU45)),0),AU133*$BI133),AU133*$BI133),0)</f>
        <v>6.9230769230769234</v>
      </c>
      <c r="CY133" s="5">
        <f ca="1">IF($BI133&lt;&gt;"",IF('Capacity summary'!$C$14="Yes",IF(COUNTBLANK('Capacity summary'!$H45:$BG45)&lt;52,IF('Capacity summary'!AV45&lt;&gt;"",IF(LOWER('Capacity summary'!AV45)="x",$BI133*AV133,VALUE('Capacity summary'!AV45)),0),AV133*$BI133),AV133*$BI133),0)</f>
        <v>6.9230769230769234</v>
      </c>
      <c r="CZ133" s="5">
        <f ca="1">IF($BI133&lt;&gt;"",IF('Capacity summary'!$C$14="Yes",IF(COUNTBLANK('Capacity summary'!$H45:$BG45)&lt;52,IF('Capacity summary'!AW45&lt;&gt;"",IF(LOWER('Capacity summary'!AW45)="x",$BI133*AW133,VALUE('Capacity summary'!AW45)),0),AW133*$BI133),AW133*$BI133),0)</f>
        <v>6.9230769230769234</v>
      </c>
      <c r="DA133" s="5">
        <f ca="1">IF($BI133&lt;&gt;"",IF('Capacity summary'!$C$14="Yes",IF(COUNTBLANK('Capacity summary'!$H45:$BG45)&lt;52,IF('Capacity summary'!AX45&lt;&gt;"",IF(LOWER('Capacity summary'!AX45)="x",$BI133*AX133,VALUE('Capacity summary'!AX45)),0),AX133*$BI133),AX133*$BI133),0)</f>
        <v>6.9230769230769234</v>
      </c>
      <c r="DB133" s="5">
        <f ca="1">IF($BI133&lt;&gt;"",IF('Capacity summary'!$C$14="Yes",IF(COUNTBLANK('Capacity summary'!$H45:$BG45)&lt;52,IF('Capacity summary'!AY45&lt;&gt;"",IF(LOWER('Capacity summary'!AY45)="x",$BI133*AY133,VALUE('Capacity summary'!AY45)),0),AY133*$BI133),AY133*$BI133),0)</f>
        <v>6.9230769230769234</v>
      </c>
      <c r="DC133" s="5">
        <f ca="1">IF($BI133&lt;&gt;"",IF('Capacity summary'!$C$14="Yes",IF(COUNTBLANK('Capacity summary'!$H45:$BG45)&lt;52,IF('Capacity summary'!AZ45&lt;&gt;"",IF(LOWER('Capacity summary'!AZ45)="x",$BI133*AZ133,VALUE('Capacity summary'!AZ45)),0),AZ133*$BI133),AZ133*$BI133),0)</f>
        <v>6.9230769230769234</v>
      </c>
      <c r="DD133" s="5">
        <f ca="1">IF($BI133&lt;&gt;"",IF('Capacity summary'!$C$14="Yes",IF(COUNTBLANK('Capacity summary'!$H45:$BG45)&lt;52,IF('Capacity summary'!BA45&lt;&gt;"",IF(LOWER('Capacity summary'!BA45)="x",$BI133*BA133,VALUE('Capacity summary'!BA45)),0),BA133*$BI133),BA133*$BI133),0)</f>
        <v>6.9230769230769234</v>
      </c>
      <c r="DE133" s="5">
        <f ca="1">IF($BI133&lt;&gt;"",IF('Capacity summary'!$C$14="Yes",IF(COUNTBLANK('Capacity summary'!$H45:$BG45)&lt;52,IF('Capacity summary'!BB45&lt;&gt;"",IF(LOWER('Capacity summary'!BB45)="x",$BI133*BB133,VALUE('Capacity summary'!BB45)),0),BB133*$BI133),BB133*$BI133),0)</f>
        <v>6.9230769230769234</v>
      </c>
      <c r="DF133" s="5">
        <f ca="1">IF($BI133&lt;&gt;"",IF('Capacity summary'!$C$14="Yes",IF(COUNTBLANK('Capacity summary'!$H45:$BG45)&lt;52,IF('Capacity summary'!BC45&lt;&gt;"",IF(LOWER('Capacity summary'!BC45)="x",$BI133*BC133,VALUE('Capacity summary'!BC45)),0),BC133*$BI133),BC133*$BI133),0)</f>
        <v>6.9230769230769234</v>
      </c>
      <c r="DG133" s="5">
        <f ca="1">IF($BI133&lt;&gt;"",IF('Capacity summary'!$C$14="Yes",IF(COUNTBLANK('Capacity summary'!$H45:$BG45)&lt;52,IF('Capacity summary'!BD45&lt;&gt;"",IF(LOWER('Capacity summary'!BD45)="x",$BI133*BD133,VALUE('Capacity summary'!BD45)),0),BD133*$BI133),BD133*$BI133),0)</f>
        <v>6.9230769230769234</v>
      </c>
      <c r="DH133" s="5">
        <f ca="1">IF($BI133&lt;&gt;"",IF('Capacity summary'!$C$14="Yes",IF(COUNTBLANK('Capacity summary'!$H45:$BG45)&lt;52,IF('Capacity summary'!BE45&lt;&gt;"",IF(LOWER('Capacity summary'!BE45)="x",$BI133*BE133,VALUE('Capacity summary'!BE45)),0),BE133*$BI133),BE133*$BI133),0)</f>
        <v>6.9230769230769234</v>
      </c>
      <c r="DI133" s="5">
        <f ca="1">IF($BI133&lt;&gt;"",IF('Capacity summary'!$C$14="Yes",IF(COUNTBLANK('Capacity summary'!$H45:$BG45)&lt;52,IF('Capacity summary'!BF45&lt;&gt;"",IF(LOWER('Capacity summary'!BF45)="x",$BI133*BF133,VALUE('Capacity summary'!BF45)),0),BF133*$BI133),BF133*$BI133),0)</f>
        <v>6.9230769230769234</v>
      </c>
      <c r="DJ133" s="5">
        <f ca="1">IF($BI133&lt;&gt;"",IF('Capacity summary'!$C$14="Yes",IF(COUNTBLANK('Capacity summary'!$H45:$BG45)&lt;52,IF('Capacity summary'!BG45&lt;&gt;"",IF(LOWER('Capacity summary'!BG45)="x",$BI133*BG133,VALUE('Capacity summary'!BG45)),0),BG133*$BI133),BG133*$BI133),0)</f>
        <v>6.9230769230769234</v>
      </c>
      <c r="DK133" s="388">
        <f t="shared" ca="1" si="8"/>
        <v>6.9230769230769234</v>
      </c>
      <c r="DL133" s="5">
        <f t="shared" ca="1" si="9"/>
        <v>359.99999999999989</v>
      </c>
    </row>
    <row r="134" spans="3:116" x14ac:dyDescent="0.2">
      <c r="C134" s="67" t="str">
        <f>ROW(A23)&amp;". "&amp;Capacity!N39</f>
        <v>23. 44382</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 ca="1">IF(ROW(A23)&lt;=Capacity!$M$16,IF('Capacity summary'!$C$14="No",SUM(H134:BG134),'Capacity summary'!$E46),0)</f>
        <v>52</v>
      </c>
      <c r="BI134" s="67">
        <f ca="1">IF(BH134&gt;0,IF(BH134&lt;Capacity!Q39,Capacity!R39,Capacity!T39/'Capacity calculation (hide)'!BH134),"")</f>
        <v>4.615384615384615</v>
      </c>
      <c r="BJ134" s="5"/>
      <c r="BK134" s="5">
        <f ca="1">IF($BI134&lt;&gt;"",IF('Capacity summary'!$C$14="Yes",IF(COUNTBLANK('Capacity summary'!$H46:$BG46)&lt;52,IF('Capacity summary'!H46&lt;&gt;"",IF(LOWER('Capacity summary'!H46)="x",$BI134*H134,VALUE('Capacity summary'!H46)),0),H134*$BI134),H134*$BI134),0)</f>
        <v>4.615384615384615</v>
      </c>
      <c r="BL134" s="5">
        <f ca="1">IF($BI134&lt;&gt;"",IF('Capacity summary'!$C$14="Yes",IF(COUNTBLANK('Capacity summary'!$H46:$BG46)&lt;52,IF('Capacity summary'!I46&lt;&gt;"",IF(LOWER('Capacity summary'!I46)="x",$BI134*I134,VALUE('Capacity summary'!I46)),0),I134*$BI134),I134*$BI134),0)</f>
        <v>4.615384615384615</v>
      </c>
      <c r="BM134" s="5">
        <f ca="1">IF($BI134&lt;&gt;"",IF('Capacity summary'!$C$14="Yes",IF(COUNTBLANK('Capacity summary'!$H46:$BG46)&lt;52,IF('Capacity summary'!J46&lt;&gt;"",IF(LOWER('Capacity summary'!J46)="x",$BI134*J134,VALUE('Capacity summary'!J46)),0),J134*$BI134),J134*$BI134),0)</f>
        <v>4.615384615384615</v>
      </c>
      <c r="BN134" s="5">
        <f ca="1">IF($BI134&lt;&gt;"",IF('Capacity summary'!$C$14="Yes",IF(COUNTBLANK('Capacity summary'!$H46:$BG46)&lt;52,IF('Capacity summary'!K46&lt;&gt;"",IF(LOWER('Capacity summary'!K46)="x",$BI134*K134,VALUE('Capacity summary'!K46)),0),K134*$BI134),K134*$BI134),0)</f>
        <v>4.615384615384615</v>
      </c>
      <c r="BO134" s="5">
        <f ca="1">IF($BI134&lt;&gt;"",IF('Capacity summary'!$C$14="Yes",IF(COUNTBLANK('Capacity summary'!$H46:$BG46)&lt;52,IF('Capacity summary'!L46&lt;&gt;"",IF(LOWER('Capacity summary'!L46)="x",$BI134*L134,VALUE('Capacity summary'!L46)),0),L134*$BI134),L134*$BI134),0)</f>
        <v>4.615384615384615</v>
      </c>
      <c r="BP134" s="5">
        <f ca="1">IF($BI134&lt;&gt;"",IF('Capacity summary'!$C$14="Yes",IF(COUNTBLANK('Capacity summary'!$H46:$BG46)&lt;52,IF('Capacity summary'!M46&lt;&gt;"",IF(LOWER('Capacity summary'!M46)="x",$BI134*M134,VALUE('Capacity summary'!M46)),0),M134*$BI134),M134*$BI134),0)</f>
        <v>4.615384615384615</v>
      </c>
      <c r="BQ134" s="5">
        <f ca="1">IF($BI134&lt;&gt;"",IF('Capacity summary'!$C$14="Yes",IF(COUNTBLANK('Capacity summary'!$H46:$BG46)&lt;52,IF('Capacity summary'!N46&lt;&gt;"",IF(LOWER('Capacity summary'!N46)="x",$BI134*N134,VALUE('Capacity summary'!N46)),0),N134*$BI134),N134*$BI134),0)</f>
        <v>4.615384615384615</v>
      </c>
      <c r="BR134" s="5">
        <f ca="1">IF($BI134&lt;&gt;"",IF('Capacity summary'!$C$14="Yes",IF(COUNTBLANK('Capacity summary'!$H46:$BG46)&lt;52,IF('Capacity summary'!O46&lt;&gt;"",IF(LOWER('Capacity summary'!O46)="x",$BI134*O134,VALUE('Capacity summary'!O46)),0),O134*$BI134),O134*$BI134),0)</f>
        <v>4.615384615384615</v>
      </c>
      <c r="BS134" s="5">
        <f ca="1">IF($BI134&lt;&gt;"",IF('Capacity summary'!$C$14="Yes",IF(COUNTBLANK('Capacity summary'!$H46:$BG46)&lt;52,IF('Capacity summary'!P46&lt;&gt;"",IF(LOWER('Capacity summary'!P46)="x",$BI134*P134,VALUE('Capacity summary'!P46)),0),P134*$BI134),P134*$BI134),0)</f>
        <v>4.615384615384615</v>
      </c>
      <c r="BT134" s="5">
        <f ca="1">IF($BI134&lt;&gt;"",IF('Capacity summary'!$C$14="Yes",IF(COUNTBLANK('Capacity summary'!$H46:$BG46)&lt;52,IF('Capacity summary'!Q46&lt;&gt;"",IF(LOWER('Capacity summary'!Q46)="x",$BI134*Q134,VALUE('Capacity summary'!Q46)),0),Q134*$BI134),Q134*$BI134),0)</f>
        <v>4.615384615384615</v>
      </c>
      <c r="BU134" s="5">
        <f ca="1">IF($BI134&lt;&gt;"",IF('Capacity summary'!$C$14="Yes",IF(COUNTBLANK('Capacity summary'!$H46:$BG46)&lt;52,IF('Capacity summary'!R46&lt;&gt;"",IF(LOWER('Capacity summary'!R46)="x",$BI134*R134,VALUE('Capacity summary'!R46)),0),R134*$BI134),R134*$BI134),0)</f>
        <v>4.615384615384615</v>
      </c>
      <c r="BV134" s="5">
        <f ca="1">IF($BI134&lt;&gt;"",IF('Capacity summary'!$C$14="Yes",IF(COUNTBLANK('Capacity summary'!$H46:$BG46)&lt;52,IF('Capacity summary'!S46&lt;&gt;"",IF(LOWER('Capacity summary'!S46)="x",$BI134*S134,VALUE('Capacity summary'!S46)),0),S134*$BI134),S134*$BI134),0)</f>
        <v>4.615384615384615</v>
      </c>
      <c r="BW134" s="5">
        <f ca="1">IF($BI134&lt;&gt;"",IF('Capacity summary'!$C$14="Yes",IF(COUNTBLANK('Capacity summary'!$H46:$BG46)&lt;52,IF('Capacity summary'!T46&lt;&gt;"",IF(LOWER('Capacity summary'!T46)="x",$BI134*T134,VALUE('Capacity summary'!T46)),0),T134*$BI134),T134*$BI134),0)</f>
        <v>4.615384615384615</v>
      </c>
      <c r="BX134" s="5">
        <f ca="1">IF($BI134&lt;&gt;"",IF('Capacity summary'!$C$14="Yes",IF(COUNTBLANK('Capacity summary'!$H46:$BG46)&lt;52,IF('Capacity summary'!U46&lt;&gt;"",IF(LOWER('Capacity summary'!U46)="x",$BI134*U134,VALUE('Capacity summary'!U46)),0),U134*$BI134),U134*$BI134),0)</f>
        <v>4.615384615384615</v>
      </c>
      <c r="BY134" s="5">
        <f ca="1">IF($BI134&lt;&gt;"",IF('Capacity summary'!$C$14="Yes",IF(COUNTBLANK('Capacity summary'!$H46:$BG46)&lt;52,IF('Capacity summary'!V46&lt;&gt;"",IF(LOWER('Capacity summary'!V46)="x",$BI134*V134,VALUE('Capacity summary'!V46)),0),V134*$BI134),V134*$BI134),0)</f>
        <v>4.615384615384615</v>
      </c>
      <c r="BZ134" s="5">
        <f ca="1">IF($BI134&lt;&gt;"",IF('Capacity summary'!$C$14="Yes",IF(COUNTBLANK('Capacity summary'!$H46:$BG46)&lt;52,IF('Capacity summary'!W46&lt;&gt;"",IF(LOWER('Capacity summary'!W46)="x",$BI134*W134,VALUE('Capacity summary'!W46)),0),W134*$BI134),W134*$BI134),0)</f>
        <v>4.615384615384615</v>
      </c>
      <c r="CA134" s="5">
        <f ca="1">IF($BI134&lt;&gt;"",IF('Capacity summary'!$C$14="Yes",IF(COUNTBLANK('Capacity summary'!$H46:$BG46)&lt;52,IF('Capacity summary'!X46&lt;&gt;"",IF(LOWER('Capacity summary'!X46)="x",$BI134*X134,VALUE('Capacity summary'!X46)),0),X134*$BI134),X134*$BI134),0)</f>
        <v>4.615384615384615</v>
      </c>
      <c r="CB134" s="5">
        <f ca="1">IF($BI134&lt;&gt;"",IF('Capacity summary'!$C$14="Yes",IF(COUNTBLANK('Capacity summary'!$H46:$BG46)&lt;52,IF('Capacity summary'!Y46&lt;&gt;"",IF(LOWER('Capacity summary'!Y46)="x",$BI134*Y134,VALUE('Capacity summary'!Y46)),0),Y134*$BI134),Y134*$BI134),0)</f>
        <v>4.615384615384615</v>
      </c>
      <c r="CC134" s="5">
        <f ca="1">IF($BI134&lt;&gt;"",IF('Capacity summary'!$C$14="Yes",IF(COUNTBLANK('Capacity summary'!$H46:$BG46)&lt;52,IF('Capacity summary'!Z46&lt;&gt;"",IF(LOWER('Capacity summary'!Z46)="x",$BI134*Z134,VALUE('Capacity summary'!Z46)),0),Z134*$BI134),Z134*$BI134),0)</f>
        <v>4.615384615384615</v>
      </c>
      <c r="CD134" s="5">
        <f ca="1">IF($BI134&lt;&gt;"",IF('Capacity summary'!$C$14="Yes",IF(COUNTBLANK('Capacity summary'!$H46:$BG46)&lt;52,IF('Capacity summary'!AA46&lt;&gt;"",IF(LOWER('Capacity summary'!AA46)="x",$BI134*AA134,VALUE('Capacity summary'!AA46)),0),AA134*$BI134),AA134*$BI134),0)</f>
        <v>4.615384615384615</v>
      </c>
      <c r="CE134" s="5">
        <f ca="1">IF($BI134&lt;&gt;"",IF('Capacity summary'!$C$14="Yes",IF(COUNTBLANK('Capacity summary'!$H46:$BG46)&lt;52,IF('Capacity summary'!AB46&lt;&gt;"",IF(LOWER('Capacity summary'!AB46)="x",$BI134*AB134,VALUE('Capacity summary'!AB46)),0),AB134*$BI134),AB134*$BI134),0)</f>
        <v>4.615384615384615</v>
      </c>
      <c r="CF134" s="5">
        <f ca="1">IF($BI134&lt;&gt;"",IF('Capacity summary'!$C$14="Yes",IF(COUNTBLANK('Capacity summary'!$H46:$BG46)&lt;52,IF('Capacity summary'!AC46&lt;&gt;"",IF(LOWER('Capacity summary'!AC46)="x",$BI134*AC134,VALUE('Capacity summary'!AC46)),0),AC134*$BI134),AC134*$BI134),0)</f>
        <v>4.615384615384615</v>
      </c>
      <c r="CG134" s="5">
        <f ca="1">IF($BI134&lt;&gt;"",IF('Capacity summary'!$C$14="Yes",IF(COUNTBLANK('Capacity summary'!$H46:$BG46)&lt;52,IF('Capacity summary'!AD46&lt;&gt;"",IF(LOWER('Capacity summary'!AD46)="x",$BI134*AD134,VALUE('Capacity summary'!AD46)),0),AD134*$BI134),AD134*$BI134),0)</f>
        <v>4.615384615384615</v>
      </c>
      <c r="CH134" s="5">
        <f ca="1">IF($BI134&lt;&gt;"",IF('Capacity summary'!$C$14="Yes",IF(COUNTBLANK('Capacity summary'!$H46:$BG46)&lt;52,IF('Capacity summary'!AE46&lt;&gt;"",IF(LOWER('Capacity summary'!AE46)="x",$BI134*AE134,VALUE('Capacity summary'!AE46)),0),AE134*$BI134),AE134*$BI134),0)</f>
        <v>4.615384615384615</v>
      </c>
      <c r="CI134" s="5">
        <f ca="1">IF($BI134&lt;&gt;"",IF('Capacity summary'!$C$14="Yes",IF(COUNTBLANK('Capacity summary'!$H46:$BG46)&lt;52,IF('Capacity summary'!AF46&lt;&gt;"",IF(LOWER('Capacity summary'!AF46)="x",$BI134*AF134,VALUE('Capacity summary'!AF46)),0),AF134*$BI134),AF134*$BI134),0)</f>
        <v>4.615384615384615</v>
      </c>
      <c r="CJ134" s="5">
        <f ca="1">IF($BI134&lt;&gt;"",IF('Capacity summary'!$C$14="Yes",IF(COUNTBLANK('Capacity summary'!$H46:$BG46)&lt;52,IF('Capacity summary'!AG46&lt;&gt;"",IF(LOWER('Capacity summary'!AG46)="x",$BI134*AG134,VALUE('Capacity summary'!AG46)),0),AG134*$BI134),AG134*$BI134),0)</f>
        <v>4.615384615384615</v>
      </c>
      <c r="CK134" s="5">
        <f ca="1">IF($BI134&lt;&gt;"",IF('Capacity summary'!$C$14="Yes",IF(COUNTBLANK('Capacity summary'!$H46:$BG46)&lt;52,IF('Capacity summary'!AH46&lt;&gt;"",IF(LOWER('Capacity summary'!AH46)="x",$BI134*AH134,VALUE('Capacity summary'!AH46)),0),AH134*$BI134),AH134*$BI134),0)</f>
        <v>4.615384615384615</v>
      </c>
      <c r="CL134" s="5">
        <f ca="1">IF($BI134&lt;&gt;"",IF('Capacity summary'!$C$14="Yes",IF(COUNTBLANK('Capacity summary'!$H46:$BG46)&lt;52,IF('Capacity summary'!AI46&lt;&gt;"",IF(LOWER('Capacity summary'!AI46)="x",$BI134*AI134,VALUE('Capacity summary'!AI46)),0),AI134*$BI134),AI134*$BI134),0)</f>
        <v>4.615384615384615</v>
      </c>
      <c r="CM134" s="5">
        <f ca="1">IF($BI134&lt;&gt;"",IF('Capacity summary'!$C$14="Yes",IF(COUNTBLANK('Capacity summary'!$H46:$BG46)&lt;52,IF('Capacity summary'!AJ46&lt;&gt;"",IF(LOWER('Capacity summary'!AJ46)="x",$BI134*AJ134,VALUE('Capacity summary'!AJ46)),0),AJ134*$BI134),AJ134*$BI134),0)</f>
        <v>4.615384615384615</v>
      </c>
      <c r="CN134" s="5">
        <f ca="1">IF($BI134&lt;&gt;"",IF('Capacity summary'!$C$14="Yes",IF(COUNTBLANK('Capacity summary'!$H46:$BG46)&lt;52,IF('Capacity summary'!AK46&lt;&gt;"",IF(LOWER('Capacity summary'!AK46)="x",$BI134*AK134,VALUE('Capacity summary'!AK46)),0),AK134*$BI134),AK134*$BI134),0)</f>
        <v>4.615384615384615</v>
      </c>
      <c r="CO134" s="5">
        <f ca="1">IF($BI134&lt;&gt;"",IF('Capacity summary'!$C$14="Yes",IF(COUNTBLANK('Capacity summary'!$H46:$BG46)&lt;52,IF('Capacity summary'!AL46&lt;&gt;"",IF(LOWER('Capacity summary'!AL46)="x",$BI134*AL134,VALUE('Capacity summary'!AL46)),0),AL134*$BI134),AL134*$BI134),0)</f>
        <v>4.615384615384615</v>
      </c>
      <c r="CP134" s="5">
        <f ca="1">IF($BI134&lt;&gt;"",IF('Capacity summary'!$C$14="Yes",IF(COUNTBLANK('Capacity summary'!$H46:$BG46)&lt;52,IF('Capacity summary'!AM46&lt;&gt;"",IF(LOWER('Capacity summary'!AM46)="x",$BI134*AM134,VALUE('Capacity summary'!AM46)),0),AM134*$BI134),AM134*$BI134),0)</f>
        <v>4.615384615384615</v>
      </c>
      <c r="CQ134" s="5">
        <f ca="1">IF($BI134&lt;&gt;"",IF('Capacity summary'!$C$14="Yes",IF(COUNTBLANK('Capacity summary'!$H46:$BG46)&lt;52,IF('Capacity summary'!AN46&lt;&gt;"",IF(LOWER('Capacity summary'!AN46)="x",$BI134*AN134,VALUE('Capacity summary'!AN46)),0),AN134*$BI134),AN134*$BI134),0)</f>
        <v>4.615384615384615</v>
      </c>
      <c r="CR134" s="5">
        <f ca="1">IF($BI134&lt;&gt;"",IF('Capacity summary'!$C$14="Yes",IF(COUNTBLANK('Capacity summary'!$H46:$BG46)&lt;52,IF('Capacity summary'!AO46&lt;&gt;"",IF(LOWER('Capacity summary'!AO46)="x",$BI134*AO134,VALUE('Capacity summary'!AO46)),0),AO134*$BI134),AO134*$BI134),0)</f>
        <v>4.615384615384615</v>
      </c>
      <c r="CS134" s="5">
        <f ca="1">IF($BI134&lt;&gt;"",IF('Capacity summary'!$C$14="Yes",IF(COUNTBLANK('Capacity summary'!$H46:$BG46)&lt;52,IF('Capacity summary'!AP46&lt;&gt;"",IF(LOWER('Capacity summary'!AP46)="x",$BI134*AP134,VALUE('Capacity summary'!AP46)),0),AP134*$BI134),AP134*$BI134),0)</f>
        <v>4.615384615384615</v>
      </c>
      <c r="CT134" s="5">
        <f ca="1">IF($BI134&lt;&gt;"",IF('Capacity summary'!$C$14="Yes",IF(COUNTBLANK('Capacity summary'!$H46:$BG46)&lt;52,IF('Capacity summary'!AQ46&lt;&gt;"",IF(LOWER('Capacity summary'!AQ46)="x",$BI134*AQ134,VALUE('Capacity summary'!AQ46)),0),AQ134*$BI134),AQ134*$BI134),0)</f>
        <v>4.615384615384615</v>
      </c>
      <c r="CU134" s="5">
        <f ca="1">IF($BI134&lt;&gt;"",IF('Capacity summary'!$C$14="Yes",IF(COUNTBLANK('Capacity summary'!$H46:$BG46)&lt;52,IF('Capacity summary'!AR46&lt;&gt;"",IF(LOWER('Capacity summary'!AR46)="x",$BI134*AR134,VALUE('Capacity summary'!AR46)),0),AR134*$BI134),AR134*$BI134),0)</f>
        <v>4.615384615384615</v>
      </c>
      <c r="CV134" s="5">
        <f ca="1">IF($BI134&lt;&gt;"",IF('Capacity summary'!$C$14="Yes",IF(COUNTBLANK('Capacity summary'!$H46:$BG46)&lt;52,IF('Capacity summary'!AS46&lt;&gt;"",IF(LOWER('Capacity summary'!AS46)="x",$BI134*AS134,VALUE('Capacity summary'!AS46)),0),AS134*$BI134),AS134*$BI134),0)</f>
        <v>4.615384615384615</v>
      </c>
      <c r="CW134" s="5">
        <f ca="1">IF($BI134&lt;&gt;"",IF('Capacity summary'!$C$14="Yes",IF(COUNTBLANK('Capacity summary'!$H46:$BG46)&lt;52,IF('Capacity summary'!AT46&lt;&gt;"",IF(LOWER('Capacity summary'!AT46)="x",$BI134*AT134,VALUE('Capacity summary'!AT46)),0),AT134*$BI134),AT134*$BI134),0)</f>
        <v>4.615384615384615</v>
      </c>
      <c r="CX134" s="5">
        <f ca="1">IF($BI134&lt;&gt;"",IF('Capacity summary'!$C$14="Yes",IF(COUNTBLANK('Capacity summary'!$H46:$BG46)&lt;52,IF('Capacity summary'!AU46&lt;&gt;"",IF(LOWER('Capacity summary'!AU46)="x",$BI134*AU134,VALUE('Capacity summary'!AU46)),0),AU134*$BI134),AU134*$BI134),0)</f>
        <v>4.615384615384615</v>
      </c>
      <c r="CY134" s="5">
        <f ca="1">IF($BI134&lt;&gt;"",IF('Capacity summary'!$C$14="Yes",IF(COUNTBLANK('Capacity summary'!$H46:$BG46)&lt;52,IF('Capacity summary'!AV46&lt;&gt;"",IF(LOWER('Capacity summary'!AV46)="x",$BI134*AV134,VALUE('Capacity summary'!AV46)),0),AV134*$BI134),AV134*$BI134),0)</f>
        <v>4.615384615384615</v>
      </c>
      <c r="CZ134" s="5">
        <f ca="1">IF($BI134&lt;&gt;"",IF('Capacity summary'!$C$14="Yes",IF(COUNTBLANK('Capacity summary'!$H46:$BG46)&lt;52,IF('Capacity summary'!AW46&lt;&gt;"",IF(LOWER('Capacity summary'!AW46)="x",$BI134*AW134,VALUE('Capacity summary'!AW46)),0),AW134*$BI134),AW134*$BI134),0)</f>
        <v>4.615384615384615</v>
      </c>
      <c r="DA134" s="5">
        <f ca="1">IF($BI134&lt;&gt;"",IF('Capacity summary'!$C$14="Yes",IF(COUNTBLANK('Capacity summary'!$H46:$BG46)&lt;52,IF('Capacity summary'!AX46&lt;&gt;"",IF(LOWER('Capacity summary'!AX46)="x",$BI134*AX134,VALUE('Capacity summary'!AX46)),0),AX134*$BI134),AX134*$BI134),0)</f>
        <v>4.615384615384615</v>
      </c>
      <c r="DB134" s="5">
        <f ca="1">IF($BI134&lt;&gt;"",IF('Capacity summary'!$C$14="Yes",IF(COUNTBLANK('Capacity summary'!$H46:$BG46)&lt;52,IF('Capacity summary'!AY46&lt;&gt;"",IF(LOWER('Capacity summary'!AY46)="x",$BI134*AY134,VALUE('Capacity summary'!AY46)),0),AY134*$BI134),AY134*$BI134),0)</f>
        <v>4.615384615384615</v>
      </c>
      <c r="DC134" s="5">
        <f ca="1">IF($BI134&lt;&gt;"",IF('Capacity summary'!$C$14="Yes",IF(COUNTBLANK('Capacity summary'!$H46:$BG46)&lt;52,IF('Capacity summary'!AZ46&lt;&gt;"",IF(LOWER('Capacity summary'!AZ46)="x",$BI134*AZ134,VALUE('Capacity summary'!AZ46)),0),AZ134*$BI134),AZ134*$BI134),0)</f>
        <v>4.615384615384615</v>
      </c>
      <c r="DD134" s="5">
        <f ca="1">IF($BI134&lt;&gt;"",IF('Capacity summary'!$C$14="Yes",IF(COUNTBLANK('Capacity summary'!$H46:$BG46)&lt;52,IF('Capacity summary'!BA46&lt;&gt;"",IF(LOWER('Capacity summary'!BA46)="x",$BI134*BA134,VALUE('Capacity summary'!BA46)),0),BA134*$BI134),BA134*$BI134),0)</f>
        <v>4.615384615384615</v>
      </c>
      <c r="DE134" s="5">
        <f ca="1">IF($BI134&lt;&gt;"",IF('Capacity summary'!$C$14="Yes",IF(COUNTBLANK('Capacity summary'!$H46:$BG46)&lt;52,IF('Capacity summary'!BB46&lt;&gt;"",IF(LOWER('Capacity summary'!BB46)="x",$BI134*BB134,VALUE('Capacity summary'!BB46)),0),BB134*$BI134),BB134*$BI134),0)</f>
        <v>4.615384615384615</v>
      </c>
      <c r="DF134" s="5">
        <f ca="1">IF($BI134&lt;&gt;"",IF('Capacity summary'!$C$14="Yes",IF(COUNTBLANK('Capacity summary'!$H46:$BG46)&lt;52,IF('Capacity summary'!BC46&lt;&gt;"",IF(LOWER('Capacity summary'!BC46)="x",$BI134*BC134,VALUE('Capacity summary'!BC46)),0),BC134*$BI134),BC134*$BI134),0)</f>
        <v>4.615384615384615</v>
      </c>
      <c r="DG134" s="5">
        <f ca="1">IF($BI134&lt;&gt;"",IF('Capacity summary'!$C$14="Yes",IF(COUNTBLANK('Capacity summary'!$H46:$BG46)&lt;52,IF('Capacity summary'!BD46&lt;&gt;"",IF(LOWER('Capacity summary'!BD46)="x",$BI134*BD134,VALUE('Capacity summary'!BD46)),0),BD134*$BI134),BD134*$BI134),0)</f>
        <v>4.615384615384615</v>
      </c>
      <c r="DH134" s="5">
        <f ca="1">IF($BI134&lt;&gt;"",IF('Capacity summary'!$C$14="Yes",IF(COUNTBLANK('Capacity summary'!$H46:$BG46)&lt;52,IF('Capacity summary'!BE46&lt;&gt;"",IF(LOWER('Capacity summary'!BE46)="x",$BI134*BE134,VALUE('Capacity summary'!BE46)),0),BE134*$BI134),BE134*$BI134),0)</f>
        <v>4.615384615384615</v>
      </c>
      <c r="DI134" s="5">
        <f ca="1">IF($BI134&lt;&gt;"",IF('Capacity summary'!$C$14="Yes",IF(COUNTBLANK('Capacity summary'!$H46:$BG46)&lt;52,IF('Capacity summary'!BF46&lt;&gt;"",IF(LOWER('Capacity summary'!BF46)="x",$BI134*BF134,VALUE('Capacity summary'!BF46)),0),BF134*$BI134),BF134*$BI134),0)</f>
        <v>4.615384615384615</v>
      </c>
      <c r="DJ134" s="5">
        <f ca="1">IF($BI134&lt;&gt;"",IF('Capacity summary'!$C$14="Yes",IF(COUNTBLANK('Capacity summary'!$H46:$BG46)&lt;52,IF('Capacity summary'!BG46&lt;&gt;"",IF(LOWER('Capacity summary'!BG46)="x",$BI134*BG134,VALUE('Capacity summary'!BG46)),0),BG134*$BI134),BG134*$BI134),0)</f>
        <v>4.615384615384615</v>
      </c>
      <c r="DK134" s="388">
        <f t="shared" ca="1" si="8"/>
        <v>4.615384615384615</v>
      </c>
      <c r="DL134" s="5">
        <f t="shared" ca="1" si="9"/>
        <v>239.99999999999991</v>
      </c>
    </row>
    <row r="135" spans="3:116" x14ac:dyDescent="0.2">
      <c r="C135" s="67" t="str">
        <f>ROW(A24)&amp;". "&amp;Capacity!N40</f>
        <v>24. 44390</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 ca="1">IF(ROW(A24)&lt;=Capacity!$M$16,IF('Capacity summary'!$C$14="No",SUM(H135:BG135),'Capacity summary'!$E47),0)</f>
        <v>52</v>
      </c>
      <c r="BI135" s="67">
        <f ca="1">IF(BH135&gt;0,IF(BH135&lt;Capacity!Q40,Capacity!R40,Capacity!T40/'Capacity calculation (hide)'!BH135),"")</f>
        <v>4.615384615384615</v>
      </c>
      <c r="BJ135" s="5"/>
      <c r="BK135" s="5">
        <f ca="1">IF($BI135&lt;&gt;"",IF('Capacity summary'!$C$14="Yes",IF(COUNTBLANK('Capacity summary'!$H47:$BG47)&lt;52,IF('Capacity summary'!H47&lt;&gt;"",IF(LOWER('Capacity summary'!H47)="x",$BI135*H135,VALUE('Capacity summary'!H47)),0),H135*$BI135),H135*$BI135),0)</f>
        <v>4.615384615384615</v>
      </c>
      <c r="BL135" s="5">
        <f ca="1">IF($BI135&lt;&gt;"",IF('Capacity summary'!$C$14="Yes",IF(COUNTBLANK('Capacity summary'!$H47:$BG47)&lt;52,IF('Capacity summary'!I47&lt;&gt;"",IF(LOWER('Capacity summary'!I47)="x",$BI135*I135,VALUE('Capacity summary'!I47)),0),I135*$BI135),I135*$BI135),0)</f>
        <v>4.615384615384615</v>
      </c>
      <c r="BM135" s="5">
        <f ca="1">IF($BI135&lt;&gt;"",IF('Capacity summary'!$C$14="Yes",IF(COUNTBLANK('Capacity summary'!$H47:$BG47)&lt;52,IF('Capacity summary'!J47&lt;&gt;"",IF(LOWER('Capacity summary'!J47)="x",$BI135*J135,VALUE('Capacity summary'!J47)),0),J135*$BI135),J135*$BI135),0)</f>
        <v>4.615384615384615</v>
      </c>
      <c r="BN135" s="5">
        <f ca="1">IF($BI135&lt;&gt;"",IF('Capacity summary'!$C$14="Yes",IF(COUNTBLANK('Capacity summary'!$H47:$BG47)&lt;52,IF('Capacity summary'!K47&lt;&gt;"",IF(LOWER('Capacity summary'!K47)="x",$BI135*K135,VALUE('Capacity summary'!K47)),0),K135*$BI135),K135*$BI135),0)</f>
        <v>4.615384615384615</v>
      </c>
      <c r="BO135" s="5">
        <f ca="1">IF($BI135&lt;&gt;"",IF('Capacity summary'!$C$14="Yes",IF(COUNTBLANK('Capacity summary'!$H47:$BG47)&lt;52,IF('Capacity summary'!L47&lt;&gt;"",IF(LOWER('Capacity summary'!L47)="x",$BI135*L135,VALUE('Capacity summary'!L47)),0),L135*$BI135),L135*$BI135),0)</f>
        <v>4.615384615384615</v>
      </c>
      <c r="BP135" s="5">
        <f ca="1">IF($BI135&lt;&gt;"",IF('Capacity summary'!$C$14="Yes",IF(COUNTBLANK('Capacity summary'!$H47:$BG47)&lt;52,IF('Capacity summary'!M47&lt;&gt;"",IF(LOWER('Capacity summary'!M47)="x",$BI135*M135,VALUE('Capacity summary'!M47)),0),M135*$BI135),M135*$BI135),0)</f>
        <v>4.615384615384615</v>
      </c>
      <c r="BQ135" s="5">
        <f ca="1">IF($BI135&lt;&gt;"",IF('Capacity summary'!$C$14="Yes",IF(COUNTBLANK('Capacity summary'!$H47:$BG47)&lt;52,IF('Capacity summary'!N47&lt;&gt;"",IF(LOWER('Capacity summary'!N47)="x",$BI135*N135,VALUE('Capacity summary'!N47)),0),N135*$BI135),N135*$BI135),0)</f>
        <v>4.615384615384615</v>
      </c>
      <c r="BR135" s="5">
        <f ca="1">IF($BI135&lt;&gt;"",IF('Capacity summary'!$C$14="Yes",IF(COUNTBLANK('Capacity summary'!$H47:$BG47)&lt;52,IF('Capacity summary'!O47&lt;&gt;"",IF(LOWER('Capacity summary'!O47)="x",$BI135*O135,VALUE('Capacity summary'!O47)),0),O135*$BI135),O135*$BI135),0)</f>
        <v>4.615384615384615</v>
      </c>
      <c r="BS135" s="5">
        <f ca="1">IF($BI135&lt;&gt;"",IF('Capacity summary'!$C$14="Yes",IF(COUNTBLANK('Capacity summary'!$H47:$BG47)&lt;52,IF('Capacity summary'!P47&lt;&gt;"",IF(LOWER('Capacity summary'!P47)="x",$BI135*P135,VALUE('Capacity summary'!P47)),0),P135*$BI135),P135*$BI135),0)</f>
        <v>4.615384615384615</v>
      </c>
      <c r="BT135" s="5">
        <f ca="1">IF($BI135&lt;&gt;"",IF('Capacity summary'!$C$14="Yes",IF(COUNTBLANK('Capacity summary'!$H47:$BG47)&lt;52,IF('Capacity summary'!Q47&lt;&gt;"",IF(LOWER('Capacity summary'!Q47)="x",$BI135*Q135,VALUE('Capacity summary'!Q47)),0),Q135*$BI135),Q135*$BI135),0)</f>
        <v>4.615384615384615</v>
      </c>
      <c r="BU135" s="5">
        <f ca="1">IF($BI135&lt;&gt;"",IF('Capacity summary'!$C$14="Yes",IF(COUNTBLANK('Capacity summary'!$H47:$BG47)&lt;52,IF('Capacity summary'!R47&lt;&gt;"",IF(LOWER('Capacity summary'!R47)="x",$BI135*R135,VALUE('Capacity summary'!R47)),0),R135*$BI135),R135*$BI135),0)</f>
        <v>4.615384615384615</v>
      </c>
      <c r="BV135" s="5">
        <f ca="1">IF($BI135&lt;&gt;"",IF('Capacity summary'!$C$14="Yes",IF(COUNTBLANK('Capacity summary'!$H47:$BG47)&lt;52,IF('Capacity summary'!S47&lt;&gt;"",IF(LOWER('Capacity summary'!S47)="x",$BI135*S135,VALUE('Capacity summary'!S47)),0),S135*$BI135),S135*$BI135),0)</f>
        <v>4.615384615384615</v>
      </c>
      <c r="BW135" s="5">
        <f ca="1">IF($BI135&lt;&gt;"",IF('Capacity summary'!$C$14="Yes",IF(COUNTBLANK('Capacity summary'!$H47:$BG47)&lt;52,IF('Capacity summary'!T47&lt;&gt;"",IF(LOWER('Capacity summary'!T47)="x",$BI135*T135,VALUE('Capacity summary'!T47)),0),T135*$BI135),T135*$BI135),0)</f>
        <v>4.615384615384615</v>
      </c>
      <c r="BX135" s="5">
        <f ca="1">IF($BI135&lt;&gt;"",IF('Capacity summary'!$C$14="Yes",IF(COUNTBLANK('Capacity summary'!$H47:$BG47)&lt;52,IF('Capacity summary'!U47&lt;&gt;"",IF(LOWER('Capacity summary'!U47)="x",$BI135*U135,VALUE('Capacity summary'!U47)),0),U135*$BI135),U135*$BI135),0)</f>
        <v>4.615384615384615</v>
      </c>
      <c r="BY135" s="5">
        <f ca="1">IF($BI135&lt;&gt;"",IF('Capacity summary'!$C$14="Yes",IF(COUNTBLANK('Capacity summary'!$H47:$BG47)&lt;52,IF('Capacity summary'!V47&lt;&gt;"",IF(LOWER('Capacity summary'!V47)="x",$BI135*V135,VALUE('Capacity summary'!V47)),0),V135*$BI135),V135*$BI135),0)</f>
        <v>4.615384615384615</v>
      </c>
      <c r="BZ135" s="5">
        <f ca="1">IF($BI135&lt;&gt;"",IF('Capacity summary'!$C$14="Yes",IF(COUNTBLANK('Capacity summary'!$H47:$BG47)&lt;52,IF('Capacity summary'!W47&lt;&gt;"",IF(LOWER('Capacity summary'!W47)="x",$BI135*W135,VALUE('Capacity summary'!W47)),0),W135*$BI135),W135*$BI135),0)</f>
        <v>4.615384615384615</v>
      </c>
      <c r="CA135" s="5">
        <f ca="1">IF($BI135&lt;&gt;"",IF('Capacity summary'!$C$14="Yes",IF(COUNTBLANK('Capacity summary'!$H47:$BG47)&lt;52,IF('Capacity summary'!X47&lt;&gt;"",IF(LOWER('Capacity summary'!X47)="x",$BI135*X135,VALUE('Capacity summary'!X47)),0),X135*$BI135),X135*$BI135),0)</f>
        <v>4.615384615384615</v>
      </c>
      <c r="CB135" s="5">
        <f ca="1">IF($BI135&lt;&gt;"",IF('Capacity summary'!$C$14="Yes",IF(COUNTBLANK('Capacity summary'!$H47:$BG47)&lt;52,IF('Capacity summary'!Y47&lt;&gt;"",IF(LOWER('Capacity summary'!Y47)="x",$BI135*Y135,VALUE('Capacity summary'!Y47)),0),Y135*$BI135),Y135*$BI135),0)</f>
        <v>4.615384615384615</v>
      </c>
      <c r="CC135" s="5">
        <f ca="1">IF($BI135&lt;&gt;"",IF('Capacity summary'!$C$14="Yes",IF(COUNTBLANK('Capacity summary'!$H47:$BG47)&lt;52,IF('Capacity summary'!Z47&lt;&gt;"",IF(LOWER('Capacity summary'!Z47)="x",$BI135*Z135,VALUE('Capacity summary'!Z47)),0),Z135*$BI135),Z135*$BI135),0)</f>
        <v>4.615384615384615</v>
      </c>
      <c r="CD135" s="5">
        <f ca="1">IF($BI135&lt;&gt;"",IF('Capacity summary'!$C$14="Yes",IF(COUNTBLANK('Capacity summary'!$H47:$BG47)&lt;52,IF('Capacity summary'!AA47&lt;&gt;"",IF(LOWER('Capacity summary'!AA47)="x",$BI135*AA135,VALUE('Capacity summary'!AA47)),0),AA135*$BI135),AA135*$BI135),0)</f>
        <v>4.615384615384615</v>
      </c>
      <c r="CE135" s="5">
        <f ca="1">IF($BI135&lt;&gt;"",IF('Capacity summary'!$C$14="Yes",IF(COUNTBLANK('Capacity summary'!$H47:$BG47)&lt;52,IF('Capacity summary'!AB47&lt;&gt;"",IF(LOWER('Capacity summary'!AB47)="x",$BI135*AB135,VALUE('Capacity summary'!AB47)),0),AB135*$BI135),AB135*$BI135),0)</f>
        <v>4.615384615384615</v>
      </c>
      <c r="CF135" s="5">
        <f ca="1">IF($BI135&lt;&gt;"",IF('Capacity summary'!$C$14="Yes",IF(COUNTBLANK('Capacity summary'!$H47:$BG47)&lt;52,IF('Capacity summary'!AC47&lt;&gt;"",IF(LOWER('Capacity summary'!AC47)="x",$BI135*AC135,VALUE('Capacity summary'!AC47)),0),AC135*$BI135),AC135*$BI135),0)</f>
        <v>4.615384615384615</v>
      </c>
      <c r="CG135" s="5">
        <f ca="1">IF($BI135&lt;&gt;"",IF('Capacity summary'!$C$14="Yes",IF(COUNTBLANK('Capacity summary'!$H47:$BG47)&lt;52,IF('Capacity summary'!AD47&lt;&gt;"",IF(LOWER('Capacity summary'!AD47)="x",$BI135*AD135,VALUE('Capacity summary'!AD47)),0),AD135*$BI135),AD135*$BI135),0)</f>
        <v>4.615384615384615</v>
      </c>
      <c r="CH135" s="5">
        <f ca="1">IF($BI135&lt;&gt;"",IF('Capacity summary'!$C$14="Yes",IF(COUNTBLANK('Capacity summary'!$H47:$BG47)&lt;52,IF('Capacity summary'!AE47&lt;&gt;"",IF(LOWER('Capacity summary'!AE47)="x",$BI135*AE135,VALUE('Capacity summary'!AE47)),0),AE135*$BI135),AE135*$BI135),0)</f>
        <v>4.615384615384615</v>
      </c>
      <c r="CI135" s="5">
        <f ca="1">IF($BI135&lt;&gt;"",IF('Capacity summary'!$C$14="Yes",IF(COUNTBLANK('Capacity summary'!$H47:$BG47)&lt;52,IF('Capacity summary'!AF47&lt;&gt;"",IF(LOWER('Capacity summary'!AF47)="x",$BI135*AF135,VALUE('Capacity summary'!AF47)),0),AF135*$BI135),AF135*$BI135),0)</f>
        <v>4.615384615384615</v>
      </c>
      <c r="CJ135" s="5">
        <f ca="1">IF($BI135&lt;&gt;"",IF('Capacity summary'!$C$14="Yes",IF(COUNTBLANK('Capacity summary'!$H47:$BG47)&lt;52,IF('Capacity summary'!AG47&lt;&gt;"",IF(LOWER('Capacity summary'!AG47)="x",$BI135*AG135,VALUE('Capacity summary'!AG47)),0),AG135*$BI135),AG135*$BI135),0)</f>
        <v>4.615384615384615</v>
      </c>
      <c r="CK135" s="5">
        <f ca="1">IF($BI135&lt;&gt;"",IF('Capacity summary'!$C$14="Yes",IF(COUNTBLANK('Capacity summary'!$H47:$BG47)&lt;52,IF('Capacity summary'!AH47&lt;&gt;"",IF(LOWER('Capacity summary'!AH47)="x",$BI135*AH135,VALUE('Capacity summary'!AH47)),0),AH135*$BI135),AH135*$BI135),0)</f>
        <v>4.615384615384615</v>
      </c>
      <c r="CL135" s="5">
        <f ca="1">IF($BI135&lt;&gt;"",IF('Capacity summary'!$C$14="Yes",IF(COUNTBLANK('Capacity summary'!$H47:$BG47)&lt;52,IF('Capacity summary'!AI47&lt;&gt;"",IF(LOWER('Capacity summary'!AI47)="x",$BI135*AI135,VALUE('Capacity summary'!AI47)),0),AI135*$BI135),AI135*$BI135),0)</f>
        <v>4.615384615384615</v>
      </c>
      <c r="CM135" s="5">
        <f ca="1">IF($BI135&lt;&gt;"",IF('Capacity summary'!$C$14="Yes",IF(COUNTBLANK('Capacity summary'!$H47:$BG47)&lt;52,IF('Capacity summary'!AJ47&lt;&gt;"",IF(LOWER('Capacity summary'!AJ47)="x",$BI135*AJ135,VALUE('Capacity summary'!AJ47)),0),AJ135*$BI135),AJ135*$BI135),0)</f>
        <v>4.615384615384615</v>
      </c>
      <c r="CN135" s="5">
        <f ca="1">IF($BI135&lt;&gt;"",IF('Capacity summary'!$C$14="Yes",IF(COUNTBLANK('Capacity summary'!$H47:$BG47)&lt;52,IF('Capacity summary'!AK47&lt;&gt;"",IF(LOWER('Capacity summary'!AK47)="x",$BI135*AK135,VALUE('Capacity summary'!AK47)),0),AK135*$BI135),AK135*$BI135),0)</f>
        <v>4.615384615384615</v>
      </c>
      <c r="CO135" s="5">
        <f ca="1">IF($BI135&lt;&gt;"",IF('Capacity summary'!$C$14="Yes",IF(COUNTBLANK('Capacity summary'!$H47:$BG47)&lt;52,IF('Capacity summary'!AL47&lt;&gt;"",IF(LOWER('Capacity summary'!AL47)="x",$BI135*AL135,VALUE('Capacity summary'!AL47)),0),AL135*$BI135),AL135*$BI135),0)</f>
        <v>4.615384615384615</v>
      </c>
      <c r="CP135" s="5">
        <f ca="1">IF($BI135&lt;&gt;"",IF('Capacity summary'!$C$14="Yes",IF(COUNTBLANK('Capacity summary'!$H47:$BG47)&lt;52,IF('Capacity summary'!AM47&lt;&gt;"",IF(LOWER('Capacity summary'!AM47)="x",$BI135*AM135,VALUE('Capacity summary'!AM47)),0),AM135*$BI135),AM135*$BI135),0)</f>
        <v>4.615384615384615</v>
      </c>
      <c r="CQ135" s="5">
        <f ca="1">IF($BI135&lt;&gt;"",IF('Capacity summary'!$C$14="Yes",IF(COUNTBLANK('Capacity summary'!$H47:$BG47)&lt;52,IF('Capacity summary'!AN47&lt;&gt;"",IF(LOWER('Capacity summary'!AN47)="x",$BI135*AN135,VALUE('Capacity summary'!AN47)),0),AN135*$BI135),AN135*$BI135),0)</f>
        <v>4.615384615384615</v>
      </c>
      <c r="CR135" s="5">
        <f ca="1">IF($BI135&lt;&gt;"",IF('Capacity summary'!$C$14="Yes",IF(COUNTBLANK('Capacity summary'!$H47:$BG47)&lt;52,IF('Capacity summary'!AO47&lt;&gt;"",IF(LOWER('Capacity summary'!AO47)="x",$BI135*AO135,VALUE('Capacity summary'!AO47)),0),AO135*$BI135),AO135*$BI135),0)</f>
        <v>4.615384615384615</v>
      </c>
      <c r="CS135" s="5">
        <f ca="1">IF($BI135&lt;&gt;"",IF('Capacity summary'!$C$14="Yes",IF(COUNTBLANK('Capacity summary'!$H47:$BG47)&lt;52,IF('Capacity summary'!AP47&lt;&gt;"",IF(LOWER('Capacity summary'!AP47)="x",$BI135*AP135,VALUE('Capacity summary'!AP47)),0),AP135*$BI135),AP135*$BI135),0)</f>
        <v>4.615384615384615</v>
      </c>
      <c r="CT135" s="5">
        <f ca="1">IF($BI135&lt;&gt;"",IF('Capacity summary'!$C$14="Yes",IF(COUNTBLANK('Capacity summary'!$H47:$BG47)&lt;52,IF('Capacity summary'!AQ47&lt;&gt;"",IF(LOWER('Capacity summary'!AQ47)="x",$BI135*AQ135,VALUE('Capacity summary'!AQ47)),0),AQ135*$BI135),AQ135*$BI135),0)</f>
        <v>4.615384615384615</v>
      </c>
      <c r="CU135" s="5">
        <f ca="1">IF($BI135&lt;&gt;"",IF('Capacity summary'!$C$14="Yes",IF(COUNTBLANK('Capacity summary'!$H47:$BG47)&lt;52,IF('Capacity summary'!AR47&lt;&gt;"",IF(LOWER('Capacity summary'!AR47)="x",$BI135*AR135,VALUE('Capacity summary'!AR47)),0),AR135*$BI135),AR135*$BI135),0)</f>
        <v>4.615384615384615</v>
      </c>
      <c r="CV135" s="5">
        <f ca="1">IF($BI135&lt;&gt;"",IF('Capacity summary'!$C$14="Yes",IF(COUNTBLANK('Capacity summary'!$H47:$BG47)&lt;52,IF('Capacity summary'!AS47&lt;&gt;"",IF(LOWER('Capacity summary'!AS47)="x",$BI135*AS135,VALUE('Capacity summary'!AS47)),0),AS135*$BI135),AS135*$BI135),0)</f>
        <v>4.615384615384615</v>
      </c>
      <c r="CW135" s="5">
        <f ca="1">IF($BI135&lt;&gt;"",IF('Capacity summary'!$C$14="Yes",IF(COUNTBLANK('Capacity summary'!$H47:$BG47)&lt;52,IF('Capacity summary'!AT47&lt;&gt;"",IF(LOWER('Capacity summary'!AT47)="x",$BI135*AT135,VALUE('Capacity summary'!AT47)),0),AT135*$BI135),AT135*$BI135),0)</f>
        <v>4.615384615384615</v>
      </c>
      <c r="CX135" s="5">
        <f ca="1">IF($BI135&lt;&gt;"",IF('Capacity summary'!$C$14="Yes",IF(COUNTBLANK('Capacity summary'!$H47:$BG47)&lt;52,IF('Capacity summary'!AU47&lt;&gt;"",IF(LOWER('Capacity summary'!AU47)="x",$BI135*AU135,VALUE('Capacity summary'!AU47)),0),AU135*$BI135),AU135*$BI135),0)</f>
        <v>4.615384615384615</v>
      </c>
      <c r="CY135" s="5">
        <f ca="1">IF($BI135&lt;&gt;"",IF('Capacity summary'!$C$14="Yes",IF(COUNTBLANK('Capacity summary'!$H47:$BG47)&lt;52,IF('Capacity summary'!AV47&lt;&gt;"",IF(LOWER('Capacity summary'!AV47)="x",$BI135*AV135,VALUE('Capacity summary'!AV47)),0),AV135*$BI135),AV135*$BI135),0)</f>
        <v>4.615384615384615</v>
      </c>
      <c r="CZ135" s="5">
        <f ca="1">IF($BI135&lt;&gt;"",IF('Capacity summary'!$C$14="Yes",IF(COUNTBLANK('Capacity summary'!$H47:$BG47)&lt;52,IF('Capacity summary'!AW47&lt;&gt;"",IF(LOWER('Capacity summary'!AW47)="x",$BI135*AW135,VALUE('Capacity summary'!AW47)),0),AW135*$BI135),AW135*$BI135),0)</f>
        <v>4.615384615384615</v>
      </c>
      <c r="DA135" s="5">
        <f ca="1">IF($BI135&lt;&gt;"",IF('Capacity summary'!$C$14="Yes",IF(COUNTBLANK('Capacity summary'!$H47:$BG47)&lt;52,IF('Capacity summary'!AX47&lt;&gt;"",IF(LOWER('Capacity summary'!AX47)="x",$BI135*AX135,VALUE('Capacity summary'!AX47)),0),AX135*$BI135),AX135*$BI135),0)</f>
        <v>4.615384615384615</v>
      </c>
      <c r="DB135" s="5">
        <f ca="1">IF($BI135&lt;&gt;"",IF('Capacity summary'!$C$14="Yes",IF(COUNTBLANK('Capacity summary'!$H47:$BG47)&lt;52,IF('Capacity summary'!AY47&lt;&gt;"",IF(LOWER('Capacity summary'!AY47)="x",$BI135*AY135,VALUE('Capacity summary'!AY47)),0),AY135*$BI135),AY135*$BI135),0)</f>
        <v>4.615384615384615</v>
      </c>
      <c r="DC135" s="5">
        <f ca="1">IF($BI135&lt;&gt;"",IF('Capacity summary'!$C$14="Yes",IF(COUNTBLANK('Capacity summary'!$H47:$BG47)&lt;52,IF('Capacity summary'!AZ47&lt;&gt;"",IF(LOWER('Capacity summary'!AZ47)="x",$BI135*AZ135,VALUE('Capacity summary'!AZ47)),0),AZ135*$BI135),AZ135*$BI135),0)</f>
        <v>4.615384615384615</v>
      </c>
      <c r="DD135" s="5">
        <f ca="1">IF($BI135&lt;&gt;"",IF('Capacity summary'!$C$14="Yes",IF(COUNTBLANK('Capacity summary'!$H47:$BG47)&lt;52,IF('Capacity summary'!BA47&lt;&gt;"",IF(LOWER('Capacity summary'!BA47)="x",$BI135*BA135,VALUE('Capacity summary'!BA47)),0),BA135*$BI135),BA135*$BI135),0)</f>
        <v>4.615384615384615</v>
      </c>
      <c r="DE135" s="5">
        <f ca="1">IF($BI135&lt;&gt;"",IF('Capacity summary'!$C$14="Yes",IF(COUNTBLANK('Capacity summary'!$H47:$BG47)&lt;52,IF('Capacity summary'!BB47&lt;&gt;"",IF(LOWER('Capacity summary'!BB47)="x",$BI135*BB135,VALUE('Capacity summary'!BB47)),0),BB135*$BI135),BB135*$BI135),0)</f>
        <v>4.615384615384615</v>
      </c>
      <c r="DF135" s="5">
        <f ca="1">IF($BI135&lt;&gt;"",IF('Capacity summary'!$C$14="Yes",IF(COUNTBLANK('Capacity summary'!$H47:$BG47)&lt;52,IF('Capacity summary'!BC47&lt;&gt;"",IF(LOWER('Capacity summary'!BC47)="x",$BI135*BC135,VALUE('Capacity summary'!BC47)),0),BC135*$BI135),BC135*$BI135),0)</f>
        <v>4.615384615384615</v>
      </c>
      <c r="DG135" s="5">
        <f ca="1">IF($BI135&lt;&gt;"",IF('Capacity summary'!$C$14="Yes",IF(COUNTBLANK('Capacity summary'!$H47:$BG47)&lt;52,IF('Capacity summary'!BD47&lt;&gt;"",IF(LOWER('Capacity summary'!BD47)="x",$BI135*BD135,VALUE('Capacity summary'!BD47)),0),BD135*$BI135),BD135*$BI135),0)</f>
        <v>4.615384615384615</v>
      </c>
      <c r="DH135" s="5">
        <f ca="1">IF($BI135&lt;&gt;"",IF('Capacity summary'!$C$14="Yes",IF(COUNTBLANK('Capacity summary'!$H47:$BG47)&lt;52,IF('Capacity summary'!BE47&lt;&gt;"",IF(LOWER('Capacity summary'!BE47)="x",$BI135*BE135,VALUE('Capacity summary'!BE47)),0),BE135*$BI135),BE135*$BI135),0)</f>
        <v>4.615384615384615</v>
      </c>
      <c r="DI135" s="5">
        <f ca="1">IF($BI135&lt;&gt;"",IF('Capacity summary'!$C$14="Yes",IF(COUNTBLANK('Capacity summary'!$H47:$BG47)&lt;52,IF('Capacity summary'!BF47&lt;&gt;"",IF(LOWER('Capacity summary'!BF47)="x",$BI135*BF135,VALUE('Capacity summary'!BF47)),0),BF135*$BI135),BF135*$BI135),0)</f>
        <v>4.615384615384615</v>
      </c>
      <c r="DJ135" s="5">
        <f ca="1">IF($BI135&lt;&gt;"",IF('Capacity summary'!$C$14="Yes",IF(COUNTBLANK('Capacity summary'!$H47:$BG47)&lt;52,IF('Capacity summary'!BG47&lt;&gt;"",IF(LOWER('Capacity summary'!BG47)="x",$BI135*BG135,VALUE('Capacity summary'!BG47)),0),BG135*$BI135),BG135*$BI135),0)</f>
        <v>4.615384615384615</v>
      </c>
      <c r="DK135" s="388">
        <f t="shared" ca="1" si="8"/>
        <v>4.615384615384615</v>
      </c>
      <c r="DL135" s="5">
        <f t="shared" ca="1" si="9"/>
        <v>239.99999999999991</v>
      </c>
    </row>
    <row r="136" spans="3:116" x14ac:dyDescent="0.2">
      <c r="C136" s="67" t="str">
        <f>ROW(A25)&amp;". "&amp;Capacity!N41</f>
        <v>25. 44391</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 ca="1">IF(ROW(A25)&lt;=Capacity!$M$16,IF('Capacity summary'!$C$14="No",SUM(H136:BG136),'Capacity summary'!$E48),0)</f>
        <v>52</v>
      </c>
      <c r="BI136" s="67">
        <f ca="1">IF(BH136&gt;0,IF(BH136&lt;Capacity!Q41,Capacity!R41,Capacity!T41/'Capacity calculation (hide)'!BH136),"")</f>
        <v>8.0769230769230766</v>
      </c>
      <c r="BJ136" s="5"/>
      <c r="BK136" s="5">
        <f ca="1">IF($BI136&lt;&gt;"",IF('Capacity summary'!$C$14="Yes",IF(COUNTBLANK('Capacity summary'!$H48:$BG48)&lt;52,IF('Capacity summary'!H48&lt;&gt;"",IF(LOWER('Capacity summary'!H48)="x",$BI136*H136,VALUE('Capacity summary'!H48)),0),H136*$BI136),H136*$BI136),0)</f>
        <v>8.0769230769230766</v>
      </c>
      <c r="BL136" s="5">
        <f ca="1">IF($BI136&lt;&gt;"",IF('Capacity summary'!$C$14="Yes",IF(COUNTBLANK('Capacity summary'!$H48:$BG48)&lt;52,IF('Capacity summary'!I48&lt;&gt;"",IF(LOWER('Capacity summary'!I48)="x",$BI136*I136,VALUE('Capacity summary'!I48)),0),I136*$BI136),I136*$BI136),0)</f>
        <v>8.0769230769230766</v>
      </c>
      <c r="BM136" s="5">
        <f ca="1">IF($BI136&lt;&gt;"",IF('Capacity summary'!$C$14="Yes",IF(COUNTBLANK('Capacity summary'!$H48:$BG48)&lt;52,IF('Capacity summary'!J48&lt;&gt;"",IF(LOWER('Capacity summary'!J48)="x",$BI136*J136,VALUE('Capacity summary'!J48)),0),J136*$BI136),J136*$BI136),0)</f>
        <v>8.0769230769230766</v>
      </c>
      <c r="BN136" s="5">
        <f ca="1">IF($BI136&lt;&gt;"",IF('Capacity summary'!$C$14="Yes",IF(COUNTBLANK('Capacity summary'!$H48:$BG48)&lt;52,IF('Capacity summary'!K48&lt;&gt;"",IF(LOWER('Capacity summary'!K48)="x",$BI136*K136,VALUE('Capacity summary'!K48)),0),K136*$BI136),K136*$BI136),0)</f>
        <v>8.0769230769230766</v>
      </c>
      <c r="BO136" s="5">
        <f ca="1">IF($BI136&lt;&gt;"",IF('Capacity summary'!$C$14="Yes",IF(COUNTBLANK('Capacity summary'!$H48:$BG48)&lt;52,IF('Capacity summary'!L48&lt;&gt;"",IF(LOWER('Capacity summary'!L48)="x",$BI136*L136,VALUE('Capacity summary'!L48)),0),L136*$BI136),L136*$BI136),0)</f>
        <v>8.0769230769230766</v>
      </c>
      <c r="BP136" s="5">
        <f ca="1">IF($BI136&lt;&gt;"",IF('Capacity summary'!$C$14="Yes",IF(COUNTBLANK('Capacity summary'!$H48:$BG48)&lt;52,IF('Capacity summary'!M48&lt;&gt;"",IF(LOWER('Capacity summary'!M48)="x",$BI136*M136,VALUE('Capacity summary'!M48)),0),M136*$BI136),M136*$BI136),0)</f>
        <v>8.0769230769230766</v>
      </c>
      <c r="BQ136" s="5">
        <f ca="1">IF($BI136&lt;&gt;"",IF('Capacity summary'!$C$14="Yes",IF(COUNTBLANK('Capacity summary'!$H48:$BG48)&lt;52,IF('Capacity summary'!N48&lt;&gt;"",IF(LOWER('Capacity summary'!N48)="x",$BI136*N136,VALUE('Capacity summary'!N48)),0),N136*$BI136),N136*$BI136),0)</f>
        <v>8.0769230769230766</v>
      </c>
      <c r="BR136" s="5">
        <f ca="1">IF($BI136&lt;&gt;"",IF('Capacity summary'!$C$14="Yes",IF(COUNTBLANK('Capacity summary'!$H48:$BG48)&lt;52,IF('Capacity summary'!O48&lt;&gt;"",IF(LOWER('Capacity summary'!O48)="x",$BI136*O136,VALUE('Capacity summary'!O48)),0),O136*$BI136),O136*$BI136),0)</f>
        <v>8.0769230769230766</v>
      </c>
      <c r="BS136" s="5">
        <f ca="1">IF($BI136&lt;&gt;"",IF('Capacity summary'!$C$14="Yes",IF(COUNTBLANK('Capacity summary'!$H48:$BG48)&lt;52,IF('Capacity summary'!P48&lt;&gt;"",IF(LOWER('Capacity summary'!P48)="x",$BI136*P136,VALUE('Capacity summary'!P48)),0),P136*$BI136),P136*$BI136),0)</f>
        <v>8.0769230769230766</v>
      </c>
      <c r="BT136" s="5">
        <f ca="1">IF($BI136&lt;&gt;"",IF('Capacity summary'!$C$14="Yes",IF(COUNTBLANK('Capacity summary'!$H48:$BG48)&lt;52,IF('Capacity summary'!Q48&lt;&gt;"",IF(LOWER('Capacity summary'!Q48)="x",$BI136*Q136,VALUE('Capacity summary'!Q48)),0),Q136*$BI136),Q136*$BI136),0)</f>
        <v>8.0769230769230766</v>
      </c>
      <c r="BU136" s="5">
        <f ca="1">IF($BI136&lt;&gt;"",IF('Capacity summary'!$C$14="Yes",IF(COUNTBLANK('Capacity summary'!$H48:$BG48)&lt;52,IF('Capacity summary'!R48&lt;&gt;"",IF(LOWER('Capacity summary'!R48)="x",$BI136*R136,VALUE('Capacity summary'!R48)),0),R136*$BI136),R136*$BI136),0)</f>
        <v>8.0769230769230766</v>
      </c>
      <c r="BV136" s="5">
        <f ca="1">IF($BI136&lt;&gt;"",IF('Capacity summary'!$C$14="Yes",IF(COUNTBLANK('Capacity summary'!$H48:$BG48)&lt;52,IF('Capacity summary'!S48&lt;&gt;"",IF(LOWER('Capacity summary'!S48)="x",$BI136*S136,VALUE('Capacity summary'!S48)),0),S136*$BI136),S136*$BI136),0)</f>
        <v>8.0769230769230766</v>
      </c>
      <c r="BW136" s="5">
        <f ca="1">IF($BI136&lt;&gt;"",IF('Capacity summary'!$C$14="Yes",IF(COUNTBLANK('Capacity summary'!$H48:$BG48)&lt;52,IF('Capacity summary'!T48&lt;&gt;"",IF(LOWER('Capacity summary'!T48)="x",$BI136*T136,VALUE('Capacity summary'!T48)),0),T136*$BI136),T136*$BI136),0)</f>
        <v>8.0769230769230766</v>
      </c>
      <c r="BX136" s="5">
        <f ca="1">IF($BI136&lt;&gt;"",IF('Capacity summary'!$C$14="Yes",IF(COUNTBLANK('Capacity summary'!$H48:$BG48)&lt;52,IF('Capacity summary'!U48&lt;&gt;"",IF(LOWER('Capacity summary'!U48)="x",$BI136*U136,VALUE('Capacity summary'!U48)),0),U136*$BI136),U136*$BI136),0)</f>
        <v>8.0769230769230766</v>
      </c>
      <c r="BY136" s="5">
        <f ca="1">IF($BI136&lt;&gt;"",IF('Capacity summary'!$C$14="Yes",IF(COUNTBLANK('Capacity summary'!$H48:$BG48)&lt;52,IF('Capacity summary'!V48&lt;&gt;"",IF(LOWER('Capacity summary'!V48)="x",$BI136*V136,VALUE('Capacity summary'!V48)),0),V136*$BI136),V136*$BI136),0)</f>
        <v>8.0769230769230766</v>
      </c>
      <c r="BZ136" s="5">
        <f ca="1">IF($BI136&lt;&gt;"",IF('Capacity summary'!$C$14="Yes",IF(COUNTBLANK('Capacity summary'!$H48:$BG48)&lt;52,IF('Capacity summary'!W48&lt;&gt;"",IF(LOWER('Capacity summary'!W48)="x",$BI136*W136,VALUE('Capacity summary'!W48)),0),W136*$BI136),W136*$BI136),0)</f>
        <v>8.0769230769230766</v>
      </c>
      <c r="CA136" s="5">
        <f ca="1">IF($BI136&lt;&gt;"",IF('Capacity summary'!$C$14="Yes",IF(COUNTBLANK('Capacity summary'!$H48:$BG48)&lt;52,IF('Capacity summary'!X48&lt;&gt;"",IF(LOWER('Capacity summary'!X48)="x",$BI136*X136,VALUE('Capacity summary'!X48)),0),X136*$BI136),X136*$BI136),0)</f>
        <v>8.0769230769230766</v>
      </c>
      <c r="CB136" s="5">
        <f ca="1">IF($BI136&lt;&gt;"",IF('Capacity summary'!$C$14="Yes",IF(COUNTBLANK('Capacity summary'!$H48:$BG48)&lt;52,IF('Capacity summary'!Y48&lt;&gt;"",IF(LOWER('Capacity summary'!Y48)="x",$BI136*Y136,VALUE('Capacity summary'!Y48)),0),Y136*$BI136),Y136*$BI136),0)</f>
        <v>8.0769230769230766</v>
      </c>
      <c r="CC136" s="5">
        <f ca="1">IF($BI136&lt;&gt;"",IF('Capacity summary'!$C$14="Yes",IF(COUNTBLANK('Capacity summary'!$H48:$BG48)&lt;52,IF('Capacity summary'!Z48&lt;&gt;"",IF(LOWER('Capacity summary'!Z48)="x",$BI136*Z136,VALUE('Capacity summary'!Z48)),0),Z136*$BI136),Z136*$BI136),0)</f>
        <v>8.0769230769230766</v>
      </c>
      <c r="CD136" s="5">
        <f ca="1">IF($BI136&lt;&gt;"",IF('Capacity summary'!$C$14="Yes",IF(COUNTBLANK('Capacity summary'!$H48:$BG48)&lt;52,IF('Capacity summary'!AA48&lt;&gt;"",IF(LOWER('Capacity summary'!AA48)="x",$BI136*AA136,VALUE('Capacity summary'!AA48)),0),AA136*$BI136),AA136*$BI136),0)</f>
        <v>8.0769230769230766</v>
      </c>
      <c r="CE136" s="5">
        <f ca="1">IF($BI136&lt;&gt;"",IF('Capacity summary'!$C$14="Yes",IF(COUNTBLANK('Capacity summary'!$H48:$BG48)&lt;52,IF('Capacity summary'!AB48&lt;&gt;"",IF(LOWER('Capacity summary'!AB48)="x",$BI136*AB136,VALUE('Capacity summary'!AB48)),0),AB136*$BI136),AB136*$BI136),0)</f>
        <v>8.0769230769230766</v>
      </c>
      <c r="CF136" s="5">
        <f ca="1">IF($BI136&lt;&gt;"",IF('Capacity summary'!$C$14="Yes",IF(COUNTBLANK('Capacity summary'!$H48:$BG48)&lt;52,IF('Capacity summary'!AC48&lt;&gt;"",IF(LOWER('Capacity summary'!AC48)="x",$BI136*AC136,VALUE('Capacity summary'!AC48)),0),AC136*$BI136),AC136*$BI136),0)</f>
        <v>8.0769230769230766</v>
      </c>
      <c r="CG136" s="5">
        <f ca="1">IF($BI136&lt;&gt;"",IF('Capacity summary'!$C$14="Yes",IF(COUNTBLANK('Capacity summary'!$H48:$BG48)&lt;52,IF('Capacity summary'!AD48&lt;&gt;"",IF(LOWER('Capacity summary'!AD48)="x",$BI136*AD136,VALUE('Capacity summary'!AD48)),0),AD136*$BI136),AD136*$BI136),0)</f>
        <v>8.0769230769230766</v>
      </c>
      <c r="CH136" s="5">
        <f ca="1">IF($BI136&lt;&gt;"",IF('Capacity summary'!$C$14="Yes",IF(COUNTBLANK('Capacity summary'!$H48:$BG48)&lt;52,IF('Capacity summary'!AE48&lt;&gt;"",IF(LOWER('Capacity summary'!AE48)="x",$BI136*AE136,VALUE('Capacity summary'!AE48)),0),AE136*$BI136),AE136*$BI136),0)</f>
        <v>8.0769230769230766</v>
      </c>
      <c r="CI136" s="5">
        <f ca="1">IF($BI136&lt;&gt;"",IF('Capacity summary'!$C$14="Yes",IF(COUNTBLANK('Capacity summary'!$H48:$BG48)&lt;52,IF('Capacity summary'!AF48&lt;&gt;"",IF(LOWER('Capacity summary'!AF48)="x",$BI136*AF136,VALUE('Capacity summary'!AF48)),0),AF136*$BI136),AF136*$BI136),0)</f>
        <v>8.0769230769230766</v>
      </c>
      <c r="CJ136" s="5">
        <f ca="1">IF($BI136&lt;&gt;"",IF('Capacity summary'!$C$14="Yes",IF(COUNTBLANK('Capacity summary'!$H48:$BG48)&lt;52,IF('Capacity summary'!AG48&lt;&gt;"",IF(LOWER('Capacity summary'!AG48)="x",$BI136*AG136,VALUE('Capacity summary'!AG48)),0),AG136*$BI136),AG136*$BI136),0)</f>
        <v>8.0769230769230766</v>
      </c>
      <c r="CK136" s="5">
        <f ca="1">IF($BI136&lt;&gt;"",IF('Capacity summary'!$C$14="Yes",IF(COUNTBLANK('Capacity summary'!$H48:$BG48)&lt;52,IF('Capacity summary'!AH48&lt;&gt;"",IF(LOWER('Capacity summary'!AH48)="x",$BI136*AH136,VALUE('Capacity summary'!AH48)),0),AH136*$BI136),AH136*$BI136),0)</f>
        <v>8.0769230769230766</v>
      </c>
      <c r="CL136" s="5">
        <f ca="1">IF($BI136&lt;&gt;"",IF('Capacity summary'!$C$14="Yes",IF(COUNTBLANK('Capacity summary'!$H48:$BG48)&lt;52,IF('Capacity summary'!AI48&lt;&gt;"",IF(LOWER('Capacity summary'!AI48)="x",$BI136*AI136,VALUE('Capacity summary'!AI48)),0),AI136*$BI136),AI136*$BI136),0)</f>
        <v>8.0769230769230766</v>
      </c>
      <c r="CM136" s="5">
        <f ca="1">IF($BI136&lt;&gt;"",IF('Capacity summary'!$C$14="Yes",IF(COUNTBLANK('Capacity summary'!$H48:$BG48)&lt;52,IF('Capacity summary'!AJ48&lt;&gt;"",IF(LOWER('Capacity summary'!AJ48)="x",$BI136*AJ136,VALUE('Capacity summary'!AJ48)),0),AJ136*$BI136),AJ136*$BI136),0)</f>
        <v>8.0769230769230766</v>
      </c>
      <c r="CN136" s="5">
        <f ca="1">IF($BI136&lt;&gt;"",IF('Capacity summary'!$C$14="Yes",IF(COUNTBLANK('Capacity summary'!$H48:$BG48)&lt;52,IF('Capacity summary'!AK48&lt;&gt;"",IF(LOWER('Capacity summary'!AK48)="x",$BI136*AK136,VALUE('Capacity summary'!AK48)),0),AK136*$BI136),AK136*$BI136),0)</f>
        <v>8.0769230769230766</v>
      </c>
      <c r="CO136" s="5">
        <f ca="1">IF($BI136&lt;&gt;"",IF('Capacity summary'!$C$14="Yes",IF(COUNTBLANK('Capacity summary'!$H48:$BG48)&lt;52,IF('Capacity summary'!AL48&lt;&gt;"",IF(LOWER('Capacity summary'!AL48)="x",$BI136*AL136,VALUE('Capacity summary'!AL48)),0),AL136*$BI136),AL136*$BI136),0)</f>
        <v>8.0769230769230766</v>
      </c>
      <c r="CP136" s="5">
        <f ca="1">IF($BI136&lt;&gt;"",IF('Capacity summary'!$C$14="Yes",IF(COUNTBLANK('Capacity summary'!$H48:$BG48)&lt;52,IF('Capacity summary'!AM48&lt;&gt;"",IF(LOWER('Capacity summary'!AM48)="x",$BI136*AM136,VALUE('Capacity summary'!AM48)),0),AM136*$BI136),AM136*$BI136),0)</f>
        <v>8.0769230769230766</v>
      </c>
      <c r="CQ136" s="5">
        <f ca="1">IF($BI136&lt;&gt;"",IF('Capacity summary'!$C$14="Yes",IF(COUNTBLANK('Capacity summary'!$H48:$BG48)&lt;52,IF('Capacity summary'!AN48&lt;&gt;"",IF(LOWER('Capacity summary'!AN48)="x",$BI136*AN136,VALUE('Capacity summary'!AN48)),0),AN136*$BI136),AN136*$BI136),0)</f>
        <v>8.0769230769230766</v>
      </c>
      <c r="CR136" s="5">
        <f ca="1">IF($BI136&lt;&gt;"",IF('Capacity summary'!$C$14="Yes",IF(COUNTBLANK('Capacity summary'!$H48:$BG48)&lt;52,IF('Capacity summary'!AO48&lt;&gt;"",IF(LOWER('Capacity summary'!AO48)="x",$BI136*AO136,VALUE('Capacity summary'!AO48)),0),AO136*$BI136),AO136*$BI136),0)</f>
        <v>8.0769230769230766</v>
      </c>
      <c r="CS136" s="5">
        <f ca="1">IF($BI136&lt;&gt;"",IF('Capacity summary'!$C$14="Yes",IF(COUNTBLANK('Capacity summary'!$H48:$BG48)&lt;52,IF('Capacity summary'!AP48&lt;&gt;"",IF(LOWER('Capacity summary'!AP48)="x",$BI136*AP136,VALUE('Capacity summary'!AP48)),0),AP136*$BI136),AP136*$BI136),0)</f>
        <v>8.0769230769230766</v>
      </c>
      <c r="CT136" s="5">
        <f ca="1">IF($BI136&lt;&gt;"",IF('Capacity summary'!$C$14="Yes",IF(COUNTBLANK('Capacity summary'!$H48:$BG48)&lt;52,IF('Capacity summary'!AQ48&lt;&gt;"",IF(LOWER('Capacity summary'!AQ48)="x",$BI136*AQ136,VALUE('Capacity summary'!AQ48)),0),AQ136*$BI136),AQ136*$BI136),0)</f>
        <v>8.0769230769230766</v>
      </c>
      <c r="CU136" s="5">
        <f ca="1">IF($BI136&lt;&gt;"",IF('Capacity summary'!$C$14="Yes",IF(COUNTBLANK('Capacity summary'!$H48:$BG48)&lt;52,IF('Capacity summary'!AR48&lt;&gt;"",IF(LOWER('Capacity summary'!AR48)="x",$BI136*AR136,VALUE('Capacity summary'!AR48)),0),AR136*$BI136),AR136*$BI136),0)</f>
        <v>8.0769230769230766</v>
      </c>
      <c r="CV136" s="5">
        <f ca="1">IF($BI136&lt;&gt;"",IF('Capacity summary'!$C$14="Yes",IF(COUNTBLANK('Capacity summary'!$H48:$BG48)&lt;52,IF('Capacity summary'!AS48&lt;&gt;"",IF(LOWER('Capacity summary'!AS48)="x",$BI136*AS136,VALUE('Capacity summary'!AS48)),0),AS136*$BI136),AS136*$BI136),0)</f>
        <v>8.0769230769230766</v>
      </c>
      <c r="CW136" s="5">
        <f ca="1">IF($BI136&lt;&gt;"",IF('Capacity summary'!$C$14="Yes",IF(COUNTBLANK('Capacity summary'!$H48:$BG48)&lt;52,IF('Capacity summary'!AT48&lt;&gt;"",IF(LOWER('Capacity summary'!AT48)="x",$BI136*AT136,VALUE('Capacity summary'!AT48)),0),AT136*$BI136),AT136*$BI136),0)</f>
        <v>8.0769230769230766</v>
      </c>
      <c r="CX136" s="5">
        <f ca="1">IF($BI136&lt;&gt;"",IF('Capacity summary'!$C$14="Yes",IF(COUNTBLANK('Capacity summary'!$H48:$BG48)&lt;52,IF('Capacity summary'!AU48&lt;&gt;"",IF(LOWER('Capacity summary'!AU48)="x",$BI136*AU136,VALUE('Capacity summary'!AU48)),0),AU136*$BI136),AU136*$BI136),0)</f>
        <v>8.0769230769230766</v>
      </c>
      <c r="CY136" s="5">
        <f ca="1">IF($BI136&lt;&gt;"",IF('Capacity summary'!$C$14="Yes",IF(COUNTBLANK('Capacity summary'!$H48:$BG48)&lt;52,IF('Capacity summary'!AV48&lt;&gt;"",IF(LOWER('Capacity summary'!AV48)="x",$BI136*AV136,VALUE('Capacity summary'!AV48)),0),AV136*$BI136),AV136*$BI136),0)</f>
        <v>8.0769230769230766</v>
      </c>
      <c r="CZ136" s="5">
        <f ca="1">IF($BI136&lt;&gt;"",IF('Capacity summary'!$C$14="Yes",IF(COUNTBLANK('Capacity summary'!$H48:$BG48)&lt;52,IF('Capacity summary'!AW48&lt;&gt;"",IF(LOWER('Capacity summary'!AW48)="x",$BI136*AW136,VALUE('Capacity summary'!AW48)),0),AW136*$BI136),AW136*$BI136),0)</f>
        <v>8.0769230769230766</v>
      </c>
      <c r="DA136" s="5">
        <f ca="1">IF($BI136&lt;&gt;"",IF('Capacity summary'!$C$14="Yes",IF(COUNTBLANK('Capacity summary'!$H48:$BG48)&lt;52,IF('Capacity summary'!AX48&lt;&gt;"",IF(LOWER('Capacity summary'!AX48)="x",$BI136*AX136,VALUE('Capacity summary'!AX48)),0),AX136*$BI136),AX136*$BI136),0)</f>
        <v>8.0769230769230766</v>
      </c>
      <c r="DB136" s="5">
        <f ca="1">IF($BI136&lt;&gt;"",IF('Capacity summary'!$C$14="Yes",IF(COUNTBLANK('Capacity summary'!$H48:$BG48)&lt;52,IF('Capacity summary'!AY48&lt;&gt;"",IF(LOWER('Capacity summary'!AY48)="x",$BI136*AY136,VALUE('Capacity summary'!AY48)),0),AY136*$BI136),AY136*$BI136),0)</f>
        <v>8.0769230769230766</v>
      </c>
      <c r="DC136" s="5">
        <f ca="1">IF($BI136&lt;&gt;"",IF('Capacity summary'!$C$14="Yes",IF(COUNTBLANK('Capacity summary'!$H48:$BG48)&lt;52,IF('Capacity summary'!AZ48&lt;&gt;"",IF(LOWER('Capacity summary'!AZ48)="x",$BI136*AZ136,VALUE('Capacity summary'!AZ48)),0),AZ136*$BI136),AZ136*$BI136),0)</f>
        <v>8.0769230769230766</v>
      </c>
      <c r="DD136" s="5">
        <f ca="1">IF($BI136&lt;&gt;"",IF('Capacity summary'!$C$14="Yes",IF(COUNTBLANK('Capacity summary'!$H48:$BG48)&lt;52,IF('Capacity summary'!BA48&lt;&gt;"",IF(LOWER('Capacity summary'!BA48)="x",$BI136*BA136,VALUE('Capacity summary'!BA48)),0),BA136*$BI136),BA136*$BI136),0)</f>
        <v>8.0769230769230766</v>
      </c>
      <c r="DE136" s="5">
        <f ca="1">IF($BI136&lt;&gt;"",IF('Capacity summary'!$C$14="Yes",IF(COUNTBLANK('Capacity summary'!$H48:$BG48)&lt;52,IF('Capacity summary'!BB48&lt;&gt;"",IF(LOWER('Capacity summary'!BB48)="x",$BI136*BB136,VALUE('Capacity summary'!BB48)),0),BB136*$BI136),BB136*$BI136),0)</f>
        <v>8.0769230769230766</v>
      </c>
      <c r="DF136" s="5">
        <f ca="1">IF($BI136&lt;&gt;"",IF('Capacity summary'!$C$14="Yes",IF(COUNTBLANK('Capacity summary'!$H48:$BG48)&lt;52,IF('Capacity summary'!BC48&lt;&gt;"",IF(LOWER('Capacity summary'!BC48)="x",$BI136*BC136,VALUE('Capacity summary'!BC48)),0),BC136*$BI136),BC136*$BI136),0)</f>
        <v>8.0769230769230766</v>
      </c>
      <c r="DG136" s="5">
        <f ca="1">IF($BI136&lt;&gt;"",IF('Capacity summary'!$C$14="Yes",IF(COUNTBLANK('Capacity summary'!$H48:$BG48)&lt;52,IF('Capacity summary'!BD48&lt;&gt;"",IF(LOWER('Capacity summary'!BD48)="x",$BI136*BD136,VALUE('Capacity summary'!BD48)),0),BD136*$BI136),BD136*$BI136),0)</f>
        <v>8.0769230769230766</v>
      </c>
      <c r="DH136" s="5">
        <f ca="1">IF($BI136&lt;&gt;"",IF('Capacity summary'!$C$14="Yes",IF(COUNTBLANK('Capacity summary'!$H48:$BG48)&lt;52,IF('Capacity summary'!BE48&lt;&gt;"",IF(LOWER('Capacity summary'!BE48)="x",$BI136*BE136,VALUE('Capacity summary'!BE48)),0),BE136*$BI136),BE136*$BI136),0)</f>
        <v>8.0769230769230766</v>
      </c>
      <c r="DI136" s="5">
        <f ca="1">IF($BI136&lt;&gt;"",IF('Capacity summary'!$C$14="Yes",IF(COUNTBLANK('Capacity summary'!$H48:$BG48)&lt;52,IF('Capacity summary'!BF48&lt;&gt;"",IF(LOWER('Capacity summary'!BF48)="x",$BI136*BF136,VALUE('Capacity summary'!BF48)),0),BF136*$BI136),BF136*$BI136),0)</f>
        <v>8.0769230769230766</v>
      </c>
      <c r="DJ136" s="5">
        <f ca="1">IF($BI136&lt;&gt;"",IF('Capacity summary'!$C$14="Yes",IF(COUNTBLANK('Capacity summary'!$H48:$BG48)&lt;52,IF('Capacity summary'!BG48&lt;&gt;"",IF(LOWER('Capacity summary'!BG48)="x",$BI136*BG136,VALUE('Capacity summary'!BG48)),0),BG136*$BI136),BG136*$BI136),0)</f>
        <v>8.0769230769230766</v>
      </c>
      <c r="DK136" s="388">
        <f t="shared" ca="1" si="8"/>
        <v>8.0769230769230766</v>
      </c>
      <c r="DL136" s="5">
        <f t="shared" ca="1" si="9"/>
        <v>420.00000000000023</v>
      </c>
    </row>
    <row r="137" spans="3:116" x14ac:dyDescent="0.2">
      <c r="C137" s="67" t="str">
        <f>ROW(A26)&amp;". "&amp;Capacity!N42</f>
        <v>26. 44392</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 ca="1">IF(ROW(A26)&lt;=Capacity!$M$16,IF('Capacity summary'!$C$14="No",SUM(H137:BG137),'Capacity summary'!$E49),0)</f>
        <v>52</v>
      </c>
      <c r="BI137" s="67">
        <f ca="1">IF(BH137&gt;0,IF(BH137&lt;Capacity!Q42,Capacity!R42,Capacity!T42/'Capacity calculation (hide)'!BH137),"")</f>
        <v>8.0769230769230766</v>
      </c>
      <c r="BJ137" s="5"/>
      <c r="BK137" s="5">
        <f ca="1">IF($BI137&lt;&gt;"",IF('Capacity summary'!$C$14="Yes",IF(COUNTBLANK('Capacity summary'!$H49:$BG49)&lt;52,IF('Capacity summary'!H49&lt;&gt;"",IF(LOWER('Capacity summary'!H49)="x",$BI137*H137,VALUE('Capacity summary'!H49)),0),H137*$BI137),H137*$BI137),0)</f>
        <v>8.0769230769230766</v>
      </c>
      <c r="BL137" s="5">
        <f ca="1">IF($BI137&lt;&gt;"",IF('Capacity summary'!$C$14="Yes",IF(COUNTBLANK('Capacity summary'!$H49:$BG49)&lt;52,IF('Capacity summary'!I49&lt;&gt;"",IF(LOWER('Capacity summary'!I49)="x",$BI137*I137,VALUE('Capacity summary'!I49)),0),I137*$BI137),I137*$BI137),0)</f>
        <v>8.0769230769230766</v>
      </c>
      <c r="BM137" s="5">
        <f ca="1">IF($BI137&lt;&gt;"",IF('Capacity summary'!$C$14="Yes",IF(COUNTBLANK('Capacity summary'!$H49:$BG49)&lt;52,IF('Capacity summary'!J49&lt;&gt;"",IF(LOWER('Capacity summary'!J49)="x",$BI137*J137,VALUE('Capacity summary'!J49)),0),J137*$BI137),J137*$BI137),0)</f>
        <v>8.0769230769230766</v>
      </c>
      <c r="BN137" s="5">
        <f ca="1">IF($BI137&lt;&gt;"",IF('Capacity summary'!$C$14="Yes",IF(COUNTBLANK('Capacity summary'!$H49:$BG49)&lt;52,IF('Capacity summary'!K49&lt;&gt;"",IF(LOWER('Capacity summary'!K49)="x",$BI137*K137,VALUE('Capacity summary'!K49)),0),K137*$BI137),K137*$BI137),0)</f>
        <v>8.0769230769230766</v>
      </c>
      <c r="BO137" s="5">
        <f ca="1">IF($BI137&lt;&gt;"",IF('Capacity summary'!$C$14="Yes",IF(COUNTBLANK('Capacity summary'!$H49:$BG49)&lt;52,IF('Capacity summary'!L49&lt;&gt;"",IF(LOWER('Capacity summary'!L49)="x",$BI137*L137,VALUE('Capacity summary'!L49)),0),L137*$BI137),L137*$BI137),0)</f>
        <v>8.0769230769230766</v>
      </c>
      <c r="BP137" s="5">
        <f ca="1">IF($BI137&lt;&gt;"",IF('Capacity summary'!$C$14="Yes",IF(COUNTBLANK('Capacity summary'!$H49:$BG49)&lt;52,IF('Capacity summary'!M49&lt;&gt;"",IF(LOWER('Capacity summary'!M49)="x",$BI137*M137,VALUE('Capacity summary'!M49)),0),M137*$BI137),M137*$BI137),0)</f>
        <v>8.0769230769230766</v>
      </c>
      <c r="BQ137" s="5">
        <f ca="1">IF($BI137&lt;&gt;"",IF('Capacity summary'!$C$14="Yes",IF(COUNTBLANK('Capacity summary'!$H49:$BG49)&lt;52,IF('Capacity summary'!N49&lt;&gt;"",IF(LOWER('Capacity summary'!N49)="x",$BI137*N137,VALUE('Capacity summary'!N49)),0),N137*$BI137),N137*$BI137),0)</f>
        <v>8.0769230769230766</v>
      </c>
      <c r="BR137" s="5">
        <f ca="1">IF($BI137&lt;&gt;"",IF('Capacity summary'!$C$14="Yes",IF(COUNTBLANK('Capacity summary'!$H49:$BG49)&lt;52,IF('Capacity summary'!O49&lt;&gt;"",IF(LOWER('Capacity summary'!O49)="x",$BI137*O137,VALUE('Capacity summary'!O49)),0),O137*$BI137),O137*$BI137),0)</f>
        <v>8.0769230769230766</v>
      </c>
      <c r="BS137" s="5">
        <f ca="1">IF($BI137&lt;&gt;"",IF('Capacity summary'!$C$14="Yes",IF(COUNTBLANK('Capacity summary'!$H49:$BG49)&lt;52,IF('Capacity summary'!P49&lt;&gt;"",IF(LOWER('Capacity summary'!P49)="x",$BI137*P137,VALUE('Capacity summary'!P49)),0),P137*$BI137),P137*$BI137),0)</f>
        <v>8.0769230769230766</v>
      </c>
      <c r="BT137" s="5">
        <f ca="1">IF($BI137&lt;&gt;"",IF('Capacity summary'!$C$14="Yes",IF(COUNTBLANK('Capacity summary'!$H49:$BG49)&lt;52,IF('Capacity summary'!Q49&lt;&gt;"",IF(LOWER('Capacity summary'!Q49)="x",$BI137*Q137,VALUE('Capacity summary'!Q49)),0),Q137*$BI137),Q137*$BI137),0)</f>
        <v>8.0769230769230766</v>
      </c>
      <c r="BU137" s="5">
        <f ca="1">IF($BI137&lt;&gt;"",IF('Capacity summary'!$C$14="Yes",IF(COUNTBLANK('Capacity summary'!$H49:$BG49)&lt;52,IF('Capacity summary'!R49&lt;&gt;"",IF(LOWER('Capacity summary'!R49)="x",$BI137*R137,VALUE('Capacity summary'!R49)),0),R137*$BI137),R137*$BI137),0)</f>
        <v>8.0769230769230766</v>
      </c>
      <c r="BV137" s="5">
        <f ca="1">IF($BI137&lt;&gt;"",IF('Capacity summary'!$C$14="Yes",IF(COUNTBLANK('Capacity summary'!$H49:$BG49)&lt;52,IF('Capacity summary'!S49&lt;&gt;"",IF(LOWER('Capacity summary'!S49)="x",$BI137*S137,VALUE('Capacity summary'!S49)),0),S137*$BI137),S137*$BI137),0)</f>
        <v>8.0769230769230766</v>
      </c>
      <c r="BW137" s="5">
        <f ca="1">IF($BI137&lt;&gt;"",IF('Capacity summary'!$C$14="Yes",IF(COUNTBLANK('Capacity summary'!$H49:$BG49)&lt;52,IF('Capacity summary'!T49&lt;&gt;"",IF(LOWER('Capacity summary'!T49)="x",$BI137*T137,VALUE('Capacity summary'!T49)),0),T137*$BI137),T137*$BI137),0)</f>
        <v>8.0769230769230766</v>
      </c>
      <c r="BX137" s="5">
        <f ca="1">IF($BI137&lt;&gt;"",IF('Capacity summary'!$C$14="Yes",IF(COUNTBLANK('Capacity summary'!$H49:$BG49)&lt;52,IF('Capacity summary'!U49&lt;&gt;"",IF(LOWER('Capacity summary'!U49)="x",$BI137*U137,VALUE('Capacity summary'!U49)),0),U137*$BI137),U137*$BI137),0)</f>
        <v>8.0769230769230766</v>
      </c>
      <c r="BY137" s="5">
        <f ca="1">IF($BI137&lt;&gt;"",IF('Capacity summary'!$C$14="Yes",IF(COUNTBLANK('Capacity summary'!$H49:$BG49)&lt;52,IF('Capacity summary'!V49&lt;&gt;"",IF(LOWER('Capacity summary'!V49)="x",$BI137*V137,VALUE('Capacity summary'!V49)),0),V137*$BI137),V137*$BI137),0)</f>
        <v>8.0769230769230766</v>
      </c>
      <c r="BZ137" s="5">
        <f ca="1">IF($BI137&lt;&gt;"",IF('Capacity summary'!$C$14="Yes",IF(COUNTBLANK('Capacity summary'!$H49:$BG49)&lt;52,IF('Capacity summary'!W49&lt;&gt;"",IF(LOWER('Capacity summary'!W49)="x",$BI137*W137,VALUE('Capacity summary'!W49)),0),W137*$BI137),W137*$BI137),0)</f>
        <v>8.0769230769230766</v>
      </c>
      <c r="CA137" s="5">
        <f ca="1">IF($BI137&lt;&gt;"",IF('Capacity summary'!$C$14="Yes",IF(COUNTBLANK('Capacity summary'!$H49:$BG49)&lt;52,IF('Capacity summary'!X49&lt;&gt;"",IF(LOWER('Capacity summary'!X49)="x",$BI137*X137,VALUE('Capacity summary'!X49)),0),X137*$BI137),X137*$BI137),0)</f>
        <v>8.0769230769230766</v>
      </c>
      <c r="CB137" s="5">
        <f ca="1">IF($BI137&lt;&gt;"",IF('Capacity summary'!$C$14="Yes",IF(COUNTBLANK('Capacity summary'!$H49:$BG49)&lt;52,IF('Capacity summary'!Y49&lt;&gt;"",IF(LOWER('Capacity summary'!Y49)="x",$BI137*Y137,VALUE('Capacity summary'!Y49)),0),Y137*$BI137),Y137*$BI137),0)</f>
        <v>8.0769230769230766</v>
      </c>
      <c r="CC137" s="5">
        <f ca="1">IF($BI137&lt;&gt;"",IF('Capacity summary'!$C$14="Yes",IF(COUNTBLANK('Capacity summary'!$H49:$BG49)&lt;52,IF('Capacity summary'!Z49&lt;&gt;"",IF(LOWER('Capacity summary'!Z49)="x",$BI137*Z137,VALUE('Capacity summary'!Z49)),0),Z137*$BI137),Z137*$BI137),0)</f>
        <v>8.0769230769230766</v>
      </c>
      <c r="CD137" s="5">
        <f ca="1">IF($BI137&lt;&gt;"",IF('Capacity summary'!$C$14="Yes",IF(COUNTBLANK('Capacity summary'!$H49:$BG49)&lt;52,IF('Capacity summary'!AA49&lt;&gt;"",IF(LOWER('Capacity summary'!AA49)="x",$BI137*AA137,VALUE('Capacity summary'!AA49)),0),AA137*$BI137),AA137*$BI137),0)</f>
        <v>8.0769230769230766</v>
      </c>
      <c r="CE137" s="5">
        <f ca="1">IF($BI137&lt;&gt;"",IF('Capacity summary'!$C$14="Yes",IF(COUNTBLANK('Capacity summary'!$H49:$BG49)&lt;52,IF('Capacity summary'!AB49&lt;&gt;"",IF(LOWER('Capacity summary'!AB49)="x",$BI137*AB137,VALUE('Capacity summary'!AB49)),0),AB137*$BI137),AB137*$BI137),0)</f>
        <v>8.0769230769230766</v>
      </c>
      <c r="CF137" s="5">
        <f ca="1">IF($BI137&lt;&gt;"",IF('Capacity summary'!$C$14="Yes",IF(COUNTBLANK('Capacity summary'!$H49:$BG49)&lt;52,IF('Capacity summary'!AC49&lt;&gt;"",IF(LOWER('Capacity summary'!AC49)="x",$BI137*AC137,VALUE('Capacity summary'!AC49)),0),AC137*$BI137),AC137*$BI137),0)</f>
        <v>8.0769230769230766</v>
      </c>
      <c r="CG137" s="5">
        <f ca="1">IF($BI137&lt;&gt;"",IF('Capacity summary'!$C$14="Yes",IF(COUNTBLANK('Capacity summary'!$H49:$BG49)&lt;52,IF('Capacity summary'!AD49&lt;&gt;"",IF(LOWER('Capacity summary'!AD49)="x",$BI137*AD137,VALUE('Capacity summary'!AD49)),0),AD137*$BI137),AD137*$BI137),0)</f>
        <v>8.0769230769230766</v>
      </c>
      <c r="CH137" s="5">
        <f ca="1">IF($BI137&lt;&gt;"",IF('Capacity summary'!$C$14="Yes",IF(COUNTBLANK('Capacity summary'!$H49:$BG49)&lt;52,IF('Capacity summary'!AE49&lt;&gt;"",IF(LOWER('Capacity summary'!AE49)="x",$BI137*AE137,VALUE('Capacity summary'!AE49)),0),AE137*$BI137),AE137*$BI137),0)</f>
        <v>8.0769230769230766</v>
      </c>
      <c r="CI137" s="5">
        <f ca="1">IF($BI137&lt;&gt;"",IF('Capacity summary'!$C$14="Yes",IF(COUNTBLANK('Capacity summary'!$H49:$BG49)&lt;52,IF('Capacity summary'!AF49&lt;&gt;"",IF(LOWER('Capacity summary'!AF49)="x",$BI137*AF137,VALUE('Capacity summary'!AF49)),0),AF137*$BI137),AF137*$BI137),0)</f>
        <v>8.0769230769230766</v>
      </c>
      <c r="CJ137" s="5">
        <f ca="1">IF($BI137&lt;&gt;"",IF('Capacity summary'!$C$14="Yes",IF(COUNTBLANK('Capacity summary'!$H49:$BG49)&lt;52,IF('Capacity summary'!AG49&lt;&gt;"",IF(LOWER('Capacity summary'!AG49)="x",$BI137*AG137,VALUE('Capacity summary'!AG49)),0),AG137*$BI137),AG137*$BI137),0)</f>
        <v>8.0769230769230766</v>
      </c>
      <c r="CK137" s="5">
        <f ca="1">IF($BI137&lt;&gt;"",IF('Capacity summary'!$C$14="Yes",IF(COUNTBLANK('Capacity summary'!$H49:$BG49)&lt;52,IF('Capacity summary'!AH49&lt;&gt;"",IF(LOWER('Capacity summary'!AH49)="x",$BI137*AH137,VALUE('Capacity summary'!AH49)),0),AH137*$BI137),AH137*$BI137),0)</f>
        <v>8.0769230769230766</v>
      </c>
      <c r="CL137" s="5">
        <f ca="1">IF($BI137&lt;&gt;"",IF('Capacity summary'!$C$14="Yes",IF(COUNTBLANK('Capacity summary'!$H49:$BG49)&lt;52,IF('Capacity summary'!AI49&lt;&gt;"",IF(LOWER('Capacity summary'!AI49)="x",$BI137*AI137,VALUE('Capacity summary'!AI49)),0),AI137*$BI137),AI137*$BI137),0)</f>
        <v>8.0769230769230766</v>
      </c>
      <c r="CM137" s="5">
        <f ca="1">IF($BI137&lt;&gt;"",IF('Capacity summary'!$C$14="Yes",IF(COUNTBLANK('Capacity summary'!$H49:$BG49)&lt;52,IF('Capacity summary'!AJ49&lt;&gt;"",IF(LOWER('Capacity summary'!AJ49)="x",$BI137*AJ137,VALUE('Capacity summary'!AJ49)),0),AJ137*$BI137),AJ137*$BI137),0)</f>
        <v>8.0769230769230766</v>
      </c>
      <c r="CN137" s="5">
        <f ca="1">IF($BI137&lt;&gt;"",IF('Capacity summary'!$C$14="Yes",IF(COUNTBLANK('Capacity summary'!$H49:$BG49)&lt;52,IF('Capacity summary'!AK49&lt;&gt;"",IF(LOWER('Capacity summary'!AK49)="x",$BI137*AK137,VALUE('Capacity summary'!AK49)),0),AK137*$BI137),AK137*$BI137),0)</f>
        <v>8.0769230769230766</v>
      </c>
      <c r="CO137" s="5">
        <f ca="1">IF($BI137&lt;&gt;"",IF('Capacity summary'!$C$14="Yes",IF(COUNTBLANK('Capacity summary'!$H49:$BG49)&lt;52,IF('Capacity summary'!AL49&lt;&gt;"",IF(LOWER('Capacity summary'!AL49)="x",$BI137*AL137,VALUE('Capacity summary'!AL49)),0),AL137*$BI137),AL137*$BI137),0)</f>
        <v>8.0769230769230766</v>
      </c>
      <c r="CP137" s="5">
        <f ca="1">IF($BI137&lt;&gt;"",IF('Capacity summary'!$C$14="Yes",IF(COUNTBLANK('Capacity summary'!$H49:$BG49)&lt;52,IF('Capacity summary'!AM49&lt;&gt;"",IF(LOWER('Capacity summary'!AM49)="x",$BI137*AM137,VALUE('Capacity summary'!AM49)),0),AM137*$BI137),AM137*$BI137),0)</f>
        <v>8.0769230769230766</v>
      </c>
      <c r="CQ137" s="5">
        <f ca="1">IF($BI137&lt;&gt;"",IF('Capacity summary'!$C$14="Yes",IF(COUNTBLANK('Capacity summary'!$H49:$BG49)&lt;52,IF('Capacity summary'!AN49&lt;&gt;"",IF(LOWER('Capacity summary'!AN49)="x",$BI137*AN137,VALUE('Capacity summary'!AN49)),0),AN137*$BI137),AN137*$BI137),0)</f>
        <v>8.0769230769230766</v>
      </c>
      <c r="CR137" s="5">
        <f ca="1">IF($BI137&lt;&gt;"",IF('Capacity summary'!$C$14="Yes",IF(COUNTBLANK('Capacity summary'!$H49:$BG49)&lt;52,IF('Capacity summary'!AO49&lt;&gt;"",IF(LOWER('Capacity summary'!AO49)="x",$BI137*AO137,VALUE('Capacity summary'!AO49)),0),AO137*$BI137),AO137*$BI137),0)</f>
        <v>8.0769230769230766</v>
      </c>
      <c r="CS137" s="5">
        <f ca="1">IF($BI137&lt;&gt;"",IF('Capacity summary'!$C$14="Yes",IF(COUNTBLANK('Capacity summary'!$H49:$BG49)&lt;52,IF('Capacity summary'!AP49&lt;&gt;"",IF(LOWER('Capacity summary'!AP49)="x",$BI137*AP137,VALUE('Capacity summary'!AP49)),0),AP137*$BI137),AP137*$BI137),0)</f>
        <v>8.0769230769230766</v>
      </c>
      <c r="CT137" s="5">
        <f ca="1">IF($BI137&lt;&gt;"",IF('Capacity summary'!$C$14="Yes",IF(COUNTBLANK('Capacity summary'!$H49:$BG49)&lt;52,IF('Capacity summary'!AQ49&lt;&gt;"",IF(LOWER('Capacity summary'!AQ49)="x",$BI137*AQ137,VALUE('Capacity summary'!AQ49)),0),AQ137*$BI137),AQ137*$BI137),0)</f>
        <v>8.0769230769230766</v>
      </c>
      <c r="CU137" s="5">
        <f ca="1">IF($BI137&lt;&gt;"",IF('Capacity summary'!$C$14="Yes",IF(COUNTBLANK('Capacity summary'!$H49:$BG49)&lt;52,IF('Capacity summary'!AR49&lt;&gt;"",IF(LOWER('Capacity summary'!AR49)="x",$BI137*AR137,VALUE('Capacity summary'!AR49)),0),AR137*$BI137),AR137*$BI137),0)</f>
        <v>8.0769230769230766</v>
      </c>
      <c r="CV137" s="5">
        <f ca="1">IF($BI137&lt;&gt;"",IF('Capacity summary'!$C$14="Yes",IF(COUNTBLANK('Capacity summary'!$H49:$BG49)&lt;52,IF('Capacity summary'!AS49&lt;&gt;"",IF(LOWER('Capacity summary'!AS49)="x",$BI137*AS137,VALUE('Capacity summary'!AS49)),0),AS137*$BI137),AS137*$BI137),0)</f>
        <v>8.0769230769230766</v>
      </c>
      <c r="CW137" s="5">
        <f ca="1">IF($BI137&lt;&gt;"",IF('Capacity summary'!$C$14="Yes",IF(COUNTBLANK('Capacity summary'!$H49:$BG49)&lt;52,IF('Capacity summary'!AT49&lt;&gt;"",IF(LOWER('Capacity summary'!AT49)="x",$BI137*AT137,VALUE('Capacity summary'!AT49)),0),AT137*$BI137),AT137*$BI137),0)</f>
        <v>8.0769230769230766</v>
      </c>
      <c r="CX137" s="5">
        <f ca="1">IF($BI137&lt;&gt;"",IF('Capacity summary'!$C$14="Yes",IF(COUNTBLANK('Capacity summary'!$H49:$BG49)&lt;52,IF('Capacity summary'!AU49&lt;&gt;"",IF(LOWER('Capacity summary'!AU49)="x",$BI137*AU137,VALUE('Capacity summary'!AU49)),0),AU137*$BI137),AU137*$BI137),0)</f>
        <v>8.0769230769230766</v>
      </c>
      <c r="CY137" s="5">
        <f ca="1">IF($BI137&lt;&gt;"",IF('Capacity summary'!$C$14="Yes",IF(COUNTBLANK('Capacity summary'!$H49:$BG49)&lt;52,IF('Capacity summary'!AV49&lt;&gt;"",IF(LOWER('Capacity summary'!AV49)="x",$BI137*AV137,VALUE('Capacity summary'!AV49)),0),AV137*$BI137),AV137*$BI137),0)</f>
        <v>8.0769230769230766</v>
      </c>
      <c r="CZ137" s="5">
        <f ca="1">IF($BI137&lt;&gt;"",IF('Capacity summary'!$C$14="Yes",IF(COUNTBLANK('Capacity summary'!$H49:$BG49)&lt;52,IF('Capacity summary'!AW49&lt;&gt;"",IF(LOWER('Capacity summary'!AW49)="x",$BI137*AW137,VALUE('Capacity summary'!AW49)),0),AW137*$BI137),AW137*$BI137),0)</f>
        <v>8.0769230769230766</v>
      </c>
      <c r="DA137" s="5">
        <f ca="1">IF($BI137&lt;&gt;"",IF('Capacity summary'!$C$14="Yes",IF(COUNTBLANK('Capacity summary'!$H49:$BG49)&lt;52,IF('Capacity summary'!AX49&lt;&gt;"",IF(LOWER('Capacity summary'!AX49)="x",$BI137*AX137,VALUE('Capacity summary'!AX49)),0),AX137*$BI137),AX137*$BI137),0)</f>
        <v>8.0769230769230766</v>
      </c>
      <c r="DB137" s="5">
        <f ca="1">IF($BI137&lt;&gt;"",IF('Capacity summary'!$C$14="Yes",IF(COUNTBLANK('Capacity summary'!$H49:$BG49)&lt;52,IF('Capacity summary'!AY49&lt;&gt;"",IF(LOWER('Capacity summary'!AY49)="x",$BI137*AY137,VALUE('Capacity summary'!AY49)),0),AY137*$BI137),AY137*$BI137),0)</f>
        <v>8.0769230769230766</v>
      </c>
      <c r="DC137" s="5">
        <f ca="1">IF($BI137&lt;&gt;"",IF('Capacity summary'!$C$14="Yes",IF(COUNTBLANK('Capacity summary'!$H49:$BG49)&lt;52,IF('Capacity summary'!AZ49&lt;&gt;"",IF(LOWER('Capacity summary'!AZ49)="x",$BI137*AZ137,VALUE('Capacity summary'!AZ49)),0),AZ137*$BI137),AZ137*$BI137),0)</f>
        <v>8.0769230769230766</v>
      </c>
      <c r="DD137" s="5">
        <f ca="1">IF($BI137&lt;&gt;"",IF('Capacity summary'!$C$14="Yes",IF(COUNTBLANK('Capacity summary'!$H49:$BG49)&lt;52,IF('Capacity summary'!BA49&lt;&gt;"",IF(LOWER('Capacity summary'!BA49)="x",$BI137*BA137,VALUE('Capacity summary'!BA49)),0),BA137*$BI137),BA137*$BI137),0)</f>
        <v>8.0769230769230766</v>
      </c>
      <c r="DE137" s="5">
        <f ca="1">IF($BI137&lt;&gt;"",IF('Capacity summary'!$C$14="Yes",IF(COUNTBLANK('Capacity summary'!$H49:$BG49)&lt;52,IF('Capacity summary'!BB49&lt;&gt;"",IF(LOWER('Capacity summary'!BB49)="x",$BI137*BB137,VALUE('Capacity summary'!BB49)),0),BB137*$BI137),BB137*$BI137),0)</f>
        <v>8.0769230769230766</v>
      </c>
      <c r="DF137" s="5">
        <f ca="1">IF($BI137&lt;&gt;"",IF('Capacity summary'!$C$14="Yes",IF(COUNTBLANK('Capacity summary'!$H49:$BG49)&lt;52,IF('Capacity summary'!BC49&lt;&gt;"",IF(LOWER('Capacity summary'!BC49)="x",$BI137*BC137,VALUE('Capacity summary'!BC49)),0),BC137*$BI137),BC137*$BI137),0)</f>
        <v>8.0769230769230766</v>
      </c>
      <c r="DG137" s="5">
        <f ca="1">IF($BI137&lt;&gt;"",IF('Capacity summary'!$C$14="Yes",IF(COUNTBLANK('Capacity summary'!$H49:$BG49)&lt;52,IF('Capacity summary'!BD49&lt;&gt;"",IF(LOWER('Capacity summary'!BD49)="x",$BI137*BD137,VALUE('Capacity summary'!BD49)),0),BD137*$BI137),BD137*$BI137),0)</f>
        <v>8.0769230769230766</v>
      </c>
      <c r="DH137" s="5">
        <f ca="1">IF($BI137&lt;&gt;"",IF('Capacity summary'!$C$14="Yes",IF(COUNTBLANK('Capacity summary'!$H49:$BG49)&lt;52,IF('Capacity summary'!BE49&lt;&gt;"",IF(LOWER('Capacity summary'!BE49)="x",$BI137*BE137,VALUE('Capacity summary'!BE49)),0),BE137*$BI137),BE137*$BI137),0)</f>
        <v>8.0769230769230766</v>
      </c>
      <c r="DI137" s="5">
        <f ca="1">IF($BI137&lt;&gt;"",IF('Capacity summary'!$C$14="Yes",IF(COUNTBLANK('Capacity summary'!$H49:$BG49)&lt;52,IF('Capacity summary'!BF49&lt;&gt;"",IF(LOWER('Capacity summary'!BF49)="x",$BI137*BF137,VALUE('Capacity summary'!BF49)),0),BF137*$BI137),BF137*$BI137),0)</f>
        <v>8.0769230769230766</v>
      </c>
      <c r="DJ137" s="5">
        <f ca="1">IF($BI137&lt;&gt;"",IF('Capacity summary'!$C$14="Yes",IF(COUNTBLANK('Capacity summary'!$H49:$BG49)&lt;52,IF('Capacity summary'!BG49&lt;&gt;"",IF(LOWER('Capacity summary'!BG49)="x",$BI137*BG137,VALUE('Capacity summary'!BG49)),0),BG137*$BI137),BG137*$BI137),0)</f>
        <v>8.0769230769230766</v>
      </c>
      <c r="DK137" s="388">
        <f t="shared" ca="1" si="8"/>
        <v>8.0769230769230766</v>
      </c>
      <c r="DL137" s="5">
        <f t="shared" ca="1" si="9"/>
        <v>420.00000000000023</v>
      </c>
    </row>
    <row r="138" spans="3:116" x14ac:dyDescent="0.2">
      <c r="C138" s="67" t="str">
        <f>ROW(A27)&amp;". "&amp;Capacity!N43</f>
        <v>27. 44393</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 ca="1">IF(ROW(A27)&lt;=Capacity!$M$16,IF('Capacity summary'!$C$14="No",SUM(H138:BG138),'Capacity summary'!$E50),0)</f>
        <v>52</v>
      </c>
      <c r="BI138" s="67">
        <f ca="1">IF(BH138&gt;0,IF(BH138&lt;Capacity!Q43,Capacity!R43,Capacity!T43/'Capacity calculation (hide)'!BH138),"")</f>
        <v>8.0769230769230766</v>
      </c>
      <c r="BJ138" s="5"/>
      <c r="BK138" s="5">
        <f ca="1">IF($BI138&lt;&gt;"",IF('Capacity summary'!$C$14="Yes",IF(COUNTBLANK('Capacity summary'!$H50:$BG50)&lt;52,IF('Capacity summary'!H50&lt;&gt;"",IF(LOWER('Capacity summary'!H50)="x",$BI138*H138,VALUE('Capacity summary'!H50)),0),H138*$BI138),H138*$BI138),0)</f>
        <v>8.0769230769230766</v>
      </c>
      <c r="BL138" s="5">
        <f ca="1">IF($BI138&lt;&gt;"",IF('Capacity summary'!$C$14="Yes",IF(COUNTBLANK('Capacity summary'!$H50:$BG50)&lt;52,IF('Capacity summary'!I50&lt;&gt;"",IF(LOWER('Capacity summary'!I50)="x",$BI138*I138,VALUE('Capacity summary'!I50)),0),I138*$BI138),I138*$BI138),0)</f>
        <v>8.0769230769230766</v>
      </c>
      <c r="BM138" s="5">
        <f ca="1">IF($BI138&lt;&gt;"",IF('Capacity summary'!$C$14="Yes",IF(COUNTBLANK('Capacity summary'!$H50:$BG50)&lt;52,IF('Capacity summary'!J50&lt;&gt;"",IF(LOWER('Capacity summary'!J50)="x",$BI138*J138,VALUE('Capacity summary'!J50)),0),J138*$BI138),J138*$BI138),0)</f>
        <v>8.0769230769230766</v>
      </c>
      <c r="BN138" s="5">
        <f ca="1">IF($BI138&lt;&gt;"",IF('Capacity summary'!$C$14="Yes",IF(COUNTBLANK('Capacity summary'!$H50:$BG50)&lt;52,IF('Capacity summary'!K50&lt;&gt;"",IF(LOWER('Capacity summary'!K50)="x",$BI138*K138,VALUE('Capacity summary'!K50)),0),K138*$BI138),K138*$BI138),0)</f>
        <v>8.0769230769230766</v>
      </c>
      <c r="BO138" s="5">
        <f ca="1">IF($BI138&lt;&gt;"",IF('Capacity summary'!$C$14="Yes",IF(COUNTBLANK('Capacity summary'!$H50:$BG50)&lt;52,IF('Capacity summary'!L50&lt;&gt;"",IF(LOWER('Capacity summary'!L50)="x",$BI138*L138,VALUE('Capacity summary'!L50)),0),L138*$BI138),L138*$BI138),0)</f>
        <v>8.0769230769230766</v>
      </c>
      <c r="BP138" s="5">
        <f ca="1">IF($BI138&lt;&gt;"",IF('Capacity summary'!$C$14="Yes",IF(COUNTBLANK('Capacity summary'!$H50:$BG50)&lt;52,IF('Capacity summary'!M50&lt;&gt;"",IF(LOWER('Capacity summary'!M50)="x",$BI138*M138,VALUE('Capacity summary'!M50)),0),M138*$BI138),M138*$BI138),0)</f>
        <v>8.0769230769230766</v>
      </c>
      <c r="BQ138" s="5">
        <f ca="1">IF($BI138&lt;&gt;"",IF('Capacity summary'!$C$14="Yes",IF(COUNTBLANK('Capacity summary'!$H50:$BG50)&lt;52,IF('Capacity summary'!N50&lt;&gt;"",IF(LOWER('Capacity summary'!N50)="x",$BI138*N138,VALUE('Capacity summary'!N50)),0),N138*$BI138),N138*$BI138),0)</f>
        <v>8.0769230769230766</v>
      </c>
      <c r="BR138" s="5">
        <f ca="1">IF($BI138&lt;&gt;"",IF('Capacity summary'!$C$14="Yes",IF(COUNTBLANK('Capacity summary'!$H50:$BG50)&lt;52,IF('Capacity summary'!O50&lt;&gt;"",IF(LOWER('Capacity summary'!O50)="x",$BI138*O138,VALUE('Capacity summary'!O50)),0),O138*$BI138),O138*$BI138),0)</f>
        <v>8.0769230769230766</v>
      </c>
      <c r="BS138" s="5">
        <f ca="1">IF($BI138&lt;&gt;"",IF('Capacity summary'!$C$14="Yes",IF(COUNTBLANK('Capacity summary'!$H50:$BG50)&lt;52,IF('Capacity summary'!P50&lt;&gt;"",IF(LOWER('Capacity summary'!P50)="x",$BI138*P138,VALUE('Capacity summary'!P50)),0),P138*$BI138),P138*$BI138),0)</f>
        <v>8.0769230769230766</v>
      </c>
      <c r="BT138" s="5">
        <f ca="1">IF($BI138&lt;&gt;"",IF('Capacity summary'!$C$14="Yes",IF(COUNTBLANK('Capacity summary'!$H50:$BG50)&lt;52,IF('Capacity summary'!Q50&lt;&gt;"",IF(LOWER('Capacity summary'!Q50)="x",$BI138*Q138,VALUE('Capacity summary'!Q50)),0),Q138*$BI138),Q138*$BI138),0)</f>
        <v>8.0769230769230766</v>
      </c>
      <c r="BU138" s="5">
        <f ca="1">IF($BI138&lt;&gt;"",IF('Capacity summary'!$C$14="Yes",IF(COUNTBLANK('Capacity summary'!$H50:$BG50)&lt;52,IF('Capacity summary'!R50&lt;&gt;"",IF(LOWER('Capacity summary'!R50)="x",$BI138*R138,VALUE('Capacity summary'!R50)),0),R138*$BI138),R138*$BI138),0)</f>
        <v>8.0769230769230766</v>
      </c>
      <c r="BV138" s="5">
        <f ca="1">IF($BI138&lt;&gt;"",IF('Capacity summary'!$C$14="Yes",IF(COUNTBLANK('Capacity summary'!$H50:$BG50)&lt;52,IF('Capacity summary'!S50&lt;&gt;"",IF(LOWER('Capacity summary'!S50)="x",$BI138*S138,VALUE('Capacity summary'!S50)),0),S138*$BI138),S138*$BI138),0)</f>
        <v>8.0769230769230766</v>
      </c>
      <c r="BW138" s="5">
        <f ca="1">IF($BI138&lt;&gt;"",IF('Capacity summary'!$C$14="Yes",IF(COUNTBLANK('Capacity summary'!$H50:$BG50)&lt;52,IF('Capacity summary'!T50&lt;&gt;"",IF(LOWER('Capacity summary'!T50)="x",$BI138*T138,VALUE('Capacity summary'!T50)),0),T138*$BI138),T138*$BI138),0)</f>
        <v>8.0769230769230766</v>
      </c>
      <c r="BX138" s="5">
        <f ca="1">IF($BI138&lt;&gt;"",IF('Capacity summary'!$C$14="Yes",IF(COUNTBLANK('Capacity summary'!$H50:$BG50)&lt;52,IF('Capacity summary'!U50&lt;&gt;"",IF(LOWER('Capacity summary'!U50)="x",$BI138*U138,VALUE('Capacity summary'!U50)),0),U138*$BI138),U138*$BI138),0)</f>
        <v>8.0769230769230766</v>
      </c>
      <c r="BY138" s="5">
        <f ca="1">IF($BI138&lt;&gt;"",IF('Capacity summary'!$C$14="Yes",IF(COUNTBLANK('Capacity summary'!$H50:$BG50)&lt;52,IF('Capacity summary'!V50&lt;&gt;"",IF(LOWER('Capacity summary'!V50)="x",$BI138*V138,VALUE('Capacity summary'!V50)),0),V138*$BI138),V138*$BI138),0)</f>
        <v>8.0769230769230766</v>
      </c>
      <c r="BZ138" s="5">
        <f ca="1">IF($BI138&lt;&gt;"",IF('Capacity summary'!$C$14="Yes",IF(COUNTBLANK('Capacity summary'!$H50:$BG50)&lt;52,IF('Capacity summary'!W50&lt;&gt;"",IF(LOWER('Capacity summary'!W50)="x",$BI138*W138,VALUE('Capacity summary'!W50)),0),W138*$BI138),W138*$BI138),0)</f>
        <v>8.0769230769230766</v>
      </c>
      <c r="CA138" s="5">
        <f ca="1">IF($BI138&lt;&gt;"",IF('Capacity summary'!$C$14="Yes",IF(COUNTBLANK('Capacity summary'!$H50:$BG50)&lt;52,IF('Capacity summary'!X50&lt;&gt;"",IF(LOWER('Capacity summary'!X50)="x",$BI138*X138,VALUE('Capacity summary'!X50)),0),X138*$BI138),X138*$BI138),0)</f>
        <v>8.0769230769230766</v>
      </c>
      <c r="CB138" s="5">
        <f ca="1">IF($BI138&lt;&gt;"",IF('Capacity summary'!$C$14="Yes",IF(COUNTBLANK('Capacity summary'!$H50:$BG50)&lt;52,IF('Capacity summary'!Y50&lt;&gt;"",IF(LOWER('Capacity summary'!Y50)="x",$BI138*Y138,VALUE('Capacity summary'!Y50)),0),Y138*$BI138),Y138*$BI138),0)</f>
        <v>8.0769230769230766</v>
      </c>
      <c r="CC138" s="5">
        <f ca="1">IF($BI138&lt;&gt;"",IF('Capacity summary'!$C$14="Yes",IF(COUNTBLANK('Capacity summary'!$H50:$BG50)&lt;52,IF('Capacity summary'!Z50&lt;&gt;"",IF(LOWER('Capacity summary'!Z50)="x",$BI138*Z138,VALUE('Capacity summary'!Z50)),0),Z138*$BI138),Z138*$BI138),0)</f>
        <v>8.0769230769230766</v>
      </c>
      <c r="CD138" s="5">
        <f ca="1">IF($BI138&lt;&gt;"",IF('Capacity summary'!$C$14="Yes",IF(COUNTBLANK('Capacity summary'!$H50:$BG50)&lt;52,IF('Capacity summary'!AA50&lt;&gt;"",IF(LOWER('Capacity summary'!AA50)="x",$BI138*AA138,VALUE('Capacity summary'!AA50)),0),AA138*$BI138),AA138*$BI138),0)</f>
        <v>8.0769230769230766</v>
      </c>
      <c r="CE138" s="5">
        <f ca="1">IF($BI138&lt;&gt;"",IF('Capacity summary'!$C$14="Yes",IF(COUNTBLANK('Capacity summary'!$H50:$BG50)&lt;52,IF('Capacity summary'!AB50&lt;&gt;"",IF(LOWER('Capacity summary'!AB50)="x",$BI138*AB138,VALUE('Capacity summary'!AB50)),0),AB138*$BI138),AB138*$BI138),0)</f>
        <v>8.0769230769230766</v>
      </c>
      <c r="CF138" s="5">
        <f ca="1">IF($BI138&lt;&gt;"",IF('Capacity summary'!$C$14="Yes",IF(COUNTBLANK('Capacity summary'!$H50:$BG50)&lt;52,IF('Capacity summary'!AC50&lt;&gt;"",IF(LOWER('Capacity summary'!AC50)="x",$BI138*AC138,VALUE('Capacity summary'!AC50)),0),AC138*$BI138),AC138*$BI138),0)</f>
        <v>8.0769230769230766</v>
      </c>
      <c r="CG138" s="5">
        <f ca="1">IF($BI138&lt;&gt;"",IF('Capacity summary'!$C$14="Yes",IF(COUNTBLANK('Capacity summary'!$H50:$BG50)&lt;52,IF('Capacity summary'!AD50&lt;&gt;"",IF(LOWER('Capacity summary'!AD50)="x",$BI138*AD138,VALUE('Capacity summary'!AD50)),0),AD138*$BI138),AD138*$BI138),0)</f>
        <v>8.0769230769230766</v>
      </c>
      <c r="CH138" s="5">
        <f ca="1">IF($BI138&lt;&gt;"",IF('Capacity summary'!$C$14="Yes",IF(COUNTBLANK('Capacity summary'!$H50:$BG50)&lt;52,IF('Capacity summary'!AE50&lt;&gt;"",IF(LOWER('Capacity summary'!AE50)="x",$BI138*AE138,VALUE('Capacity summary'!AE50)),0),AE138*$BI138),AE138*$BI138),0)</f>
        <v>8.0769230769230766</v>
      </c>
      <c r="CI138" s="5">
        <f ca="1">IF($BI138&lt;&gt;"",IF('Capacity summary'!$C$14="Yes",IF(COUNTBLANK('Capacity summary'!$H50:$BG50)&lt;52,IF('Capacity summary'!AF50&lt;&gt;"",IF(LOWER('Capacity summary'!AF50)="x",$BI138*AF138,VALUE('Capacity summary'!AF50)),0),AF138*$BI138),AF138*$BI138),0)</f>
        <v>8.0769230769230766</v>
      </c>
      <c r="CJ138" s="5">
        <f ca="1">IF($BI138&lt;&gt;"",IF('Capacity summary'!$C$14="Yes",IF(COUNTBLANK('Capacity summary'!$H50:$BG50)&lt;52,IF('Capacity summary'!AG50&lt;&gt;"",IF(LOWER('Capacity summary'!AG50)="x",$BI138*AG138,VALUE('Capacity summary'!AG50)),0),AG138*$BI138),AG138*$BI138),0)</f>
        <v>8.0769230769230766</v>
      </c>
      <c r="CK138" s="5">
        <f ca="1">IF($BI138&lt;&gt;"",IF('Capacity summary'!$C$14="Yes",IF(COUNTBLANK('Capacity summary'!$H50:$BG50)&lt;52,IF('Capacity summary'!AH50&lt;&gt;"",IF(LOWER('Capacity summary'!AH50)="x",$BI138*AH138,VALUE('Capacity summary'!AH50)),0),AH138*$BI138),AH138*$BI138),0)</f>
        <v>8.0769230769230766</v>
      </c>
      <c r="CL138" s="5">
        <f ca="1">IF($BI138&lt;&gt;"",IF('Capacity summary'!$C$14="Yes",IF(COUNTBLANK('Capacity summary'!$H50:$BG50)&lt;52,IF('Capacity summary'!AI50&lt;&gt;"",IF(LOWER('Capacity summary'!AI50)="x",$BI138*AI138,VALUE('Capacity summary'!AI50)),0),AI138*$BI138),AI138*$BI138),0)</f>
        <v>8.0769230769230766</v>
      </c>
      <c r="CM138" s="5">
        <f ca="1">IF($BI138&lt;&gt;"",IF('Capacity summary'!$C$14="Yes",IF(COUNTBLANK('Capacity summary'!$H50:$BG50)&lt;52,IF('Capacity summary'!AJ50&lt;&gt;"",IF(LOWER('Capacity summary'!AJ50)="x",$BI138*AJ138,VALUE('Capacity summary'!AJ50)),0),AJ138*$BI138),AJ138*$BI138),0)</f>
        <v>8.0769230769230766</v>
      </c>
      <c r="CN138" s="5">
        <f ca="1">IF($BI138&lt;&gt;"",IF('Capacity summary'!$C$14="Yes",IF(COUNTBLANK('Capacity summary'!$H50:$BG50)&lt;52,IF('Capacity summary'!AK50&lt;&gt;"",IF(LOWER('Capacity summary'!AK50)="x",$BI138*AK138,VALUE('Capacity summary'!AK50)),0),AK138*$BI138),AK138*$BI138),0)</f>
        <v>8.0769230769230766</v>
      </c>
      <c r="CO138" s="5">
        <f ca="1">IF($BI138&lt;&gt;"",IF('Capacity summary'!$C$14="Yes",IF(COUNTBLANK('Capacity summary'!$H50:$BG50)&lt;52,IF('Capacity summary'!AL50&lt;&gt;"",IF(LOWER('Capacity summary'!AL50)="x",$BI138*AL138,VALUE('Capacity summary'!AL50)),0),AL138*$BI138),AL138*$BI138),0)</f>
        <v>8.0769230769230766</v>
      </c>
      <c r="CP138" s="5">
        <f ca="1">IF($BI138&lt;&gt;"",IF('Capacity summary'!$C$14="Yes",IF(COUNTBLANK('Capacity summary'!$H50:$BG50)&lt;52,IF('Capacity summary'!AM50&lt;&gt;"",IF(LOWER('Capacity summary'!AM50)="x",$BI138*AM138,VALUE('Capacity summary'!AM50)),0),AM138*$BI138),AM138*$BI138),0)</f>
        <v>8.0769230769230766</v>
      </c>
      <c r="CQ138" s="5">
        <f ca="1">IF($BI138&lt;&gt;"",IF('Capacity summary'!$C$14="Yes",IF(COUNTBLANK('Capacity summary'!$H50:$BG50)&lt;52,IF('Capacity summary'!AN50&lt;&gt;"",IF(LOWER('Capacity summary'!AN50)="x",$BI138*AN138,VALUE('Capacity summary'!AN50)),0),AN138*$BI138),AN138*$BI138),0)</f>
        <v>8.0769230769230766</v>
      </c>
      <c r="CR138" s="5">
        <f ca="1">IF($BI138&lt;&gt;"",IF('Capacity summary'!$C$14="Yes",IF(COUNTBLANK('Capacity summary'!$H50:$BG50)&lt;52,IF('Capacity summary'!AO50&lt;&gt;"",IF(LOWER('Capacity summary'!AO50)="x",$BI138*AO138,VALUE('Capacity summary'!AO50)),0),AO138*$BI138),AO138*$BI138),0)</f>
        <v>8.0769230769230766</v>
      </c>
      <c r="CS138" s="5">
        <f ca="1">IF($BI138&lt;&gt;"",IF('Capacity summary'!$C$14="Yes",IF(COUNTBLANK('Capacity summary'!$H50:$BG50)&lt;52,IF('Capacity summary'!AP50&lt;&gt;"",IF(LOWER('Capacity summary'!AP50)="x",$BI138*AP138,VALUE('Capacity summary'!AP50)),0),AP138*$BI138),AP138*$BI138),0)</f>
        <v>8.0769230769230766</v>
      </c>
      <c r="CT138" s="5">
        <f ca="1">IF($BI138&lt;&gt;"",IF('Capacity summary'!$C$14="Yes",IF(COUNTBLANK('Capacity summary'!$H50:$BG50)&lt;52,IF('Capacity summary'!AQ50&lt;&gt;"",IF(LOWER('Capacity summary'!AQ50)="x",$BI138*AQ138,VALUE('Capacity summary'!AQ50)),0),AQ138*$BI138),AQ138*$BI138),0)</f>
        <v>8.0769230769230766</v>
      </c>
      <c r="CU138" s="5">
        <f ca="1">IF($BI138&lt;&gt;"",IF('Capacity summary'!$C$14="Yes",IF(COUNTBLANK('Capacity summary'!$H50:$BG50)&lt;52,IF('Capacity summary'!AR50&lt;&gt;"",IF(LOWER('Capacity summary'!AR50)="x",$BI138*AR138,VALUE('Capacity summary'!AR50)),0),AR138*$BI138),AR138*$BI138),0)</f>
        <v>8.0769230769230766</v>
      </c>
      <c r="CV138" s="5">
        <f ca="1">IF($BI138&lt;&gt;"",IF('Capacity summary'!$C$14="Yes",IF(COUNTBLANK('Capacity summary'!$H50:$BG50)&lt;52,IF('Capacity summary'!AS50&lt;&gt;"",IF(LOWER('Capacity summary'!AS50)="x",$BI138*AS138,VALUE('Capacity summary'!AS50)),0),AS138*$BI138),AS138*$BI138),0)</f>
        <v>8.0769230769230766</v>
      </c>
      <c r="CW138" s="5">
        <f ca="1">IF($BI138&lt;&gt;"",IF('Capacity summary'!$C$14="Yes",IF(COUNTBLANK('Capacity summary'!$H50:$BG50)&lt;52,IF('Capacity summary'!AT50&lt;&gt;"",IF(LOWER('Capacity summary'!AT50)="x",$BI138*AT138,VALUE('Capacity summary'!AT50)),0),AT138*$BI138),AT138*$BI138),0)</f>
        <v>8.0769230769230766</v>
      </c>
      <c r="CX138" s="5">
        <f ca="1">IF($BI138&lt;&gt;"",IF('Capacity summary'!$C$14="Yes",IF(COUNTBLANK('Capacity summary'!$H50:$BG50)&lt;52,IF('Capacity summary'!AU50&lt;&gt;"",IF(LOWER('Capacity summary'!AU50)="x",$BI138*AU138,VALUE('Capacity summary'!AU50)),0),AU138*$BI138),AU138*$BI138),0)</f>
        <v>8.0769230769230766</v>
      </c>
      <c r="CY138" s="5">
        <f ca="1">IF($BI138&lt;&gt;"",IF('Capacity summary'!$C$14="Yes",IF(COUNTBLANK('Capacity summary'!$H50:$BG50)&lt;52,IF('Capacity summary'!AV50&lt;&gt;"",IF(LOWER('Capacity summary'!AV50)="x",$BI138*AV138,VALUE('Capacity summary'!AV50)),0),AV138*$BI138),AV138*$BI138),0)</f>
        <v>8.0769230769230766</v>
      </c>
      <c r="CZ138" s="5">
        <f ca="1">IF($BI138&lt;&gt;"",IF('Capacity summary'!$C$14="Yes",IF(COUNTBLANK('Capacity summary'!$H50:$BG50)&lt;52,IF('Capacity summary'!AW50&lt;&gt;"",IF(LOWER('Capacity summary'!AW50)="x",$BI138*AW138,VALUE('Capacity summary'!AW50)),0),AW138*$BI138),AW138*$BI138),0)</f>
        <v>8.0769230769230766</v>
      </c>
      <c r="DA138" s="5">
        <f ca="1">IF($BI138&lt;&gt;"",IF('Capacity summary'!$C$14="Yes",IF(COUNTBLANK('Capacity summary'!$H50:$BG50)&lt;52,IF('Capacity summary'!AX50&lt;&gt;"",IF(LOWER('Capacity summary'!AX50)="x",$BI138*AX138,VALUE('Capacity summary'!AX50)),0),AX138*$BI138),AX138*$BI138),0)</f>
        <v>8.0769230769230766</v>
      </c>
      <c r="DB138" s="5">
        <f ca="1">IF($BI138&lt;&gt;"",IF('Capacity summary'!$C$14="Yes",IF(COUNTBLANK('Capacity summary'!$H50:$BG50)&lt;52,IF('Capacity summary'!AY50&lt;&gt;"",IF(LOWER('Capacity summary'!AY50)="x",$BI138*AY138,VALUE('Capacity summary'!AY50)),0),AY138*$BI138),AY138*$BI138),0)</f>
        <v>8.0769230769230766</v>
      </c>
      <c r="DC138" s="5">
        <f ca="1">IF($BI138&lt;&gt;"",IF('Capacity summary'!$C$14="Yes",IF(COUNTBLANK('Capacity summary'!$H50:$BG50)&lt;52,IF('Capacity summary'!AZ50&lt;&gt;"",IF(LOWER('Capacity summary'!AZ50)="x",$BI138*AZ138,VALUE('Capacity summary'!AZ50)),0),AZ138*$BI138),AZ138*$BI138),0)</f>
        <v>8.0769230769230766</v>
      </c>
      <c r="DD138" s="5">
        <f ca="1">IF($BI138&lt;&gt;"",IF('Capacity summary'!$C$14="Yes",IF(COUNTBLANK('Capacity summary'!$H50:$BG50)&lt;52,IF('Capacity summary'!BA50&lt;&gt;"",IF(LOWER('Capacity summary'!BA50)="x",$BI138*BA138,VALUE('Capacity summary'!BA50)),0),BA138*$BI138),BA138*$BI138),0)</f>
        <v>8.0769230769230766</v>
      </c>
      <c r="DE138" s="5">
        <f ca="1">IF($BI138&lt;&gt;"",IF('Capacity summary'!$C$14="Yes",IF(COUNTBLANK('Capacity summary'!$H50:$BG50)&lt;52,IF('Capacity summary'!BB50&lt;&gt;"",IF(LOWER('Capacity summary'!BB50)="x",$BI138*BB138,VALUE('Capacity summary'!BB50)),0),BB138*$BI138),BB138*$BI138),0)</f>
        <v>8.0769230769230766</v>
      </c>
      <c r="DF138" s="5">
        <f ca="1">IF($BI138&lt;&gt;"",IF('Capacity summary'!$C$14="Yes",IF(COUNTBLANK('Capacity summary'!$H50:$BG50)&lt;52,IF('Capacity summary'!BC50&lt;&gt;"",IF(LOWER('Capacity summary'!BC50)="x",$BI138*BC138,VALUE('Capacity summary'!BC50)),0),BC138*$BI138),BC138*$BI138),0)</f>
        <v>8.0769230769230766</v>
      </c>
      <c r="DG138" s="5">
        <f ca="1">IF($BI138&lt;&gt;"",IF('Capacity summary'!$C$14="Yes",IF(COUNTBLANK('Capacity summary'!$H50:$BG50)&lt;52,IF('Capacity summary'!BD50&lt;&gt;"",IF(LOWER('Capacity summary'!BD50)="x",$BI138*BD138,VALUE('Capacity summary'!BD50)),0),BD138*$BI138),BD138*$BI138),0)</f>
        <v>8.0769230769230766</v>
      </c>
      <c r="DH138" s="5">
        <f ca="1">IF($BI138&lt;&gt;"",IF('Capacity summary'!$C$14="Yes",IF(COUNTBLANK('Capacity summary'!$H50:$BG50)&lt;52,IF('Capacity summary'!BE50&lt;&gt;"",IF(LOWER('Capacity summary'!BE50)="x",$BI138*BE138,VALUE('Capacity summary'!BE50)),0),BE138*$BI138),BE138*$BI138),0)</f>
        <v>8.0769230769230766</v>
      </c>
      <c r="DI138" s="5">
        <f ca="1">IF($BI138&lt;&gt;"",IF('Capacity summary'!$C$14="Yes",IF(COUNTBLANK('Capacity summary'!$H50:$BG50)&lt;52,IF('Capacity summary'!BF50&lt;&gt;"",IF(LOWER('Capacity summary'!BF50)="x",$BI138*BF138,VALUE('Capacity summary'!BF50)),0),BF138*$BI138),BF138*$BI138),0)</f>
        <v>8.0769230769230766</v>
      </c>
      <c r="DJ138" s="5">
        <f ca="1">IF($BI138&lt;&gt;"",IF('Capacity summary'!$C$14="Yes",IF(COUNTBLANK('Capacity summary'!$H50:$BG50)&lt;52,IF('Capacity summary'!BG50&lt;&gt;"",IF(LOWER('Capacity summary'!BG50)="x",$BI138*BG138,VALUE('Capacity summary'!BG50)),0),BG138*$BI138),BG138*$BI138),0)</f>
        <v>8.0769230769230766</v>
      </c>
      <c r="DK138" s="388">
        <f t="shared" ca="1" si="8"/>
        <v>8.0769230769230766</v>
      </c>
      <c r="DL138" s="5">
        <f t="shared" ca="1" si="9"/>
        <v>420.00000000000023</v>
      </c>
    </row>
    <row r="139" spans="3:116" x14ac:dyDescent="0.2">
      <c r="C139" s="67" t="str">
        <f>ROW(A28)&amp;". "&amp;Capacity!N44</f>
        <v>28. 44397</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 ca="1">IF(ROW(A28)&lt;=Capacity!$M$16,IF('Capacity summary'!$C$14="No",SUM(H139:BG139),'Capacity summary'!$E51),0)</f>
        <v>52</v>
      </c>
      <c r="BI139" s="67">
        <f ca="1">IF(BH139&gt;0,IF(BH139&lt;Capacity!Q44,Capacity!R44,Capacity!T44/'Capacity calculation (hide)'!BH139),"")</f>
        <v>8.0769230769230766</v>
      </c>
      <c r="BJ139" s="5"/>
      <c r="BK139" s="5">
        <f ca="1">IF($BI139&lt;&gt;"",IF('Capacity summary'!$C$14="Yes",IF(COUNTBLANK('Capacity summary'!$H51:$BG51)&lt;52,IF('Capacity summary'!H51&lt;&gt;"",IF(LOWER('Capacity summary'!H51)="x",$BI139*H139,VALUE('Capacity summary'!H51)),0),H139*$BI139),H139*$BI139),0)</f>
        <v>8.0769230769230766</v>
      </c>
      <c r="BL139" s="5">
        <f ca="1">IF($BI139&lt;&gt;"",IF('Capacity summary'!$C$14="Yes",IF(COUNTBLANK('Capacity summary'!$H51:$BG51)&lt;52,IF('Capacity summary'!I51&lt;&gt;"",IF(LOWER('Capacity summary'!I51)="x",$BI139*I139,VALUE('Capacity summary'!I51)),0),I139*$BI139),I139*$BI139),0)</f>
        <v>8.0769230769230766</v>
      </c>
      <c r="BM139" s="5">
        <f ca="1">IF($BI139&lt;&gt;"",IF('Capacity summary'!$C$14="Yes",IF(COUNTBLANK('Capacity summary'!$H51:$BG51)&lt;52,IF('Capacity summary'!J51&lt;&gt;"",IF(LOWER('Capacity summary'!J51)="x",$BI139*J139,VALUE('Capacity summary'!J51)),0),J139*$BI139),J139*$BI139),0)</f>
        <v>8.0769230769230766</v>
      </c>
      <c r="BN139" s="5">
        <f ca="1">IF($BI139&lt;&gt;"",IF('Capacity summary'!$C$14="Yes",IF(COUNTBLANK('Capacity summary'!$H51:$BG51)&lt;52,IF('Capacity summary'!K51&lt;&gt;"",IF(LOWER('Capacity summary'!K51)="x",$BI139*K139,VALUE('Capacity summary'!K51)),0),K139*$BI139),K139*$BI139),0)</f>
        <v>8.0769230769230766</v>
      </c>
      <c r="BO139" s="5">
        <f ca="1">IF($BI139&lt;&gt;"",IF('Capacity summary'!$C$14="Yes",IF(COUNTBLANK('Capacity summary'!$H51:$BG51)&lt;52,IF('Capacity summary'!L51&lt;&gt;"",IF(LOWER('Capacity summary'!L51)="x",$BI139*L139,VALUE('Capacity summary'!L51)),0),L139*$BI139),L139*$BI139),0)</f>
        <v>8.0769230769230766</v>
      </c>
      <c r="BP139" s="5">
        <f ca="1">IF($BI139&lt;&gt;"",IF('Capacity summary'!$C$14="Yes",IF(COUNTBLANK('Capacity summary'!$H51:$BG51)&lt;52,IF('Capacity summary'!M51&lt;&gt;"",IF(LOWER('Capacity summary'!M51)="x",$BI139*M139,VALUE('Capacity summary'!M51)),0),M139*$BI139),M139*$BI139),0)</f>
        <v>8.0769230769230766</v>
      </c>
      <c r="BQ139" s="5">
        <f ca="1">IF($BI139&lt;&gt;"",IF('Capacity summary'!$C$14="Yes",IF(COUNTBLANK('Capacity summary'!$H51:$BG51)&lt;52,IF('Capacity summary'!N51&lt;&gt;"",IF(LOWER('Capacity summary'!N51)="x",$BI139*N139,VALUE('Capacity summary'!N51)),0),N139*$BI139),N139*$BI139),0)</f>
        <v>8.0769230769230766</v>
      </c>
      <c r="BR139" s="5">
        <f ca="1">IF($BI139&lt;&gt;"",IF('Capacity summary'!$C$14="Yes",IF(COUNTBLANK('Capacity summary'!$H51:$BG51)&lt;52,IF('Capacity summary'!O51&lt;&gt;"",IF(LOWER('Capacity summary'!O51)="x",$BI139*O139,VALUE('Capacity summary'!O51)),0),O139*$BI139),O139*$BI139),0)</f>
        <v>8.0769230769230766</v>
      </c>
      <c r="BS139" s="5">
        <f ca="1">IF($BI139&lt;&gt;"",IF('Capacity summary'!$C$14="Yes",IF(COUNTBLANK('Capacity summary'!$H51:$BG51)&lt;52,IF('Capacity summary'!P51&lt;&gt;"",IF(LOWER('Capacity summary'!P51)="x",$BI139*P139,VALUE('Capacity summary'!P51)),0),P139*$BI139),P139*$BI139),0)</f>
        <v>8.0769230769230766</v>
      </c>
      <c r="BT139" s="5">
        <f ca="1">IF($BI139&lt;&gt;"",IF('Capacity summary'!$C$14="Yes",IF(COUNTBLANK('Capacity summary'!$H51:$BG51)&lt;52,IF('Capacity summary'!Q51&lt;&gt;"",IF(LOWER('Capacity summary'!Q51)="x",$BI139*Q139,VALUE('Capacity summary'!Q51)),0),Q139*$BI139),Q139*$BI139),0)</f>
        <v>8.0769230769230766</v>
      </c>
      <c r="BU139" s="5">
        <f ca="1">IF($BI139&lt;&gt;"",IF('Capacity summary'!$C$14="Yes",IF(COUNTBLANK('Capacity summary'!$H51:$BG51)&lt;52,IF('Capacity summary'!R51&lt;&gt;"",IF(LOWER('Capacity summary'!R51)="x",$BI139*R139,VALUE('Capacity summary'!R51)),0),R139*$BI139),R139*$BI139),0)</f>
        <v>8.0769230769230766</v>
      </c>
      <c r="BV139" s="5">
        <f ca="1">IF($BI139&lt;&gt;"",IF('Capacity summary'!$C$14="Yes",IF(COUNTBLANK('Capacity summary'!$H51:$BG51)&lt;52,IF('Capacity summary'!S51&lt;&gt;"",IF(LOWER('Capacity summary'!S51)="x",$BI139*S139,VALUE('Capacity summary'!S51)),0),S139*$BI139),S139*$BI139),0)</f>
        <v>8.0769230769230766</v>
      </c>
      <c r="BW139" s="5">
        <f ca="1">IF($BI139&lt;&gt;"",IF('Capacity summary'!$C$14="Yes",IF(COUNTBLANK('Capacity summary'!$H51:$BG51)&lt;52,IF('Capacity summary'!T51&lt;&gt;"",IF(LOWER('Capacity summary'!T51)="x",$BI139*T139,VALUE('Capacity summary'!T51)),0),T139*$BI139),T139*$BI139),0)</f>
        <v>8.0769230769230766</v>
      </c>
      <c r="BX139" s="5">
        <f ca="1">IF($BI139&lt;&gt;"",IF('Capacity summary'!$C$14="Yes",IF(COUNTBLANK('Capacity summary'!$H51:$BG51)&lt;52,IF('Capacity summary'!U51&lt;&gt;"",IF(LOWER('Capacity summary'!U51)="x",$BI139*U139,VALUE('Capacity summary'!U51)),0),U139*$BI139),U139*$BI139),0)</f>
        <v>8.0769230769230766</v>
      </c>
      <c r="BY139" s="5">
        <f ca="1">IF($BI139&lt;&gt;"",IF('Capacity summary'!$C$14="Yes",IF(COUNTBLANK('Capacity summary'!$H51:$BG51)&lt;52,IF('Capacity summary'!V51&lt;&gt;"",IF(LOWER('Capacity summary'!V51)="x",$BI139*V139,VALUE('Capacity summary'!V51)),0),V139*$BI139),V139*$BI139),0)</f>
        <v>8.0769230769230766</v>
      </c>
      <c r="BZ139" s="5">
        <f ca="1">IF($BI139&lt;&gt;"",IF('Capacity summary'!$C$14="Yes",IF(COUNTBLANK('Capacity summary'!$H51:$BG51)&lt;52,IF('Capacity summary'!W51&lt;&gt;"",IF(LOWER('Capacity summary'!W51)="x",$BI139*W139,VALUE('Capacity summary'!W51)),0),W139*$BI139),W139*$BI139),0)</f>
        <v>8.0769230769230766</v>
      </c>
      <c r="CA139" s="5">
        <f ca="1">IF($BI139&lt;&gt;"",IF('Capacity summary'!$C$14="Yes",IF(COUNTBLANK('Capacity summary'!$H51:$BG51)&lt;52,IF('Capacity summary'!X51&lt;&gt;"",IF(LOWER('Capacity summary'!X51)="x",$BI139*X139,VALUE('Capacity summary'!X51)),0),X139*$BI139),X139*$BI139),0)</f>
        <v>8.0769230769230766</v>
      </c>
      <c r="CB139" s="5">
        <f ca="1">IF($BI139&lt;&gt;"",IF('Capacity summary'!$C$14="Yes",IF(COUNTBLANK('Capacity summary'!$H51:$BG51)&lt;52,IF('Capacity summary'!Y51&lt;&gt;"",IF(LOWER('Capacity summary'!Y51)="x",$BI139*Y139,VALUE('Capacity summary'!Y51)),0),Y139*$BI139),Y139*$BI139),0)</f>
        <v>8.0769230769230766</v>
      </c>
      <c r="CC139" s="5">
        <f ca="1">IF($BI139&lt;&gt;"",IF('Capacity summary'!$C$14="Yes",IF(COUNTBLANK('Capacity summary'!$H51:$BG51)&lt;52,IF('Capacity summary'!Z51&lt;&gt;"",IF(LOWER('Capacity summary'!Z51)="x",$BI139*Z139,VALUE('Capacity summary'!Z51)),0),Z139*$BI139),Z139*$BI139),0)</f>
        <v>8.0769230769230766</v>
      </c>
      <c r="CD139" s="5">
        <f ca="1">IF($BI139&lt;&gt;"",IF('Capacity summary'!$C$14="Yes",IF(COUNTBLANK('Capacity summary'!$H51:$BG51)&lt;52,IF('Capacity summary'!AA51&lt;&gt;"",IF(LOWER('Capacity summary'!AA51)="x",$BI139*AA139,VALUE('Capacity summary'!AA51)),0),AA139*$BI139),AA139*$BI139),0)</f>
        <v>8.0769230769230766</v>
      </c>
      <c r="CE139" s="5">
        <f ca="1">IF($BI139&lt;&gt;"",IF('Capacity summary'!$C$14="Yes",IF(COUNTBLANK('Capacity summary'!$H51:$BG51)&lt;52,IF('Capacity summary'!AB51&lt;&gt;"",IF(LOWER('Capacity summary'!AB51)="x",$BI139*AB139,VALUE('Capacity summary'!AB51)),0),AB139*$BI139),AB139*$BI139),0)</f>
        <v>8.0769230769230766</v>
      </c>
      <c r="CF139" s="5">
        <f ca="1">IF($BI139&lt;&gt;"",IF('Capacity summary'!$C$14="Yes",IF(COUNTBLANK('Capacity summary'!$H51:$BG51)&lt;52,IF('Capacity summary'!AC51&lt;&gt;"",IF(LOWER('Capacity summary'!AC51)="x",$BI139*AC139,VALUE('Capacity summary'!AC51)),0),AC139*$BI139),AC139*$BI139),0)</f>
        <v>8.0769230769230766</v>
      </c>
      <c r="CG139" s="5">
        <f ca="1">IF($BI139&lt;&gt;"",IF('Capacity summary'!$C$14="Yes",IF(COUNTBLANK('Capacity summary'!$H51:$BG51)&lt;52,IF('Capacity summary'!AD51&lt;&gt;"",IF(LOWER('Capacity summary'!AD51)="x",$BI139*AD139,VALUE('Capacity summary'!AD51)),0),AD139*$BI139),AD139*$BI139),0)</f>
        <v>8.0769230769230766</v>
      </c>
      <c r="CH139" s="5">
        <f ca="1">IF($BI139&lt;&gt;"",IF('Capacity summary'!$C$14="Yes",IF(COUNTBLANK('Capacity summary'!$H51:$BG51)&lt;52,IF('Capacity summary'!AE51&lt;&gt;"",IF(LOWER('Capacity summary'!AE51)="x",$BI139*AE139,VALUE('Capacity summary'!AE51)),0),AE139*$BI139),AE139*$BI139),0)</f>
        <v>8.0769230769230766</v>
      </c>
      <c r="CI139" s="5">
        <f ca="1">IF($BI139&lt;&gt;"",IF('Capacity summary'!$C$14="Yes",IF(COUNTBLANK('Capacity summary'!$H51:$BG51)&lt;52,IF('Capacity summary'!AF51&lt;&gt;"",IF(LOWER('Capacity summary'!AF51)="x",$BI139*AF139,VALUE('Capacity summary'!AF51)),0),AF139*$BI139),AF139*$BI139),0)</f>
        <v>8.0769230769230766</v>
      </c>
      <c r="CJ139" s="5">
        <f ca="1">IF($BI139&lt;&gt;"",IF('Capacity summary'!$C$14="Yes",IF(COUNTBLANK('Capacity summary'!$H51:$BG51)&lt;52,IF('Capacity summary'!AG51&lt;&gt;"",IF(LOWER('Capacity summary'!AG51)="x",$BI139*AG139,VALUE('Capacity summary'!AG51)),0),AG139*$BI139),AG139*$BI139),0)</f>
        <v>8.0769230769230766</v>
      </c>
      <c r="CK139" s="5">
        <f ca="1">IF($BI139&lt;&gt;"",IF('Capacity summary'!$C$14="Yes",IF(COUNTBLANK('Capacity summary'!$H51:$BG51)&lt;52,IF('Capacity summary'!AH51&lt;&gt;"",IF(LOWER('Capacity summary'!AH51)="x",$BI139*AH139,VALUE('Capacity summary'!AH51)),0),AH139*$BI139),AH139*$BI139),0)</f>
        <v>8.0769230769230766</v>
      </c>
      <c r="CL139" s="5">
        <f ca="1">IF($BI139&lt;&gt;"",IF('Capacity summary'!$C$14="Yes",IF(COUNTBLANK('Capacity summary'!$H51:$BG51)&lt;52,IF('Capacity summary'!AI51&lt;&gt;"",IF(LOWER('Capacity summary'!AI51)="x",$BI139*AI139,VALUE('Capacity summary'!AI51)),0),AI139*$BI139),AI139*$BI139),0)</f>
        <v>8.0769230769230766</v>
      </c>
      <c r="CM139" s="5">
        <f ca="1">IF($BI139&lt;&gt;"",IF('Capacity summary'!$C$14="Yes",IF(COUNTBLANK('Capacity summary'!$H51:$BG51)&lt;52,IF('Capacity summary'!AJ51&lt;&gt;"",IF(LOWER('Capacity summary'!AJ51)="x",$BI139*AJ139,VALUE('Capacity summary'!AJ51)),0),AJ139*$BI139),AJ139*$BI139),0)</f>
        <v>8.0769230769230766</v>
      </c>
      <c r="CN139" s="5">
        <f ca="1">IF($BI139&lt;&gt;"",IF('Capacity summary'!$C$14="Yes",IF(COUNTBLANK('Capacity summary'!$H51:$BG51)&lt;52,IF('Capacity summary'!AK51&lt;&gt;"",IF(LOWER('Capacity summary'!AK51)="x",$BI139*AK139,VALUE('Capacity summary'!AK51)),0),AK139*$BI139),AK139*$BI139),0)</f>
        <v>8.0769230769230766</v>
      </c>
      <c r="CO139" s="5">
        <f ca="1">IF($BI139&lt;&gt;"",IF('Capacity summary'!$C$14="Yes",IF(COUNTBLANK('Capacity summary'!$H51:$BG51)&lt;52,IF('Capacity summary'!AL51&lt;&gt;"",IF(LOWER('Capacity summary'!AL51)="x",$BI139*AL139,VALUE('Capacity summary'!AL51)),0),AL139*$BI139),AL139*$BI139),0)</f>
        <v>8.0769230769230766</v>
      </c>
      <c r="CP139" s="5">
        <f ca="1">IF($BI139&lt;&gt;"",IF('Capacity summary'!$C$14="Yes",IF(COUNTBLANK('Capacity summary'!$H51:$BG51)&lt;52,IF('Capacity summary'!AM51&lt;&gt;"",IF(LOWER('Capacity summary'!AM51)="x",$BI139*AM139,VALUE('Capacity summary'!AM51)),0),AM139*$BI139),AM139*$BI139),0)</f>
        <v>8.0769230769230766</v>
      </c>
      <c r="CQ139" s="5">
        <f ca="1">IF($BI139&lt;&gt;"",IF('Capacity summary'!$C$14="Yes",IF(COUNTBLANK('Capacity summary'!$H51:$BG51)&lt;52,IF('Capacity summary'!AN51&lt;&gt;"",IF(LOWER('Capacity summary'!AN51)="x",$BI139*AN139,VALUE('Capacity summary'!AN51)),0),AN139*$BI139),AN139*$BI139),0)</f>
        <v>8.0769230769230766</v>
      </c>
      <c r="CR139" s="5">
        <f ca="1">IF($BI139&lt;&gt;"",IF('Capacity summary'!$C$14="Yes",IF(COUNTBLANK('Capacity summary'!$H51:$BG51)&lt;52,IF('Capacity summary'!AO51&lt;&gt;"",IF(LOWER('Capacity summary'!AO51)="x",$BI139*AO139,VALUE('Capacity summary'!AO51)),0),AO139*$BI139),AO139*$BI139),0)</f>
        <v>8.0769230769230766</v>
      </c>
      <c r="CS139" s="5">
        <f ca="1">IF($BI139&lt;&gt;"",IF('Capacity summary'!$C$14="Yes",IF(COUNTBLANK('Capacity summary'!$H51:$BG51)&lt;52,IF('Capacity summary'!AP51&lt;&gt;"",IF(LOWER('Capacity summary'!AP51)="x",$BI139*AP139,VALUE('Capacity summary'!AP51)),0),AP139*$BI139),AP139*$BI139),0)</f>
        <v>8.0769230769230766</v>
      </c>
      <c r="CT139" s="5">
        <f ca="1">IF($BI139&lt;&gt;"",IF('Capacity summary'!$C$14="Yes",IF(COUNTBLANK('Capacity summary'!$H51:$BG51)&lt;52,IF('Capacity summary'!AQ51&lt;&gt;"",IF(LOWER('Capacity summary'!AQ51)="x",$BI139*AQ139,VALUE('Capacity summary'!AQ51)),0),AQ139*$BI139),AQ139*$BI139),0)</f>
        <v>8.0769230769230766</v>
      </c>
      <c r="CU139" s="5">
        <f ca="1">IF($BI139&lt;&gt;"",IF('Capacity summary'!$C$14="Yes",IF(COUNTBLANK('Capacity summary'!$H51:$BG51)&lt;52,IF('Capacity summary'!AR51&lt;&gt;"",IF(LOWER('Capacity summary'!AR51)="x",$BI139*AR139,VALUE('Capacity summary'!AR51)),0),AR139*$BI139),AR139*$BI139),0)</f>
        <v>8.0769230769230766</v>
      </c>
      <c r="CV139" s="5">
        <f ca="1">IF($BI139&lt;&gt;"",IF('Capacity summary'!$C$14="Yes",IF(COUNTBLANK('Capacity summary'!$H51:$BG51)&lt;52,IF('Capacity summary'!AS51&lt;&gt;"",IF(LOWER('Capacity summary'!AS51)="x",$BI139*AS139,VALUE('Capacity summary'!AS51)),0),AS139*$BI139),AS139*$BI139),0)</f>
        <v>8.0769230769230766</v>
      </c>
      <c r="CW139" s="5">
        <f ca="1">IF($BI139&lt;&gt;"",IF('Capacity summary'!$C$14="Yes",IF(COUNTBLANK('Capacity summary'!$H51:$BG51)&lt;52,IF('Capacity summary'!AT51&lt;&gt;"",IF(LOWER('Capacity summary'!AT51)="x",$BI139*AT139,VALUE('Capacity summary'!AT51)),0),AT139*$BI139),AT139*$BI139),0)</f>
        <v>8.0769230769230766</v>
      </c>
      <c r="CX139" s="5">
        <f ca="1">IF($BI139&lt;&gt;"",IF('Capacity summary'!$C$14="Yes",IF(COUNTBLANK('Capacity summary'!$H51:$BG51)&lt;52,IF('Capacity summary'!AU51&lt;&gt;"",IF(LOWER('Capacity summary'!AU51)="x",$BI139*AU139,VALUE('Capacity summary'!AU51)),0),AU139*$BI139),AU139*$BI139),0)</f>
        <v>8.0769230769230766</v>
      </c>
      <c r="CY139" s="5">
        <f ca="1">IF($BI139&lt;&gt;"",IF('Capacity summary'!$C$14="Yes",IF(COUNTBLANK('Capacity summary'!$H51:$BG51)&lt;52,IF('Capacity summary'!AV51&lt;&gt;"",IF(LOWER('Capacity summary'!AV51)="x",$BI139*AV139,VALUE('Capacity summary'!AV51)),0),AV139*$BI139),AV139*$BI139),0)</f>
        <v>8.0769230769230766</v>
      </c>
      <c r="CZ139" s="5">
        <f ca="1">IF($BI139&lt;&gt;"",IF('Capacity summary'!$C$14="Yes",IF(COUNTBLANK('Capacity summary'!$H51:$BG51)&lt;52,IF('Capacity summary'!AW51&lt;&gt;"",IF(LOWER('Capacity summary'!AW51)="x",$BI139*AW139,VALUE('Capacity summary'!AW51)),0),AW139*$BI139),AW139*$BI139),0)</f>
        <v>8.0769230769230766</v>
      </c>
      <c r="DA139" s="5">
        <f ca="1">IF($BI139&lt;&gt;"",IF('Capacity summary'!$C$14="Yes",IF(COUNTBLANK('Capacity summary'!$H51:$BG51)&lt;52,IF('Capacity summary'!AX51&lt;&gt;"",IF(LOWER('Capacity summary'!AX51)="x",$BI139*AX139,VALUE('Capacity summary'!AX51)),0),AX139*$BI139),AX139*$BI139),0)</f>
        <v>8.0769230769230766</v>
      </c>
      <c r="DB139" s="5">
        <f ca="1">IF($BI139&lt;&gt;"",IF('Capacity summary'!$C$14="Yes",IF(COUNTBLANK('Capacity summary'!$H51:$BG51)&lt;52,IF('Capacity summary'!AY51&lt;&gt;"",IF(LOWER('Capacity summary'!AY51)="x",$BI139*AY139,VALUE('Capacity summary'!AY51)),0),AY139*$BI139),AY139*$BI139),0)</f>
        <v>8.0769230769230766</v>
      </c>
      <c r="DC139" s="5">
        <f ca="1">IF($BI139&lt;&gt;"",IF('Capacity summary'!$C$14="Yes",IF(COUNTBLANK('Capacity summary'!$H51:$BG51)&lt;52,IF('Capacity summary'!AZ51&lt;&gt;"",IF(LOWER('Capacity summary'!AZ51)="x",$BI139*AZ139,VALUE('Capacity summary'!AZ51)),0),AZ139*$BI139),AZ139*$BI139),0)</f>
        <v>8.0769230769230766</v>
      </c>
      <c r="DD139" s="5">
        <f ca="1">IF($BI139&lt;&gt;"",IF('Capacity summary'!$C$14="Yes",IF(COUNTBLANK('Capacity summary'!$H51:$BG51)&lt;52,IF('Capacity summary'!BA51&lt;&gt;"",IF(LOWER('Capacity summary'!BA51)="x",$BI139*BA139,VALUE('Capacity summary'!BA51)),0),BA139*$BI139),BA139*$BI139),0)</f>
        <v>8.0769230769230766</v>
      </c>
      <c r="DE139" s="5">
        <f ca="1">IF($BI139&lt;&gt;"",IF('Capacity summary'!$C$14="Yes",IF(COUNTBLANK('Capacity summary'!$H51:$BG51)&lt;52,IF('Capacity summary'!BB51&lt;&gt;"",IF(LOWER('Capacity summary'!BB51)="x",$BI139*BB139,VALUE('Capacity summary'!BB51)),0),BB139*$BI139),BB139*$BI139),0)</f>
        <v>8.0769230769230766</v>
      </c>
      <c r="DF139" s="5">
        <f ca="1">IF($BI139&lt;&gt;"",IF('Capacity summary'!$C$14="Yes",IF(COUNTBLANK('Capacity summary'!$H51:$BG51)&lt;52,IF('Capacity summary'!BC51&lt;&gt;"",IF(LOWER('Capacity summary'!BC51)="x",$BI139*BC139,VALUE('Capacity summary'!BC51)),0),BC139*$BI139),BC139*$BI139),0)</f>
        <v>8.0769230769230766</v>
      </c>
      <c r="DG139" s="5">
        <f ca="1">IF($BI139&lt;&gt;"",IF('Capacity summary'!$C$14="Yes",IF(COUNTBLANK('Capacity summary'!$H51:$BG51)&lt;52,IF('Capacity summary'!BD51&lt;&gt;"",IF(LOWER('Capacity summary'!BD51)="x",$BI139*BD139,VALUE('Capacity summary'!BD51)),0),BD139*$BI139),BD139*$BI139),0)</f>
        <v>8.0769230769230766</v>
      </c>
      <c r="DH139" s="5">
        <f ca="1">IF($BI139&lt;&gt;"",IF('Capacity summary'!$C$14="Yes",IF(COUNTBLANK('Capacity summary'!$H51:$BG51)&lt;52,IF('Capacity summary'!BE51&lt;&gt;"",IF(LOWER('Capacity summary'!BE51)="x",$BI139*BE139,VALUE('Capacity summary'!BE51)),0),BE139*$BI139),BE139*$BI139),0)</f>
        <v>8.0769230769230766</v>
      </c>
      <c r="DI139" s="5">
        <f ca="1">IF($BI139&lt;&gt;"",IF('Capacity summary'!$C$14="Yes",IF(COUNTBLANK('Capacity summary'!$H51:$BG51)&lt;52,IF('Capacity summary'!BF51&lt;&gt;"",IF(LOWER('Capacity summary'!BF51)="x",$BI139*BF139,VALUE('Capacity summary'!BF51)),0),BF139*$BI139),BF139*$BI139),0)</f>
        <v>8.0769230769230766</v>
      </c>
      <c r="DJ139" s="5">
        <f ca="1">IF($BI139&lt;&gt;"",IF('Capacity summary'!$C$14="Yes",IF(COUNTBLANK('Capacity summary'!$H51:$BG51)&lt;52,IF('Capacity summary'!BG51&lt;&gt;"",IF(LOWER('Capacity summary'!BG51)="x",$BI139*BG139,VALUE('Capacity summary'!BG51)),0),BG139*$BI139),BG139*$BI139),0)</f>
        <v>8.0769230769230766</v>
      </c>
      <c r="DK139" s="388">
        <f t="shared" ca="1" si="8"/>
        <v>8.0769230769230766</v>
      </c>
      <c r="DL139" s="5">
        <f t="shared" ca="1" si="9"/>
        <v>420.00000000000023</v>
      </c>
    </row>
    <row r="140" spans="3:116" x14ac:dyDescent="0.2">
      <c r="C140" s="67" t="str">
        <f>ROW(A29)&amp;". "&amp;Capacity!N45</f>
        <v>29. 44397</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 ca="1">IF(ROW(A29)&lt;=Capacity!$M$16,IF('Capacity summary'!$C$14="No",SUM(H140:BG140),'Capacity summary'!$E52),0)</f>
        <v>52</v>
      </c>
      <c r="BI140" s="67">
        <f ca="1">IF(BH140&gt;0,IF(BH140&lt;Capacity!Q45,Capacity!R45,Capacity!T45/'Capacity calculation (hide)'!BH140),"")</f>
        <v>6.9230769230769234</v>
      </c>
      <c r="BJ140" s="5"/>
      <c r="BK140" s="5">
        <f ca="1">IF($BI140&lt;&gt;"",IF('Capacity summary'!$C$14="Yes",IF(COUNTBLANK('Capacity summary'!$H52:$BG52)&lt;52,IF('Capacity summary'!H52&lt;&gt;"",IF(LOWER('Capacity summary'!H52)="x",$BI140*H140,VALUE('Capacity summary'!H52)),0),H140*$BI140),H140*$BI140),0)</f>
        <v>6.9230769230769234</v>
      </c>
      <c r="BL140" s="5">
        <f ca="1">IF($BI140&lt;&gt;"",IF('Capacity summary'!$C$14="Yes",IF(COUNTBLANK('Capacity summary'!$H52:$BG52)&lt;52,IF('Capacity summary'!I52&lt;&gt;"",IF(LOWER('Capacity summary'!I52)="x",$BI140*I140,VALUE('Capacity summary'!I52)),0),I140*$BI140),I140*$BI140),0)</f>
        <v>6.9230769230769234</v>
      </c>
      <c r="BM140" s="5">
        <f ca="1">IF($BI140&lt;&gt;"",IF('Capacity summary'!$C$14="Yes",IF(COUNTBLANK('Capacity summary'!$H52:$BG52)&lt;52,IF('Capacity summary'!J52&lt;&gt;"",IF(LOWER('Capacity summary'!J52)="x",$BI140*J140,VALUE('Capacity summary'!J52)),0),J140*$BI140),J140*$BI140),0)</f>
        <v>6.9230769230769234</v>
      </c>
      <c r="BN140" s="5">
        <f ca="1">IF($BI140&lt;&gt;"",IF('Capacity summary'!$C$14="Yes",IF(COUNTBLANK('Capacity summary'!$H52:$BG52)&lt;52,IF('Capacity summary'!K52&lt;&gt;"",IF(LOWER('Capacity summary'!K52)="x",$BI140*K140,VALUE('Capacity summary'!K52)),0),K140*$BI140),K140*$BI140),0)</f>
        <v>6.9230769230769234</v>
      </c>
      <c r="BO140" s="5">
        <f ca="1">IF($BI140&lt;&gt;"",IF('Capacity summary'!$C$14="Yes",IF(COUNTBLANK('Capacity summary'!$H52:$BG52)&lt;52,IF('Capacity summary'!L52&lt;&gt;"",IF(LOWER('Capacity summary'!L52)="x",$BI140*L140,VALUE('Capacity summary'!L52)),0),L140*$BI140),L140*$BI140),0)</f>
        <v>6.9230769230769234</v>
      </c>
      <c r="BP140" s="5">
        <f ca="1">IF($BI140&lt;&gt;"",IF('Capacity summary'!$C$14="Yes",IF(COUNTBLANK('Capacity summary'!$H52:$BG52)&lt;52,IF('Capacity summary'!M52&lt;&gt;"",IF(LOWER('Capacity summary'!M52)="x",$BI140*M140,VALUE('Capacity summary'!M52)),0),M140*$BI140),M140*$BI140),0)</f>
        <v>6.9230769230769234</v>
      </c>
      <c r="BQ140" s="5">
        <f ca="1">IF($BI140&lt;&gt;"",IF('Capacity summary'!$C$14="Yes",IF(COUNTBLANK('Capacity summary'!$H52:$BG52)&lt;52,IF('Capacity summary'!N52&lt;&gt;"",IF(LOWER('Capacity summary'!N52)="x",$BI140*N140,VALUE('Capacity summary'!N52)),0),N140*$BI140),N140*$BI140),0)</f>
        <v>6.9230769230769234</v>
      </c>
      <c r="BR140" s="5">
        <f ca="1">IF($BI140&lt;&gt;"",IF('Capacity summary'!$C$14="Yes",IF(COUNTBLANK('Capacity summary'!$H52:$BG52)&lt;52,IF('Capacity summary'!O52&lt;&gt;"",IF(LOWER('Capacity summary'!O52)="x",$BI140*O140,VALUE('Capacity summary'!O52)),0),O140*$BI140),O140*$BI140),0)</f>
        <v>6.9230769230769234</v>
      </c>
      <c r="BS140" s="5">
        <f ca="1">IF($BI140&lt;&gt;"",IF('Capacity summary'!$C$14="Yes",IF(COUNTBLANK('Capacity summary'!$H52:$BG52)&lt;52,IF('Capacity summary'!P52&lt;&gt;"",IF(LOWER('Capacity summary'!P52)="x",$BI140*P140,VALUE('Capacity summary'!P52)),0),P140*$BI140),P140*$BI140),0)</f>
        <v>6.9230769230769234</v>
      </c>
      <c r="BT140" s="5">
        <f ca="1">IF($BI140&lt;&gt;"",IF('Capacity summary'!$C$14="Yes",IF(COUNTBLANK('Capacity summary'!$H52:$BG52)&lt;52,IF('Capacity summary'!Q52&lt;&gt;"",IF(LOWER('Capacity summary'!Q52)="x",$BI140*Q140,VALUE('Capacity summary'!Q52)),0),Q140*$BI140),Q140*$BI140),0)</f>
        <v>6.9230769230769234</v>
      </c>
      <c r="BU140" s="5">
        <f ca="1">IF($BI140&lt;&gt;"",IF('Capacity summary'!$C$14="Yes",IF(COUNTBLANK('Capacity summary'!$H52:$BG52)&lt;52,IF('Capacity summary'!R52&lt;&gt;"",IF(LOWER('Capacity summary'!R52)="x",$BI140*R140,VALUE('Capacity summary'!R52)),0),R140*$BI140),R140*$BI140),0)</f>
        <v>6.9230769230769234</v>
      </c>
      <c r="BV140" s="5">
        <f ca="1">IF($BI140&lt;&gt;"",IF('Capacity summary'!$C$14="Yes",IF(COUNTBLANK('Capacity summary'!$H52:$BG52)&lt;52,IF('Capacity summary'!S52&lt;&gt;"",IF(LOWER('Capacity summary'!S52)="x",$BI140*S140,VALUE('Capacity summary'!S52)),0),S140*$BI140),S140*$BI140),0)</f>
        <v>6.9230769230769234</v>
      </c>
      <c r="BW140" s="5">
        <f ca="1">IF($BI140&lt;&gt;"",IF('Capacity summary'!$C$14="Yes",IF(COUNTBLANK('Capacity summary'!$H52:$BG52)&lt;52,IF('Capacity summary'!T52&lt;&gt;"",IF(LOWER('Capacity summary'!T52)="x",$BI140*T140,VALUE('Capacity summary'!T52)),0),T140*$BI140),T140*$BI140),0)</f>
        <v>6.9230769230769234</v>
      </c>
      <c r="BX140" s="5">
        <f ca="1">IF($BI140&lt;&gt;"",IF('Capacity summary'!$C$14="Yes",IF(COUNTBLANK('Capacity summary'!$H52:$BG52)&lt;52,IF('Capacity summary'!U52&lt;&gt;"",IF(LOWER('Capacity summary'!U52)="x",$BI140*U140,VALUE('Capacity summary'!U52)),0),U140*$BI140),U140*$BI140),0)</f>
        <v>6.9230769230769234</v>
      </c>
      <c r="BY140" s="5">
        <f ca="1">IF($BI140&lt;&gt;"",IF('Capacity summary'!$C$14="Yes",IF(COUNTBLANK('Capacity summary'!$H52:$BG52)&lt;52,IF('Capacity summary'!V52&lt;&gt;"",IF(LOWER('Capacity summary'!V52)="x",$BI140*V140,VALUE('Capacity summary'!V52)),0),V140*$BI140),V140*$BI140),0)</f>
        <v>6.9230769230769234</v>
      </c>
      <c r="BZ140" s="5">
        <f ca="1">IF($BI140&lt;&gt;"",IF('Capacity summary'!$C$14="Yes",IF(COUNTBLANK('Capacity summary'!$H52:$BG52)&lt;52,IF('Capacity summary'!W52&lt;&gt;"",IF(LOWER('Capacity summary'!W52)="x",$BI140*W140,VALUE('Capacity summary'!W52)),0),W140*$BI140),W140*$BI140),0)</f>
        <v>6.9230769230769234</v>
      </c>
      <c r="CA140" s="5">
        <f ca="1">IF($BI140&lt;&gt;"",IF('Capacity summary'!$C$14="Yes",IF(COUNTBLANK('Capacity summary'!$H52:$BG52)&lt;52,IF('Capacity summary'!X52&lt;&gt;"",IF(LOWER('Capacity summary'!X52)="x",$BI140*X140,VALUE('Capacity summary'!X52)),0),X140*$BI140),X140*$BI140),0)</f>
        <v>6.9230769230769234</v>
      </c>
      <c r="CB140" s="5">
        <f ca="1">IF($BI140&lt;&gt;"",IF('Capacity summary'!$C$14="Yes",IF(COUNTBLANK('Capacity summary'!$H52:$BG52)&lt;52,IF('Capacity summary'!Y52&lt;&gt;"",IF(LOWER('Capacity summary'!Y52)="x",$BI140*Y140,VALUE('Capacity summary'!Y52)),0),Y140*$BI140),Y140*$BI140),0)</f>
        <v>6.9230769230769234</v>
      </c>
      <c r="CC140" s="5">
        <f ca="1">IF($BI140&lt;&gt;"",IF('Capacity summary'!$C$14="Yes",IF(COUNTBLANK('Capacity summary'!$H52:$BG52)&lt;52,IF('Capacity summary'!Z52&lt;&gt;"",IF(LOWER('Capacity summary'!Z52)="x",$BI140*Z140,VALUE('Capacity summary'!Z52)),0),Z140*$BI140),Z140*$BI140),0)</f>
        <v>6.9230769230769234</v>
      </c>
      <c r="CD140" s="5">
        <f ca="1">IF($BI140&lt;&gt;"",IF('Capacity summary'!$C$14="Yes",IF(COUNTBLANK('Capacity summary'!$H52:$BG52)&lt;52,IF('Capacity summary'!AA52&lt;&gt;"",IF(LOWER('Capacity summary'!AA52)="x",$BI140*AA140,VALUE('Capacity summary'!AA52)),0),AA140*$BI140),AA140*$BI140),0)</f>
        <v>6.9230769230769234</v>
      </c>
      <c r="CE140" s="5">
        <f ca="1">IF($BI140&lt;&gt;"",IF('Capacity summary'!$C$14="Yes",IF(COUNTBLANK('Capacity summary'!$H52:$BG52)&lt;52,IF('Capacity summary'!AB52&lt;&gt;"",IF(LOWER('Capacity summary'!AB52)="x",$BI140*AB140,VALUE('Capacity summary'!AB52)),0),AB140*$BI140),AB140*$BI140),0)</f>
        <v>6.9230769230769234</v>
      </c>
      <c r="CF140" s="5">
        <f ca="1">IF($BI140&lt;&gt;"",IF('Capacity summary'!$C$14="Yes",IF(COUNTBLANK('Capacity summary'!$H52:$BG52)&lt;52,IF('Capacity summary'!AC52&lt;&gt;"",IF(LOWER('Capacity summary'!AC52)="x",$BI140*AC140,VALUE('Capacity summary'!AC52)),0),AC140*$BI140),AC140*$BI140),0)</f>
        <v>6.9230769230769234</v>
      </c>
      <c r="CG140" s="5">
        <f ca="1">IF($BI140&lt;&gt;"",IF('Capacity summary'!$C$14="Yes",IF(COUNTBLANK('Capacity summary'!$H52:$BG52)&lt;52,IF('Capacity summary'!AD52&lt;&gt;"",IF(LOWER('Capacity summary'!AD52)="x",$BI140*AD140,VALUE('Capacity summary'!AD52)),0),AD140*$BI140),AD140*$BI140),0)</f>
        <v>6.9230769230769234</v>
      </c>
      <c r="CH140" s="5">
        <f ca="1">IF($BI140&lt;&gt;"",IF('Capacity summary'!$C$14="Yes",IF(COUNTBLANK('Capacity summary'!$H52:$BG52)&lt;52,IF('Capacity summary'!AE52&lt;&gt;"",IF(LOWER('Capacity summary'!AE52)="x",$BI140*AE140,VALUE('Capacity summary'!AE52)),0),AE140*$BI140),AE140*$BI140),0)</f>
        <v>6.9230769230769234</v>
      </c>
      <c r="CI140" s="5">
        <f ca="1">IF($BI140&lt;&gt;"",IF('Capacity summary'!$C$14="Yes",IF(COUNTBLANK('Capacity summary'!$H52:$BG52)&lt;52,IF('Capacity summary'!AF52&lt;&gt;"",IF(LOWER('Capacity summary'!AF52)="x",$BI140*AF140,VALUE('Capacity summary'!AF52)),0),AF140*$BI140),AF140*$BI140),0)</f>
        <v>6.9230769230769234</v>
      </c>
      <c r="CJ140" s="5">
        <f ca="1">IF($BI140&lt;&gt;"",IF('Capacity summary'!$C$14="Yes",IF(COUNTBLANK('Capacity summary'!$H52:$BG52)&lt;52,IF('Capacity summary'!AG52&lt;&gt;"",IF(LOWER('Capacity summary'!AG52)="x",$BI140*AG140,VALUE('Capacity summary'!AG52)),0),AG140*$BI140),AG140*$BI140),0)</f>
        <v>6.9230769230769234</v>
      </c>
      <c r="CK140" s="5">
        <f ca="1">IF($BI140&lt;&gt;"",IF('Capacity summary'!$C$14="Yes",IF(COUNTBLANK('Capacity summary'!$H52:$BG52)&lt;52,IF('Capacity summary'!AH52&lt;&gt;"",IF(LOWER('Capacity summary'!AH52)="x",$BI140*AH140,VALUE('Capacity summary'!AH52)),0),AH140*$BI140),AH140*$BI140),0)</f>
        <v>6.9230769230769234</v>
      </c>
      <c r="CL140" s="5">
        <f ca="1">IF($BI140&lt;&gt;"",IF('Capacity summary'!$C$14="Yes",IF(COUNTBLANK('Capacity summary'!$H52:$BG52)&lt;52,IF('Capacity summary'!AI52&lt;&gt;"",IF(LOWER('Capacity summary'!AI52)="x",$BI140*AI140,VALUE('Capacity summary'!AI52)),0),AI140*$BI140),AI140*$BI140),0)</f>
        <v>6.9230769230769234</v>
      </c>
      <c r="CM140" s="5">
        <f ca="1">IF($BI140&lt;&gt;"",IF('Capacity summary'!$C$14="Yes",IF(COUNTBLANK('Capacity summary'!$H52:$BG52)&lt;52,IF('Capacity summary'!AJ52&lt;&gt;"",IF(LOWER('Capacity summary'!AJ52)="x",$BI140*AJ140,VALUE('Capacity summary'!AJ52)),0),AJ140*$BI140),AJ140*$BI140),0)</f>
        <v>6.9230769230769234</v>
      </c>
      <c r="CN140" s="5">
        <f ca="1">IF($BI140&lt;&gt;"",IF('Capacity summary'!$C$14="Yes",IF(COUNTBLANK('Capacity summary'!$H52:$BG52)&lt;52,IF('Capacity summary'!AK52&lt;&gt;"",IF(LOWER('Capacity summary'!AK52)="x",$BI140*AK140,VALUE('Capacity summary'!AK52)),0),AK140*$BI140),AK140*$BI140),0)</f>
        <v>6.9230769230769234</v>
      </c>
      <c r="CO140" s="5">
        <f ca="1">IF($BI140&lt;&gt;"",IF('Capacity summary'!$C$14="Yes",IF(COUNTBLANK('Capacity summary'!$H52:$BG52)&lt;52,IF('Capacity summary'!AL52&lt;&gt;"",IF(LOWER('Capacity summary'!AL52)="x",$BI140*AL140,VALUE('Capacity summary'!AL52)),0),AL140*$BI140),AL140*$BI140),0)</f>
        <v>6.9230769230769234</v>
      </c>
      <c r="CP140" s="5">
        <f ca="1">IF($BI140&lt;&gt;"",IF('Capacity summary'!$C$14="Yes",IF(COUNTBLANK('Capacity summary'!$H52:$BG52)&lt;52,IF('Capacity summary'!AM52&lt;&gt;"",IF(LOWER('Capacity summary'!AM52)="x",$BI140*AM140,VALUE('Capacity summary'!AM52)),0),AM140*$BI140),AM140*$BI140),0)</f>
        <v>6.9230769230769234</v>
      </c>
      <c r="CQ140" s="5">
        <f ca="1">IF($BI140&lt;&gt;"",IF('Capacity summary'!$C$14="Yes",IF(COUNTBLANK('Capacity summary'!$H52:$BG52)&lt;52,IF('Capacity summary'!AN52&lt;&gt;"",IF(LOWER('Capacity summary'!AN52)="x",$BI140*AN140,VALUE('Capacity summary'!AN52)),0),AN140*$BI140),AN140*$BI140),0)</f>
        <v>6.9230769230769234</v>
      </c>
      <c r="CR140" s="5">
        <f ca="1">IF($BI140&lt;&gt;"",IF('Capacity summary'!$C$14="Yes",IF(COUNTBLANK('Capacity summary'!$H52:$BG52)&lt;52,IF('Capacity summary'!AO52&lt;&gt;"",IF(LOWER('Capacity summary'!AO52)="x",$BI140*AO140,VALUE('Capacity summary'!AO52)),0),AO140*$BI140),AO140*$BI140),0)</f>
        <v>6.9230769230769234</v>
      </c>
      <c r="CS140" s="5">
        <f ca="1">IF($BI140&lt;&gt;"",IF('Capacity summary'!$C$14="Yes",IF(COUNTBLANK('Capacity summary'!$H52:$BG52)&lt;52,IF('Capacity summary'!AP52&lt;&gt;"",IF(LOWER('Capacity summary'!AP52)="x",$BI140*AP140,VALUE('Capacity summary'!AP52)),0),AP140*$BI140),AP140*$BI140),0)</f>
        <v>6.9230769230769234</v>
      </c>
      <c r="CT140" s="5">
        <f ca="1">IF($BI140&lt;&gt;"",IF('Capacity summary'!$C$14="Yes",IF(COUNTBLANK('Capacity summary'!$H52:$BG52)&lt;52,IF('Capacity summary'!AQ52&lt;&gt;"",IF(LOWER('Capacity summary'!AQ52)="x",$BI140*AQ140,VALUE('Capacity summary'!AQ52)),0),AQ140*$BI140),AQ140*$BI140),0)</f>
        <v>6.9230769230769234</v>
      </c>
      <c r="CU140" s="5">
        <f ca="1">IF($BI140&lt;&gt;"",IF('Capacity summary'!$C$14="Yes",IF(COUNTBLANK('Capacity summary'!$H52:$BG52)&lt;52,IF('Capacity summary'!AR52&lt;&gt;"",IF(LOWER('Capacity summary'!AR52)="x",$BI140*AR140,VALUE('Capacity summary'!AR52)),0),AR140*$BI140),AR140*$BI140),0)</f>
        <v>6.9230769230769234</v>
      </c>
      <c r="CV140" s="5">
        <f ca="1">IF($BI140&lt;&gt;"",IF('Capacity summary'!$C$14="Yes",IF(COUNTBLANK('Capacity summary'!$H52:$BG52)&lt;52,IF('Capacity summary'!AS52&lt;&gt;"",IF(LOWER('Capacity summary'!AS52)="x",$BI140*AS140,VALUE('Capacity summary'!AS52)),0),AS140*$BI140),AS140*$BI140),0)</f>
        <v>6.9230769230769234</v>
      </c>
      <c r="CW140" s="5">
        <f ca="1">IF($BI140&lt;&gt;"",IF('Capacity summary'!$C$14="Yes",IF(COUNTBLANK('Capacity summary'!$H52:$BG52)&lt;52,IF('Capacity summary'!AT52&lt;&gt;"",IF(LOWER('Capacity summary'!AT52)="x",$BI140*AT140,VALUE('Capacity summary'!AT52)),0),AT140*$BI140),AT140*$BI140),0)</f>
        <v>6.9230769230769234</v>
      </c>
      <c r="CX140" s="5">
        <f ca="1">IF($BI140&lt;&gt;"",IF('Capacity summary'!$C$14="Yes",IF(COUNTBLANK('Capacity summary'!$H52:$BG52)&lt;52,IF('Capacity summary'!AU52&lt;&gt;"",IF(LOWER('Capacity summary'!AU52)="x",$BI140*AU140,VALUE('Capacity summary'!AU52)),0),AU140*$BI140),AU140*$BI140),0)</f>
        <v>6.9230769230769234</v>
      </c>
      <c r="CY140" s="5">
        <f ca="1">IF($BI140&lt;&gt;"",IF('Capacity summary'!$C$14="Yes",IF(COUNTBLANK('Capacity summary'!$H52:$BG52)&lt;52,IF('Capacity summary'!AV52&lt;&gt;"",IF(LOWER('Capacity summary'!AV52)="x",$BI140*AV140,VALUE('Capacity summary'!AV52)),0),AV140*$BI140),AV140*$BI140),0)</f>
        <v>6.9230769230769234</v>
      </c>
      <c r="CZ140" s="5">
        <f ca="1">IF($BI140&lt;&gt;"",IF('Capacity summary'!$C$14="Yes",IF(COUNTBLANK('Capacity summary'!$H52:$BG52)&lt;52,IF('Capacity summary'!AW52&lt;&gt;"",IF(LOWER('Capacity summary'!AW52)="x",$BI140*AW140,VALUE('Capacity summary'!AW52)),0),AW140*$BI140),AW140*$BI140),0)</f>
        <v>6.9230769230769234</v>
      </c>
      <c r="DA140" s="5">
        <f ca="1">IF($BI140&lt;&gt;"",IF('Capacity summary'!$C$14="Yes",IF(COUNTBLANK('Capacity summary'!$H52:$BG52)&lt;52,IF('Capacity summary'!AX52&lt;&gt;"",IF(LOWER('Capacity summary'!AX52)="x",$BI140*AX140,VALUE('Capacity summary'!AX52)),0),AX140*$BI140),AX140*$BI140),0)</f>
        <v>6.9230769230769234</v>
      </c>
      <c r="DB140" s="5">
        <f ca="1">IF($BI140&lt;&gt;"",IF('Capacity summary'!$C$14="Yes",IF(COUNTBLANK('Capacity summary'!$H52:$BG52)&lt;52,IF('Capacity summary'!AY52&lt;&gt;"",IF(LOWER('Capacity summary'!AY52)="x",$BI140*AY140,VALUE('Capacity summary'!AY52)),0),AY140*$BI140),AY140*$BI140),0)</f>
        <v>6.9230769230769234</v>
      </c>
      <c r="DC140" s="5">
        <f ca="1">IF($BI140&lt;&gt;"",IF('Capacity summary'!$C$14="Yes",IF(COUNTBLANK('Capacity summary'!$H52:$BG52)&lt;52,IF('Capacity summary'!AZ52&lt;&gt;"",IF(LOWER('Capacity summary'!AZ52)="x",$BI140*AZ140,VALUE('Capacity summary'!AZ52)),0),AZ140*$BI140),AZ140*$BI140),0)</f>
        <v>6.9230769230769234</v>
      </c>
      <c r="DD140" s="5">
        <f ca="1">IF($BI140&lt;&gt;"",IF('Capacity summary'!$C$14="Yes",IF(COUNTBLANK('Capacity summary'!$H52:$BG52)&lt;52,IF('Capacity summary'!BA52&lt;&gt;"",IF(LOWER('Capacity summary'!BA52)="x",$BI140*BA140,VALUE('Capacity summary'!BA52)),0),BA140*$BI140),BA140*$BI140),0)</f>
        <v>6.9230769230769234</v>
      </c>
      <c r="DE140" s="5">
        <f ca="1">IF($BI140&lt;&gt;"",IF('Capacity summary'!$C$14="Yes",IF(COUNTBLANK('Capacity summary'!$H52:$BG52)&lt;52,IF('Capacity summary'!BB52&lt;&gt;"",IF(LOWER('Capacity summary'!BB52)="x",$BI140*BB140,VALUE('Capacity summary'!BB52)),0),BB140*$BI140),BB140*$BI140),0)</f>
        <v>6.9230769230769234</v>
      </c>
      <c r="DF140" s="5">
        <f ca="1">IF($BI140&lt;&gt;"",IF('Capacity summary'!$C$14="Yes",IF(COUNTBLANK('Capacity summary'!$H52:$BG52)&lt;52,IF('Capacity summary'!BC52&lt;&gt;"",IF(LOWER('Capacity summary'!BC52)="x",$BI140*BC140,VALUE('Capacity summary'!BC52)),0),BC140*$BI140),BC140*$BI140),0)</f>
        <v>6.9230769230769234</v>
      </c>
      <c r="DG140" s="5">
        <f ca="1">IF($BI140&lt;&gt;"",IF('Capacity summary'!$C$14="Yes",IF(COUNTBLANK('Capacity summary'!$H52:$BG52)&lt;52,IF('Capacity summary'!BD52&lt;&gt;"",IF(LOWER('Capacity summary'!BD52)="x",$BI140*BD140,VALUE('Capacity summary'!BD52)),0),BD140*$BI140),BD140*$BI140),0)</f>
        <v>6.9230769230769234</v>
      </c>
      <c r="DH140" s="5">
        <f ca="1">IF($BI140&lt;&gt;"",IF('Capacity summary'!$C$14="Yes",IF(COUNTBLANK('Capacity summary'!$H52:$BG52)&lt;52,IF('Capacity summary'!BE52&lt;&gt;"",IF(LOWER('Capacity summary'!BE52)="x",$BI140*BE140,VALUE('Capacity summary'!BE52)),0),BE140*$BI140),BE140*$BI140),0)</f>
        <v>6.9230769230769234</v>
      </c>
      <c r="DI140" s="5">
        <f ca="1">IF($BI140&lt;&gt;"",IF('Capacity summary'!$C$14="Yes",IF(COUNTBLANK('Capacity summary'!$H52:$BG52)&lt;52,IF('Capacity summary'!BF52&lt;&gt;"",IF(LOWER('Capacity summary'!BF52)="x",$BI140*BF140,VALUE('Capacity summary'!BF52)),0),BF140*$BI140),BF140*$BI140),0)</f>
        <v>6.9230769230769234</v>
      </c>
      <c r="DJ140" s="5">
        <f ca="1">IF($BI140&lt;&gt;"",IF('Capacity summary'!$C$14="Yes",IF(COUNTBLANK('Capacity summary'!$H52:$BG52)&lt;52,IF('Capacity summary'!BG52&lt;&gt;"",IF(LOWER('Capacity summary'!BG52)="x",$BI140*BG140,VALUE('Capacity summary'!BG52)),0),BG140*$BI140),BG140*$BI140),0)</f>
        <v>6.9230769230769234</v>
      </c>
      <c r="DK140" s="388">
        <f t="shared" ca="1" si="8"/>
        <v>6.9230769230769234</v>
      </c>
      <c r="DL140" s="5">
        <f t="shared" ca="1" si="9"/>
        <v>359.99999999999989</v>
      </c>
    </row>
    <row r="141" spans="3:116" x14ac:dyDescent="0.2">
      <c r="C141" s="67" t="str">
        <f>ROW(A30)&amp;". "&amp;Capacity!N46</f>
        <v>30. 44399</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 ca="1">IF(ROW(A30)&lt;=Capacity!$M$16,IF('Capacity summary'!$C$14="No",SUM(H141:BG141),'Capacity summary'!$E53),0)</f>
        <v>52</v>
      </c>
      <c r="BI141" s="67">
        <f ca="1">IF(BH141&gt;0,IF(BH141&lt;Capacity!Q46,Capacity!R46,Capacity!T46/'Capacity calculation (hide)'!BH141),"")</f>
        <v>8.0769230769230766</v>
      </c>
      <c r="BJ141" s="5"/>
      <c r="BK141" s="5">
        <f ca="1">IF($BI141&lt;&gt;"",IF('Capacity summary'!$C$14="Yes",IF(COUNTBLANK('Capacity summary'!$H53:$BG53)&lt;52,IF('Capacity summary'!H53&lt;&gt;"",IF(LOWER('Capacity summary'!H53)="x",$BI141*H141,VALUE('Capacity summary'!H53)),0),H141*$BI141),H141*$BI141),0)</f>
        <v>8.0769230769230766</v>
      </c>
      <c r="BL141" s="5">
        <f ca="1">IF($BI141&lt;&gt;"",IF('Capacity summary'!$C$14="Yes",IF(COUNTBLANK('Capacity summary'!$H53:$BG53)&lt;52,IF('Capacity summary'!I53&lt;&gt;"",IF(LOWER('Capacity summary'!I53)="x",$BI141*I141,VALUE('Capacity summary'!I53)),0),I141*$BI141),I141*$BI141),0)</f>
        <v>8.0769230769230766</v>
      </c>
      <c r="BM141" s="5">
        <f ca="1">IF($BI141&lt;&gt;"",IF('Capacity summary'!$C$14="Yes",IF(COUNTBLANK('Capacity summary'!$H53:$BG53)&lt;52,IF('Capacity summary'!J53&lt;&gt;"",IF(LOWER('Capacity summary'!J53)="x",$BI141*J141,VALUE('Capacity summary'!J53)),0),J141*$BI141),J141*$BI141),0)</f>
        <v>8.0769230769230766</v>
      </c>
      <c r="BN141" s="5">
        <f ca="1">IF($BI141&lt;&gt;"",IF('Capacity summary'!$C$14="Yes",IF(COUNTBLANK('Capacity summary'!$H53:$BG53)&lt;52,IF('Capacity summary'!K53&lt;&gt;"",IF(LOWER('Capacity summary'!K53)="x",$BI141*K141,VALUE('Capacity summary'!K53)),0),K141*$BI141),K141*$BI141),0)</f>
        <v>8.0769230769230766</v>
      </c>
      <c r="BO141" s="5">
        <f ca="1">IF($BI141&lt;&gt;"",IF('Capacity summary'!$C$14="Yes",IF(COUNTBLANK('Capacity summary'!$H53:$BG53)&lt;52,IF('Capacity summary'!L53&lt;&gt;"",IF(LOWER('Capacity summary'!L53)="x",$BI141*L141,VALUE('Capacity summary'!L53)),0),L141*$BI141),L141*$BI141),0)</f>
        <v>8.0769230769230766</v>
      </c>
      <c r="BP141" s="5">
        <f ca="1">IF($BI141&lt;&gt;"",IF('Capacity summary'!$C$14="Yes",IF(COUNTBLANK('Capacity summary'!$H53:$BG53)&lt;52,IF('Capacity summary'!M53&lt;&gt;"",IF(LOWER('Capacity summary'!M53)="x",$BI141*M141,VALUE('Capacity summary'!M53)),0),M141*$BI141),M141*$BI141),0)</f>
        <v>8.0769230769230766</v>
      </c>
      <c r="BQ141" s="5">
        <f ca="1">IF($BI141&lt;&gt;"",IF('Capacity summary'!$C$14="Yes",IF(COUNTBLANK('Capacity summary'!$H53:$BG53)&lt;52,IF('Capacity summary'!N53&lt;&gt;"",IF(LOWER('Capacity summary'!N53)="x",$BI141*N141,VALUE('Capacity summary'!N53)),0),N141*$BI141),N141*$BI141),0)</f>
        <v>8.0769230769230766</v>
      </c>
      <c r="BR141" s="5">
        <f ca="1">IF($BI141&lt;&gt;"",IF('Capacity summary'!$C$14="Yes",IF(COUNTBLANK('Capacity summary'!$H53:$BG53)&lt;52,IF('Capacity summary'!O53&lt;&gt;"",IF(LOWER('Capacity summary'!O53)="x",$BI141*O141,VALUE('Capacity summary'!O53)),0),O141*$BI141),O141*$BI141),0)</f>
        <v>8.0769230769230766</v>
      </c>
      <c r="BS141" s="5">
        <f ca="1">IF($BI141&lt;&gt;"",IF('Capacity summary'!$C$14="Yes",IF(COUNTBLANK('Capacity summary'!$H53:$BG53)&lt;52,IF('Capacity summary'!P53&lt;&gt;"",IF(LOWER('Capacity summary'!P53)="x",$BI141*P141,VALUE('Capacity summary'!P53)),0),P141*$BI141),P141*$BI141),0)</f>
        <v>8.0769230769230766</v>
      </c>
      <c r="BT141" s="5">
        <f ca="1">IF($BI141&lt;&gt;"",IF('Capacity summary'!$C$14="Yes",IF(COUNTBLANK('Capacity summary'!$H53:$BG53)&lt;52,IF('Capacity summary'!Q53&lt;&gt;"",IF(LOWER('Capacity summary'!Q53)="x",$BI141*Q141,VALUE('Capacity summary'!Q53)),0),Q141*$BI141),Q141*$BI141),0)</f>
        <v>8.0769230769230766</v>
      </c>
      <c r="BU141" s="5">
        <f ca="1">IF($BI141&lt;&gt;"",IF('Capacity summary'!$C$14="Yes",IF(COUNTBLANK('Capacity summary'!$H53:$BG53)&lt;52,IF('Capacity summary'!R53&lt;&gt;"",IF(LOWER('Capacity summary'!R53)="x",$BI141*R141,VALUE('Capacity summary'!R53)),0),R141*$BI141),R141*$BI141),0)</f>
        <v>8.0769230769230766</v>
      </c>
      <c r="BV141" s="5">
        <f ca="1">IF($BI141&lt;&gt;"",IF('Capacity summary'!$C$14="Yes",IF(COUNTBLANK('Capacity summary'!$H53:$BG53)&lt;52,IF('Capacity summary'!S53&lt;&gt;"",IF(LOWER('Capacity summary'!S53)="x",$BI141*S141,VALUE('Capacity summary'!S53)),0),S141*$BI141),S141*$BI141),0)</f>
        <v>8.0769230769230766</v>
      </c>
      <c r="BW141" s="5">
        <f ca="1">IF($BI141&lt;&gt;"",IF('Capacity summary'!$C$14="Yes",IF(COUNTBLANK('Capacity summary'!$H53:$BG53)&lt;52,IF('Capacity summary'!T53&lt;&gt;"",IF(LOWER('Capacity summary'!T53)="x",$BI141*T141,VALUE('Capacity summary'!T53)),0),T141*$BI141),T141*$BI141),0)</f>
        <v>8.0769230769230766</v>
      </c>
      <c r="BX141" s="5">
        <f ca="1">IF($BI141&lt;&gt;"",IF('Capacity summary'!$C$14="Yes",IF(COUNTBLANK('Capacity summary'!$H53:$BG53)&lt;52,IF('Capacity summary'!U53&lt;&gt;"",IF(LOWER('Capacity summary'!U53)="x",$BI141*U141,VALUE('Capacity summary'!U53)),0),U141*$BI141),U141*$BI141),0)</f>
        <v>8.0769230769230766</v>
      </c>
      <c r="BY141" s="5">
        <f ca="1">IF($BI141&lt;&gt;"",IF('Capacity summary'!$C$14="Yes",IF(COUNTBLANK('Capacity summary'!$H53:$BG53)&lt;52,IF('Capacity summary'!V53&lt;&gt;"",IF(LOWER('Capacity summary'!V53)="x",$BI141*V141,VALUE('Capacity summary'!V53)),0),V141*$BI141),V141*$BI141),0)</f>
        <v>8.0769230769230766</v>
      </c>
      <c r="BZ141" s="5">
        <f ca="1">IF($BI141&lt;&gt;"",IF('Capacity summary'!$C$14="Yes",IF(COUNTBLANK('Capacity summary'!$H53:$BG53)&lt;52,IF('Capacity summary'!W53&lt;&gt;"",IF(LOWER('Capacity summary'!W53)="x",$BI141*W141,VALUE('Capacity summary'!W53)),0),W141*$BI141),W141*$BI141),0)</f>
        <v>8.0769230769230766</v>
      </c>
      <c r="CA141" s="5">
        <f ca="1">IF($BI141&lt;&gt;"",IF('Capacity summary'!$C$14="Yes",IF(COUNTBLANK('Capacity summary'!$H53:$BG53)&lt;52,IF('Capacity summary'!X53&lt;&gt;"",IF(LOWER('Capacity summary'!X53)="x",$BI141*X141,VALUE('Capacity summary'!X53)),0),X141*$BI141),X141*$BI141),0)</f>
        <v>8.0769230769230766</v>
      </c>
      <c r="CB141" s="5">
        <f ca="1">IF($BI141&lt;&gt;"",IF('Capacity summary'!$C$14="Yes",IF(COUNTBLANK('Capacity summary'!$H53:$BG53)&lt;52,IF('Capacity summary'!Y53&lt;&gt;"",IF(LOWER('Capacity summary'!Y53)="x",$BI141*Y141,VALUE('Capacity summary'!Y53)),0),Y141*$BI141),Y141*$BI141),0)</f>
        <v>8.0769230769230766</v>
      </c>
      <c r="CC141" s="5">
        <f ca="1">IF($BI141&lt;&gt;"",IF('Capacity summary'!$C$14="Yes",IF(COUNTBLANK('Capacity summary'!$H53:$BG53)&lt;52,IF('Capacity summary'!Z53&lt;&gt;"",IF(LOWER('Capacity summary'!Z53)="x",$BI141*Z141,VALUE('Capacity summary'!Z53)),0),Z141*$BI141),Z141*$BI141),0)</f>
        <v>8.0769230769230766</v>
      </c>
      <c r="CD141" s="5">
        <f ca="1">IF($BI141&lt;&gt;"",IF('Capacity summary'!$C$14="Yes",IF(COUNTBLANK('Capacity summary'!$H53:$BG53)&lt;52,IF('Capacity summary'!AA53&lt;&gt;"",IF(LOWER('Capacity summary'!AA53)="x",$BI141*AA141,VALUE('Capacity summary'!AA53)),0),AA141*$BI141),AA141*$BI141),0)</f>
        <v>8.0769230769230766</v>
      </c>
      <c r="CE141" s="5">
        <f ca="1">IF($BI141&lt;&gt;"",IF('Capacity summary'!$C$14="Yes",IF(COUNTBLANK('Capacity summary'!$H53:$BG53)&lt;52,IF('Capacity summary'!AB53&lt;&gt;"",IF(LOWER('Capacity summary'!AB53)="x",$BI141*AB141,VALUE('Capacity summary'!AB53)),0),AB141*$BI141),AB141*$BI141),0)</f>
        <v>8.0769230769230766</v>
      </c>
      <c r="CF141" s="5">
        <f ca="1">IF($BI141&lt;&gt;"",IF('Capacity summary'!$C$14="Yes",IF(COUNTBLANK('Capacity summary'!$H53:$BG53)&lt;52,IF('Capacity summary'!AC53&lt;&gt;"",IF(LOWER('Capacity summary'!AC53)="x",$BI141*AC141,VALUE('Capacity summary'!AC53)),0),AC141*$BI141),AC141*$BI141),0)</f>
        <v>8.0769230769230766</v>
      </c>
      <c r="CG141" s="5">
        <f ca="1">IF($BI141&lt;&gt;"",IF('Capacity summary'!$C$14="Yes",IF(COUNTBLANK('Capacity summary'!$H53:$BG53)&lt;52,IF('Capacity summary'!AD53&lt;&gt;"",IF(LOWER('Capacity summary'!AD53)="x",$BI141*AD141,VALUE('Capacity summary'!AD53)),0),AD141*$BI141),AD141*$BI141),0)</f>
        <v>8.0769230769230766</v>
      </c>
      <c r="CH141" s="5">
        <f ca="1">IF($BI141&lt;&gt;"",IF('Capacity summary'!$C$14="Yes",IF(COUNTBLANK('Capacity summary'!$H53:$BG53)&lt;52,IF('Capacity summary'!AE53&lt;&gt;"",IF(LOWER('Capacity summary'!AE53)="x",$BI141*AE141,VALUE('Capacity summary'!AE53)),0),AE141*$BI141),AE141*$BI141),0)</f>
        <v>8.0769230769230766</v>
      </c>
      <c r="CI141" s="5">
        <f ca="1">IF($BI141&lt;&gt;"",IF('Capacity summary'!$C$14="Yes",IF(COUNTBLANK('Capacity summary'!$H53:$BG53)&lt;52,IF('Capacity summary'!AF53&lt;&gt;"",IF(LOWER('Capacity summary'!AF53)="x",$BI141*AF141,VALUE('Capacity summary'!AF53)),0),AF141*$BI141),AF141*$BI141),0)</f>
        <v>8.0769230769230766</v>
      </c>
      <c r="CJ141" s="5">
        <f ca="1">IF($BI141&lt;&gt;"",IF('Capacity summary'!$C$14="Yes",IF(COUNTBLANK('Capacity summary'!$H53:$BG53)&lt;52,IF('Capacity summary'!AG53&lt;&gt;"",IF(LOWER('Capacity summary'!AG53)="x",$BI141*AG141,VALUE('Capacity summary'!AG53)),0),AG141*$BI141),AG141*$BI141),0)</f>
        <v>8.0769230769230766</v>
      </c>
      <c r="CK141" s="5">
        <f ca="1">IF($BI141&lt;&gt;"",IF('Capacity summary'!$C$14="Yes",IF(COUNTBLANK('Capacity summary'!$H53:$BG53)&lt;52,IF('Capacity summary'!AH53&lt;&gt;"",IF(LOWER('Capacity summary'!AH53)="x",$BI141*AH141,VALUE('Capacity summary'!AH53)),0),AH141*$BI141),AH141*$BI141),0)</f>
        <v>8.0769230769230766</v>
      </c>
      <c r="CL141" s="5">
        <f ca="1">IF($BI141&lt;&gt;"",IF('Capacity summary'!$C$14="Yes",IF(COUNTBLANK('Capacity summary'!$H53:$BG53)&lt;52,IF('Capacity summary'!AI53&lt;&gt;"",IF(LOWER('Capacity summary'!AI53)="x",$BI141*AI141,VALUE('Capacity summary'!AI53)),0),AI141*$BI141),AI141*$BI141),0)</f>
        <v>8.0769230769230766</v>
      </c>
      <c r="CM141" s="5">
        <f ca="1">IF($BI141&lt;&gt;"",IF('Capacity summary'!$C$14="Yes",IF(COUNTBLANK('Capacity summary'!$H53:$BG53)&lt;52,IF('Capacity summary'!AJ53&lt;&gt;"",IF(LOWER('Capacity summary'!AJ53)="x",$BI141*AJ141,VALUE('Capacity summary'!AJ53)),0),AJ141*$BI141),AJ141*$BI141),0)</f>
        <v>8.0769230769230766</v>
      </c>
      <c r="CN141" s="5">
        <f ca="1">IF($BI141&lt;&gt;"",IF('Capacity summary'!$C$14="Yes",IF(COUNTBLANK('Capacity summary'!$H53:$BG53)&lt;52,IF('Capacity summary'!AK53&lt;&gt;"",IF(LOWER('Capacity summary'!AK53)="x",$BI141*AK141,VALUE('Capacity summary'!AK53)),0),AK141*$BI141),AK141*$BI141),0)</f>
        <v>8.0769230769230766</v>
      </c>
      <c r="CO141" s="5">
        <f ca="1">IF($BI141&lt;&gt;"",IF('Capacity summary'!$C$14="Yes",IF(COUNTBLANK('Capacity summary'!$H53:$BG53)&lt;52,IF('Capacity summary'!AL53&lt;&gt;"",IF(LOWER('Capacity summary'!AL53)="x",$BI141*AL141,VALUE('Capacity summary'!AL53)),0),AL141*$BI141),AL141*$BI141),0)</f>
        <v>8.0769230769230766</v>
      </c>
      <c r="CP141" s="5">
        <f ca="1">IF($BI141&lt;&gt;"",IF('Capacity summary'!$C$14="Yes",IF(COUNTBLANK('Capacity summary'!$H53:$BG53)&lt;52,IF('Capacity summary'!AM53&lt;&gt;"",IF(LOWER('Capacity summary'!AM53)="x",$BI141*AM141,VALUE('Capacity summary'!AM53)),0),AM141*$BI141),AM141*$BI141),0)</f>
        <v>8.0769230769230766</v>
      </c>
      <c r="CQ141" s="5">
        <f ca="1">IF($BI141&lt;&gt;"",IF('Capacity summary'!$C$14="Yes",IF(COUNTBLANK('Capacity summary'!$H53:$BG53)&lt;52,IF('Capacity summary'!AN53&lt;&gt;"",IF(LOWER('Capacity summary'!AN53)="x",$BI141*AN141,VALUE('Capacity summary'!AN53)),0),AN141*$BI141),AN141*$BI141),0)</f>
        <v>8.0769230769230766</v>
      </c>
      <c r="CR141" s="5">
        <f ca="1">IF($BI141&lt;&gt;"",IF('Capacity summary'!$C$14="Yes",IF(COUNTBLANK('Capacity summary'!$H53:$BG53)&lt;52,IF('Capacity summary'!AO53&lt;&gt;"",IF(LOWER('Capacity summary'!AO53)="x",$BI141*AO141,VALUE('Capacity summary'!AO53)),0),AO141*$BI141),AO141*$BI141),0)</f>
        <v>8.0769230769230766</v>
      </c>
      <c r="CS141" s="5">
        <f ca="1">IF($BI141&lt;&gt;"",IF('Capacity summary'!$C$14="Yes",IF(COUNTBLANK('Capacity summary'!$H53:$BG53)&lt;52,IF('Capacity summary'!AP53&lt;&gt;"",IF(LOWER('Capacity summary'!AP53)="x",$BI141*AP141,VALUE('Capacity summary'!AP53)),0),AP141*$BI141),AP141*$BI141),0)</f>
        <v>8.0769230769230766</v>
      </c>
      <c r="CT141" s="5">
        <f ca="1">IF($BI141&lt;&gt;"",IF('Capacity summary'!$C$14="Yes",IF(COUNTBLANK('Capacity summary'!$H53:$BG53)&lt;52,IF('Capacity summary'!AQ53&lt;&gt;"",IF(LOWER('Capacity summary'!AQ53)="x",$BI141*AQ141,VALUE('Capacity summary'!AQ53)),0),AQ141*$BI141),AQ141*$BI141),0)</f>
        <v>8.0769230769230766</v>
      </c>
      <c r="CU141" s="5">
        <f ca="1">IF($BI141&lt;&gt;"",IF('Capacity summary'!$C$14="Yes",IF(COUNTBLANK('Capacity summary'!$H53:$BG53)&lt;52,IF('Capacity summary'!AR53&lt;&gt;"",IF(LOWER('Capacity summary'!AR53)="x",$BI141*AR141,VALUE('Capacity summary'!AR53)),0),AR141*$BI141),AR141*$BI141),0)</f>
        <v>8.0769230769230766</v>
      </c>
      <c r="CV141" s="5">
        <f ca="1">IF($BI141&lt;&gt;"",IF('Capacity summary'!$C$14="Yes",IF(COUNTBLANK('Capacity summary'!$H53:$BG53)&lt;52,IF('Capacity summary'!AS53&lt;&gt;"",IF(LOWER('Capacity summary'!AS53)="x",$BI141*AS141,VALUE('Capacity summary'!AS53)),0),AS141*$BI141),AS141*$BI141),0)</f>
        <v>8.0769230769230766</v>
      </c>
      <c r="CW141" s="5">
        <f ca="1">IF($BI141&lt;&gt;"",IF('Capacity summary'!$C$14="Yes",IF(COUNTBLANK('Capacity summary'!$H53:$BG53)&lt;52,IF('Capacity summary'!AT53&lt;&gt;"",IF(LOWER('Capacity summary'!AT53)="x",$BI141*AT141,VALUE('Capacity summary'!AT53)),0),AT141*$BI141),AT141*$BI141),0)</f>
        <v>8.0769230769230766</v>
      </c>
      <c r="CX141" s="5">
        <f ca="1">IF($BI141&lt;&gt;"",IF('Capacity summary'!$C$14="Yes",IF(COUNTBLANK('Capacity summary'!$H53:$BG53)&lt;52,IF('Capacity summary'!AU53&lt;&gt;"",IF(LOWER('Capacity summary'!AU53)="x",$BI141*AU141,VALUE('Capacity summary'!AU53)),0),AU141*$BI141),AU141*$BI141),0)</f>
        <v>8.0769230769230766</v>
      </c>
      <c r="CY141" s="5">
        <f ca="1">IF($BI141&lt;&gt;"",IF('Capacity summary'!$C$14="Yes",IF(COUNTBLANK('Capacity summary'!$H53:$BG53)&lt;52,IF('Capacity summary'!AV53&lt;&gt;"",IF(LOWER('Capacity summary'!AV53)="x",$BI141*AV141,VALUE('Capacity summary'!AV53)),0),AV141*$BI141),AV141*$BI141),0)</f>
        <v>8.0769230769230766</v>
      </c>
      <c r="CZ141" s="5">
        <f ca="1">IF($BI141&lt;&gt;"",IF('Capacity summary'!$C$14="Yes",IF(COUNTBLANK('Capacity summary'!$H53:$BG53)&lt;52,IF('Capacity summary'!AW53&lt;&gt;"",IF(LOWER('Capacity summary'!AW53)="x",$BI141*AW141,VALUE('Capacity summary'!AW53)),0),AW141*$BI141),AW141*$BI141),0)</f>
        <v>8.0769230769230766</v>
      </c>
      <c r="DA141" s="5">
        <f ca="1">IF($BI141&lt;&gt;"",IF('Capacity summary'!$C$14="Yes",IF(COUNTBLANK('Capacity summary'!$H53:$BG53)&lt;52,IF('Capacity summary'!AX53&lt;&gt;"",IF(LOWER('Capacity summary'!AX53)="x",$BI141*AX141,VALUE('Capacity summary'!AX53)),0),AX141*$BI141),AX141*$BI141),0)</f>
        <v>8.0769230769230766</v>
      </c>
      <c r="DB141" s="5">
        <f ca="1">IF($BI141&lt;&gt;"",IF('Capacity summary'!$C$14="Yes",IF(COUNTBLANK('Capacity summary'!$H53:$BG53)&lt;52,IF('Capacity summary'!AY53&lt;&gt;"",IF(LOWER('Capacity summary'!AY53)="x",$BI141*AY141,VALUE('Capacity summary'!AY53)),0),AY141*$BI141),AY141*$BI141),0)</f>
        <v>8.0769230769230766</v>
      </c>
      <c r="DC141" s="5">
        <f ca="1">IF($BI141&lt;&gt;"",IF('Capacity summary'!$C$14="Yes",IF(COUNTBLANK('Capacity summary'!$H53:$BG53)&lt;52,IF('Capacity summary'!AZ53&lt;&gt;"",IF(LOWER('Capacity summary'!AZ53)="x",$BI141*AZ141,VALUE('Capacity summary'!AZ53)),0),AZ141*$BI141),AZ141*$BI141),0)</f>
        <v>8.0769230769230766</v>
      </c>
      <c r="DD141" s="5">
        <f ca="1">IF($BI141&lt;&gt;"",IF('Capacity summary'!$C$14="Yes",IF(COUNTBLANK('Capacity summary'!$H53:$BG53)&lt;52,IF('Capacity summary'!BA53&lt;&gt;"",IF(LOWER('Capacity summary'!BA53)="x",$BI141*BA141,VALUE('Capacity summary'!BA53)),0),BA141*$BI141),BA141*$BI141),0)</f>
        <v>8.0769230769230766</v>
      </c>
      <c r="DE141" s="5">
        <f ca="1">IF($BI141&lt;&gt;"",IF('Capacity summary'!$C$14="Yes",IF(COUNTBLANK('Capacity summary'!$H53:$BG53)&lt;52,IF('Capacity summary'!BB53&lt;&gt;"",IF(LOWER('Capacity summary'!BB53)="x",$BI141*BB141,VALUE('Capacity summary'!BB53)),0),BB141*$BI141),BB141*$BI141),0)</f>
        <v>8.0769230769230766</v>
      </c>
      <c r="DF141" s="5">
        <f ca="1">IF($BI141&lt;&gt;"",IF('Capacity summary'!$C$14="Yes",IF(COUNTBLANK('Capacity summary'!$H53:$BG53)&lt;52,IF('Capacity summary'!BC53&lt;&gt;"",IF(LOWER('Capacity summary'!BC53)="x",$BI141*BC141,VALUE('Capacity summary'!BC53)),0),BC141*$BI141),BC141*$BI141),0)</f>
        <v>8.0769230769230766</v>
      </c>
      <c r="DG141" s="5">
        <f ca="1">IF($BI141&lt;&gt;"",IF('Capacity summary'!$C$14="Yes",IF(COUNTBLANK('Capacity summary'!$H53:$BG53)&lt;52,IF('Capacity summary'!BD53&lt;&gt;"",IF(LOWER('Capacity summary'!BD53)="x",$BI141*BD141,VALUE('Capacity summary'!BD53)),0),BD141*$BI141),BD141*$BI141),0)</f>
        <v>8.0769230769230766</v>
      </c>
      <c r="DH141" s="5">
        <f ca="1">IF($BI141&lt;&gt;"",IF('Capacity summary'!$C$14="Yes",IF(COUNTBLANK('Capacity summary'!$H53:$BG53)&lt;52,IF('Capacity summary'!BE53&lt;&gt;"",IF(LOWER('Capacity summary'!BE53)="x",$BI141*BE141,VALUE('Capacity summary'!BE53)),0),BE141*$BI141),BE141*$BI141),0)</f>
        <v>8.0769230769230766</v>
      </c>
      <c r="DI141" s="5">
        <f ca="1">IF($BI141&lt;&gt;"",IF('Capacity summary'!$C$14="Yes",IF(COUNTBLANK('Capacity summary'!$H53:$BG53)&lt;52,IF('Capacity summary'!BF53&lt;&gt;"",IF(LOWER('Capacity summary'!BF53)="x",$BI141*BF141,VALUE('Capacity summary'!BF53)),0),BF141*$BI141),BF141*$BI141),0)</f>
        <v>8.0769230769230766</v>
      </c>
      <c r="DJ141" s="5">
        <f ca="1">IF($BI141&lt;&gt;"",IF('Capacity summary'!$C$14="Yes",IF(COUNTBLANK('Capacity summary'!$H53:$BG53)&lt;52,IF('Capacity summary'!BG53&lt;&gt;"",IF(LOWER('Capacity summary'!BG53)="x",$BI141*BG141,VALUE('Capacity summary'!BG53)),0),BG141*$BI141),BG141*$BI141),0)</f>
        <v>8.0769230769230766</v>
      </c>
      <c r="DK141" s="388">
        <f t="shared" ca="1" si="8"/>
        <v>8.0769230769230766</v>
      </c>
      <c r="DL141" s="5">
        <f t="shared" ca="1" si="9"/>
        <v>420.00000000000023</v>
      </c>
    </row>
    <row r="142" spans="3:116" x14ac:dyDescent="0.2">
      <c r="C142" s="67" t="str">
        <f>ROW(A31)&amp;". "&amp;Capacity!N47</f>
        <v>31. 44399</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 ca="1">IF(ROW(A31)&lt;=Capacity!$M$16,IF('Capacity summary'!$C$14="No",SUM(H142:BG142),'Capacity summary'!$E54),0)</f>
        <v>52</v>
      </c>
      <c r="BI142" s="67">
        <f ca="1">IF(BH142&gt;0,IF(BH142&lt;Capacity!Q47,Capacity!R47,Capacity!T47/'Capacity calculation (hide)'!BH142),"")</f>
        <v>13.846153846153847</v>
      </c>
      <c r="BJ142" s="5"/>
      <c r="BK142" s="5">
        <f ca="1">IF($BI142&lt;&gt;"",IF('Capacity summary'!$C$14="Yes",IF(COUNTBLANK('Capacity summary'!$H54:$BG54)&lt;52,IF('Capacity summary'!H54&lt;&gt;"",IF(LOWER('Capacity summary'!H54)="x",$BI142*H142,VALUE('Capacity summary'!H54)),0),H142*$BI142),H142*$BI142),0)</f>
        <v>13.846153846153847</v>
      </c>
      <c r="BL142" s="5">
        <f ca="1">IF($BI142&lt;&gt;"",IF('Capacity summary'!$C$14="Yes",IF(COUNTBLANK('Capacity summary'!$H54:$BG54)&lt;52,IF('Capacity summary'!I54&lt;&gt;"",IF(LOWER('Capacity summary'!I54)="x",$BI142*I142,VALUE('Capacity summary'!I54)),0),I142*$BI142),I142*$BI142),0)</f>
        <v>13.846153846153847</v>
      </c>
      <c r="BM142" s="5">
        <f ca="1">IF($BI142&lt;&gt;"",IF('Capacity summary'!$C$14="Yes",IF(COUNTBLANK('Capacity summary'!$H54:$BG54)&lt;52,IF('Capacity summary'!J54&lt;&gt;"",IF(LOWER('Capacity summary'!J54)="x",$BI142*J142,VALUE('Capacity summary'!J54)),0),J142*$BI142),J142*$BI142),0)</f>
        <v>13.846153846153847</v>
      </c>
      <c r="BN142" s="5">
        <f ca="1">IF($BI142&lt;&gt;"",IF('Capacity summary'!$C$14="Yes",IF(COUNTBLANK('Capacity summary'!$H54:$BG54)&lt;52,IF('Capacity summary'!K54&lt;&gt;"",IF(LOWER('Capacity summary'!K54)="x",$BI142*K142,VALUE('Capacity summary'!K54)),0),K142*$BI142),K142*$BI142),0)</f>
        <v>13.846153846153847</v>
      </c>
      <c r="BO142" s="5">
        <f ca="1">IF($BI142&lt;&gt;"",IF('Capacity summary'!$C$14="Yes",IF(COUNTBLANK('Capacity summary'!$H54:$BG54)&lt;52,IF('Capacity summary'!L54&lt;&gt;"",IF(LOWER('Capacity summary'!L54)="x",$BI142*L142,VALUE('Capacity summary'!L54)),0),L142*$BI142),L142*$BI142),0)</f>
        <v>13.846153846153847</v>
      </c>
      <c r="BP142" s="5">
        <f ca="1">IF($BI142&lt;&gt;"",IF('Capacity summary'!$C$14="Yes",IF(COUNTBLANK('Capacity summary'!$H54:$BG54)&lt;52,IF('Capacity summary'!M54&lt;&gt;"",IF(LOWER('Capacity summary'!M54)="x",$BI142*M142,VALUE('Capacity summary'!M54)),0),M142*$BI142),M142*$BI142),0)</f>
        <v>13.846153846153847</v>
      </c>
      <c r="BQ142" s="5">
        <f ca="1">IF($BI142&lt;&gt;"",IF('Capacity summary'!$C$14="Yes",IF(COUNTBLANK('Capacity summary'!$H54:$BG54)&lt;52,IF('Capacity summary'!N54&lt;&gt;"",IF(LOWER('Capacity summary'!N54)="x",$BI142*N142,VALUE('Capacity summary'!N54)),0),N142*$BI142),N142*$BI142),0)</f>
        <v>13.846153846153847</v>
      </c>
      <c r="BR142" s="5">
        <f ca="1">IF($BI142&lt;&gt;"",IF('Capacity summary'!$C$14="Yes",IF(COUNTBLANK('Capacity summary'!$H54:$BG54)&lt;52,IF('Capacity summary'!O54&lt;&gt;"",IF(LOWER('Capacity summary'!O54)="x",$BI142*O142,VALUE('Capacity summary'!O54)),0),O142*$BI142),O142*$BI142),0)</f>
        <v>13.846153846153847</v>
      </c>
      <c r="BS142" s="5">
        <f ca="1">IF($BI142&lt;&gt;"",IF('Capacity summary'!$C$14="Yes",IF(COUNTBLANK('Capacity summary'!$H54:$BG54)&lt;52,IF('Capacity summary'!P54&lt;&gt;"",IF(LOWER('Capacity summary'!P54)="x",$BI142*P142,VALUE('Capacity summary'!P54)),0),P142*$BI142),P142*$BI142),0)</f>
        <v>13.846153846153847</v>
      </c>
      <c r="BT142" s="5">
        <f ca="1">IF($BI142&lt;&gt;"",IF('Capacity summary'!$C$14="Yes",IF(COUNTBLANK('Capacity summary'!$H54:$BG54)&lt;52,IF('Capacity summary'!Q54&lt;&gt;"",IF(LOWER('Capacity summary'!Q54)="x",$BI142*Q142,VALUE('Capacity summary'!Q54)),0),Q142*$BI142),Q142*$BI142),0)</f>
        <v>13.846153846153847</v>
      </c>
      <c r="BU142" s="5">
        <f ca="1">IF($BI142&lt;&gt;"",IF('Capacity summary'!$C$14="Yes",IF(COUNTBLANK('Capacity summary'!$H54:$BG54)&lt;52,IF('Capacity summary'!R54&lt;&gt;"",IF(LOWER('Capacity summary'!R54)="x",$BI142*R142,VALUE('Capacity summary'!R54)),0),R142*$BI142),R142*$BI142),0)</f>
        <v>13.846153846153847</v>
      </c>
      <c r="BV142" s="5">
        <f ca="1">IF($BI142&lt;&gt;"",IF('Capacity summary'!$C$14="Yes",IF(COUNTBLANK('Capacity summary'!$H54:$BG54)&lt;52,IF('Capacity summary'!S54&lt;&gt;"",IF(LOWER('Capacity summary'!S54)="x",$BI142*S142,VALUE('Capacity summary'!S54)),0),S142*$BI142),S142*$BI142),0)</f>
        <v>13.846153846153847</v>
      </c>
      <c r="BW142" s="5">
        <f ca="1">IF($BI142&lt;&gt;"",IF('Capacity summary'!$C$14="Yes",IF(COUNTBLANK('Capacity summary'!$H54:$BG54)&lt;52,IF('Capacity summary'!T54&lt;&gt;"",IF(LOWER('Capacity summary'!T54)="x",$BI142*T142,VALUE('Capacity summary'!T54)),0),T142*$BI142),T142*$BI142),0)</f>
        <v>13.846153846153847</v>
      </c>
      <c r="BX142" s="5">
        <f ca="1">IF($BI142&lt;&gt;"",IF('Capacity summary'!$C$14="Yes",IF(COUNTBLANK('Capacity summary'!$H54:$BG54)&lt;52,IF('Capacity summary'!U54&lt;&gt;"",IF(LOWER('Capacity summary'!U54)="x",$BI142*U142,VALUE('Capacity summary'!U54)),0),U142*$BI142),U142*$BI142),0)</f>
        <v>13.846153846153847</v>
      </c>
      <c r="BY142" s="5">
        <f ca="1">IF($BI142&lt;&gt;"",IF('Capacity summary'!$C$14="Yes",IF(COUNTBLANK('Capacity summary'!$H54:$BG54)&lt;52,IF('Capacity summary'!V54&lt;&gt;"",IF(LOWER('Capacity summary'!V54)="x",$BI142*V142,VALUE('Capacity summary'!V54)),0),V142*$BI142),V142*$BI142),0)</f>
        <v>13.846153846153847</v>
      </c>
      <c r="BZ142" s="5">
        <f ca="1">IF($BI142&lt;&gt;"",IF('Capacity summary'!$C$14="Yes",IF(COUNTBLANK('Capacity summary'!$H54:$BG54)&lt;52,IF('Capacity summary'!W54&lt;&gt;"",IF(LOWER('Capacity summary'!W54)="x",$BI142*W142,VALUE('Capacity summary'!W54)),0),W142*$BI142),W142*$BI142),0)</f>
        <v>13.846153846153847</v>
      </c>
      <c r="CA142" s="5">
        <f ca="1">IF($BI142&lt;&gt;"",IF('Capacity summary'!$C$14="Yes",IF(COUNTBLANK('Capacity summary'!$H54:$BG54)&lt;52,IF('Capacity summary'!X54&lt;&gt;"",IF(LOWER('Capacity summary'!X54)="x",$BI142*X142,VALUE('Capacity summary'!X54)),0),X142*$BI142),X142*$BI142),0)</f>
        <v>13.846153846153847</v>
      </c>
      <c r="CB142" s="5">
        <f ca="1">IF($BI142&lt;&gt;"",IF('Capacity summary'!$C$14="Yes",IF(COUNTBLANK('Capacity summary'!$H54:$BG54)&lt;52,IF('Capacity summary'!Y54&lt;&gt;"",IF(LOWER('Capacity summary'!Y54)="x",$BI142*Y142,VALUE('Capacity summary'!Y54)),0),Y142*$BI142),Y142*$BI142),0)</f>
        <v>13.846153846153847</v>
      </c>
      <c r="CC142" s="5">
        <f ca="1">IF($BI142&lt;&gt;"",IF('Capacity summary'!$C$14="Yes",IF(COUNTBLANK('Capacity summary'!$H54:$BG54)&lt;52,IF('Capacity summary'!Z54&lt;&gt;"",IF(LOWER('Capacity summary'!Z54)="x",$BI142*Z142,VALUE('Capacity summary'!Z54)),0),Z142*$BI142),Z142*$BI142),0)</f>
        <v>13.846153846153847</v>
      </c>
      <c r="CD142" s="5">
        <f ca="1">IF($BI142&lt;&gt;"",IF('Capacity summary'!$C$14="Yes",IF(COUNTBLANK('Capacity summary'!$H54:$BG54)&lt;52,IF('Capacity summary'!AA54&lt;&gt;"",IF(LOWER('Capacity summary'!AA54)="x",$BI142*AA142,VALUE('Capacity summary'!AA54)),0),AA142*$BI142),AA142*$BI142),0)</f>
        <v>13.846153846153847</v>
      </c>
      <c r="CE142" s="5">
        <f ca="1">IF($BI142&lt;&gt;"",IF('Capacity summary'!$C$14="Yes",IF(COUNTBLANK('Capacity summary'!$H54:$BG54)&lt;52,IF('Capacity summary'!AB54&lt;&gt;"",IF(LOWER('Capacity summary'!AB54)="x",$BI142*AB142,VALUE('Capacity summary'!AB54)),0),AB142*$BI142),AB142*$BI142),0)</f>
        <v>13.846153846153847</v>
      </c>
      <c r="CF142" s="5">
        <f ca="1">IF($BI142&lt;&gt;"",IF('Capacity summary'!$C$14="Yes",IF(COUNTBLANK('Capacity summary'!$H54:$BG54)&lt;52,IF('Capacity summary'!AC54&lt;&gt;"",IF(LOWER('Capacity summary'!AC54)="x",$BI142*AC142,VALUE('Capacity summary'!AC54)),0),AC142*$BI142),AC142*$BI142),0)</f>
        <v>13.846153846153847</v>
      </c>
      <c r="CG142" s="5">
        <f ca="1">IF($BI142&lt;&gt;"",IF('Capacity summary'!$C$14="Yes",IF(COUNTBLANK('Capacity summary'!$H54:$BG54)&lt;52,IF('Capacity summary'!AD54&lt;&gt;"",IF(LOWER('Capacity summary'!AD54)="x",$BI142*AD142,VALUE('Capacity summary'!AD54)),0),AD142*$BI142),AD142*$BI142),0)</f>
        <v>13.846153846153847</v>
      </c>
      <c r="CH142" s="5">
        <f ca="1">IF($BI142&lt;&gt;"",IF('Capacity summary'!$C$14="Yes",IF(COUNTBLANK('Capacity summary'!$H54:$BG54)&lt;52,IF('Capacity summary'!AE54&lt;&gt;"",IF(LOWER('Capacity summary'!AE54)="x",$BI142*AE142,VALUE('Capacity summary'!AE54)),0),AE142*$BI142),AE142*$BI142),0)</f>
        <v>13.846153846153847</v>
      </c>
      <c r="CI142" s="5">
        <f ca="1">IF($BI142&lt;&gt;"",IF('Capacity summary'!$C$14="Yes",IF(COUNTBLANK('Capacity summary'!$H54:$BG54)&lt;52,IF('Capacity summary'!AF54&lt;&gt;"",IF(LOWER('Capacity summary'!AF54)="x",$BI142*AF142,VALUE('Capacity summary'!AF54)),0),AF142*$BI142),AF142*$BI142),0)</f>
        <v>13.846153846153847</v>
      </c>
      <c r="CJ142" s="5">
        <f ca="1">IF($BI142&lt;&gt;"",IF('Capacity summary'!$C$14="Yes",IF(COUNTBLANK('Capacity summary'!$H54:$BG54)&lt;52,IF('Capacity summary'!AG54&lt;&gt;"",IF(LOWER('Capacity summary'!AG54)="x",$BI142*AG142,VALUE('Capacity summary'!AG54)),0),AG142*$BI142),AG142*$BI142),0)</f>
        <v>13.846153846153847</v>
      </c>
      <c r="CK142" s="5">
        <f ca="1">IF($BI142&lt;&gt;"",IF('Capacity summary'!$C$14="Yes",IF(COUNTBLANK('Capacity summary'!$H54:$BG54)&lt;52,IF('Capacity summary'!AH54&lt;&gt;"",IF(LOWER('Capacity summary'!AH54)="x",$BI142*AH142,VALUE('Capacity summary'!AH54)),0),AH142*$BI142),AH142*$BI142),0)</f>
        <v>13.846153846153847</v>
      </c>
      <c r="CL142" s="5">
        <f ca="1">IF($BI142&lt;&gt;"",IF('Capacity summary'!$C$14="Yes",IF(COUNTBLANK('Capacity summary'!$H54:$BG54)&lt;52,IF('Capacity summary'!AI54&lt;&gt;"",IF(LOWER('Capacity summary'!AI54)="x",$BI142*AI142,VALUE('Capacity summary'!AI54)),0),AI142*$BI142),AI142*$BI142),0)</f>
        <v>13.846153846153847</v>
      </c>
      <c r="CM142" s="5">
        <f ca="1">IF($BI142&lt;&gt;"",IF('Capacity summary'!$C$14="Yes",IF(COUNTBLANK('Capacity summary'!$H54:$BG54)&lt;52,IF('Capacity summary'!AJ54&lt;&gt;"",IF(LOWER('Capacity summary'!AJ54)="x",$BI142*AJ142,VALUE('Capacity summary'!AJ54)),0),AJ142*$BI142),AJ142*$BI142),0)</f>
        <v>13.846153846153847</v>
      </c>
      <c r="CN142" s="5">
        <f ca="1">IF($BI142&lt;&gt;"",IF('Capacity summary'!$C$14="Yes",IF(COUNTBLANK('Capacity summary'!$H54:$BG54)&lt;52,IF('Capacity summary'!AK54&lt;&gt;"",IF(LOWER('Capacity summary'!AK54)="x",$BI142*AK142,VALUE('Capacity summary'!AK54)),0),AK142*$BI142),AK142*$BI142),0)</f>
        <v>13.846153846153847</v>
      </c>
      <c r="CO142" s="5">
        <f ca="1">IF($BI142&lt;&gt;"",IF('Capacity summary'!$C$14="Yes",IF(COUNTBLANK('Capacity summary'!$H54:$BG54)&lt;52,IF('Capacity summary'!AL54&lt;&gt;"",IF(LOWER('Capacity summary'!AL54)="x",$BI142*AL142,VALUE('Capacity summary'!AL54)),0),AL142*$BI142),AL142*$BI142),0)</f>
        <v>13.846153846153847</v>
      </c>
      <c r="CP142" s="5">
        <f ca="1">IF($BI142&lt;&gt;"",IF('Capacity summary'!$C$14="Yes",IF(COUNTBLANK('Capacity summary'!$H54:$BG54)&lt;52,IF('Capacity summary'!AM54&lt;&gt;"",IF(LOWER('Capacity summary'!AM54)="x",$BI142*AM142,VALUE('Capacity summary'!AM54)),0),AM142*$BI142),AM142*$BI142),0)</f>
        <v>13.846153846153847</v>
      </c>
      <c r="CQ142" s="5">
        <f ca="1">IF($BI142&lt;&gt;"",IF('Capacity summary'!$C$14="Yes",IF(COUNTBLANK('Capacity summary'!$H54:$BG54)&lt;52,IF('Capacity summary'!AN54&lt;&gt;"",IF(LOWER('Capacity summary'!AN54)="x",$BI142*AN142,VALUE('Capacity summary'!AN54)),0),AN142*$BI142),AN142*$BI142),0)</f>
        <v>13.846153846153847</v>
      </c>
      <c r="CR142" s="5">
        <f ca="1">IF($BI142&lt;&gt;"",IF('Capacity summary'!$C$14="Yes",IF(COUNTBLANK('Capacity summary'!$H54:$BG54)&lt;52,IF('Capacity summary'!AO54&lt;&gt;"",IF(LOWER('Capacity summary'!AO54)="x",$BI142*AO142,VALUE('Capacity summary'!AO54)),0),AO142*$BI142),AO142*$BI142),0)</f>
        <v>13.846153846153847</v>
      </c>
      <c r="CS142" s="5">
        <f ca="1">IF($BI142&lt;&gt;"",IF('Capacity summary'!$C$14="Yes",IF(COUNTBLANK('Capacity summary'!$H54:$BG54)&lt;52,IF('Capacity summary'!AP54&lt;&gt;"",IF(LOWER('Capacity summary'!AP54)="x",$BI142*AP142,VALUE('Capacity summary'!AP54)),0),AP142*$BI142),AP142*$BI142),0)</f>
        <v>13.846153846153847</v>
      </c>
      <c r="CT142" s="5">
        <f ca="1">IF($BI142&lt;&gt;"",IF('Capacity summary'!$C$14="Yes",IF(COUNTBLANK('Capacity summary'!$H54:$BG54)&lt;52,IF('Capacity summary'!AQ54&lt;&gt;"",IF(LOWER('Capacity summary'!AQ54)="x",$BI142*AQ142,VALUE('Capacity summary'!AQ54)),0),AQ142*$BI142),AQ142*$BI142),0)</f>
        <v>13.846153846153847</v>
      </c>
      <c r="CU142" s="5">
        <f ca="1">IF($BI142&lt;&gt;"",IF('Capacity summary'!$C$14="Yes",IF(COUNTBLANK('Capacity summary'!$H54:$BG54)&lt;52,IF('Capacity summary'!AR54&lt;&gt;"",IF(LOWER('Capacity summary'!AR54)="x",$BI142*AR142,VALUE('Capacity summary'!AR54)),0),AR142*$BI142),AR142*$BI142),0)</f>
        <v>13.846153846153847</v>
      </c>
      <c r="CV142" s="5">
        <f ca="1">IF($BI142&lt;&gt;"",IF('Capacity summary'!$C$14="Yes",IF(COUNTBLANK('Capacity summary'!$H54:$BG54)&lt;52,IF('Capacity summary'!AS54&lt;&gt;"",IF(LOWER('Capacity summary'!AS54)="x",$BI142*AS142,VALUE('Capacity summary'!AS54)),0),AS142*$BI142),AS142*$BI142),0)</f>
        <v>13.846153846153847</v>
      </c>
      <c r="CW142" s="5">
        <f ca="1">IF($BI142&lt;&gt;"",IF('Capacity summary'!$C$14="Yes",IF(COUNTBLANK('Capacity summary'!$H54:$BG54)&lt;52,IF('Capacity summary'!AT54&lt;&gt;"",IF(LOWER('Capacity summary'!AT54)="x",$BI142*AT142,VALUE('Capacity summary'!AT54)),0),AT142*$BI142),AT142*$BI142),0)</f>
        <v>13.846153846153847</v>
      </c>
      <c r="CX142" s="5">
        <f ca="1">IF($BI142&lt;&gt;"",IF('Capacity summary'!$C$14="Yes",IF(COUNTBLANK('Capacity summary'!$H54:$BG54)&lt;52,IF('Capacity summary'!AU54&lt;&gt;"",IF(LOWER('Capacity summary'!AU54)="x",$BI142*AU142,VALUE('Capacity summary'!AU54)),0),AU142*$BI142),AU142*$BI142),0)</f>
        <v>13.846153846153847</v>
      </c>
      <c r="CY142" s="5">
        <f ca="1">IF($BI142&lt;&gt;"",IF('Capacity summary'!$C$14="Yes",IF(COUNTBLANK('Capacity summary'!$H54:$BG54)&lt;52,IF('Capacity summary'!AV54&lt;&gt;"",IF(LOWER('Capacity summary'!AV54)="x",$BI142*AV142,VALUE('Capacity summary'!AV54)),0),AV142*$BI142),AV142*$BI142),0)</f>
        <v>13.846153846153847</v>
      </c>
      <c r="CZ142" s="5">
        <f ca="1">IF($BI142&lt;&gt;"",IF('Capacity summary'!$C$14="Yes",IF(COUNTBLANK('Capacity summary'!$H54:$BG54)&lt;52,IF('Capacity summary'!AW54&lt;&gt;"",IF(LOWER('Capacity summary'!AW54)="x",$BI142*AW142,VALUE('Capacity summary'!AW54)),0),AW142*$BI142),AW142*$BI142),0)</f>
        <v>13.846153846153847</v>
      </c>
      <c r="DA142" s="5">
        <f ca="1">IF($BI142&lt;&gt;"",IF('Capacity summary'!$C$14="Yes",IF(COUNTBLANK('Capacity summary'!$H54:$BG54)&lt;52,IF('Capacity summary'!AX54&lt;&gt;"",IF(LOWER('Capacity summary'!AX54)="x",$BI142*AX142,VALUE('Capacity summary'!AX54)),0),AX142*$BI142),AX142*$BI142),0)</f>
        <v>13.846153846153847</v>
      </c>
      <c r="DB142" s="5">
        <f ca="1">IF($BI142&lt;&gt;"",IF('Capacity summary'!$C$14="Yes",IF(COUNTBLANK('Capacity summary'!$H54:$BG54)&lt;52,IF('Capacity summary'!AY54&lt;&gt;"",IF(LOWER('Capacity summary'!AY54)="x",$BI142*AY142,VALUE('Capacity summary'!AY54)),0),AY142*$BI142),AY142*$BI142),0)</f>
        <v>13.846153846153847</v>
      </c>
      <c r="DC142" s="5">
        <f ca="1">IF($BI142&lt;&gt;"",IF('Capacity summary'!$C$14="Yes",IF(COUNTBLANK('Capacity summary'!$H54:$BG54)&lt;52,IF('Capacity summary'!AZ54&lt;&gt;"",IF(LOWER('Capacity summary'!AZ54)="x",$BI142*AZ142,VALUE('Capacity summary'!AZ54)),0),AZ142*$BI142),AZ142*$BI142),0)</f>
        <v>13.846153846153847</v>
      </c>
      <c r="DD142" s="5">
        <f ca="1">IF($BI142&lt;&gt;"",IF('Capacity summary'!$C$14="Yes",IF(COUNTBLANK('Capacity summary'!$H54:$BG54)&lt;52,IF('Capacity summary'!BA54&lt;&gt;"",IF(LOWER('Capacity summary'!BA54)="x",$BI142*BA142,VALUE('Capacity summary'!BA54)),0),BA142*$BI142),BA142*$BI142),0)</f>
        <v>13.846153846153847</v>
      </c>
      <c r="DE142" s="5">
        <f ca="1">IF($BI142&lt;&gt;"",IF('Capacity summary'!$C$14="Yes",IF(COUNTBLANK('Capacity summary'!$H54:$BG54)&lt;52,IF('Capacity summary'!BB54&lt;&gt;"",IF(LOWER('Capacity summary'!BB54)="x",$BI142*BB142,VALUE('Capacity summary'!BB54)),0),BB142*$BI142),BB142*$BI142),0)</f>
        <v>13.846153846153847</v>
      </c>
      <c r="DF142" s="5">
        <f ca="1">IF($BI142&lt;&gt;"",IF('Capacity summary'!$C$14="Yes",IF(COUNTBLANK('Capacity summary'!$H54:$BG54)&lt;52,IF('Capacity summary'!BC54&lt;&gt;"",IF(LOWER('Capacity summary'!BC54)="x",$BI142*BC142,VALUE('Capacity summary'!BC54)),0),BC142*$BI142),BC142*$BI142),0)</f>
        <v>13.846153846153847</v>
      </c>
      <c r="DG142" s="5">
        <f ca="1">IF($BI142&lt;&gt;"",IF('Capacity summary'!$C$14="Yes",IF(COUNTBLANK('Capacity summary'!$H54:$BG54)&lt;52,IF('Capacity summary'!BD54&lt;&gt;"",IF(LOWER('Capacity summary'!BD54)="x",$BI142*BD142,VALUE('Capacity summary'!BD54)),0),BD142*$BI142),BD142*$BI142),0)</f>
        <v>13.846153846153847</v>
      </c>
      <c r="DH142" s="5">
        <f ca="1">IF($BI142&lt;&gt;"",IF('Capacity summary'!$C$14="Yes",IF(COUNTBLANK('Capacity summary'!$H54:$BG54)&lt;52,IF('Capacity summary'!BE54&lt;&gt;"",IF(LOWER('Capacity summary'!BE54)="x",$BI142*BE142,VALUE('Capacity summary'!BE54)),0),BE142*$BI142),BE142*$BI142),0)</f>
        <v>13.846153846153847</v>
      </c>
      <c r="DI142" s="5">
        <f ca="1">IF($BI142&lt;&gt;"",IF('Capacity summary'!$C$14="Yes",IF(COUNTBLANK('Capacity summary'!$H54:$BG54)&lt;52,IF('Capacity summary'!BF54&lt;&gt;"",IF(LOWER('Capacity summary'!BF54)="x",$BI142*BF142,VALUE('Capacity summary'!BF54)),0),BF142*$BI142),BF142*$BI142),0)</f>
        <v>13.846153846153847</v>
      </c>
      <c r="DJ142" s="5">
        <f ca="1">IF($BI142&lt;&gt;"",IF('Capacity summary'!$C$14="Yes",IF(COUNTBLANK('Capacity summary'!$H54:$BG54)&lt;52,IF('Capacity summary'!BG54&lt;&gt;"",IF(LOWER('Capacity summary'!BG54)="x",$BI142*BG142,VALUE('Capacity summary'!BG54)),0),BG142*$BI142),BG142*$BI142),0)</f>
        <v>13.846153846153847</v>
      </c>
      <c r="DK142" s="388">
        <f t="shared" ca="1" si="8"/>
        <v>13.846153846153847</v>
      </c>
      <c r="DL142" s="5">
        <f t="shared" ca="1" si="9"/>
        <v>719.99999999999977</v>
      </c>
    </row>
    <row r="143" spans="3:116" x14ac:dyDescent="0.2">
      <c r="C143" s="67" t="str">
        <f>ROW(A32)&amp;". "&amp;Capacity!N48</f>
        <v>32. 44404</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 ca="1">IF(ROW(A32)&lt;=Capacity!$M$16,IF('Capacity summary'!$C$14="No",SUM(H143:BG143),'Capacity summary'!$E55),0)</f>
        <v>52</v>
      </c>
      <c r="BI143" s="67">
        <f ca="1">IF(BH143&gt;0,IF(BH143&lt;Capacity!Q48,Capacity!R48,Capacity!T48/'Capacity calculation (hide)'!BH143),"")</f>
        <v>4.615384615384615</v>
      </c>
      <c r="BJ143" s="5"/>
      <c r="BK143" s="5">
        <f ca="1">IF($BI143&lt;&gt;"",IF('Capacity summary'!$C$14="Yes",IF(COUNTBLANK('Capacity summary'!$H55:$BG55)&lt;52,IF('Capacity summary'!H55&lt;&gt;"",IF(LOWER('Capacity summary'!H55)="x",$BI143*H143,VALUE('Capacity summary'!H55)),0),H143*$BI143),H143*$BI143),0)</f>
        <v>4.615384615384615</v>
      </c>
      <c r="BL143" s="5">
        <f ca="1">IF($BI143&lt;&gt;"",IF('Capacity summary'!$C$14="Yes",IF(COUNTBLANK('Capacity summary'!$H55:$BG55)&lt;52,IF('Capacity summary'!I55&lt;&gt;"",IF(LOWER('Capacity summary'!I55)="x",$BI143*I143,VALUE('Capacity summary'!I55)),0),I143*$BI143),I143*$BI143),0)</f>
        <v>4.615384615384615</v>
      </c>
      <c r="BM143" s="5">
        <f ca="1">IF($BI143&lt;&gt;"",IF('Capacity summary'!$C$14="Yes",IF(COUNTBLANK('Capacity summary'!$H55:$BG55)&lt;52,IF('Capacity summary'!J55&lt;&gt;"",IF(LOWER('Capacity summary'!J55)="x",$BI143*J143,VALUE('Capacity summary'!J55)),0),J143*$BI143),J143*$BI143),0)</f>
        <v>4.615384615384615</v>
      </c>
      <c r="BN143" s="5">
        <f ca="1">IF($BI143&lt;&gt;"",IF('Capacity summary'!$C$14="Yes",IF(COUNTBLANK('Capacity summary'!$H55:$BG55)&lt;52,IF('Capacity summary'!K55&lt;&gt;"",IF(LOWER('Capacity summary'!K55)="x",$BI143*K143,VALUE('Capacity summary'!K55)),0),K143*$BI143),K143*$BI143),0)</f>
        <v>4.615384615384615</v>
      </c>
      <c r="BO143" s="5">
        <f ca="1">IF($BI143&lt;&gt;"",IF('Capacity summary'!$C$14="Yes",IF(COUNTBLANK('Capacity summary'!$H55:$BG55)&lt;52,IF('Capacity summary'!L55&lt;&gt;"",IF(LOWER('Capacity summary'!L55)="x",$BI143*L143,VALUE('Capacity summary'!L55)),0),L143*$BI143),L143*$BI143),0)</f>
        <v>4.615384615384615</v>
      </c>
      <c r="BP143" s="5">
        <f ca="1">IF($BI143&lt;&gt;"",IF('Capacity summary'!$C$14="Yes",IF(COUNTBLANK('Capacity summary'!$H55:$BG55)&lt;52,IF('Capacity summary'!M55&lt;&gt;"",IF(LOWER('Capacity summary'!M55)="x",$BI143*M143,VALUE('Capacity summary'!M55)),0),M143*$BI143),M143*$BI143),0)</f>
        <v>4.615384615384615</v>
      </c>
      <c r="BQ143" s="5">
        <f ca="1">IF($BI143&lt;&gt;"",IF('Capacity summary'!$C$14="Yes",IF(COUNTBLANK('Capacity summary'!$H55:$BG55)&lt;52,IF('Capacity summary'!N55&lt;&gt;"",IF(LOWER('Capacity summary'!N55)="x",$BI143*N143,VALUE('Capacity summary'!N55)),0),N143*$BI143),N143*$BI143),0)</f>
        <v>4.615384615384615</v>
      </c>
      <c r="BR143" s="5">
        <f ca="1">IF($BI143&lt;&gt;"",IF('Capacity summary'!$C$14="Yes",IF(COUNTBLANK('Capacity summary'!$H55:$BG55)&lt;52,IF('Capacity summary'!O55&lt;&gt;"",IF(LOWER('Capacity summary'!O55)="x",$BI143*O143,VALUE('Capacity summary'!O55)),0),O143*$BI143),O143*$BI143),0)</f>
        <v>4.615384615384615</v>
      </c>
      <c r="BS143" s="5">
        <f ca="1">IF($BI143&lt;&gt;"",IF('Capacity summary'!$C$14="Yes",IF(COUNTBLANK('Capacity summary'!$H55:$BG55)&lt;52,IF('Capacity summary'!P55&lt;&gt;"",IF(LOWER('Capacity summary'!P55)="x",$BI143*P143,VALUE('Capacity summary'!P55)),0),P143*$BI143),P143*$BI143),0)</f>
        <v>4.615384615384615</v>
      </c>
      <c r="BT143" s="5">
        <f ca="1">IF($BI143&lt;&gt;"",IF('Capacity summary'!$C$14="Yes",IF(COUNTBLANK('Capacity summary'!$H55:$BG55)&lt;52,IF('Capacity summary'!Q55&lt;&gt;"",IF(LOWER('Capacity summary'!Q55)="x",$BI143*Q143,VALUE('Capacity summary'!Q55)),0),Q143*$BI143),Q143*$BI143),0)</f>
        <v>4.615384615384615</v>
      </c>
      <c r="BU143" s="5">
        <f ca="1">IF($BI143&lt;&gt;"",IF('Capacity summary'!$C$14="Yes",IF(COUNTBLANK('Capacity summary'!$H55:$BG55)&lt;52,IF('Capacity summary'!R55&lt;&gt;"",IF(LOWER('Capacity summary'!R55)="x",$BI143*R143,VALUE('Capacity summary'!R55)),0),R143*$BI143),R143*$BI143),0)</f>
        <v>4.615384615384615</v>
      </c>
      <c r="BV143" s="5">
        <f ca="1">IF($BI143&lt;&gt;"",IF('Capacity summary'!$C$14="Yes",IF(COUNTBLANK('Capacity summary'!$H55:$BG55)&lt;52,IF('Capacity summary'!S55&lt;&gt;"",IF(LOWER('Capacity summary'!S55)="x",$BI143*S143,VALUE('Capacity summary'!S55)),0),S143*$BI143),S143*$BI143),0)</f>
        <v>4.615384615384615</v>
      </c>
      <c r="BW143" s="5">
        <f ca="1">IF($BI143&lt;&gt;"",IF('Capacity summary'!$C$14="Yes",IF(COUNTBLANK('Capacity summary'!$H55:$BG55)&lt;52,IF('Capacity summary'!T55&lt;&gt;"",IF(LOWER('Capacity summary'!T55)="x",$BI143*T143,VALUE('Capacity summary'!T55)),0),T143*$BI143),T143*$BI143),0)</f>
        <v>4.615384615384615</v>
      </c>
      <c r="BX143" s="5">
        <f ca="1">IF($BI143&lt;&gt;"",IF('Capacity summary'!$C$14="Yes",IF(COUNTBLANK('Capacity summary'!$H55:$BG55)&lt;52,IF('Capacity summary'!U55&lt;&gt;"",IF(LOWER('Capacity summary'!U55)="x",$BI143*U143,VALUE('Capacity summary'!U55)),0),U143*$BI143),U143*$BI143),0)</f>
        <v>4.615384615384615</v>
      </c>
      <c r="BY143" s="5">
        <f ca="1">IF($BI143&lt;&gt;"",IF('Capacity summary'!$C$14="Yes",IF(COUNTBLANK('Capacity summary'!$H55:$BG55)&lt;52,IF('Capacity summary'!V55&lt;&gt;"",IF(LOWER('Capacity summary'!V55)="x",$BI143*V143,VALUE('Capacity summary'!V55)),0),V143*$BI143),V143*$BI143),0)</f>
        <v>4.615384615384615</v>
      </c>
      <c r="BZ143" s="5">
        <f ca="1">IF($BI143&lt;&gt;"",IF('Capacity summary'!$C$14="Yes",IF(COUNTBLANK('Capacity summary'!$H55:$BG55)&lt;52,IF('Capacity summary'!W55&lt;&gt;"",IF(LOWER('Capacity summary'!W55)="x",$BI143*W143,VALUE('Capacity summary'!W55)),0),W143*$BI143),W143*$BI143),0)</f>
        <v>4.615384615384615</v>
      </c>
      <c r="CA143" s="5">
        <f ca="1">IF($BI143&lt;&gt;"",IF('Capacity summary'!$C$14="Yes",IF(COUNTBLANK('Capacity summary'!$H55:$BG55)&lt;52,IF('Capacity summary'!X55&lt;&gt;"",IF(LOWER('Capacity summary'!X55)="x",$BI143*X143,VALUE('Capacity summary'!X55)),0),X143*$BI143),X143*$BI143),0)</f>
        <v>4.615384615384615</v>
      </c>
      <c r="CB143" s="5">
        <f ca="1">IF($BI143&lt;&gt;"",IF('Capacity summary'!$C$14="Yes",IF(COUNTBLANK('Capacity summary'!$H55:$BG55)&lt;52,IF('Capacity summary'!Y55&lt;&gt;"",IF(LOWER('Capacity summary'!Y55)="x",$BI143*Y143,VALUE('Capacity summary'!Y55)),0),Y143*$BI143),Y143*$BI143),0)</f>
        <v>4.615384615384615</v>
      </c>
      <c r="CC143" s="5">
        <f ca="1">IF($BI143&lt;&gt;"",IF('Capacity summary'!$C$14="Yes",IF(COUNTBLANK('Capacity summary'!$H55:$BG55)&lt;52,IF('Capacity summary'!Z55&lt;&gt;"",IF(LOWER('Capacity summary'!Z55)="x",$BI143*Z143,VALUE('Capacity summary'!Z55)),0),Z143*$BI143),Z143*$BI143),0)</f>
        <v>4.615384615384615</v>
      </c>
      <c r="CD143" s="5">
        <f ca="1">IF($BI143&lt;&gt;"",IF('Capacity summary'!$C$14="Yes",IF(COUNTBLANK('Capacity summary'!$H55:$BG55)&lt;52,IF('Capacity summary'!AA55&lt;&gt;"",IF(LOWER('Capacity summary'!AA55)="x",$BI143*AA143,VALUE('Capacity summary'!AA55)),0),AA143*$BI143),AA143*$BI143),0)</f>
        <v>4.615384615384615</v>
      </c>
      <c r="CE143" s="5">
        <f ca="1">IF($BI143&lt;&gt;"",IF('Capacity summary'!$C$14="Yes",IF(COUNTBLANK('Capacity summary'!$H55:$BG55)&lt;52,IF('Capacity summary'!AB55&lt;&gt;"",IF(LOWER('Capacity summary'!AB55)="x",$BI143*AB143,VALUE('Capacity summary'!AB55)),0),AB143*$BI143),AB143*$BI143),0)</f>
        <v>4.615384615384615</v>
      </c>
      <c r="CF143" s="5">
        <f ca="1">IF($BI143&lt;&gt;"",IF('Capacity summary'!$C$14="Yes",IF(COUNTBLANK('Capacity summary'!$H55:$BG55)&lt;52,IF('Capacity summary'!AC55&lt;&gt;"",IF(LOWER('Capacity summary'!AC55)="x",$BI143*AC143,VALUE('Capacity summary'!AC55)),0),AC143*$BI143),AC143*$BI143),0)</f>
        <v>4.615384615384615</v>
      </c>
      <c r="CG143" s="5">
        <f ca="1">IF($BI143&lt;&gt;"",IF('Capacity summary'!$C$14="Yes",IF(COUNTBLANK('Capacity summary'!$H55:$BG55)&lt;52,IF('Capacity summary'!AD55&lt;&gt;"",IF(LOWER('Capacity summary'!AD55)="x",$BI143*AD143,VALUE('Capacity summary'!AD55)),0),AD143*$BI143),AD143*$BI143),0)</f>
        <v>4.615384615384615</v>
      </c>
      <c r="CH143" s="5">
        <f ca="1">IF($BI143&lt;&gt;"",IF('Capacity summary'!$C$14="Yes",IF(COUNTBLANK('Capacity summary'!$H55:$BG55)&lt;52,IF('Capacity summary'!AE55&lt;&gt;"",IF(LOWER('Capacity summary'!AE55)="x",$BI143*AE143,VALUE('Capacity summary'!AE55)),0),AE143*$BI143),AE143*$BI143),0)</f>
        <v>4.615384615384615</v>
      </c>
      <c r="CI143" s="5">
        <f ca="1">IF($BI143&lt;&gt;"",IF('Capacity summary'!$C$14="Yes",IF(COUNTBLANK('Capacity summary'!$H55:$BG55)&lt;52,IF('Capacity summary'!AF55&lt;&gt;"",IF(LOWER('Capacity summary'!AF55)="x",$BI143*AF143,VALUE('Capacity summary'!AF55)),0),AF143*$BI143),AF143*$BI143),0)</f>
        <v>4.615384615384615</v>
      </c>
      <c r="CJ143" s="5">
        <f ca="1">IF($BI143&lt;&gt;"",IF('Capacity summary'!$C$14="Yes",IF(COUNTBLANK('Capacity summary'!$H55:$BG55)&lt;52,IF('Capacity summary'!AG55&lt;&gt;"",IF(LOWER('Capacity summary'!AG55)="x",$BI143*AG143,VALUE('Capacity summary'!AG55)),0),AG143*$BI143),AG143*$BI143),0)</f>
        <v>4.615384615384615</v>
      </c>
      <c r="CK143" s="5">
        <f ca="1">IF($BI143&lt;&gt;"",IF('Capacity summary'!$C$14="Yes",IF(COUNTBLANK('Capacity summary'!$H55:$BG55)&lt;52,IF('Capacity summary'!AH55&lt;&gt;"",IF(LOWER('Capacity summary'!AH55)="x",$BI143*AH143,VALUE('Capacity summary'!AH55)),0),AH143*$BI143),AH143*$BI143),0)</f>
        <v>4.615384615384615</v>
      </c>
      <c r="CL143" s="5">
        <f ca="1">IF($BI143&lt;&gt;"",IF('Capacity summary'!$C$14="Yes",IF(COUNTBLANK('Capacity summary'!$H55:$BG55)&lt;52,IF('Capacity summary'!AI55&lt;&gt;"",IF(LOWER('Capacity summary'!AI55)="x",$BI143*AI143,VALUE('Capacity summary'!AI55)),0),AI143*$BI143),AI143*$BI143),0)</f>
        <v>4.615384615384615</v>
      </c>
      <c r="CM143" s="5">
        <f ca="1">IF($BI143&lt;&gt;"",IF('Capacity summary'!$C$14="Yes",IF(COUNTBLANK('Capacity summary'!$H55:$BG55)&lt;52,IF('Capacity summary'!AJ55&lt;&gt;"",IF(LOWER('Capacity summary'!AJ55)="x",$BI143*AJ143,VALUE('Capacity summary'!AJ55)),0),AJ143*$BI143),AJ143*$BI143),0)</f>
        <v>4.615384615384615</v>
      </c>
      <c r="CN143" s="5">
        <f ca="1">IF($BI143&lt;&gt;"",IF('Capacity summary'!$C$14="Yes",IF(COUNTBLANK('Capacity summary'!$H55:$BG55)&lt;52,IF('Capacity summary'!AK55&lt;&gt;"",IF(LOWER('Capacity summary'!AK55)="x",$BI143*AK143,VALUE('Capacity summary'!AK55)),0),AK143*$BI143),AK143*$BI143),0)</f>
        <v>4.615384615384615</v>
      </c>
      <c r="CO143" s="5">
        <f ca="1">IF($BI143&lt;&gt;"",IF('Capacity summary'!$C$14="Yes",IF(COUNTBLANK('Capacity summary'!$H55:$BG55)&lt;52,IF('Capacity summary'!AL55&lt;&gt;"",IF(LOWER('Capacity summary'!AL55)="x",$BI143*AL143,VALUE('Capacity summary'!AL55)),0),AL143*$BI143),AL143*$BI143),0)</f>
        <v>4.615384615384615</v>
      </c>
      <c r="CP143" s="5">
        <f ca="1">IF($BI143&lt;&gt;"",IF('Capacity summary'!$C$14="Yes",IF(COUNTBLANK('Capacity summary'!$H55:$BG55)&lt;52,IF('Capacity summary'!AM55&lt;&gt;"",IF(LOWER('Capacity summary'!AM55)="x",$BI143*AM143,VALUE('Capacity summary'!AM55)),0),AM143*$BI143),AM143*$BI143),0)</f>
        <v>4.615384615384615</v>
      </c>
      <c r="CQ143" s="5">
        <f ca="1">IF($BI143&lt;&gt;"",IF('Capacity summary'!$C$14="Yes",IF(COUNTBLANK('Capacity summary'!$H55:$BG55)&lt;52,IF('Capacity summary'!AN55&lt;&gt;"",IF(LOWER('Capacity summary'!AN55)="x",$BI143*AN143,VALUE('Capacity summary'!AN55)),0),AN143*$BI143),AN143*$BI143),0)</f>
        <v>4.615384615384615</v>
      </c>
      <c r="CR143" s="5">
        <f ca="1">IF($BI143&lt;&gt;"",IF('Capacity summary'!$C$14="Yes",IF(COUNTBLANK('Capacity summary'!$H55:$BG55)&lt;52,IF('Capacity summary'!AO55&lt;&gt;"",IF(LOWER('Capacity summary'!AO55)="x",$BI143*AO143,VALUE('Capacity summary'!AO55)),0),AO143*$BI143),AO143*$BI143),0)</f>
        <v>4.615384615384615</v>
      </c>
      <c r="CS143" s="5">
        <f ca="1">IF($BI143&lt;&gt;"",IF('Capacity summary'!$C$14="Yes",IF(COUNTBLANK('Capacity summary'!$H55:$BG55)&lt;52,IF('Capacity summary'!AP55&lt;&gt;"",IF(LOWER('Capacity summary'!AP55)="x",$BI143*AP143,VALUE('Capacity summary'!AP55)),0),AP143*$BI143),AP143*$BI143),0)</f>
        <v>4.615384615384615</v>
      </c>
      <c r="CT143" s="5">
        <f ca="1">IF($BI143&lt;&gt;"",IF('Capacity summary'!$C$14="Yes",IF(COUNTBLANK('Capacity summary'!$H55:$BG55)&lt;52,IF('Capacity summary'!AQ55&lt;&gt;"",IF(LOWER('Capacity summary'!AQ55)="x",$BI143*AQ143,VALUE('Capacity summary'!AQ55)),0),AQ143*$BI143),AQ143*$BI143),0)</f>
        <v>4.615384615384615</v>
      </c>
      <c r="CU143" s="5">
        <f ca="1">IF($BI143&lt;&gt;"",IF('Capacity summary'!$C$14="Yes",IF(COUNTBLANK('Capacity summary'!$H55:$BG55)&lt;52,IF('Capacity summary'!AR55&lt;&gt;"",IF(LOWER('Capacity summary'!AR55)="x",$BI143*AR143,VALUE('Capacity summary'!AR55)),0),AR143*$BI143),AR143*$BI143),0)</f>
        <v>4.615384615384615</v>
      </c>
      <c r="CV143" s="5">
        <f ca="1">IF($BI143&lt;&gt;"",IF('Capacity summary'!$C$14="Yes",IF(COUNTBLANK('Capacity summary'!$H55:$BG55)&lt;52,IF('Capacity summary'!AS55&lt;&gt;"",IF(LOWER('Capacity summary'!AS55)="x",$BI143*AS143,VALUE('Capacity summary'!AS55)),0),AS143*$BI143),AS143*$BI143),0)</f>
        <v>4.615384615384615</v>
      </c>
      <c r="CW143" s="5">
        <f ca="1">IF($BI143&lt;&gt;"",IF('Capacity summary'!$C$14="Yes",IF(COUNTBLANK('Capacity summary'!$H55:$BG55)&lt;52,IF('Capacity summary'!AT55&lt;&gt;"",IF(LOWER('Capacity summary'!AT55)="x",$BI143*AT143,VALUE('Capacity summary'!AT55)),0),AT143*$BI143),AT143*$BI143),0)</f>
        <v>4.615384615384615</v>
      </c>
      <c r="CX143" s="5">
        <f ca="1">IF($BI143&lt;&gt;"",IF('Capacity summary'!$C$14="Yes",IF(COUNTBLANK('Capacity summary'!$H55:$BG55)&lt;52,IF('Capacity summary'!AU55&lt;&gt;"",IF(LOWER('Capacity summary'!AU55)="x",$BI143*AU143,VALUE('Capacity summary'!AU55)),0),AU143*$BI143),AU143*$BI143),0)</f>
        <v>4.615384615384615</v>
      </c>
      <c r="CY143" s="5">
        <f ca="1">IF($BI143&lt;&gt;"",IF('Capacity summary'!$C$14="Yes",IF(COUNTBLANK('Capacity summary'!$H55:$BG55)&lt;52,IF('Capacity summary'!AV55&lt;&gt;"",IF(LOWER('Capacity summary'!AV55)="x",$BI143*AV143,VALUE('Capacity summary'!AV55)),0),AV143*$BI143),AV143*$BI143),0)</f>
        <v>4.615384615384615</v>
      </c>
      <c r="CZ143" s="5">
        <f ca="1">IF($BI143&lt;&gt;"",IF('Capacity summary'!$C$14="Yes",IF(COUNTBLANK('Capacity summary'!$H55:$BG55)&lt;52,IF('Capacity summary'!AW55&lt;&gt;"",IF(LOWER('Capacity summary'!AW55)="x",$BI143*AW143,VALUE('Capacity summary'!AW55)),0),AW143*$BI143),AW143*$BI143),0)</f>
        <v>4.615384615384615</v>
      </c>
      <c r="DA143" s="5">
        <f ca="1">IF($BI143&lt;&gt;"",IF('Capacity summary'!$C$14="Yes",IF(COUNTBLANK('Capacity summary'!$H55:$BG55)&lt;52,IF('Capacity summary'!AX55&lt;&gt;"",IF(LOWER('Capacity summary'!AX55)="x",$BI143*AX143,VALUE('Capacity summary'!AX55)),0),AX143*$BI143),AX143*$BI143),0)</f>
        <v>4.615384615384615</v>
      </c>
      <c r="DB143" s="5">
        <f ca="1">IF($BI143&lt;&gt;"",IF('Capacity summary'!$C$14="Yes",IF(COUNTBLANK('Capacity summary'!$H55:$BG55)&lt;52,IF('Capacity summary'!AY55&lt;&gt;"",IF(LOWER('Capacity summary'!AY55)="x",$BI143*AY143,VALUE('Capacity summary'!AY55)),0),AY143*$BI143),AY143*$BI143),0)</f>
        <v>4.615384615384615</v>
      </c>
      <c r="DC143" s="5">
        <f ca="1">IF($BI143&lt;&gt;"",IF('Capacity summary'!$C$14="Yes",IF(COUNTBLANK('Capacity summary'!$H55:$BG55)&lt;52,IF('Capacity summary'!AZ55&lt;&gt;"",IF(LOWER('Capacity summary'!AZ55)="x",$BI143*AZ143,VALUE('Capacity summary'!AZ55)),0),AZ143*$BI143),AZ143*$BI143),0)</f>
        <v>4.615384615384615</v>
      </c>
      <c r="DD143" s="5">
        <f ca="1">IF($BI143&lt;&gt;"",IF('Capacity summary'!$C$14="Yes",IF(COUNTBLANK('Capacity summary'!$H55:$BG55)&lt;52,IF('Capacity summary'!BA55&lt;&gt;"",IF(LOWER('Capacity summary'!BA55)="x",$BI143*BA143,VALUE('Capacity summary'!BA55)),0),BA143*$BI143),BA143*$BI143),0)</f>
        <v>4.615384615384615</v>
      </c>
      <c r="DE143" s="5">
        <f ca="1">IF($BI143&lt;&gt;"",IF('Capacity summary'!$C$14="Yes",IF(COUNTBLANK('Capacity summary'!$H55:$BG55)&lt;52,IF('Capacity summary'!BB55&lt;&gt;"",IF(LOWER('Capacity summary'!BB55)="x",$BI143*BB143,VALUE('Capacity summary'!BB55)),0),BB143*$BI143),BB143*$BI143),0)</f>
        <v>4.615384615384615</v>
      </c>
      <c r="DF143" s="5">
        <f ca="1">IF($BI143&lt;&gt;"",IF('Capacity summary'!$C$14="Yes",IF(COUNTBLANK('Capacity summary'!$H55:$BG55)&lt;52,IF('Capacity summary'!BC55&lt;&gt;"",IF(LOWER('Capacity summary'!BC55)="x",$BI143*BC143,VALUE('Capacity summary'!BC55)),0),BC143*$BI143),BC143*$BI143),0)</f>
        <v>4.615384615384615</v>
      </c>
      <c r="DG143" s="5">
        <f ca="1">IF($BI143&lt;&gt;"",IF('Capacity summary'!$C$14="Yes",IF(COUNTBLANK('Capacity summary'!$H55:$BG55)&lt;52,IF('Capacity summary'!BD55&lt;&gt;"",IF(LOWER('Capacity summary'!BD55)="x",$BI143*BD143,VALUE('Capacity summary'!BD55)),0),BD143*$BI143),BD143*$BI143),0)</f>
        <v>4.615384615384615</v>
      </c>
      <c r="DH143" s="5">
        <f ca="1">IF($BI143&lt;&gt;"",IF('Capacity summary'!$C$14="Yes",IF(COUNTBLANK('Capacity summary'!$H55:$BG55)&lt;52,IF('Capacity summary'!BE55&lt;&gt;"",IF(LOWER('Capacity summary'!BE55)="x",$BI143*BE143,VALUE('Capacity summary'!BE55)),0),BE143*$BI143),BE143*$BI143),0)</f>
        <v>4.615384615384615</v>
      </c>
      <c r="DI143" s="5">
        <f ca="1">IF($BI143&lt;&gt;"",IF('Capacity summary'!$C$14="Yes",IF(COUNTBLANK('Capacity summary'!$H55:$BG55)&lt;52,IF('Capacity summary'!BF55&lt;&gt;"",IF(LOWER('Capacity summary'!BF55)="x",$BI143*BF143,VALUE('Capacity summary'!BF55)),0),BF143*$BI143),BF143*$BI143),0)</f>
        <v>4.615384615384615</v>
      </c>
      <c r="DJ143" s="5">
        <f ca="1">IF($BI143&lt;&gt;"",IF('Capacity summary'!$C$14="Yes",IF(COUNTBLANK('Capacity summary'!$H55:$BG55)&lt;52,IF('Capacity summary'!BG55&lt;&gt;"",IF(LOWER('Capacity summary'!BG55)="x",$BI143*BG143,VALUE('Capacity summary'!BG55)),0),BG143*$BI143),BG143*$BI143),0)</f>
        <v>4.615384615384615</v>
      </c>
      <c r="DK143" s="388">
        <f t="shared" ca="1" si="8"/>
        <v>4.615384615384615</v>
      </c>
      <c r="DL143" s="5">
        <f t="shared" ca="1" si="9"/>
        <v>239.99999999999991</v>
      </c>
    </row>
    <row r="144" spans="3:116" x14ac:dyDescent="0.2">
      <c r="C144" s="67" t="str">
        <f>ROW(A33)&amp;". "&amp;Capacity!N49</f>
        <v>33. 44405</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 ca="1">IF(ROW(A33)&lt;=Capacity!$M$16,IF('Capacity summary'!$C$14="No",SUM(H144:BG144),'Capacity summary'!$E56),0)</f>
        <v>52</v>
      </c>
      <c r="BI144" s="67">
        <f ca="1">IF(BH144&gt;0,IF(BH144&lt;Capacity!Q49,Capacity!R49,Capacity!T49/'Capacity calculation (hide)'!BH144),"")</f>
        <v>8.0769230769230766</v>
      </c>
      <c r="BJ144" s="5"/>
      <c r="BK144" s="5">
        <f ca="1">IF($BI144&lt;&gt;"",IF('Capacity summary'!$C$14="Yes",IF(COUNTBLANK('Capacity summary'!$H56:$BG56)&lt;52,IF('Capacity summary'!H56&lt;&gt;"",IF(LOWER('Capacity summary'!H56)="x",$BI144*H144,VALUE('Capacity summary'!H56)),0),H144*$BI144),H144*$BI144),0)</f>
        <v>8.0769230769230766</v>
      </c>
      <c r="BL144" s="5">
        <f ca="1">IF($BI144&lt;&gt;"",IF('Capacity summary'!$C$14="Yes",IF(COUNTBLANK('Capacity summary'!$H56:$BG56)&lt;52,IF('Capacity summary'!I56&lt;&gt;"",IF(LOWER('Capacity summary'!I56)="x",$BI144*I144,VALUE('Capacity summary'!I56)),0),I144*$BI144),I144*$BI144),0)</f>
        <v>8.0769230769230766</v>
      </c>
      <c r="BM144" s="5">
        <f ca="1">IF($BI144&lt;&gt;"",IF('Capacity summary'!$C$14="Yes",IF(COUNTBLANK('Capacity summary'!$H56:$BG56)&lt;52,IF('Capacity summary'!J56&lt;&gt;"",IF(LOWER('Capacity summary'!J56)="x",$BI144*J144,VALUE('Capacity summary'!J56)),0),J144*$BI144),J144*$BI144),0)</f>
        <v>8.0769230769230766</v>
      </c>
      <c r="BN144" s="5">
        <f ca="1">IF($BI144&lt;&gt;"",IF('Capacity summary'!$C$14="Yes",IF(COUNTBLANK('Capacity summary'!$H56:$BG56)&lt;52,IF('Capacity summary'!K56&lt;&gt;"",IF(LOWER('Capacity summary'!K56)="x",$BI144*K144,VALUE('Capacity summary'!K56)),0),K144*$BI144),K144*$BI144),0)</f>
        <v>8.0769230769230766</v>
      </c>
      <c r="BO144" s="5">
        <f ca="1">IF($BI144&lt;&gt;"",IF('Capacity summary'!$C$14="Yes",IF(COUNTBLANK('Capacity summary'!$H56:$BG56)&lt;52,IF('Capacity summary'!L56&lt;&gt;"",IF(LOWER('Capacity summary'!L56)="x",$BI144*L144,VALUE('Capacity summary'!L56)),0),L144*$BI144),L144*$BI144),0)</f>
        <v>8.0769230769230766</v>
      </c>
      <c r="BP144" s="5">
        <f ca="1">IF($BI144&lt;&gt;"",IF('Capacity summary'!$C$14="Yes",IF(COUNTBLANK('Capacity summary'!$H56:$BG56)&lt;52,IF('Capacity summary'!M56&lt;&gt;"",IF(LOWER('Capacity summary'!M56)="x",$BI144*M144,VALUE('Capacity summary'!M56)),0),M144*$BI144),M144*$BI144),0)</f>
        <v>8.0769230769230766</v>
      </c>
      <c r="BQ144" s="5">
        <f ca="1">IF($BI144&lt;&gt;"",IF('Capacity summary'!$C$14="Yes",IF(COUNTBLANK('Capacity summary'!$H56:$BG56)&lt;52,IF('Capacity summary'!N56&lt;&gt;"",IF(LOWER('Capacity summary'!N56)="x",$BI144*N144,VALUE('Capacity summary'!N56)),0),N144*$BI144),N144*$BI144),0)</f>
        <v>8.0769230769230766</v>
      </c>
      <c r="BR144" s="5">
        <f ca="1">IF($BI144&lt;&gt;"",IF('Capacity summary'!$C$14="Yes",IF(COUNTBLANK('Capacity summary'!$H56:$BG56)&lt;52,IF('Capacity summary'!O56&lt;&gt;"",IF(LOWER('Capacity summary'!O56)="x",$BI144*O144,VALUE('Capacity summary'!O56)),0),O144*$BI144),O144*$BI144),0)</f>
        <v>8.0769230769230766</v>
      </c>
      <c r="BS144" s="5">
        <f ca="1">IF($BI144&lt;&gt;"",IF('Capacity summary'!$C$14="Yes",IF(COUNTBLANK('Capacity summary'!$H56:$BG56)&lt;52,IF('Capacity summary'!P56&lt;&gt;"",IF(LOWER('Capacity summary'!P56)="x",$BI144*P144,VALUE('Capacity summary'!P56)),0),P144*$BI144),P144*$BI144),0)</f>
        <v>8.0769230769230766</v>
      </c>
      <c r="BT144" s="5">
        <f ca="1">IF($BI144&lt;&gt;"",IF('Capacity summary'!$C$14="Yes",IF(COUNTBLANK('Capacity summary'!$H56:$BG56)&lt;52,IF('Capacity summary'!Q56&lt;&gt;"",IF(LOWER('Capacity summary'!Q56)="x",$BI144*Q144,VALUE('Capacity summary'!Q56)),0),Q144*$BI144),Q144*$BI144),0)</f>
        <v>8.0769230769230766</v>
      </c>
      <c r="BU144" s="5">
        <f ca="1">IF($BI144&lt;&gt;"",IF('Capacity summary'!$C$14="Yes",IF(COUNTBLANK('Capacity summary'!$H56:$BG56)&lt;52,IF('Capacity summary'!R56&lt;&gt;"",IF(LOWER('Capacity summary'!R56)="x",$BI144*R144,VALUE('Capacity summary'!R56)),0),R144*$BI144),R144*$BI144),0)</f>
        <v>8.0769230769230766</v>
      </c>
      <c r="BV144" s="5">
        <f ca="1">IF($BI144&lt;&gt;"",IF('Capacity summary'!$C$14="Yes",IF(COUNTBLANK('Capacity summary'!$H56:$BG56)&lt;52,IF('Capacity summary'!S56&lt;&gt;"",IF(LOWER('Capacity summary'!S56)="x",$BI144*S144,VALUE('Capacity summary'!S56)),0),S144*$BI144),S144*$BI144),0)</f>
        <v>8.0769230769230766</v>
      </c>
      <c r="BW144" s="5">
        <f ca="1">IF($BI144&lt;&gt;"",IF('Capacity summary'!$C$14="Yes",IF(COUNTBLANK('Capacity summary'!$H56:$BG56)&lt;52,IF('Capacity summary'!T56&lt;&gt;"",IF(LOWER('Capacity summary'!T56)="x",$BI144*T144,VALUE('Capacity summary'!T56)),0),T144*$BI144),T144*$BI144),0)</f>
        <v>8.0769230769230766</v>
      </c>
      <c r="BX144" s="5">
        <f ca="1">IF($BI144&lt;&gt;"",IF('Capacity summary'!$C$14="Yes",IF(COUNTBLANK('Capacity summary'!$H56:$BG56)&lt;52,IF('Capacity summary'!U56&lt;&gt;"",IF(LOWER('Capacity summary'!U56)="x",$BI144*U144,VALUE('Capacity summary'!U56)),0),U144*$BI144),U144*$BI144),0)</f>
        <v>8.0769230769230766</v>
      </c>
      <c r="BY144" s="5">
        <f ca="1">IF($BI144&lt;&gt;"",IF('Capacity summary'!$C$14="Yes",IF(COUNTBLANK('Capacity summary'!$H56:$BG56)&lt;52,IF('Capacity summary'!V56&lt;&gt;"",IF(LOWER('Capacity summary'!V56)="x",$BI144*V144,VALUE('Capacity summary'!V56)),0),V144*$BI144),V144*$BI144),0)</f>
        <v>8.0769230769230766</v>
      </c>
      <c r="BZ144" s="5">
        <f ca="1">IF($BI144&lt;&gt;"",IF('Capacity summary'!$C$14="Yes",IF(COUNTBLANK('Capacity summary'!$H56:$BG56)&lt;52,IF('Capacity summary'!W56&lt;&gt;"",IF(LOWER('Capacity summary'!W56)="x",$BI144*W144,VALUE('Capacity summary'!W56)),0),W144*$BI144),W144*$BI144),0)</f>
        <v>8.0769230769230766</v>
      </c>
      <c r="CA144" s="5">
        <f ca="1">IF($BI144&lt;&gt;"",IF('Capacity summary'!$C$14="Yes",IF(COUNTBLANK('Capacity summary'!$H56:$BG56)&lt;52,IF('Capacity summary'!X56&lt;&gt;"",IF(LOWER('Capacity summary'!X56)="x",$BI144*X144,VALUE('Capacity summary'!X56)),0),X144*$BI144),X144*$BI144),0)</f>
        <v>8.0769230769230766</v>
      </c>
      <c r="CB144" s="5">
        <f ca="1">IF($BI144&lt;&gt;"",IF('Capacity summary'!$C$14="Yes",IF(COUNTBLANK('Capacity summary'!$H56:$BG56)&lt;52,IF('Capacity summary'!Y56&lt;&gt;"",IF(LOWER('Capacity summary'!Y56)="x",$BI144*Y144,VALUE('Capacity summary'!Y56)),0),Y144*$BI144),Y144*$BI144),0)</f>
        <v>8.0769230769230766</v>
      </c>
      <c r="CC144" s="5">
        <f ca="1">IF($BI144&lt;&gt;"",IF('Capacity summary'!$C$14="Yes",IF(COUNTBLANK('Capacity summary'!$H56:$BG56)&lt;52,IF('Capacity summary'!Z56&lt;&gt;"",IF(LOWER('Capacity summary'!Z56)="x",$BI144*Z144,VALUE('Capacity summary'!Z56)),0),Z144*$BI144),Z144*$BI144),0)</f>
        <v>8.0769230769230766</v>
      </c>
      <c r="CD144" s="5">
        <f ca="1">IF($BI144&lt;&gt;"",IF('Capacity summary'!$C$14="Yes",IF(COUNTBLANK('Capacity summary'!$H56:$BG56)&lt;52,IF('Capacity summary'!AA56&lt;&gt;"",IF(LOWER('Capacity summary'!AA56)="x",$BI144*AA144,VALUE('Capacity summary'!AA56)),0),AA144*$BI144),AA144*$BI144),0)</f>
        <v>8.0769230769230766</v>
      </c>
      <c r="CE144" s="5">
        <f ca="1">IF($BI144&lt;&gt;"",IF('Capacity summary'!$C$14="Yes",IF(COUNTBLANK('Capacity summary'!$H56:$BG56)&lt;52,IF('Capacity summary'!AB56&lt;&gt;"",IF(LOWER('Capacity summary'!AB56)="x",$BI144*AB144,VALUE('Capacity summary'!AB56)),0),AB144*$BI144),AB144*$BI144),0)</f>
        <v>8.0769230769230766</v>
      </c>
      <c r="CF144" s="5">
        <f ca="1">IF($BI144&lt;&gt;"",IF('Capacity summary'!$C$14="Yes",IF(COUNTBLANK('Capacity summary'!$H56:$BG56)&lt;52,IF('Capacity summary'!AC56&lt;&gt;"",IF(LOWER('Capacity summary'!AC56)="x",$BI144*AC144,VALUE('Capacity summary'!AC56)),0),AC144*$BI144),AC144*$BI144),0)</f>
        <v>8.0769230769230766</v>
      </c>
      <c r="CG144" s="5">
        <f ca="1">IF($BI144&lt;&gt;"",IF('Capacity summary'!$C$14="Yes",IF(COUNTBLANK('Capacity summary'!$H56:$BG56)&lt;52,IF('Capacity summary'!AD56&lt;&gt;"",IF(LOWER('Capacity summary'!AD56)="x",$BI144*AD144,VALUE('Capacity summary'!AD56)),0),AD144*$BI144),AD144*$BI144),0)</f>
        <v>8.0769230769230766</v>
      </c>
      <c r="CH144" s="5">
        <f ca="1">IF($BI144&lt;&gt;"",IF('Capacity summary'!$C$14="Yes",IF(COUNTBLANK('Capacity summary'!$H56:$BG56)&lt;52,IF('Capacity summary'!AE56&lt;&gt;"",IF(LOWER('Capacity summary'!AE56)="x",$BI144*AE144,VALUE('Capacity summary'!AE56)),0),AE144*$BI144),AE144*$BI144),0)</f>
        <v>8.0769230769230766</v>
      </c>
      <c r="CI144" s="5">
        <f ca="1">IF($BI144&lt;&gt;"",IF('Capacity summary'!$C$14="Yes",IF(COUNTBLANK('Capacity summary'!$H56:$BG56)&lt;52,IF('Capacity summary'!AF56&lt;&gt;"",IF(LOWER('Capacity summary'!AF56)="x",$BI144*AF144,VALUE('Capacity summary'!AF56)),0),AF144*$BI144),AF144*$BI144),0)</f>
        <v>8.0769230769230766</v>
      </c>
      <c r="CJ144" s="5">
        <f ca="1">IF($BI144&lt;&gt;"",IF('Capacity summary'!$C$14="Yes",IF(COUNTBLANK('Capacity summary'!$H56:$BG56)&lt;52,IF('Capacity summary'!AG56&lt;&gt;"",IF(LOWER('Capacity summary'!AG56)="x",$BI144*AG144,VALUE('Capacity summary'!AG56)),0),AG144*$BI144),AG144*$BI144),0)</f>
        <v>8.0769230769230766</v>
      </c>
      <c r="CK144" s="5">
        <f ca="1">IF($BI144&lt;&gt;"",IF('Capacity summary'!$C$14="Yes",IF(COUNTBLANK('Capacity summary'!$H56:$BG56)&lt;52,IF('Capacity summary'!AH56&lt;&gt;"",IF(LOWER('Capacity summary'!AH56)="x",$BI144*AH144,VALUE('Capacity summary'!AH56)),0),AH144*$BI144),AH144*$BI144),0)</f>
        <v>8.0769230769230766</v>
      </c>
      <c r="CL144" s="5">
        <f ca="1">IF($BI144&lt;&gt;"",IF('Capacity summary'!$C$14="Yes",IF(COUNTBLANK('Capacity summary'!$H56:$BG56)&lt;52,IF('Capacity summary'!AI56&lt;&gt;"",IF(LOWER('Capacity summary'!AI56)="x",$BI144*AI144,VALUE('Capacity summary'!AI56)),0),AI144*$BI144),AI144*$BI144),0)</f>
        <v>8.0769230769230766</v>
      </c>
      <c r="CM144" s="5">
        <f ca="1">IF($BI144&lt;&gt;"",IF('Capacity summary'!$C$14="Yes",IF(COUNTBLANK('Capacity summary'!$H56:$BG56)&lt;52,IF('Capacity summary'!AJ56&lt;&gt;"",IF(LOWER('Capacity summary'!AJ56)="x",$BI144*AJ144,VALUE('Capacity summary'!AJ56)),0),AJ144*$BI144),AJ144*$BI144),0)</f>
        <v>8.0769230769230766</v>
      </c>
      <c r="CN144" s="5">
        <f ca="1">IF($BI144&lt;&gt;"",IF('Capacity summary'!$C$14="Yes",IF(COUNTBLANK('Capacity summary'!$H56:$BG56)&lt;52,IF('Capacity summary'!AK56&lt;&gt;"",IF(LOWER('Capacity summary'!AK56)="x",$BI144*AK144,VALUE('Capacity summary'!AK56)),0),AK144*$BI144),AK144*$BI144),0)</f>
        <v>8.0769230769230766</v>
      </c>
      <c r="CO144" s="5">
        <f ca="1">IF($BI144&lt;&gt;"",IF('Capacity summary'!$C$14="Yes",IF(COUNTBLANK('Capacity summary'!$H56:$BG56)&lt;52,IF('Capacity summary'!AL56&lt;&gt;"",IF(LOWER('Capacity summary'!AL56)="x",$BI144*AL144,VALUE('Capacity summary'!AL56)),0),AL144*$BI144),AL144*$BI144),0)</f>
        <v>8.0769230769230766</v>
      </c>
      <c r="CP144" s="5">
        <f ca="1">IF($BI144&lt;&gt;"",IF('Capacity summary'!$C$14="Yes",IF(COUNTBLANK('Capacity summary'!$H56:$BG56)&lt;52,IF('Capacity summary'!AM56&lt;&gt;"",IF(LOWER('Capacity summary'!AM56)="x",$BI144*AM144,VALUE('Capacity summary'!AM56)),0),AM144*$BI144),AM144*$BI144),0)</f>
        <v>8.0769230769230766</v>
      </c>
      <c r="CQ144" s="5">
        <f ca="1">IF($BI144&lt;&gt;"",IF('Capacity summary'!$C$14="Yes",IF(COUNTBLANK('Capacity summary'!$H56:$BG56)&lt;52,IF('Capacity summary'!AN56&lt;&gt;"",IF(LOWER('Capacity summary'!AN56)="x",$BI144*AN144,VALUE('Capacity summary'!AN56)),0),AN144*$BI144),AN144*$BI144),0)</f>
        <v>8.0769230769230766</v>
      </c>
      <c r="CR144" s="5">
        <f ca="1">IF($BI144&lt;&gt;"",IF('Capacity summary'!$C$14="Yes",IF(COUNTBLANK('Capacity summary'!$H56:$BG56)&lt;52,IF('Capacity summary'!AO56&lt;&gt;"",IF(LOWER('Capacity summary'!AO56)="x",$BI144*AO144,VALUE('Capacity summary'!AO56)),0),AO144*$BI144),AO144*$BI144),0)</f>
        <v>8.0769230769230766</v>
      </c>
      <c r="CS144" s="5">
        <f ca="1">IF($BI144&lt;&gt;"",IF('Capacity summary'!$C$14="Yes",IF(COUNTBLANK('Capacity summary'!$H56:$BG56)&lt;52,IF('Capacity summary'!AP56&lt;&gt;"",IF(LOWER('Capacity summary'!AP56)="x",$BI144*AP144,VALUE('Capacity summary'!AP56)),0),AP144*$BI144),AP144*$BI144),0)</f>
        <v>8.0769230769230766</v>
      </c>
      <c r="CT144" s="5">
        <f ca="1">IF($BI144&lt;&gt;"",IF('Capacity summary'!$C$14="Yes",IF(COUNTBLANK('Capacity summary'!$H56:$BG56)&lt;52,IF('Capacity summary'!AQ56&lt;&gt;"",IF(LOWER('Capacity summary'!AQ56)="x",$BI144*AQ144,VALUE('Capacity summary'!AQ56)),0),AQ144*$BI144),AQ144*$BI144),0)</f>
        <v>8.0769230769230766</v>
      </c>
      <c r="CU144" s="5">
        <f ca="1">IF($BI144&lt;&gt;"",IF('Capacity summary'!$C$14="Yes",IF(COUNTBLANK('Capacity summary'!$H56:$BG56)&lt;52,IF('Capacity summary'!AR56&lt;&gt;"",IF(LOWER('Capacity summary'!AR56)="x",$BI144*AR144,VALUE('Capacity summary'!AR56)),0),AR144*$BI144),AR144*$BI144),0)</f>
        <v>8.0769230769230766</v>
      </c>
      <c r="CV144" s="5">
        <f ca="1">IF($BI144&lt;&gt;"",IF('Capacity summary'!$C$14="Yes",IF(COUNTBLANK('Capacity summary'!$H56:$BG56)&lt;52,IF('Capacity summary'!AS56&lt;&gt;"",IF(LOWER('Capacity summary'!AS56)="x",$BI144*AS144,VALUE('Capacity summary'!AS56)),0),AS144*$BI144),AS144*$BI144),0)</f>
        <v>8.0769230769230766</v>
      </c>
      <c r="CW144" s="5">
        <f ca="1">IF($BI144&lt;&gt;"",IF('Capacity summary'!$C$14="Yes",IF(COUNTBLANK('Capacity summary'!$H56:$BG56)&lt;52,IF('Capacity summary'!AT56&lt;&gt;"",IF(LOWER('Capacity summary'!AT56)="x",$BI144*AT144,VALUE('Capacity summary'!AT56)),0),AT144*$BI144),AT144*$BI144),0)</f>
        <v>8.0769230769230766</v>
      </c>
      <c r="CX144" s="5">
        <f ca="1">IF($BI144&lt;&gt;"",IF('Capacity summary'!$C$14="Yes",IF(COUNTBLANK('Capacity summary'!$H56:$BG56)&lt;52,IF('Capacity summary'!AU56&lt;&gt;"",IF(LOWER('Capacity summary'!AU56)="x",$BI144*AU144,VALUE('Capacity summary'!AU56)),0),AU144*$BI144),AU144*$BI144),0)</f>
        <v>8.0769230769230766</v>
      </c>
      <c r="CY144" s="5">
        <f ca="1">IF($BI144&lt;&gt;"",IF('Capacity summary'!$C$14="Yes",IF(COUNTBLANK('Capacity summary'!$H56:$BG56)&lt;52,IF('Capacity summary'!AV56&lt;&gt;"",IF(LOWER('Capacity summary'!AV56)="x",$BI144*AV144,VALUE('Capacity summary'!AV56)),0),AV144*$BI144),AV144*$BI144),0)</f>
        <v>8.0769230769230766</v>
      </c>
      <c r="CZ144" s="5">
        <f ca="1">IF($BI144&lt;&gt;"",IF('Capacity summary'!$C$14="Yes",IF(COUNTBLANK('Capacity summary'!$H56:$BG56)&lt;52,IF('Capacity summary'!AW56&lt;&gt;"",IF(LOWER('Capacity summary'!AW56)="x",$BI144*AW144,VALUE('Capacity summary'!AW56)),0),AW144*$BI144),AW144*$BI144),0)</f>
        <v>8.0769230769230766</v>
      </c>
      <c r="DA144" s="5">
        <f ca="1">IF($BI144&lt;&gt;"",IF('Capacity summary'!$C$14="Yes",IF(COUNTBLANK('Capacity summary'!$H56:$BG56)&lt;52,IF('Capacity summary'!AX56&lt;&gt;"",IF(LOWER('Capacity summary'!AX56)="x",$BI144*AX144,VALUE('Capacity summary'!AX56)),0),AX144*$BI144),AX144*$BI144),0)</f>
        <v>8.0769230769230766</v>
      </c>
      <c r="DB144" s="5">
        <f ca="1">IF($BI144&lt;&gt;"",IF('Capacity summary'!$C$14="Yes",IF(COUNTBLANK('Capacity summary'!$H56:$BG56)&lt;52,IF('Capacity summary'!AY56&lt;&gt;"",IF(LOWER('Capacity summary'!AY56)="x",$BI144*AY144,VALUE('Capacity summary'!AY56)),0),AY144*$BI144),AY144*$BI144),0)</f>
        <v>8.0769230769230766</v>
      </c>
      <c r="DC144" s="5">
        <f ca="1">IF($BI144&lt;&gt;"",IF('Capacity summary'!$C$14="Yes",IF(COUNTBLANK('Capacity summary'!$H56:$BG56)&lt;52,IF('Capacity summary'!AZ56&lt;&gt;"",IF(LOWER('Capacity summary'!AZ56)="x",$BI144*AZ144,VALUE('Capacity summary'!AZ56)),0),AZ144*$BI144),AZ144*$BI144),0)</f>
        <v>8.0769230769230766</v>
      </c>
      <c r="DD144" s="5">
        <f ca="1">IF($BI144&lt;&gt;"",IF('Capacity summary'!$C$14="Yes",IF(COUNTBLANK('Capacity summary'!$H56:$BG56)&lt;52,IF('Capacity summary'!BA56&lt;&gt;"",IF(LOWER('Capacity summary'!BA56)="x",$BI144*BA144,VALUE('Capacity summary'!BA56)),0),BA144*$BI144),BA144*$BI144),0)</f>
        <v>8.0769230769230766</v>
      </c>
      <c r="DE144" s="5">
        <f ca="1">IF($BI144&lt;&gt;"",IF('Capacity summary'!$C$14="Yes",IF(COUNTBLANK('Capacity summary'!$H56:$BG56)&lt;52,IF('Capacity summary'!BB56&lt;&gt;"",IF(LOWER('Capacity summary'!BB56)="x",$BI144*BB144,VALUE('Capacity summary'!BB56)),0),BB144*$BI144),BB144*$BI144),0)</f>
        <v>8.0769230769230766</v>
      </c>
      <c r="DF144" s="5">
        <f ca="1">IF($BI144&lt;&gt;"",IF('Capacity summary'!$C$14="Yes",IF(COUNTBLANK('Capacity summary'!$H56:$BG56)&lt;52,IF('Capacity summary'!BC56&lt;&gt;"",IF(LOWER('Capacity summary'!BC56)="x",$BI144*BC144,VALUE('Capacity summary'!BC56)),0),BC144*$BI144),BC144*$BI144),0)</f>
        <v>8.0769230769230766</v>
      </c>
      <c r="DG144" s="5">
        <f ca="1">IF($BI144&lt;&gt;"",IF('Capacity summary'!$C$14="Yes",IF(COUNTBLANK('Capacity summary'!$H56:$BG56)&lt;52,IF('Capacity summary'!BD56&lt;&gt;"",IF(LOWER('Capacity summary'!BD56)="x",$BI144*BD144,VALUE('Capacity summary'!BD56)),0),BD144*$BI144),BD144*$BI144),0)</f>
        <v>8.0769230769230766</v>
      </c>
      <c r="DH144" s="5">
        <f ca="1">IF($BI144&lt;&gt;"",IF('Capacity summary'!$C$14="Yes",IF(COUNTBLANK('Capacity summary'!$H56:$BG56)&lt;52,IF('Capacity summary'!BE56&lt;&gt;"",IF(LOWER('Capacity summary'!BE56)="x",$BI144*BE144,VALUE('Capacity summary'!BE56)),0),BE144*$BI144),BE144*$BI144),0)</f>
        <v>8.0769230769230766</v>
      </c>
      <c r="DI144" s="5">
        <f ca="1">IF($BI144&lt;&gt;"",IF('Capacity summary'!$C$14="Yes",IF(COUNTBLANK('Capacity summary'!$H56:$BG56)&lt;52,IF('Capacity summary'!BF56&lt;&gt;"",IF(LOWER('Capacity summary'!BF56)="x",$BI144*BF144,VALUE('Capacity summary'!BF56)),0),BF144*$BI144),BF144*$BI144),0)</f>
        <v>8.0769230769230766</v>
      </c>
      <c r="DJ144" s="5">
        <f ca="1">IF($BI144&lt;&gt;"",IF('Capacity summary'!$C$14="Yes",IF(COUNTBLANK('Capacity summary'!$H56:$BG56)&lt;52,IF('Capacity summary'!BG56&lt;&gt;"",IF(LOWER('Capacity summary'!BG56)="x",$BI144*BG144,VALUE('Capacity summary'!BG56)),0),BG144*$BI144),BG144*$BI144),0)</f>
        <v>8.0769230769230766</v>
      </c>
      <c r="DK144" s="388">
        <f t="shared" ca="1" si="8"/>
        <v>8.0769230769230766</v>
      </c>
      <c r="DL144" s="5">
        <f t="shared" ca="1" si="9"/>
        <v>420.00000000000023</v>
      </c>
    </row>
    <row r="145" spans="3:116" x14ac:dyDescent="0.2">
      <c r="C145" s="67" t="str">
        <f>ROW(A34)&amp;". "&amp;Capacity!N50</f>
        <v>34. 44406</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 ca="1">IF(ROW(A34)&lt;=Capacity!$M$16,IF('Capacity summary'!$C$14="No",SUM(H145:BG145),'Capacity summary'!$E57),0)</f>
        <v>52</v>
      </c>
      <c r="BI145" s="67">
        <f ca="1">IF(BH145&gt;0,IF(BH145&lt;Capacity!Q50,Capacity!R50,Capacity!T50/'Capacity calculation (hide)'!BH145),"")</f>
        <v>13.846153846153847</v>
      </c>
      <c r="BJ145" s="5"/>
      <c r="BK145" s="5">
        <f ca="1">IF($BI145&lt;&gt;"",IF('Capacity summary'!$C$14="Yes",IF(COUNTBLANK('Capacity summary'!$H57:$BG57)&lt;52,IF('Capacity summary'!H57&lt;&gt;"",IF(LOWER('Capacity summary'!H57)="x",$BI145*H145,VALUE('Capacity summary'!H57)),0),H145*$BI145),H145*$BI145),0)</f>
        <v>13.846153846153847</v>
      </c>
      <c r="BL145" s="5">
        <f ca="1">IF($BI145&lt;&gt;"",IF('Capacity summary'!$C$14="Yes",IF(COUNTBLANK('Capacity summary'!$H57:$BG57)&lt;52,IF('Capacity summary'!I57&lt;&gt;"",IF(LOWER('Capacity summary'!I57)="x",$BI145*I145,VALUE('Capacity summary'!I57)),0),I145*$BI145),I145*$BI145),0)</f>
        <v>13.846153846153847</v>
      </c>
      <c r="BM145" s="5">
        <f ca="1">IF($BI145&lt;&gt;"",IF('Capacity summary'!$C$14="Yes",IF(COUNTBLANK('Capacity summary'!$H57:$BG57)&lt;52,IF('Capacity summary'!J57&lt;&gt;"",IF(LOWER('Capacity summary'!J57)="x",$BI145*J145,VALUE('Capacity summary'!J57)),0),J145*$BI145),J145*$BI145),0)</f>
        <v>13.846153846153847</v>
      </c>
      <c r="BN145" s="5">
        <f ca="1">IF($BI145&lt;&gt;"",IF('Capacity summary'!$C$14="Yes",IF(COUNTBLANK('Capacity summary'!$H57:$BG57)&lt;52,IF('Capacity summary'!K57&lt;&gt;"",IF(LOWER('Capacity summary'!K57)="x",$BI145*K145,VALUE('Capacity summary'!K57)),0),K145*$BI145),K145*$BI145),0)</f>
        <v>13.846153846153847</v>
      </c>
      <c r="BO145" s="5">
        <f ca="1">IF($BI145&lt;&gt;"",IF('Capacity summary'!$C$14="Yes",IF(COUNTBLANK('Capacity summary'!$H57:$BG57)&lt;52,IF('Capacity summary'!L57&lt;&gt;"",IF(LOWER('Capacity summary'!L57)="x",$BI145*L145,VALUE('Capacity summary'!L57)),0),L145*$BI145),L145*$BI145),0)</f>
        <v>13.846153846153847</v>
      </c>
      <c r="BP145" s="5">
        <f ca="1">IF($BI145&lt;&gt;"",IF('Capacity summary'!$C$14="Yes",IF(COUNTBLANK('Capacity summary'!$H57:$BG57)&lt;52,IF('Capacity summary'!M57&lt;&gt;"",IF(LOWER('Capacity summary'!M57)="x",$BI145*M145,VALUE('Capacity summary'!M57)),0),M145*$BI145),M145*$BI145),0)</f>
        <v>13.846153846153847</v>
      </c>
      <c r="BQ145" s="5">
        <f ca="1">IF($BI145&lt;&gt;"",IF('Capacity summary'!$C$14="Yes",IF(COUNTBLANK('Capacity summary'!$H57:$BG57)&lt;52,IF('Capacity summary'!N57&lt;&gt;"",IF(LOWER('Capacity summary'!N57)="x",$BI145*N145,VALUE('Capacity summary'!N57)),0),N145*$BI145),N145*$BI145),0)</f>
        <v>13.846153846153847</v>
      </c>
      <c r="BR145" s="5">
        <f ca="1">IF($BI145&lt;&gt;"",IF('Capacity summary'!$C$14="Yes",IF(COUNTBLANK('Capacity summary'!$H57:$BG57)&lt;52,IF('Capacity summary'!O57&lt;&gt;"",IF(LOWER('Capacity summary'!O57)="x",$BI145*O145,VALUE('Capacity summary'!O57)),0),O145*$BI145),O145*$BI145),0)</f>
        <v>13.846153846153847</v>
      </c>
      <c r="BS145" s="5">
        <f ca="1">IF($BI145&lt;&gt;"",IF('Capacity summary'!$C$14="Yes",IF(COUNTBLANK('Capacity summary'!$H57:$BG57)&lt;52,IF('Capacity summary'!P57&lt;&gt;"",IF(LOWER('Capacity summary'!P57)="x",$BI145*P145,VALUE('Capacity summary'!P57)),0),P145*$BI145),P145*$BI145),0)</f>
        <v>13.846153846153847</v>
      </c>
      <c r="BT145" s="5">
        <f ca="1">IF($BI145&lt;&gt;"",IF('Capacity summary'!$C$14="Yes",IF(COUNTBLANK('Capacity summary'!$H57:$BG57)&lt;52,IF('Capacity summary'!Q57&lt;&gt;"",IF(LOWER('Capacity summary'!Q57)="x",$BI145*Q145,VALUE('Capacity summary'!Q57)),0),Q145*$BI145),Q145*$BI145),0)</f>
        <v>13.846153846153847</v>
      </c>
      <c r="BU145" s="5">
        <f ca="1">IF($BI145&lt;&gt;"",IF('Capacity summary'!$C$14="Yes",IF(COUNTBLANK('Capacity summary'!$H57:$BG57)&lt;52,IF('Capacity summary'!R57&lt;&gt;"",IF(LOWER('Capacity summary'!R57)="x",$BI145*R145,VALUE('Capacity summary'!R57)),0),R145*$BI145),R145*$BI145),0)</f>
        <v>13.846153846153847</v>
      </c>
      <c r="BV145" s="5">
        <f ca="1">IF($BI145&lt;&gt;"",IF('Capacity summary'!$C$14="Yes",IF(COUNTBLANK('Capacity summary'!$H57:$BG57)&lt;52,IF('Capacity summary'!S57&lt;&gt;"",IF(LOWER('Capacity summary'!S57)="x",$BI145*S145,VALUE('Capacity summary'!S57)),0),S145*$BI145),S145*$BI145),0)</f>
        <v>13.846153846153847</v>
      </c>
      <c r="BW145" s="5">
        <f ca="1">IF($BI145&lt;&gt;"",IF('Capacity summary'!$C$14="Yes",IF(COUNTBLANK('Capacity summary'!$H57:$BG57)&lt;52,IF('Capacity summary'!T57&lt;&gt;"",IF(LOWER('Capacity summary'!T57)="x",$BI145*T145,VALUE('Capacity summary'!T57)),0),T145*$BI145),T145*$BI145),0)</f>
        <v>13.846153846153847</v>
      </c>
      <c r="BX145" s="5">
        <f ca="1">IF($BI145&lt;&gt;"",IF('Capacity summary'!$C$14="Yes",IF(COUNTBLANK('Capacity summary'!$H57:$BG57)&lt;52,IF('Capacity summary'!U57&lt;&gt;"",IF(LOWER('Capacity summary'!U57)="x",$BI145*U145,VALUE('Capacity summary'!U57)),0),U145*$BI145),U145*$BI145),0)</f>
        <v>13.846153846153847</v>
      </c>
      <c r="BY145" s="5">
        <f ca="1">IF($BI145&lt;&gt;"",IF('Capacity summary'!$C$14="Yes",IF(COUNTBLANK('Capacity summary'!$H57:$BG57)&lt;52,IF('Capacity summary'!V57&lt;&gt;"",IF(LOWER('Capacity summary'!V57)="x",$BI145*V145,VALUE('Capacity summary'!V57)),0),V145*$BI145),V145*$BI145),0)</f>
        <v>13.846153846153847</v>
      </c>
      <c r="BZ145" s="5">
        <f ca="1">IF($BI145&lt;&gt;"",IF('Capacity summary'!$C$14="Yes",IF(COUNTBLANK('Capacity summary'!$H57:$BG57)&lt;52,IF('Capacity summary'!W57&lt;&gt;"",IF(LOWER('Capacity summary'!W57)="x",$BI145*W145,VALUE('Capacity summary'!W57)),0),W145*$BI145),W145*$BI145),0)</f>
        <v>13.846153846153847</v>
      </c>
      <c r="CA145" s="5">
        <f ca="1">IF($BI145&lt;&gt;"",IF('Capacity summary'!$C$14="Yes",IF(COUNTBLANK('Capacity summary'!$H57:$BG57)&lt;52,IF('Capacity summary'!X57&lt;&gt;"",IF(LOWER('Capacity summary'!X57)="x",$BI145*X145,VALUE('Capacity summary'!X57)),0),X145*$BI145),X145*$BI145),0)</f>
        <v>13.846153846153847</v>
      </c>
      <c r="CB145" s="5">
        <f ca="1">IF($BI145&lt;&gt;"",IF('Capacity summary'!$C$14="Yes",IF(COUNTBLANK('Capacity summary'!$H57:$BG57)&lt;52,IF('Capacity summary'!Y57&lt;&gt;"",IF(LOWER('Capacity summary'!Y57)="x",$BI145*Y145,VALUE('Capacity summary'!Y57)),0),Y145*$BI145),Y145*$BI145),0)</f>
        <v>13.846153846153847</v>
      </c>
      <c r="CC145" s="5">
        <f ca="1">IF($BI145&lt;&gt;"",IF('Capacity summary'!$C$14="Yes",IF(COUNTBLANK('Capacity summary'!$H57:$BG57)&lt;52,IF('Capacity summary'!Z57&lt;&gt;"",IF(LOWER('Capacity summary'!Z57)="x",$BI145*Z145,VALUE('Capacity summary'!Z57)),0),Z145*$BI145),Z145*$BI145),0)</f>
        <v>13.846153846153847</v>
      </c>
      <c r="CD145" s="5">
        <f ca="1">IF($BI145&lt;&gt;"",IF('Capacity summary'!$C$14="Yes",IF(COUNTBLANK('Capacity summary'!$H57:$BG57)&lt;52,IF('Capacity summary'!AA57&lt;&gt;"",IF(LOWER('Capacity summary'!AA57)="x",$BI145*AA145,VALUE('Capacity summary'!AA57)),0),AA145*$BI145),AA145*$BI145),0)</f>
        <v>13.846153846153847</v>
      </c>
      <c r="CE145" s="5">
        <f ca="1">IF($BI145&lt;&gt;"",IF('Capacity summary'!$C$14="Yes",IF(COUNTBLANK('Capacity summary'!$H57:$BG57)&lt;52,IF('Capacity summary'!AB57&lt;&gt;"",IF(LOWER('Capacity summary'!AB57)="x",$BI145*AB145,VALUE('Capacity summary'!AB57)),0),AB145*$BI145),AB145*$BI145),0)</f>
        <v>13.846153846153847</v>
      </c>
      <c r="CF145" s="5">
        <f ca="1">IF($BI145&lt;&gt;"",IF('Capacity summary'!$C$14="Yes",IF(COUNTBLANK('Capacity summary'!$H57:$BG57)&lt;52,IF('Capacity summary'!AC57&lt;&gt;"",IF(LOWER('Capacity summary'!AC57)="x",$BI145*AC145,VALUE('Capacity summary'!AC57)),0),AC145*$BI145),AC145*$BI145),0)</f>
        <v>13.846153846153847</v>
      </c>
      <c r="CG145" s="5">
        <f ca="1">IF($BI145&lt;&gt;"",IF('Capacity summary'!$C$14="Yes",IF(COUNTBLANK('Capacity summary'!$H57:$BG57)&lt;52,IF('Capacity summary'!AD57&lt;&gt;"",IF(LOWER('Capacity summary'!AD57)="x",$BI145*AD145,VALUE('Capacity summary'!AD57)),0),AD145*$BI145),AD145*$BI145),0)</f>
        <v>13.846153846153847</v>
      </c>
      <c r="CH145" s="5">
        <f ca="1">IF($BI145&lt;&gt;"",IF('Capacity summary'!$C$14="Yes",IF(COUNTBLANK('Capacity summary'!$H57:$BG57)&lt;52,IF('Capacity summary'!AE57&lt;&gt;"",IF(LOWER('Capacity summary'!AE57)="x",$BI145*AE145,VALUE('Capacity summary'!AE57)),0),AE145*$BI145),AE145*$BI145),0)</f>
        <v>13.846153846153847</v>
      </c>
      <c r="CI145" s="5">
        <f ca="1">IF($BI145&lt;&gt;"",IF('Capacity summary'!$C$14="Yes",IF(COUNTBLANK('Capacity summary'!$H57:$BG57)&lt;52,IF('Capacity summary'!AF57&lt;&gt;"",IF(LOWER('Capacity summary'!AF57)="x",$BI145*AF145,VALUE('Capacity summary'!AF57)),0),AF145*$BI145),AF145*$BI145),0)</f>
        <v>13.846153846153847</v>
      </c>
      <c r="CJ145" s="5">
        <f ca="1">IF($BI145&lt;&gt;"",IF('Capacity summary'!$C$14="Yes",IF(COUNTBLANK('Capacity summary'!$H57:$BG57)&lt;52,IF('Capacity summary'!AG57&lt;&gt;"",IF(LOWER('Capacity summary'!AG57)="x",$BI145*AG145,VALUE('Capacity summary'!AG57)),0),AG145*$BI145),AG145*$BI145),0)</f>
        <v>13.846153846153847</v>
      </c>
      <c r="CK145" s="5">
        <f ca="1">IF($BI145&lt;&gt;"",IF('Capacity summary'!$C$14="Yes",IF(COUNTBLANK('Capacity summary'!$H57:$BG57)&lt;52,IF('Capacity summary'!AH57&lt;&gt;"",IF(LOWER('Capacity summary'!AH57)="x",$BI145*AH145,VALUE('Capacity summary'!AH57)),0),AH145*$BI145),AH145*$BI145),0)</f>
        <v>13.846153846153847</v>
      </c>
      <c r="CL145" s="5">
        <f ca="1">IF($BI145&lt;&gt;"",IF('Capacity summary'!$C$14="Yes",IF(COUNTBLANK('Capacity summary'!$H57:$BG57)&lt;52,IF('Capacity summary'!AI57&lt;&gt;"",IF(LOWER('Capacity summary'!AI57)="x",$BI145*AI145,VALUE('Capacity summary'!AI57)),0),AI145*$BI145),AI145*$BI145),0)</f>
        <v>13.846153846153847</v>
      </c>
      <c r="CM145" s="5">
        <f ca="1">IF($BI145&lt;&gt;"",IF('Capacity summary'!$C$14="Yes",IF(COUNTBLANK('Capacity summary'!$H57:$BG57)&lt;52,IF('Capacity summary'!AJ57&lt;&gt;"",IF(LOWER('Capacity summary'!AJ57)="x",$BI145*AJ145,VALUE('Capacity summary'!AJ57)),0),AJ145*$BI145),AJ145*$BI145),0)</f>
        <v>13.846153846153847</v>
      </c>
      <c r="CN145" s="5">
        <f ca="1">IF($BI145&lt;&gt;"",IF('Capacity summary'!$C$14="Yes",IF(COUNTBLANK('Capacity summary'!$H57:$BG57)&lt;52,IF('Capacity summary'!AK57&lt;&gt;"",IF(LOWER('Capacity summary'!AK57)="x",$BI145*AK145,VALUE('Capacity summary'!AK57)),0),AK145*$BI145),AK145*$BI145),0)</f>
        <v>13.846153846153847</v>
      </c>
      <c r="CO145" s="5">
        <f ca="1">IF($BI145&lt;&gt;"",IF('Capacity summary'!$C$14="Yes",IF(COUNTBLANK('Capacity summary'!$H57:$BG57)&lt;52,IF('Capacity summary'!AL57&lt;&gt;"",IF(LOWER('Capacity summary'!AL57)="x",$BI145*AL145,VALUE('Capacity summary'!AL57)),0),AL145*$BI145),AL145*$BI145),0)</f>
        <v>13.846153846153847</v>
      </c>
      <c r="CP145" s="5">
        <f ca="1">IF($BI145&lt;&gt;"",IF('Capacity summary'!$C$14="Yes",IF(COUNTBLANK('Capacity summary'!$H57:$BG57)&lt;52,IF('Capacity summary'!AM57&lt;&gt;"",IF(LOWER('Capacity summary'!AM57)="x",$BI145*AM145,VALUE('Capacity summary'!AM57)),0),AM145*$BI145),AM145*$BI145),0)</f>
        <v>13.846153846153847</v>
      </c>
      <c r="CQ145" s="5">
        <f ca="1">IF($BI145&lt;&gt;"",IF('Capacity summary'!$C$14="Yes",IF(COUNTBLANK('Capacity summary'!$H57:$BG57)&lt;52,IF('Capacity summary'!AN57&lt;&gt;"",IF(LOWER('Capacity summary'!AN57)="x",$BI145*AN145,VALUE('Capacity summary'!AN57)),0),AN145*$BI145),AN145*$BI145),0)</f>
        <v>13.846153846153847</v>
      </c>
      <c r="CR145" s="5">
        <f ca="1">IF($BI145&lt;&gt;"",IF('Capacity summary'!$C$14="Yes",IF(COUNTBLANK('Capacity summary'!$H57:$BG57)&lt;52,IF('Capacity summary'!AO57&lt;&gt;"",IF(LOWER('Capacity summary'!AO57)="x",$BI145*AO145,VALUE('Capacity summary'!AO57)),0),AO145*$BI145),AO145*$BI145),0)</f>
        <v>13.846153846153847</v>
      </c>
      <c r="CS145" s="5">
        <f ca="1">IF($BI145&lt;&gt;"",IF('Capacity summary'!$C$14="Yes",IF(COUNTBLANK('Capacity summary'!$H57:$BG57)&lt;52,IF('Capacity summary'!AP57&lt;&gt;"",IF(LOWER('Capacity summary'!AP57)="x",$BI145*AP145,VALUE('Capacity summary'!AP57)),0),AP145*$BI145),AP145*$BI145),0)</f>
        <v>13.846153846153847</v>
      </c>
      <c r="CT145" s="5">
        <f ca="1">IF($BI145&lt;&gt;"",IF('Capacity summary'!$C$14="Yes",IF(COUNTBLANK('Capacity summary'!$H57:$BG57)&lt;52,IF('Capacity summary'!AQ57&lt;&gt;"",IF(LOWER('Capacity summary'!AQ57)="x",$BI145*AQ145,VALUE('Capacity summary'!AQ57)),0),AQ145*$BI145),AQ145*$BI145),0)</f>
        <v>13.846153846153847</v>
      </c>
      <c r="CU145" s="5">
        <f ca="1">IF($BI145&lt;&gt;"",IF('Capacity summary'!$C$14="Yes",IF(COUNTBLANK('Capacity summary'!$H57:$BG57)&lt;52,IF('Capacity summary'!AR57&lt;&gt;"",IF(LOWER('Capacity summary'!AR57)="x",$BI145*AR145,VALUE('Capacity summary'!AR57)),0),AR145*$BI145),AR145*$BI145),0)</f>
        <v>13.846153846153847</v>
      </c>
      <c r="CV145" s="5">
        <f ca="1">IF($BI145&lt;&gt;"",IF('Capacity summary'!$C$14="Yes",IF(COUNTBLANK('Capacity summary'!$H57:$BG57)&lt;52,IF('Capacity summary'!AS57&lt;&gt;"",IF(LOWER('Capacity summary'!AS57)="x",$BI145*AS145,VALUE('Capacity summary'!AS57)),0),AS145*$BI145),AS145*$BI145),0)</f>
        <v>13.846153846153847</v>
      </c>
      <c r="CW145" s="5">
        <f ca="1">IF($BI145&lt;&gt;"",IF('Capacity summary'!$C$14="Yes",IF(COUNTBLANK('Capacity summary'!$H57:$BG57)&lt;52,IF('Capacity summary'!AT57&lt;&gt;"",IF(LOWER('Capacity summary'!AT57)="x",$BI145*AT145,VALUE('Capacity summary'!AT57)),0),AT145*$BI145),AT145*$BI145),0)</f>
        <v>13.846153846153847</v>
      </c>
      <c r="CX145" s="5">
        <f ca="1">IF($BI145&lt;&gt;"",IF('Capacity summary'!$C$14="Yes",IF(COUNTBLANK('Capacity summary'!$H57:$BG57)&lt;52,IF('Capacity summary'!AU57&lt;&gt;"",IF(LOWER('Capacity summary'!AU57)="x",$BI145*AU145,VALUE('Capacity summary'!AU57)),0),AU145*$BI145),AU145*$BI145),0)</f>
        <v>13.846153846153847</v>
      </c>
      <c r="CY145" s="5">
        <f ca="1">IF($BI145&lt;&gt;"",IF('Capacity summary'!$C$14="Yes",IF(COUNTBLANK('Capacity summary'!$H57:$BG57)&lt;52,IF('Capacity summary'!AV57&lt;&gt;"",IF(LOWER('Capacity summary'!AV57)="x",$BI145*AV145,VALUE('Capacity summary'!AV57)),0),AV145*$BI145),AV145*$BI145),0)</f>
        <v>13.846153846153847</v>
      </c>
      <c r="CZ145" s="5">
        <f ca="1">IF($BI145&lt;&gt;"",IF('Capacity summary'!$C$14="Yes",IF(COUNTBLANK('Capacity summary'!$H57:$BG57)&lt;52,IF('Capacity summary'!AW57&lt;&gt;"",IF(LOWER('Capacity summary'!AW57)="x",$BI145*AW145,VALUE('Capacity summary'!AW57)),0),AW145*$BI145),AW145*$BI145),0)</f>
        <v>13.846153846153847</v>
      </c>
      <c r="DA145" s="5">
        <f ca="1">IF($BI145&lt;&gt;"",IF('Capacity summary'!$C$14="Yes",IF(COUNTBLANK('Capacity summary'!$H57:$BG57)&lt;52,IF('Capacity summary'!AX57&lt;&gt;"",IF(LOWER('Capacity summary'!AX57)="x",$BI145*AX145,VALUE('Capacity summary'!AX57)),0),AX145*$BI145),AX145*$BI145),0)</f>
        <v>13.846153846153847</v>
      </c>
      <c r="DB145" s="5">
        <f ca="1">IF($BI145&lt;&gt;"",IF('Capacity summary'!$C$14="Yes",IF(COUNTBLANK('Capacity summary'!$H57:$BG57)&lt;52,IF('Capacity summary'!AY57&lt;&gt;"",IF(LOWER('Capacity summary'!AY57)="x",$BI145*AY145,VALUE('Capacity summary'!AY57)),0),AY145*$BI145),AY145*$BI145),0)</f>
        <v>13.846153846153847</v>
      </c>
      <c r="DC145" s="5">
        <f ca="1">IF($BI145&lt;&gt;"",IF('Capacity summary'!$C$14="Yes",IF(COUNTBLANK('Capacity summary'!$H57:$BG57)&lt;52,IF('Capacity summary'!AZ57&lt;&gt;"",IF(LOWER('Capacity summary'!AZ57)="x",$BI145*AZ145,VALUE('Capacity summary'!AZ57)),0),AZ145*$BI145),AZ145*$BI145),0)</f>
        <v>13.846153846153847</v>
      </c>
      <c r="DD145" s="5">
        <f ca="1">IF($BI145&lt;&gt;"",IF('Capacity summary'!$C$14="Yes",IF(COUNTBLANK('Capacity summary'!$H57:$BG57)&lt;52,IF('Capacity summary'!BA57&lt;&gt;"",IF(LOWER('Capacity summary'!BA57)="x",$BI145*BA145,VALUE('Capacity summary'!BA57)),0),BA145*$BI145),BA145*$BI145),0)</f>
        <v>13.846153846153847</v>
      </c>
      <c r="DE145" s="5">
        <f ca="1">IF($BI145&lt;&gt;"",IF('Capacity summary'!$C$14="Yes",IF(COUNTBLANK('Capacity summary'!$H57:$BG57)&lt;52,IF('Capacity summary'!BB57&lt;&gt;"",IF(LOWER('Capacity summary'!BB57)="x",$BI145*BB145,VALUE('Capacity summary'!BB57)),0),BB145*$BI145),BB145*$BI145),0)</f>
        <v>13.846153846153847</v>
      </c>
      <c r="DF145" s="5">
        <f ca="1">IF($BI145&lt;&gt;"",IF('Capacity summary'!$C$14="Yes",IF(COUNTBLANK('Capacity summary'!$H57:$BG57)&lt;52,IF('Capacity summary'!BC57&lt;&gt;"",IF(LOWER('Capacity summary'!BC57)="x",$BI145*BC145,VALUE('Capacity summary'!BC57)),0),BC145*$BI145),BC145*$BI145),0)</f>
        <v>13.846153846153847</v>
      </c>
      <c r="DG145" s="5">
        <f ca="1">IF($BI145&lt;&gt;"",IF('Capacity summary'!$C$14="Yes",IF(COUNTBLANK('Capacity summary'!$H57:$BG57)&lt;52,IF('Capacity summary'!BD57&lt;&gt;"",IF(LOWER('Capacity summary'!BD57)="x",$BI145*BD145,VALUE('Capacity summary'!BD57)),0),BD145*$BI145),BD145*$BI145),0)</f>
        <v>13.846153846153847</v>
      </c>
      <c r="DH145" s="5">
        <f ca="1">IF($BI145&lt;&gt;"",IF('Capacity summary'!$C$14="Yes",IF(COUNTBLANK('Capacity summary'!$H57:$BG57)&lt;52,IF('Capacity summary'!BE57&lt;&gt;"",IF(LOWER('Capacity summary'!BE57)="x",$BI145*BE145,VALUE('Capacity summary'!BE57)),0),BE145*$BI145),BE145*$BI145),0)</f>
        <v>13.846153846153847</v>
      </c>
      <c r="DI145" s="5">
        <f ca="1">IF($BI145&lt;&gt;"",IF('Capacity summary'!$C$14="Yes",IF(COUNTBLANK('Capacity summary'!$H57:$BG57)&lt;52,IF('Capacity summary'!BF57&lt;&gt;"",IF(LOWER('Capacity summary'!BF57)="x",$BI145*BF145,VALUE('Capacity summary'!BF57)),0),BF145*$BI145),BF145*$BI145),0)</f>
        <v>13.846153846153847</v>
      </c>
      <c r="DJ145" s="5">
        <f ca="1">IF($BI145&lt;&gt;"",IF('Capacity summary'!$C$14="Yes",IF(COUNTBLANK('Capacity summary'!$H57:$BG57)&lt;52,IF('Capacity summary'!BG57&lt;&gt;"",IF(LOWER('Capacity summary'!BG57)="x",$BI145*BG145,VALUE('Capacity summary'!BG57)),0),BG145*$BI145),BG145*$BI145),0)</f>
        <v>13.846153846153847</v>
      </c>
      <c r="DK145" s="388">
        <f t="shared" ca="1" si="8"/>
        <v>13.846153846153847</v>
      </c>
      <c r="DL145" s="5">
        <f t="shared" ca="1" si="9"/>
        <v>719.99999999999977</v>
      </c>
    </row>
    <row r="146" spans="3:116" x14ac:dyDescent="0.2">
      <c r="C146" s="67" t="str">
        <f>ROW(A35)&amp;". "&amp;Capacity!N51</f>
        <v>35. 44407</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 ca="1">IF(ROW(A35)&lt;=Capacity!$M$16,IF('Capacity summary'!$C$14="No",SUM(H146:BG146),'Capacity summary'!$E58),0)</f>
        <v>52</v>
      </c>
      <c r="BI146" s="67">
        <f ca="1">IF(BH146&gt;0,IF(BH146&lt;Capacity!Q51,Capacity!R51,Capacity!T51/'Capacity calculation (hide)'!BH146),"")</f>
        <v>9.8076923076923084</v>
      </c>
      <c r="BJ146" s="5"/>
      <c r="BK146" s="5">
        <f ca="1">IF($BI146&lt;&gt;"",IF('Capacity summary'!$C$14="Yes",IF(COUNTBLANK('Capacity summary'!$H58:$BG58)&lt;52,IF('Capacity summary'!H58&lt;&gt;"",IF(LOWER('Capacity summary'!H58)="x",$BI146*H146,VALUE('Capacity summary'!H58)),0),H146*$BI146),H146*$BI146),0)</f>
        <v>9.8076923076923084</v>
      </c>
      <c r="BL146" s="5">
        <f ca="1">IF($BI146&lt;&gt;"",IF('Capacity summary'!$C$14="Yes",IF(COUNTBLANK('Capacity summary'!$H58:$BG58)&lt;52,IF('Capacity summary'!I58&lt;&gt;"",IF(LOWER('Capacity summary'!I58)="x",$BI146*I146,VALUE('Capacity summary'!I58)),0),I146*$BI146),I146*$BI146),0)</f>
        <v>9.8076923076923084</v>
      </c>
      <c r="BM146" s="5">
        <f ca="1">IF($BI146&lt;&gt;"",IF('Capacity summary'!$C$14="Yes",IF(COUNTBLANK('Capacity summary'!$H58:$BG58)&lt;52,IF('Capacity summary'!J58&lt;&gt;"",IF(LOWER('Capacity summary'!J58)="x",$BI146*J146,VALUE('Capacity summary'!J58)),0),J146*$BI146),J146*$BI146),0)</f>
        <v>9.8076923076923084</v>
      </c>
      <c r="BN146" s="5">
        <f ca="1">IF($BI146&lt;&gt;"",IF('Capacity summary'!$C$14="Yes",IF(COUNTBLANK('Capacity summary'!$H58:$BG58)&lt;52,IF('Capacity summary'!K58&lt;&gt;"",IF(LOWER('Capacity summary'!K58)="x",$BI146*K146,VALUE('Capacity summary'!K58)),0),K146*$BI146),K146*$BI146),0)</f>
        <v>9.8076923076923084</v>
      </c>
      <c r="BO146" s="5">
        <f ca="1">IF($BI146&lt;&gt;"",IF('Capacity summary'!$C$14="Yes",IF(COUNTBLANK('Capacity summary'!$H58:$BG58)&lt;52,IF('Capacity summary'!L58&lt;&gt;"",IF(LOWER('Capacity summary'!L58)="x",$BI146*L146,VALUE('Capacity summary'!L58)),0),L146*$BI146),L146*$BI146),0)</f>
        <v>9.8076923076923084</v>
      </c>
      <c r="BP146" s="5">
        <f ca="1">IF($BI146&lt;&gt;"",IF('Capacity summary'!$C$14="Yes",IF(COUNTBLANK('Capacity summary'!$H58:$BG58)&lt;52,IF('Capacity summary'!M58&lt;&gt;"",IF(LOWER('Capacity summary'!M58)="x",$BI146*M146,VALUE('Capacity summary'!M58)),0),M146*$BI146),M146*$BI146),0)</f>
        <v>9.8076923076923084</v>
      </c>
      <c r="BQ146" s="5">
        <f ca="1">IF($BI146&lt;&gt;"",IF('Capacity summary'!$C$14="Yes",IF(COUNTBLANK('Capacity summary'!$H58:$BG58)&lt;52,IF('Capacity summary'!N58&lt;&gt;"",IF(LOWER('Capacity summary'!N58)="x",$BI146*N146,VALUE('Capacity summary'!N58)),0),N146*$BI146),N146*$BI146),0)</f>
        <v>9.8076923076923084</v>
      </c>
      <c r="BR146" s="5">
        <f ca="1">IF($BI146&lt;&gt;"",IF('Capacity summary'!$C$14="Yes",IF(COUNTBLANK('Capacity summary'!$H58:$BG58)&lt;52,IF('Capacity summary'!O58&lt;&gt;"",IF(LOWER('Capacity summary'!O58)="x",$BI146*O146,VALUE('Capacity summary'!O58)),0),O146*$BI146),O146*$BI146),0)</f>
        <v>9.8076923076923084</v>
      </c>
      <c r="BS146" s="5">
        <f ca="1">IF($BI146&lt;&gt;"",IF('Capacity summary'!$C$14="Yes",IF(COUNTBLANK('Capacity summary'!$H58:$BG58)&lt;52,IF('Capacity summary'!P58&lt;&gt;"",IF(LOWER('Capacity summary'!P58)="x",$BI146*P146,VALUE('Capacity summary'!P58)),0),P146*$BI146),P146*$BI146),0)</f>
        <v>9.8076923076923084</v>
      </c>
      <c r="BT146" s="5">
        <f ca="1">IF($BI146&lt;&gt;"",IF('Capacity summary'!$C$14="Yes",IF(COUNTBLANK('Capacity summary'!$H58:$BG58)&lt;52,IF('Capacity summary'!Q58&lt;&gt;"",IF(LOWER('Capacity summary'!Q58)="x",$BI146*Q146,VALUE('Capacity summary'!Q58)),0),Q146*$BI146),Q146*$BI146),0)</f>
        <v>9.8076923076923084</v>
      </c>
      <c r="BU146" s="5">
        <f ca="1">IF($BI146&lt;&gt;"",IF('Capacity summary'!$C$14="Yes",IF(COUNTBLANK('Capacity summary'!$H58:$BG58)&lt;52,IF('Capacity summary'!R58&lt;&gt;"",IF(LOWER('Capacity summary'!R58)="x",$BI146*R146,VALUE('Capacity summary'!R58)),0),R146*$BI146),R146*$BI146),0)</f>
        <v>9.8076923076923084</v>
      </c>
      <c r="BV146" s="5">
        <f ca="1">IF($BI146&lt;&gt;"",IF('Capacity summary'!$C$14="Yes",IF(COUNTBLANK('Capacity summary'!$H58:$BG58)&lt;52,IF('Capacity summary'!S58&lt;&gt;"",IF(LOWER('Capacity summary'!S58)="x",$BI146*S146,VALUE('Capacity summary'!S58)),0),S146*$BI146),S146*$BI146),0)</f>
        <v>9.8076923076923084</v>
      </c>
      <c r="BW146" s="5">
        <f ca="1">IF($BI146&lt;&gt;"",IF('Capacity summary'!$C$14="Yes",IF(COUNTBLANK('Capacity summary'!$H58:$BG58)&lt;52,IF('Capacity summary'!T58&lt;&gt;"",IF(LOWER('Capacity summary'!T58)="x",$BI146*T146,VALUE('Capacity summary'!T58)),0),T146*$BI146),T146*$BI146),0)</f>
        <v>9.8076923076923084</v>
      </c>
      <c r="BX146" s="5">
        <f ca="1">IF($BI146&lt;&gt;"",IF('Capacity summary'!$C$14="Yes",IF(COUNTBLANK('Capacity summary'!$H58:$BG58)&lt;52,IF('Capacity summary'!U58&lt;&gt;"",IF(LOWER('Capacity summary'!U58)="x",$BI146*U146,VALUE('Capacity summary'!U58)),0),U146*$BI146),U146*$BI146),0)</f>
        <v>9.8076923076923084</v>
      </c>
      <c r="BY146" s="5">
        <f ca="1">IF($BI146&lt;&gt;"",IF('Capacity summary'!$C$14="Yes",IF(COUNTBLANK('Capacity summary'!$H58:$BG58)&lt;52,IF('Capacity summary'!V58&lt;&gt;"",IF(LOWER('Capacity summary'!V58)="x",$BI146*V146,VALUE('Capacity summary'!V58)),0),V146*$BI146),V146*$BI146),0)</f>
        <v>9.8076923076923084</v>
      </c>
      <c r="BZ146" s="5">
        <f ca="1">IF($BI146&lt;&gt;"",IF('Capacity summary'!$C$14="Yes",IF(COUNTBLANK('Capacity summary'!$H58:$BG58)&lt;52,IF('Capacity summary'!W58&lt;&gt;"",IF(LOWER('Capacity summary'!W58)="x",$BI146*W146,VALUE('Capacity summary'!W58)),0),W146*$BI146),W146*$BI146),0)</f>
        <v>9.8076923076923084</v>
      </c>
      <c r="CA146" s="5">
        <f ca="1">IF($BI146&lt;&gt;"",IF('Capacity summary'!$C$14="Yes",IF(COUNTBLANK('Capacity summary'!$H58:$BG58)&lt;52,IF('Capacity summary'!X58&lt;&gt;"",IF(LOWER('Capacity summary'!X58)="x",$BI146*X146,VALUE('Capacity summary'!X58)),0),X146*$BI146),X146*$BI146),0)</f>
        <v>9.8076923076923084</v>
      </c>
      <c r="CB146" s="5">
        <f ca="1">IF($BI146&lt;&gt;"",IF('Capacity summary'!$C$14="Yes",IF(COUNTBLANK('Capacity summary'!$H58:$BG58)&lt;52,IF('Capacity summary'!Y58&lt;&gt;"",IF(LOWER('Capacity summary'!Y58)="x",$BI146*Y146,VALUE('Capacity summary'!Y58)),0),Y146*$BI146),Y146*$BI146),0)</f>
        <v>9.8076923076923084</v>
      </c>
      <c r="CC146" s="5">
        <f ca="1">IF($BI146&lt;&gt;"",IF('Capacity summary'!$C$14="Yes",IF(COUNTBLANK('Capacity summary'!$H58:$BG58)&lt;52,IF('Capacity summary'!Z58&lt;&gt;"",IF(LOWER('Capacity summary'!Z58)="x",$BI146*Z146,VALUE('Capacity summary'!Z58)),0),Z146*$BI146),Z146*$BI146),0)</f>
        <v>9.8076923076923084</v>
      </c>
      <c r="CD146" s="5">
        <f ca="1">IF($BI146&lt;&gt;"",IF('Capacity summary'!$C$14="Yes",IF(COUNTBLANK('Capacity summary'!$H58:$BG58)&lt;52,IF('Capacity summary'!AA58&lt;&gt;"",IF(LOWER('Capacity summary'!AA58)="x",$BI146*AA146,VALUE('Capacity summary'!AA58)),0),AA146*$BI146),AA146*$BI146),0)</f>
        <v>9.8076923076923084</v>
      </c>
      <c r="CE146" s="5">
        <f ca="1">IF($BI146&lt;&gt;"",IF('Capacity summary'!$C$14="Yes",IF(COUNTBLANK('Capacity summary'!$H58:$BG58)&lt;52,IF('Capacity summary'!AB58&lt;&gt;"",IF(LOWER('Capacity summary'!AB58)="x",$BI146*AB146,VALUE('Capacity summary'!AB58)),0),AB146*$BI146),AB146*$BI146),0)</f>
        <v>9.8076923076923084</v>
      </c>
      <c r="CF146" s="5">
        <f ca="1">IF($BI146&lt;&gt;"",IF('Capacity summary'!$C$14="Yes",IF(COUNTBLANK('Capacity summary'!$H58:$BG58)&lt;52,IF('Capacity summary'!AC58&lt;&gt;"",IF(LOWER('Capacity summary'!AC58)="x",$BI146*AC146,VALUE('Capacity summary'!AC58)),0),AC146*$BI146),AC146*$BI146),0)</f>
        <v>9.8076923076923084</v>
      </c>
      <c r="CG146" s="5">
        <f ca="1">IF($BI146&lt;&gt;"",IF('Capacity summary'!$C$14="Yes",IF(COUNTBLANK('Capacity summary'!$H58:$BG58)&lt;52,IF('Capacity summary'!AD58&lt;&gt;"",IF(LOWER('Capacity summary'!AD58)="x",$BI146*AD146,VALUE('Capacity summary'!AD58)),0),AD146*$BI146),AD146*$BI146),0)</f>
        <v>9.8076923076923084</v>
      </c>
      <c r="CH146" s="5">
        <f ca="1">IF($BI146&lt;&gt;"",IF('Capacity summary'!$C$14="Yes",IF(COUNTBLANK('Capacity summary'!$H58:$BG58)&lt;52,IF('Capacity summary'!AE58&lt;&gt;"",IF(LOWER('Capacity summary'!AE58)="x",$BI146*AE146,VALUE('Capacity summary'!AE58)),0),AE146*$BI146),AE146*$BI146),0)</f>
        <v>9.8076923076923084</v>
      </c>
      <c r="CI146" s="5">
        <f ca="1">IF($BI146&lt;&gt;"",IF('Capacity summary'!$C$14="Yes",IF(COUNTBLANK('Capacity summary'!$H58:$BG58)&lt;52,IF('Capacity summary'!AF58&lt;&gt;"",IF(LOWER('Capacity summary'!AF58)="x",$BI146*AF146,VALUE('Capacity summary'!AF58)),0),AF146*$BI146),AF146*$BI146),0)</f>
        <v>9.8076923076923084</v>
      </c>
      <c r="CJ146" s="5">
        <f ca="1">IF($BI146&lt;&gt;"",IF('Capacity summary'!$C$14="Yes",IF(COUNTBLANK('Capacity summary'!$H58:$BG58)&lt;52,IF('Capacity summary'!AG58&lt;&gt;"",IF(LOWER('Capacity summary'!AG58)="x",$BI146*AG146,VALUE('Capacity summary'!AG58)),0),AG146*$BI146),AG146*$BI146),0)</f>
        <v>9.8076923076923084</v>
      </c>
      <c r="CK146" s="5">
        <f ca="1">IF($BI146&lt;&gt;"",IF('Capacity summary'!$C$14="Yes",IF(COUNTBLANK('Capacity summary'!$H58:$BG58)&lt;52,IF('Capacity summary'!AH58&lt;&gt;"",IF(LOWER('Capacity summary'!AH58)="x",$BI146*AH146,VALUE('Capacity summary'!AH58)),0),AH146*$BI146),AH146*$BI146),0)</f>
        <v>9.8076923076923084</v>
      </c>
      <c r="CL146" s="5">
        <f ca="1">IF($BI146&lt;&gt;"",IF('Capacity summary'!$C$14="Yes",IF(COUNTBLANK('Capacity summary'!$H58:$BG58)&lt;52,IF('Capacity summary'!AI58&lt;&gt;"",IF(LOWER('Capacity summary'!AI58)="x",$BI146*AI146,VALUE('Capacity summary'!AI58)),0),AI146*$BI146),AI146*$BI146),0)</f>
        <v>9.8076923076923084</v>
      </c>
      <c r="CM146" s="5">
        <f ca="1">IF($BI146&lt;&gt;"",IF('Capacity summary'!$C$14="Yes",IF(COUNTBLANK('Capacity summary'!$H58:$BG58)&lt;52,IF('Capacity summary'!AJ58&lt;&gt;"",IF(LOWER('Capacity summary'!AJ58)="x",$BI146*AJ146,VALUE('Capacity summary'!AJ58)),0),AJ146*$BI146),AJ146*$BI146),0)</f>
        <v>9.8076923076923084</v>
      </c>
      <c r="CN146" s="5">
        <f ca="1">IF($BI146&lt;&gt;"",IF('Capacity summary'!$C$14="Yes",IF(COUNTBLANK('Capacity summary'!$H58:$BG58)&lt;52,IF('Capacity summary'!AK58&lt;&gt;"",IF(LOWER('Capacity summary'!AK58)="x",$BI146*AK146,VALUE('Capacity summary'!AK58)),0),AK146*$BI146),AK146*$BI146),0)</f>
        <v>9.8076923076923084</v>
      </c>
      <c r="CO146" s="5">
        <f ca="1">IF($BI146&lt;&gt;"",IF('Capacity summary'!$C$14="Yes",IF(COUNTBLANK('Capacity summary'!$H58:$BG58)&lt;52,IF('Capacity summary'!AL58&lt;&gt;"",IF(LOWER('Capacity summary'!AL58)="x",$BI146*AL146,VALUE('Capacity summary'!AL58)),0),AL146*$BI146),AL146*$BI146),0)</f>
        <v>9.8076923076923084</v>
      </c>
      <c r="CP146" s="5">
        <f ca="1">IF($BI146&lt;&gt;"",IF('Capacity summary'!$C$14="Yes",IF(COUNTBLANK('Capacity summary'!$H58:$BG58)&lt;52,IF('Capacity summary'!AM58&lt;&gt;"",IF(LOWER('Capacity summary'!AM58)="x",$BI146*AM146,VALUE('Capacity summary'!AM58)),0),AM146*$BI146),AM146*$BI146),0)</f>
        <v>9.8076923076923084</v>
      </c>
      <c r="CQ146" s="5">
        <f ca="1">IF($BI146&lt;&gt;"",IF('Capacity summary'!$C$14="Yes",IF(COUNTBLANK('Capacity summary'!$H58:$BG58)&lt;52,IF('Capacity summary'!AN58&lt;&gt;"",IF(LOWER('Capacity summary'!AN58)="x",$BI146*AN146,VALUE('Capacity summary'!AN58)),0),AN146*$BI146),AN146*$BI146),0)</f>
        <v>9.8076923076923084</v>
      </c>
      <c r="CR146" s="5">
        <f ca="1">IF($BI146&lt;&gt;"",IF('Capacity summary'!$C$14="Yes",IF(COUNTBLANK('Capacity summary'!$H58:$BG58)&lt;52,IF('Capacity summary'!AO58&lt;&gt;"",IF(LOWER('Capacity summary'!AO58)="x",$BI146*AO146,VALUE('Capacity summary'!AO58)),0),AO146*$BI146),AO146*$BI146),0)</f>
        <v>9.8076923076923084</v>
      </c>
      <c r="CS146" s="5">
        <f ca="1">IF($BI146&lt;&gt;"",IF('Capacity summary'!$C$14="Yes",IF(COUNTBLANK('Capacity summary'!$H58:$BG58)&lt;52,IF('Capacity summary'!AP58&lt;&gt;"",IF(LOWER('Capacity summary'!AP58)="x",$BI146*AP146,VALUE('Capacity summary'!AP58)),0),AP146*$BI146),AP146*$BI146),0)</f>
        <v>9.8076923076923084</v>
      </c>
      <c r="CT146" s="5">
        <f ca="1">IF($BI146&lt;&gt;"",IF('Capacity summary'!$C$14="Yes",IF(COUNTBLANK('Capacity summary'!$H58:$BG58)&lt;52,IF('Capacity summary'!AQ58&lt;&gt;"",IF(LOWER('Capacity summary'!AQ58)="x",$BI146*AQ146,VALUE('Capacity summary'!AQ58)),0),AQ146*$BI146),AQ146*$BI146),0)</f>
        <v>9.8076923076923084</v>
      </c>
      <c r="CU146" s="5">
        <f ca="1">IF($BI146&lt;&gt;"",IF('Capacity summary'!$C$14="Yes",IF(COUNTBLANK('Capacity summary'!$H58:$BG58)&lt;52,IF('Capacity summary'!AR58&lt;&gt;"",IF(LOWER('Capacity summary'!AR58)="x",$BI146*AR146,VALUE('Capacity summary'!AR58)),0),AR146*$BI146),AR146*$BI146),0)</f>
        <v>9.8076923076923084</v>
      </c>
      <c r="CV146" s="5">
        <f ca="1">IF($BI146&lt;&gt;"",IF('Capacity summary'!$C$14="Yes",IF(COUNTBLANK('Capacity summary'!$H58:$BG58)&lt;52,IF('Capacity summary'!AS58&lt;&gt;"",IF(LOWER('Capacity summary'!AS58)="x",$BI146*AS146,VALUE('Capacity summary'!AS58)),0),AS146*$BI146),AS146*$BI146),0)</f>
        <v>9.8076923076923084</v>
      </c>
      <c r="CW146" s="5">
        <f ca="1">IF($BI146&lt;&gt;"",IF('Capacity summary'!$C$14="Yes",IF(COUNTBLANK('Capacity summary'!$H58:$BG58)&lt;52,IF('Capacity summary'!AT58&lt;&gt;"",IF(LOWER('Capacity summary'!AT58)="x",$BI146*AT146,VALUE('Capacity summary'!AT58)),0),AT146*$BI146),AT146*$BI146),0)</f>
        <v>9.8076923076923084</v>
      </c>
      <c r="CX146" s="5">
        <f ca="1">IF($BI146&lt;&gt;"",IF('Capacity summary'!$C$14="Yes",IF(COUNTBLANK('Capacity summary'!$H58:$BG58)&lt;52,IF('Capacity summary'!AU58&lt;&gt;"",IF(LOWER('Capacity summary'!AU58)="x",$BI146*AU146,VALUE('Capacity summary'!AU58)),0),AU146*$BI146),AU146*$BI146),0)</f>
        <v>9.8076923076923084</v>
      </c>
      <c r="CY146" s="5">
        <f ca="1">IF($BI146&lt;&gt;"",IF('Capacity summary'!$C$14="Yes",IF(COUNTBLANK('Capacity summary'!$H58:$BG58)&lt;52,IF('Capacity summary'!AV58&lt;&gt;"",IF(LOWER('Capacity summary'!AV58)="x",$BI146*AV146,VALUE('Capacity summary'!AV58)),0),AV146*$BI146),AV146*$BI146),0)</f>
        <v>9.8076923076923084</v>
      </c>
      <c r="CZ146" s="5">
        <f ca="1">IF($BI146&lt;&gt;"",IF('Capacity summary'!$C$14="Yes",IF(COUNTBLANK('Capacity summary'!$H58:$BG58)&lt;52,IF('Capacity summary'!AW58&lt;&gt;"",IF(LOWER('Capacity summary'!AW58)="x",$BI146*AW146,VALUE('Capacity summary'!AW58)),0),AW146*$BI146),AW146*$BI146),0)</f>
        <v>9.8076923076923084</v>
      </c>
      <c r="DA146" s="5">
        <f ca="1">IF($BI146&lt;&gt;"",IF('Capacity summary'!$C$14="Yes",IF(COUNTBLANK('Capacity summary'!$H58:$BG58)&lt;52,IF('Capacity summary'!AX58&lt;&gt;"",IF(LOWER('Capacity summary'!AX58)="x",$BI146*AX146,VALUE('Capacity summary'!AX58)),0),AX146*$BI146),AX146*$BI146),0)</f>
        <v>9.8076923076923084</v>
      </c>
      <c r="DB146" s="5">
        <f ca="1">IF($BI146&lt;&gt;"",IF('Capacity summary'!$C$14="Yes",IF(COUNTBLANK('Capacity summary'!$H58:$BG58)&lt;52,IF('Capacity summary'!AY58&lt;&gt;"",IF(LOWER('Capacity summary'!AY58)="x",$BI146*AY146,VALUE('Capacity summary'!AY58)),0),AY146*$BI146),AY146*$BI146),0)</f>
        <v>9.8076923076923084</v>
      </c>
      <c r="DC146" s="5">
        <f ca="1">IF($BI146&lt;&gt;"",IF('Capacity summary'!$C$14="Yes",IF(COUNTBLANK('Capacity summary'!$H58:$BG58)&lt;52,IF('Capacity summary'!AZ58&lt;&gt;"",IF(LOWER('Capacity summary'!AZ58)="x",$BI146*AZ146,VALUE('Capacity summary'!AZ58)),0),AZ146*$BI146),AZ146*$BI146),0)</f>
        <v>9.8076923076923084</v>
      </c>
      <c r="DD146" s="5">
        <f ca="1">IF($BI146&lt;&gt;"",IF('Capacity summary'!$C$14="Yes",IF(COUNTBLANK('Capacity summary'!$H58:$BG58)&lt;52,IF('Capacity summary'!BA58&lt;&gt;"",IF(LOWER('Capacity summary'!BA58)="x",$BI146*BA146,VALUE('Capacity summary'!BA58)),0),BA146*$BI146),BA146*$BI146),0)</f>
        <v>9.8076923076923084</v>
      </c>
      <c r="DE146" s="5">
        <f ca="1">IF($BI146&lt;&gt;"",IF('Capacity summary'!$C$14="Yes",IF(COUNTBLANK('Capacity summary'!$H58:$BG58)&lt;52,IF('Capacity summary'!BB58&lt;&gt;"",IF(LOWER('Capacity summary'!BB58)="x",$BI146*BB146,VALUE('Capacity summary'!BB58)),0),BB146*$BI146),BB146*$BI146),0)</f>
        <v>9.8076923076923084</v>
      </c>
      <c r="DF146" s="5">
        <f ca="1">IF($BI146&lt;&gt;"",IF('Capacity summary'!$C$14="Yes",IF(COUNTBLANK('Capacity summary'!$H58:$BG58)&lt;52,IF('Capacity summary'!BC58&lt;&gt;"",IF(LOWER('Capacity summary'!BC58)="x",$BI146*BC146,VALUE('Capacity summary'!BC58)),0),BC146*$BI146),BC146*$BI146),0)</f>
        <v>9.8076923076923084</v>
      </c>
      <c r="DG146" s="5">
        <f ca="1">IF($BI146&lt;&gt;"",IF('Capacity summary'!$C$14="Yes",IF(COUNTBLANK('Capacity summary'!$H58:$BG58)&lt;52,IF('Capacity summary'!BD58&lt;&gt;"",IF(LOWER('Capacity summary'!BD58)="x",$BI146*BD146,VALUE('Capacity summary'!BD58)),0),BD146*$BI146),BD146*$BI146),0)</f>
        <v>9.8076923076923084</v>
      </c>
      <c r="DH146" s="5">
        <f ca="1">IF($BI146&lt;&gt;"",IF('Capacity summary'!$C$14="Yes",IF(COUNTBLANK('Capacity summary'!$H58:$BG58)&lt;52,IF('Capacity summary'!BE58&lt;&gt;"",IF(LOWER('Capacity summary'!BE58)="x",$BI146*BE146,VALUE('Capacity summary'!BE58)),0),BE146*$BI146),BE146*$BI146),0)</f>
        <v>9.8076923076923084</v>
      </c>
      <c r="DI146" s="5">
        <f ca="1">IF($BI146&lt;&gt;"",IF('Capacity summary'!$C$14="Yes",IF(COUNTBLANK('Capacity summary'!$H58:$BG58)&lt;52,IF('Capacity summary'!BF58&lt;&gt;"",IF(LOWER('Capacity summary'!BF58)="x",$BI146*BF146,VALUE('Capacity summary'!BF58)),0),BF146*$BI146),BF146*$BI146),0)</f>
        <v>9.8076923076923084</v>
      </c>
      <c r="DJ146" s="5">
        <f ca="1">IF($BI146&lt;&gt;"",IF('Capacity summary'!$C$14="Yes",IF(COUNTBLANK('Capacity summary'!$H58:$BG58)&lt;52,IF('Capacity summary'!BG58&lt;&gt;"",IF(LOWER('Capacity summary'!BG58)="x",$BI146*BG146,VALUE('Capacity summary'!BG58)),0),BG146*$BI146),BG146*$BI146),0)</f>
        <v>9.8076923076923084</v>
      </c>
      <c r="DK146" s="388">
        <f t="shared" ca="1" si="8"/>
        <v>9.8076923076923084</v>
      </c>
      <c r="DL146" s="5">
        <f t="shared" ca="1" si="9"/>
        <v>510.00000000000051</v>
      </c>
    </row>
    <row r="147" spans="3:116" x14ac:dyDescent="0.2">
      <c r="C147" s="67" t="str">
        <f>ROW(A36)&amp;". "&amp;Capacity!N52</f>
        <v>36. 44407</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 ca="1">IF(ROW(A36)&lt;=Capacity!$M$16,IF('Capacity summary'!$C$14="No",SUM(H147:BG147),'Capacity summary'!$E59),0)</f>
        <v>52</v>
      </c>
      <c r="BI147" s="67">
        <f ca="1">IF(BH147&gt;0,IF(BH147&lt;Capacity!Q52,Capacity!R52,Capacity!T52/'Capacity calculation (hide)'!BH147),"")</f>
        <v>13.846153846153847</v>
      </c>
      <c r="BJ147" s="5"/>
      <c r="BK147" s="5">
        <f ca="1">IF($BI147&lt;&gt;"",IF('Capacity summary'!$C$14="Yes",IF(COUNTBLANK('Capacity summary'!$H59:$BG59)&lt;52,IF('Capacity summary'!H59&lt;&gt;"",IF(LOWER('Capacity summary'!H59)="x",$BI147*H147,VALUE('Capacity summary'!H59)),0),H147*$BI147),H147*$BI147),0)</f>
        <v>13.846153846153847</v>
      </c>
      <c r="BL147" s="5">
        <f ca="1">IF($BI147&lt;&gt;"",IF('Capacity summary'!$C$14="Yes",IF(COUNTBLANK('Capacity summary'!$H59:$BG59)&lt;52,IF('Capacity summary'!I59&lt;&gt;"",IF(LOWER('Capacity summary'!I59)="x",$BI147*I147,VALUE('Capacity summary'!I59)),0),I147*$BI147),I147*$BI147),0)</f>
        <v>13.846153846153847</v>
      </c>
      <c r="BM147" s="5">
        <f ca="1">IF($BI147&lt;&gt;"",IF('Capacity summary'!$C$14="Yes",IF(COUNTBLANK('Capacity summary'!$H59:$BG59)&lt;52,IF('Capacity summary'!J59&lt;&gt;"",IF(LOWER('Capacity summary'!J59)="x",$BI147*J147,VALUE('Capacity summary'!J59)),0),J147*$BI147),J147*$BI147),0)</f>
        <v>13.846153846153847</v>
      </c>
      <c r="BN147" s="5">
        <f ca="1">IF($BI147&lt;&gt;"",IF('Capacity summary'!$C$14="Yes",IF(COUNTBLANK('Capacity summary'!$H59:$BG59)&lt;52,IF('Capacity summary'!K59&lt;&gt;"",IF(LOWER('Capacity summary'!K59)="x",$BI147*K147,VALUE('Capacity summary'!K59)),0),K147*$BI147),K147*$BI147),0)</f>
        <v>13.846153846153847</v>
      </c>
      <c r="BO147" s="5">
        <f ca="1">IF($BI147&lt;&gt;"",IF('Capacity summary'!$C$14="Yes",IF(COUNTBLANK('Capacity summary'!$H59:$BG59)&lt;52,IF('Capacity summary'!L59&lt;&gt;"",IF(LOWER('Capacity summary'!L59)="x",$BI147*L147,VALUE('Capacity summary'!L59)),0),L147*$BI147),L147*$BI147),0)</f>
        <v>13.846153846153847</v>
      </c>
      <c r="BP147" s="5">
        <f ca="1">IF($BI147&lt;&gt;"",IF('Capacity summary'!$C$14="Yes",IF(COUNTBLANK('Capacity summary'!$H59:$BG59)&lt;52,IF('Capacity summary'!M59&lt;&gt;"",IF(LOWER('Capacity summary'!M59)="x",$BI147*M147,VALUE('Capacity summary'!M59)),0),M147*$BI147),M147*$BI147),0)</f>
        <v>13.846153846153847</v>
      </c>
      <c r="BQ147" s="5">
        <f ca="1">IF($BI147&lt;&gt;"",IF('Capacity summary'!$C$14="Yes",IF(COUNTBLANK('Capacity summary'!$H59:$BG59)&lt;52,IF('Capacity summary'!N59&lt;&gt;"",IF(LOWER('Capacity summary'!N59)="x",$BI147*N147,VALUE('Capacity summary'!N59)),0),N147*$BI147),N147*$BI147),0)</f>
        <v>13.846153846153847</v>
      </c>
      <c r="BR147" s="5">
        <f ca="1">IF($BI147&lt;&gt;"",IF('Capacity summary'!$C$14="Yes",IF(COUNTBLANK('Capacity summary'!$H59:$BG59)&lt;52,IF('Capacity summary'!O59&lt;&gt;"",IF(LOWER('Capacity summary'!O59)="x",$BI147*O147,VALUE('Capacity summary'!O59)),0),O147*$BI147),O147*$BI147),0)</f>
        <v>13.846153846153847</v>
      </c>
      <c r="BS147" s="5">
        <f ca="1">IF($BI147&lt;&gt;"",IF('Capacity summary'!$C$14="Yes",IF(COUNTBLANK('Capacity summary'!$H59:$BG59)&lt;52,IF('Capacity summary'!P59&lt;&gt;"",IF(LOWER('Capacity summary'!P59)="x",$BI147*P147,VALUE('Capacity summary'!P59)),0),P147*$BI147),P147*$BI147),0)</f>
        <v>13.846153846153847</v>
      </c>
      <c r="BT147" s="5">
        <f ca="1">IF($BI147&lt;&gt;"",IF('Capacity summary'!$C$14="Yes",IF(COUNTBLANK('Capacity summary'!$H59:$BG59)&lt;52,IF('Capacity summary'!Q59&lt;&gt;"",IF(LOWER('Capacity summary'!Q59)="x",$BI147*Q147,VALUE('Capacity summary'!Q59)),0),Q147*$BI147),Q147*$BI147),0)</f>
        <v>13.846153846153847</v>
      </c>
      <c r="BU147" s="5">
        <f ca="1">IF($BI147&lt;&gt;"",IF('Capacity summary'!$C$14="Yes",IF(COUNTBLANK('Capacity summary'!$H59:$BG59)&lt;52,IF('Capacity summary'!R59&lt;&gt;"",IF(LOWER('Capacity summary'!R59)="x",$BI147*R147,VALUE('Capacity summary'!R59)),0),R147*$BI147),R147*$BI147),0)</f>
        <v>13.846153846153847</v>
      </c>
      <c r="BV147" s="5">
        <f ca="1">IF($BI147&lt;&gt;"",IF('Capacity summary'!$C$14="Yes",IF(COUNTBLANK('Capacity summary'!$H59:$BG59)&lt;52,IF('Capacity summary'!S59&lt;&gt;"",IF(LOWER('Capacity summary'!S59)="x",$BI147*S147,VALUE('Capacity summary'!S59)),0),S147*$BI147),S147*$BI147),0)</f>
        <v>13.846153846153847</v>
      </c>
      <c r="BW147" s="5">
        <f ca="1">IF($BI147&lt;&gt;"",IF('Capacity summary'!$C$14="Yes",IF(COUNTBLANK('Capacity summary'!$H59:$BG59)&lt;52,IF('Capacity summary'!T59&lt;&gt;"",IF(LOWER('Capacity summary'!T59)="x",$BI147*T147,VALUE('Capacity summary'!T59)),0),T147*$BI147),T147*$BI147),0)</f>
        <v>13.846153846153847</v>
      </c>
      <c r="BX147" s="5">
        <f ca="1">IF($BI147&lt;&gt;"",IF('Capacity summary'!$C$14="Yes",IF(COUNTBLANK('Capacity summary'!$H59:$BG59)&lt;52,IF('Capacity summary'!U59&lt;&gt;"",IF(LOWER('Capacity summary'!U59)="x",$BI147*U147,VALUE('Capacity summary'!U59)),0),U147*$BI147),U147*$BI147),0)</f>
        <v>13.846153846153847</v>
      </c>
      <c r="BY147" s="5">
        <f ca="1">IF($BI147&lt;&gt;"",IF('Capacity summary'!$C$14="Yes",IF(COUNTBLANK('Capacity summary'!$H59:$BG59)&lt;52,IF('Capacity summary'!V59&lt;&gt;"",IF(LOWER('Capacity summary'!V59)="x",$BI147*V147,VALUE('Capacity summary'!V59)),0),V147*$BI147),V147*$BI147),0)</f>
        <v>13.846153846153847</v>
      </c>
      <c r="BZ147" s="5">
        <f ca="1">IF($BI147&lt;&gt;"",IF('Capacity summary'!$C$14="Yes",IF(COUNTBLANK('Capacity summary'!$H59:$BG59)&lt;52,IF('Capacity summary'!W59&lt;&gt;"",IF(LOWER('Capacity summary'!W59)="x",$BI147*W147,VALUE('Capacity summary'!W59)),0),W147*$BI147),W147*$BI147),0)</f>
        <v>13.846153846153847</v>
      </c>
      <c r="CA147" s="5">
        <f ca="1">IF($BI147&lt;&gt;"",IF('Capacity summary'!$C$14="Yes",IF(COUNTBLANK('Capacity summary'!$H59:$BG59)&lt;52,IF('Capacity summary'!X59&lt;&gt;"",IF(LOWER('Capacity summary'!X59)="x",$BI147*X147,VALUE('Capacity summary'!X59)),0),X147*$BI147),X147*$BI147),0)</f>
        <v>13.846153846153847</v>
      </c>
      <c r="CB147" s="5">
        <f ca="1">IF($BI147&lt;&gt;"",IF('Capacity summary'!$C$14="Yes",IF(COUNTBLANK('Capacity summary'!$H59:$BG59)&lt;52,IF('Capacity summary'!Y59&lt;&gt;"",IF(LOWER('Capacity summary'!Y59)="x",$BI147*Y147,VALUE('Capacity summary'!Y59)),0),Y147*$BI147),Y147*$BI147),0)</f>
        <v>13.846153846153847</v>
      </c>
      <c r="CC147" s="5">
        <f ca="1">IF($BI147&lt;&gt;"",IF('Capacity summary'!$C$14="Yes",IF(COUNTBLANK('Capacity summary'!$H59:$BG59)&lt;52,IF('Capacity summary'!Z59&lt;&gt;"",IF(LOWER('Capacity summary'!Z59)="x",$BI147*Z147,VALUE('Capacity summary'!Z59)),0),Z147*$BI147),Z147*$BI147),0)</f>
        <v>13.846153846153847</v>
      </c>
      <c r="CD147" s="5">
        <f ca="1">IF($BI147&lt;&gt;"",IF('Capacity summary'!$C$14="Yes",IF(COUNTBLANK('Capacity summary'!$H59:$BG59)&lt;52,IF('Capacity summary'!AA59&lt;&gt;"",IF(LOWER('Capacity summary'!AA59)="x",$BI147*AA147,VALUE('Capacity summary'!AA59)),0),AA147*$BI147),AA147*$BI147),0)</f>
        <v>13.846153846153847</v>
      </c>
      <c r="CE147" s="5">
        <f ca="1">IF($BI147&lt;&gt;"",IF('Capacity summary'!$C$14="Yes",IF(COUNTBLANK('Capacity summary'!$H59:$BG59)&lt;52,IF('Capacity summary'!AB59&lt;&gt;"",IF(LOWER('Capacity summary'!AB59)="x",$BI147*AB147,VALUE('Capacity summary'!AB59)),0),AB147*$BI147),AB147*$BI147),0)</f>
        <v>13.846153846153847</v>
      </c>
      <c r="CF147" s="5">
        <f ca="1">IF($BI147&lt;&gt;"",IF('Capacity summary'!$C$14="Yes",IF(COUNTBLANK('Capacity summary'!$H59:$BG59)&lt;52,IF('Capacity summary'!AC59&lt;&gt;"",IF(LOWER('Capacity summary'!AC59)="x",$BI147*AC147,VALUE('Capacity summary'!AC59)),0),AC147*$BI147),AC147*$BI147),0)</f>
        <v>13.846153846153847</v>
      </c>
      <c r="CG147" s="5">
        <f ca="1">IF($BI147&lt;&gt;"",IF('Capacity summary'!$C$14="Yes",IF(COUNTBLANK('Capacity summary'!$H59:$BG59)&lt;52,IF('Capacity summary'!AD59&lt;&gt;"",IF(LOWER('Capacity summary'!AD59)="x",$BI147*AD147,VALUE('Capacity summary'!AD59)),0),AD147*$BI147),AD147*$BI147),0)</f>
        <v>13.846153846153847</v>
      </c>
      <c r="CH147" s="5">
        <f ca="1">IF($BI147&lt;&gt;"",IF('Capacity summary'!$C$14="Yes",IF(COUNTBLANK('Capacity summary'!$H59:$BG59)&lt;52,IF('Capacity summary'!AE59&lt;&gt;"",IF(LOWER('Capacity summary'!AE59)="x",$BI147*AE147,VALUE('Capacity summary'!AE59)),0),AE147*$BI147),AE147*$BI147),0)</f>
        <v>13.846153846153847</v>
      </c>
      <c r="CI147" s="5">
        <f ca="1">IF($BI147&lt;&gt;"",IF('Capacity summary'!$C$14="Yes",IF(COUNTBLANK('Capacity summary'!$H59:$BG59)&lt;52,IF('Capacity summary'!AF59&lt;&gt;"",IF(LOWER('Capacity summary'!AF59)="x",$BI147*AF147,VALUE('Capacity summary'!AF59)),0),AF147*$BI147),AF147*$BI147),0)</f>
        <v>13.846153846153847</v>
      </c>
      <c r="CJ147" s="5">
        <f ca="1">IF($BI147&lt;&gt;"",IF('Capacity summary'!$C$14="Yes",IF(COUNTBLANK('Capacity summary'!$H59:$BG59)&lt;52,IF('Capacity summary'!AG59&lt;&gt;"",IF(LOWER('Capacity summary'!AG59)="x",$BI147*AG147,VALUE('Capacity summary'!AG59)),0),AG147*$BI147),AG147*$BI147),0)</f>
        <v>13.846153846153847</v>
      </c>
      <c r="CK147" s="5">
        <f ca="1">IF($BI147&lt;&gt;"",IF('Capacity summary'!$C$14="Yes",IF(COUNTBLANK('Capacity summary'!$H59:$BG59)&lt;52,IF('Capacity summary'!AH59&lt;&gt;"",IF(LOWER('Capacity summary'!AH59)="x",$BI147*AH147,VALUE('Capacity summary'!AH59)),0),AH147*$BI147),AH147*$BI147),0)</f>
        <v>13.846153846153847</v>
      </c>
      <c r="CL147" s="5">
        <f ca="1">IF($BI147&lt;&gt;"",IF('Capacity summary'!$C$14="Yes",IF(COUNTBLANK('Capacity summary'!$H59:$BG59)&lt;52,IF('Capacity summary'!AI59&lt;&gt;"",IF(LOWER('Capacity summary'!AI59)="x",$BI147*AI147,VALUE('Capacity summary'!AI59)),0),AI147*$BI147),AI147*$BI147),0)</f>
        <v>13.846153846153847</v>
      </c>
      <c r="CM147" s="5">
        <f ca="1">IF($BI147&lt;&gt;"",IF('Capacity summary'!$C$14="Yes",IF(COUNTBLANK('Capacity summary'!$H59:$BG59)&lt;52,IF('Capacity summary'!AJ59&lt;&gt;"",IF(LOWER('Capacity summary'!AJ59)="x",$BI147*AJ147,VALUE('Capacity summary'!AJ59)),0),AJ147*$BI147),AJ147*$BI147),0)</f>
        <v>13.846153846153847</v>
      </c>
      <c r="CN147" s="5">
        <f ca="1">IF($BI147&lt;&gt;"",IF('Capacity summary'!$C$14="Yes",IF(COUNTBLANK('Capacity summary'!$H59:$BG59)&lt;52,IF('Capacity summary'!AK59&lt;&gt;"",IF(LOWER('Capacity summary'!AK59)="x",$BI147*AK147,VALUE('Capacity summary'!AK59)),0),AK147*$BI147),AK147*$BI147),0)</f>
        <v>13.846153846153847</v>
      </c>
      <c r="CO147" s="5">
        <f ca="1">IF($BI147&lt;&gt;"",IF('Capacity summary'!$C$14="Yes",IF(COUNTBLANK('Capacity summary'!$H59:$BG59)&lt;52,IF('Capacity summary'!AL59&lt;&gt;"",IF(LOWER('Capacity summary'!AL59)="x",$BI147*AL147,VALUE('Capacity summary'!AL59)),0),AL147*$BI147),AL147*$BI147),0)</f>
        <v>13.846153846153847</v>
      </c>
      <c r="CP147" s="5">
        <f ca="1">IF($BI147&lt;&gt;"",IF('Capacity summary'!$C$14="Yes",IF(COUNTBLANK('Capacity summary'!$H59:$BG59)&lt;52,IF('Capacity summary'!AM59&lt;&gt;"",IF(LOWER('Capacity summary'!AM59)="x",$BI147*AM147,VALUE('Capacity summary'!AM59)),0),AM147*$BI147),AM147*$BI147),0)</f>
        <v>13.846153846153847</v>
      </c>
      <c r="CQ147" s="5">
        <f ca="1">IF($BI147&lt;&gt;"",IF('Capacity summary'!$C$14="Yes",IF(COUNTBLANK('Capacity summary'!$H59:$BG59)&lt;52,IF('Capacity summary'!AN59&lt;&gt;"",IF(LOWER('Capacity summary'!AN59)="x",$BI147*AN147,VALUE('Capacity summary'!AN59)),0),AN147*$BI147),AN147*$BI147),0)</f>
        <v>13.846153846153847</v>
      </c>
      <c r="CR147" s="5">
        <f ca="1">IF($BI147&lt;&gt;"",IF('Capacity summary'!$C$14="Yes",IF(COUNTBLANK('Capacity summary'!$H59:$BG59)&lt;52,IF('Capacity summary'!AO59&lt;&gt;"",IF(LOWER('Capacity summary'!AO59)="x",$BI147*AO147,VALUE('Capacity summary'!AO59)),0),AO147*$BI147),AO147*$BI147),0)</f>
        <v>13.846153846153847</v>
      </c>
      <c r="CS147" s="5">
        <f ca="1">IF($BI147&lt;&gt;"",IF('Capacity summary'!$C$14="Yes",IF(COUNTBLANK('Capacity summary'!$H59:$BG59)&lt;52,IF('Capacity summary'!AP59&lt;&gt;"",IF(LOWER('Capacity summary'!AP59)="x",$BI147*AP147,VALUE('Capacity summary'!AP59)),0),AP147*$BI147),AP147*$BI147),0)</f>
        <v>13.846153846153847</v>
      </c>
      <c r="CT147" s="5">
        <f ca="1">IF($BI147&lt;&gt;"",IF('Capacity summary'!$C$14="Yes",IF(COUNTBLANK('Capacity summary'!$H59:$BG59)&lt;52,IF('Capacity summary'!AQ59&lt;&gt;"",IF(LOWER('Capacity summary'!AQ59)="x",$BI147*AQ147,VALUE('Capacity summary'!AQ59)),0),AQ147*$BI147),AQ147*$BI147),0)</f>
        <v>13.846153846153847</v>
      </c>
      <c r="CU147" s="5">
        <f ca="1">IF($BI147&lt;&gt;"",IF('Capacity summary'!$C$14="Yes",IF(COUNTBLANK('Capacity summary'!$H59:$BG59)&lt;52,IF('Capacity summary'!AR59&lt;&gt;"",IF(LOWER('Capacity summary'!AR59)="x",$BI147*AR147,VALUE('Capacity summary'!AR59)),0),AR147*$BI147),AR147*$BI147),0)</f>
        <v>13.846153846153847</v>
      </c>
      <c r="CV147" s="5">
        <f ca="1">IF($BI147&lt;&gt;"",IF('Capacity summary'!$C$14="Yes",IF(COUNTBLANK('Capacity summary'!$H59:$BG59)&lt;52,IF('Capacity summary'!AS59&lt;&gt;"",IF(LOWER('Capacity summary'!AS59)="x",$BI147*AS147,VALUE('Capacity summary'!AS59)),0),AS147*$BI147),AS147*$BI147),0)</f>
        <v>13.846153846153847</v>
      </c>
      <c r="CW147" s="5">
        <f ca="1">IF($BI147&lt;&gt;"",IF('Capacity summary'!$C$14="Yes",IF(COUNTBLANK('Capacity summary'!$H59:$BG59)&lt;52,IF('Capacity summary'!AT59&lt;&gt;"",IF(LOWER('Capacity summary'!AT59)="x",$BI147*AT147,VALUE('Capacity summary'!AT59)),0),AT147*$BI147),AT147*$BI147),0)</f>
        <v>13.846153846153847</v>
      </c>
      <c r="CX147" s="5">
        <f ca="1">IF($BI147&lt;&gt;"",IF('Capacity summary'!$C$14="Yes",IF(COUNTBLANK('Capacity summary'!$H59:$BG59)&lt;52,IF('Capacity summary'!AU59&lt;&gt;"",IF(LOWER('Capacity summary'!AU59)="x",$BI147*AU147,VALUE('Capacity summary'!AU59)),0),AU147*$BI147),AU147*$BI147),0)</f>
        <v>13.846153846153847</v>
      </c>
      <c r="CY147" s="5">
        <f ca="1">IF($BI147&lt;&gt;"",IF('Capacity summary'!$C$14="Yes",IF(COUNTBLANK('Capacity summary'!$H59:$BG59)&lt;52,IF('Capacity summary'!AV59&lt;&gt;"",IF(LOWER('Capacity summary'!AV59)="x",$BI147*AV147,VALUE('Capacity summary'!AV59)),0),AV147*$BI147),AV147*$BI147),0)</f>
        <v>13.846153846153847</v>
      </c>
      <c r="CZ147" s="5">
        <f ca="1">IF($BI147&lt;&gt;"",IF('Capacity summary'!$C$14="Yes",IF(COUNTBLANK('Capacity summary'!$H59:$BG59)&lt;52,IF('Capacity summary'!AW59&lt;&gt;"",IF(LOWER('Capacity summary'!AW59)="x",$BI147*AW147,VALUE('Capacity summary'!AW59)),0),AW147*$BI147),AW147*$BI147),0)</f>
        <v>13.846153846153847</v>
      </c>
      <c r="DA147" s="5">
        <f ca="1">IF($BI147&lt;&gt;"",IF('Capacity summary'!$C$14="Yes",IF(COUNTBLANK('Capacity summary'!$H59:$BG59)&lt;52,IF('Capacity summary'!AX59&lt;&gt;"",IF(LOWER('Capacity summary'!AX59)="x",$BI147*AX147,VALUE('Capacity summary'!AX59)),0),AX147*$BI147),AX147*$BI147),0)</f>
        <v>13.846153846153847</v>
      </c>
      <c r="DB147" s="5">
        <f ca="1">IF($BI147&lt;&gt;"",IF('Capacity summary'!$C$14="Yes",IF(COUNTBLANK('Capacity summary'!$H59:$BG59)&lt;52,IF('Capacity summary'!AY59&lt;&gt;"",IF(LOWER('Capacity summary'!AY59)="x",$BI147*AY147,VALUE('Capacity summary'!AY59)),0),AY147*$BI147),AY147*$BI147),0)</f>
        <v>13.846153846153847</v>
      </c>
      <c r="DC147" s="5">
        <f ca="1">IF($BI147&lt;&gt;"",IF('Capacity summary'!$C$14="Yes",IF(COUNTBLANK('Capacity summary'!$H59:$BG59)&lt;52,IF('Capacity summary'!AZ59&lt;&gt;"",IF(LOWER('Capacity summary'!AZ59)="x",$BI147*AZ147,VALUE('Capacity summary'!AZ59)),0),AZ147*$BI147),AZ147*$BI147),0)</f>
        <v>13.846153846153847</v>
      </c>
      <c r="DD147" s="5">
        <f ca="1">IF($BI147&lt;&gt;"",IF('Capacity summary'!$C$14="Yes",IF(COUNTBLANK('Capacity summary'!$H59:$BG59)&lt;52,IF('Capacity summary'!BA59&lt;&gt;"",IF(LOWER('Capacity summary'!BA59)="x",$BI147*BA147,VALUE('Capacity summary'!BA59)),0),BA147*$BI147),BA147*$BI147),0)</f>
        <v>13.846153846153847</v>
      </c>
      <c r="DE147" s="5">
        <f ca="1">IF($BI147&lt;&gt;"",IF('Capacity summary'!$C$14="Yes",IF(COUNTBLANK('Capacity summary'!$H59:$BG59)&lt;52,IF('Capacity summary'!BB59&lt;&gt;"",IF(LOWER('Capacity summary'!BB59)="x",$BI147*BB147,VALUE('Capacity summary'!BB59)),0),BB147*$BI147),BB147*$BI147),0)</f>
        <v>13.846153846153847</v>
      </c>
      <c r="DF147" s="5">
        <f ca="1">IF($BI147&lt;&gt;"",IF('Capacity summary'!$C$14="Yes",IF(COUNTBLANK('Capacity summary'!$H59:$BG59)&lt;52,IF('Capacity summary'!BC59&lt;&gt;"",IF(LOWER('Capacity summary'!BC59)="x",$BI147*BC147,VALUE('Capacity summary'!BC59)),0),BC147*$BI147),BC147*$BI147),0)</f>
        <v>13.846153846153847</v>
      </c>
      <c r="DG147" s="5">
        <f ca="1">IF($BI147&lt;&gt;"",IF('Capacity summary'!$C$14="Yes",IF(COUNTBLANK('Capacity summary'!$H59:$BG59)&lt;52,IF('Capacity summary'!BD59&lt;&gt;"",IF(LOWER('Capacity summary'!BD59)="x",$BI147*BD147,VALUE('Capacity summary'!BD59)),0),BD147*$BI147),BD147*$BI147),0)</f>
        <v>13.846153846153847</v>
      </c>
      <c r="DH147" s="5">
        <f ca="1">IF($BI147&lt;&gt;"",IF('Capacity summary'!$C$14="Yes",IF(COUNTBLANK('Capacity summary'!$H59:$BG59)&lt;52,IF('Capacity summary'!BE59&lt;&gt;"",IF(LOWER('Capacity summary'!BE59)="x",$BI147*BE147,VALUE('Capacity summary'!BE59)),0),BE147*$BI147),BE147*$BI147),0)</f>
        <v>13.846153846153847</v>
      </c>
      <c r="DI147" s="5">
        <f ca="1">IF($BI147&lt;&gt;"",IF('Capacity summary'!$C$14="Yes",IF(COUNTBLANK('Capacity summary'!$H59:$BG59)&lt;52,IF('Capacity summary'!BF59&lt;&gt;"",IF(LOWER('Capacity summary'!BF59)="x",$BI147*BF147,VALUE('Capacity summary'!BF59)),0),BF147*$BI147),BF147*$BI147),0)</f>
        <v>13.846153846153847</v>
      </c>
      <c r="DJ147" s="5">
        <f ca="1">IF($BI147&lt;&gt;"",IF('Capacity summary'!$C$14="Yes",IF(COUNTBLANK('Capacity summary'!$H59:$BG59)&lt;52,IF('Capacity summary'!BG59&lt;&gt;"",IF(LOWER('Capacity summary'!BG59)="x",$BI147*BG147,VALUE('Capacity summary'!BG59)),0),BG147*$BI147),BG147*$BI147),0)</f>
        <v>13.846153846153847</v>
      </c>
      <c r="DK147" s="388">
        <f t="shared" ca="1" si="8"/>
        <v>13.846153846153847</v>
      </c>
      <c r="DL147" s="5">
        <f t="shared" ca="1" si="9"/>
        <v>719.99999999999977</v>
      </c>
    </row>
    <row r="148" spans="3:116" x14ac:dyDescent="0.2">
      <c r="C148" s="67" t="str">
        <f>ROW(A37)&amp;". "&amp;Capacity!N53</f>
        <v>37. 44407</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 ca="1">IF(ROW(A37)&lt;=Capacity!$M$16,IF('Capacity summary'!$C$14="No",SUM(H148:BG148),'Capacity summary'!$E60),0)</f>
        <v>52</v>
      </c>
      <c r="BI148" s="67">
        <f ca="1">IF(BH148&gt;0,IF(BH148&lt;Capacity!Q53,Capacity!R53,Capacity!T53/'Capacity calculation (hide)'!BH148),"")</f>
        <v>4.0384615384615383</v>
      </c>
      <c r="BJ148" s="5"/>
      <c r="BK148" s="5">
        <f ca="1">IF($BI148&lt;&gt;"",IF('Capacity summary'!$C$14="Yes",IF(COUNTBLANK('Capacity summary'!$H60:$BG60)&lt;52,IF('Capacity summary'!H60&lt;&gt;"",IF(LOWER('Capacity summary'!H60)="x",$BI148*H148,VALUE('Capacity summary'!H60)),0),H148*$BI148),H148*$BI148),0)</f>
        <v>4.0384615384615383</v>
      </c>
      <c r="BL148" s="5">
        <f ca="1">IF($BI148&lt;&gt;"",IF('Capacity summary'!$C$14="Yes",IF(COUNTBLANK('Capacity summary'!$H60:$BG60)&lt;52,IF('Capacity summary'!I60&lt;&gt;"",IF(LOWER('Capacity summary'!I60)="x",$BI148*I148,VALUE('Capacity summary'!I60)),0),I148*$BI148),I148*$BI148),0)</f>
        <v>4.0384615384615383</v>
      </c>
      <c r="BM148" s="5">
        <f ca="1">IF($BI148&lt;&gt;"",IF('Capacity summary'!$C$14="Yes",IF(COUNTBLANK('Capacity summary'!$H60:$BG60)&lt;52,IF('Capacity summary'!J60&lt;&gt;"",IF(LOWER('Capacity summary'!J60)="x",$BI148*J148,VALUE('Capacity summary'!J60)),0),J148*$BI148),J148*$BI148),0)</f>
        <v>4.0384615384615383</v>
      </c>
      <c r="BN148" s="5">
        <f ca="1">IF($BI148&lt;&gt;"",IF('Capacity summary'!$C$14="Yes",IF(COUNTBLANK('Capacity summary'!$H60:$BG60)&lt;52,IF('Capacity summary'!K60&lt;&gt;"",IF(LOWER('Capacity summary'!K60)="x",$BI148*K148,VALUE('Capacity summary'!K60)),0),K148*$BI148),K148*$BI148),0)</f>
        <v>4.0384615384615383</v>
      </c>
      <c r="BO148" s="5">
        <f ca="1">IF($BI148&lt;&gt;"",IF('Capacity summary'!$C$14="Yes",IF(COUNTBLANK('Capacity summary'!$H60:$BG60)&lt;52,IF('Capacity summary'!L60&lt;&gt;"",IF(LOWER('Capacity summary'!L60)="x",$BI148*L148,VALUE('Capacity summary'!L60)),0),L148*$BI148),L148*$BI148),0)</f>
        <v>4.0384615384615383</v>
      </c>
      <c r="BP148" s="5">
        <f ca="1">IF($BI148&lt;&gt;"",IF('Capacity summary'!$C$14="Yes",IF(COUNTBLANK('Capacity summary'!$H60:$BG60)&lt;52,IF('Capacity summary'!M60&lt;&gt;"",IF(LOWER('Capacity summary'!M60)="x",$BI148*M148,VALUE('Capacity summary'!M60)),0),M148*$BI148),M148*$BI148),0)</f>
        <v>4.0384615384615383</v>
      </c>
      <c r="BQ148" s="5">
        <f ca="1">IF($BI148&lt;&gt;"",IF('Capacity summary'!$C$14="Yes",IF(COUNTBLANK('Capacity summary'!$H60:$BG60)&lt;52,IF('Capacity summary'!N60&lt;&gt;"",IF(LOWER('Capacity summary'!N60)="x",$BI148*N148,VALUE('Capacity summary'!N60)),0),N148*$BI148),N148*$BI148),0)</f>
        <v>4.0384615384615383</v>
      </c>
      <c r="BR148" s="5">
        <f ca="1">IF($BI148&lt;&gt;"",IF('Capacity summary'!$C$14="Yes",IF(COUNTBLANK('Capacity summary'!$H60:$BG60)&lt;52,IF('Capacity summary'!O60&lt;&gt;"",IF(LOWER('Capacity summary'!O60)="x",$BI148*O148,VALUE('Capacity summary'!O60)),0),O148*$BI148),O148*$BI148),0)</f>
        <v>4.0384615384615383</v>
      </c>
      <c r="BS148" s="5">
        <f ca="1">IF($BI148&lt;&gt;"",IF('Capacity summary'!$C$14="Yes",IF(COUNTBLANK('Capacity summary'!$H60:$BG60)&lt;52,IF('Capacity summary'!P60&lt;&gt;"",IF(LOWER('Capacity summary'!P60)="x",$BI148*P148,VALUE('Capacity summary'!P60)),0),P148*$BI148),P148*$BI148),0)</f>
        <v>4.0384615384615383</v>
      </c>
      <c r="BT148" s="5">
        <f ca="1">IF($BI148&lt;&gt;"",IF('Capacity summary'!$C$14="Yes",IF(COUNTBLANK('Capacity summary'!$H60:$BG60)&lt;52,IF('Capacity summary'!Q60&lt;&gt;"",IF(LOWER('Capacity summary'!Q60)="x",$BI148*Q148,VALUE('Capacity summary'!Q60)),0),Q148*$BI148),Q148*$BI148),0)</f>
        <v>4.0384615384615383</v>
      </c>
      <c r="BU148" s="5">
        <f ca="1">IF($BI148&lt;&gt;"",IF('Capacity summary'!$C$14="Yes",IF(COUNTBLANK('Capacity summary'!$H60:$BG60)&lt;52,IF('Capacity summary'!R60&lt;&gt;"",IF(LOWER('Capacity summary'!R60)="x",$BI148*R148,VALUE('Capacity summary'!R60)),0),R148*$BI148),R148*$BI148),0)</f>
        <v>4.0384615384615383</v>
      </c>
      <c r="BV148" s="5">
        <f ca="1">IF($BI148&lt;&gt;"",IF('Capacity summary'!$C$14="Yes",IF(COUNTBLANK('Capacity summary'!$H60:$BG60)&lt;52,IF('Capacity summary'!S60&lt;&gt;"",IF(LOWER('Capacity summary'!S60)="x",$BI148*S148,VALUE('Capacity summary'!S60)),0),S148*$BI148),S148*$BI148),0)</f>
        <v>4.0384615384615383</v>
      </c>
      <c r="BW148" s="5">
        <f ca="1">IF($BI148&lt;&gt;"",IF('Capacity summary'!$C$14="Yes",IF(COUNTBLANK('Capacity summary'!$H60:$BG60)&lt;52,IF('Capacity summary'!T60&lt;&gt;"",IF(LOWER('Capacity summary'!T60)="x",$BI148*T148,VALUE('Capacity summary'!T60)),0),T148*$BI148),T148*$BI148),0)</f>
        <v>4.0384615384615383</v>
      </c>
      <c r="BX148" s="5">
        <f ca="1">IF($BI148&lt;&gt;"",IF('Capacity summary'!$C$14="Yes",IF(COUNTBLANK('Capacity summary'!$H60:$BG60)&lt;52,IF('Capacity summary'!U60&lt;&gt;"",IF(LOWER('Capacity summary'!U60)="x",$BI148*U148,VALUE('Capacity summary'!U60)),0),U148*$BI148),U148*$BI148),0)</f>
        <v>4.0384615384615383</v>
      </c>
      <c r="BY148" s="5">
        <f ca="1">IF($BI148&lt;&gt;"",IF('Capacity summary'!$C$14="Yes",IF(COUNTBLANK('Capacity summary'!$H60:$BG60)&lt;52,IF('Capacity summary'!V60&lt;&gt;"",IF(LOWER('Capacity summary'!V60)="x",$BI148*V148,VALUE('Capacity summary'!V60)),0),V148*$BI148),V148*$BI148),0)</f>
        <v>4.0384615384615383</v>
      </c>
      <c r="BZ148" s="5">
        <f ca="1">IF($BI148&lt;&gt;"",IF('Capacity summary'!$C$14="Yes",IF(COUNTBLANK('Capacity summary'!$H60:$BG60)&lt;52,IF('Capacity summary'!W60&lt;&gt;"",IF(LOWER('Capacity summary'!W60)="x",$BI148*W148,VALUE('Capacity summary'!W60)),0),W148*$BI148),W148*$BI148),0)</f>
        <v>4.0384615384615383</v>
      </c>
      <c r="CA148" s="5">
        <f ca="1">IF($BI148&lt;&gt;"",IF('Capacity summary'!$C$14="Yes",IF(COUNTBLANK('Capacity summary'!$H60:$BG60)&lt;52,IF('Capacity summary'!X60&lt;&gt;"",IF(LOWER('Capacity summary'!X60)="x",$BI148*X148,VALUE('Capacity summary'!X60)),0),X148*$BI148),X148*$BI148),0)</f>
        <v>4.0384615384615383</v>
      </c>
      <c r="CB148" s="5">
        <f ca="1">IF($BI148&lt;&gt;"",IF('Capacity summary'!$C$14="Yes",IF(COUNTBLANK('Capacity summary'!$H60:$BG60)&lt;52,IF('Capacity summary'!Y60&lt;&gt;"",IF(LOWER('Capacity summary'!Y60)="x",$BI148*Y148,VALUE('Capacity summary'!Y60)),0),Y148*$BI148),Y148*$BI148),0)</f>
        <v>4.0384615384615383</v>
      </c>
      <c r="CC148" s="5">
        <f ca="1">IF($BI148&lt;&gt;"",IF('Capacity summary'!$C$14="Yes",IF(COUNTBLANK('Capacity summary'!$H60:$BG60)&lt;52,IF('Capacity summary'!Z60&lt;&gt;"",IF(LOWER('Capacity summary'!Z60)="x",$BI148*Z148,VALUE('Capacity summary'!Z60)),0),Z148*$BI148),Z148*$BI148),0)</f>
        <v>4.0384615384615383</v>
      </c>
      <c r="CD148" s="5">
        <f ca="1">IF($BI148&lt;&gt;"",IF('Capacity summary'!$C$14="Yes",IF(COUNTBLANK('Capacity summary'!$H60:$BG60)&lt;52,IF('Capacity summary'!AA60&lt;&gt;"",IF(LOWER('Capacity summary'!AA60)="x",$BI148*AA148,VALUE('Capacity summary'!AA60)),0),AA148*$BI148),AA148*$BI148),0)</f>
        <v>4.0384615384615383</v>
      </c>
      <c r="CE148" s="5">
        <f ca="1">IF($BI148&lt;&gt;"",IF('Capacity summary'!$C$14="Yes",IF(COUNTBLANK('Capacity summary'!$H60:$BG60)&lt;52,IF('Capacity summary'!AB60&lt;&gt;"",IF(LOWER('Capacity summary'!AB60)="x",$BI148*AB148,VALUE('Capacity summary'!AB60)),0),AB148*$BI148),AB148*$BI148),0)</f>
        <v>4.0384615384615383</v>
      </c>
      <c r="CF148" s="5">
        <f ca="1">IF($BI148&lt;&gt;"",IF('Capacity summary'!$C$14="Yes",IF(COUNTBLANK('Capacity summary'!$H60:$BG60)&lt;52,IF('Capacity summary'!AC60&lt;&gt;"",IF(LOWER('Capacity summary'!AC60)="x",$BI148*AC148,VALUE('Capacity summary'!AC60)),0),AC148*$BI148),AC148*$BI148),0)</f>
        <v>4.0384615384615383</v>
      </c>
      <c r="CG148" s="5">
        <f ca="1">IF($BI148&lt;&gt;"",IF('Capacity summary'!$C$14="Yes",IF(COUNTBLANK('Capacity summary'!$H60:$BG60)&lt;52,IF('Capacity summary'!AD60&lt;&gt;"",IF(LOWER('Capacity summary'!AD60)="x",$BI148*AD148,VALUE('Capacity summary'!AD60)),0),AD148*$BI148),AD148*$BI148),0)</f>
        <v>4.0384615384615383</v>
      </c>
      <c r="CH148" s="5">
        <f ca="1">IF($BI148&lt;&gt;"",IF('Capacity summary'!$C$14="Yes",IF(COUNTBLANK('Capacity summary'!$H60:$BG60)&lt;52,IF('Capacity summary'!AE60&lt;&gt;"",IF(LOWER('Capacity summary'!AE60)="x",$BI148*AE148,VALUE('Capacity summary'!AE60)),0),AE148*$BI148),AE148*$BI148),0)</f>
        <v>4.0384615384615383</v>
      </c>
      <c r="CI148" s="5">
        <f ca="1">IF($BI148&lt;&gt;"",IF('Capacity summary'!$C$14="Yes",IF(COUNTBLANK('Capacity summary'!$H60:$BG60)&lt;52,IF('Capacity summary'!AF60&lt;&gt;"",IF(LOWER('Capacity summary'!AF60)="x",$BI148*AF148,VALUE('Capacity summary'!AF60)),0),AF148*$BI148),AF148*$BI148),0)</f>
        <v>4.0384615384615383</v>
      </c>
      <c r="CJ148" s="5">
        <f ca="1">IF($BI148&lt;&gt;"",IF('Capacity summary'!$C$14="Yes",IF(COUNTBLANK('Capacity summary'!$H60:$BG60)&lt;52,IF('Capacity summary'!AG60&lt;&gt;"",IF(LOWER('Capacity summary'!AG60)="x",$BI148*AG148,VALUE('Capacity summary'!AG60)),0),AG148*$BI148),AG148*$BI148),0)</f>
        <v>4.0384615384615383</v>
      </c>
      <c r="CK148" s="5">
        <f ca="1">IF($BI148&lt;&gt;"",IF('Capacity summary'!$C$14="Yes",IF(COUNTBLANK('Capacity summary'!$H60:$BG60)&lt;52,IF('Capacity summary'!AH60&lt;&gt;"",IF(LOWER('Capacity summary'!AH60)="x",$BI148*AH148,VALUE('Capacity summary'!AH60)),0),AH148*$BI148),AH148*$BI148),0)</f>
        <v>4.0384615384615383</v>
      </c>
      <c r="CL148" s="5">
        <f ca="1">IF($BI148&lt;&gt;"",IF('Capacity summary'!$C$14="Yes",IF(COUNTBLANK('Capacity summary'!$H60:$BG60)&lt;52,IF('Capacity summary'!AI60&lt;&gt;"",IF(LOWER('Capacity summary'!AI60)="x",$BI148*AI148,VALUE('Capacity summary'!AI60)),0),AI148*$BI148),AI148*$BI148),0)</f>
        <v>4.0384615384615383</v>
      </c>
      <c r="CM148" s="5">
        <f ca="1">IF($BI148&lt;&gt;"",IF('Capacity summary'!$C$14="Yes",IF(COUNTBLANK('Capacity summary'!$H60:$BG60)&lt;52,IF('Capacity summary'!AJ60&lt;&gt;"",IF(LOWER('Capacity summary'!AJ60)="x",$BI148*AJ148,VALUE('Capacity summary'!AJ60)),0),AJ148*$BI148),AJ148*$BI148),0)</f>
        <v>4.0384615384615383</v>
      </c>
      <c r="CN148" s="5">
        <f ca="1">IF($BI148&lt;&gt;"",IF('Capacity summary'!$C$14="Yes",IF(COUNTBLANK('Capacity summary'!$H60:$BG60)&lt;52,IF('Capacity summary'!AK60&lt;&gt;"",IF(LOWER('Capacity summary'!AK60)="x",$BI148*AK148,VALUE('Capacity summary'!AK60)),0),AK148*$BI148),AK148*$BI148),0)</f>
        <v>4.0384615384615383</v>
      </c>
      <c r="CO148" s="5">
        <f ca="1">IF($BI148&lt;&gt;"",IF('Capacity summary'!$C$14="Yes",IF(COUNTBLANK('Capacity summary'!$H60:$BG60)&lt;52,IF('Capacity summary'!AL60&lt;&gt;"",IF(LOWER('Capacity summary'!AL60)="x",$BI148*AL148,VALUE('Capacity summary'!AL60)),0),AL148*$BI148),AL148*$BI148),0)</f>
        <v>4.0384615384615383</v>
      </c>
      <c r="CP148" s="5">
        <f ca="1">IF($BI148&lt;&gt;"",IF('Capacity summary'!$C$14="Yes",IF(COUNTBLANK('Capacity summary'!$H60:$BG60)&lt;52,IF('Capacity summary'!AM60&lt;&gt;"",IF(LOWER('Capacity summary'!AM60)="x",$BI148*AM148,VALUE('Capacity summary'!AM60)),0),AM148*$BI148),AM148*$BI148),0)</f>
        <v>4.0384615384615383</v>
      </c>
      <c r="CQ148" s="5">
        <f ca="1">IF($BI148&lt;&gt;"",IF('Capacity summary'!$C$14="Yes",IF(COUNTBLANK('Capacity summary'!$H60:$BG60)&lt;52,IF('Capacity summary'!AN60&lt;&gt;"",IF(LOWER('Capacity summary'!AN60)="x",$BI148*AN148,VALUE('Capacity summary'!AN60)),0),AN148*$BI148),AN148*$BI148),0)</f>
        <v>4.0384615384615383</v>
      </c>
      <c r="CR148" s="5">
        <f ca="1">IF($BI148&lt;&gt;"",IF('Capacity summary'!$C$14="Yes",IF(COUNTBLANK('Capacity summary'!$H60:$BG60)&lt;52,IF('Capacity summary'!AO60&lt;&gt;"",IF(LOWER('Capacity summary'!AO60)="x",$BI148*AO148,VALUE('Capacity summary'!AO60)),0),AO148*$BI148),AO148*$BI148),0)</f>
        <v>4.0384615384615383</v>
      </c>
      <c r="CS148" s="5">
        <f ca="1">IF($BI148&lt;&gt;"",IF('Capacity summary'!$C$14="Yes",IF(COUNTBLANK('Capacity summary'!$H60:$BG60)&lt;52,IF('Capacity summary'!AP60&lt;&gt;"",IF(LOWER('Capacity summary'!AP60)="x",$BI148*AP148,VALUE('Capacity summary'!AP60)),0),AP148*$BI148),AP148*$BI148),0)</f>
        <v>4.0384615384615383</v>
      </c>
      <c r="CT148" s="5">
        <f ca="1">IF($BI148&lt;&gt;"",IF('Capacity summary'!$C$14="Yes",IF(COUNTBLANK('Capacity summary'!$H60:$BG60)&lt;52,IF('Capacity summary'!AQ60&lt;&gt;"",IF(LOWER('Capacity summary'!AQ60)="x",$BI148*AQ148,VALUE('Capacity summary'!AQ60)),0),AQ148*$BI148),AQ148*$BI148),0)</f>
        <v>4.0384615384615383</v>
      </c>
      <c r="CU148" s="5">
        <f ca="1">IF($BI148&lt;&gt;"",IF('Capacity summary'!$C$14="Yes",IF(COUNTBLANK('Capacity summary'!$H60:$BG60)&lt;52,IF('Capacity summary'!AR60&lt;&gt;"",IF(LOWER('Capacity summary'!AR60)="x",$BI148*AR148,VALUE('Capacity summary'!AR60)),0),AR148*$BI148),AR148*$BI148),0)</f>
        <v>4.0384615384615383</v>
      </c>
      <c r="CV148" s="5">
        <f ca="1">IF($BI148&lt;&gt;"",IF('Capacity summary'!$C$14="Yes",IF(COUNTBLANK('Capacity summary'!$H60:$BG60)&lt;52,IF('Capacity summary'!AS60&lt;&gt;"",IF(LOWER('Capacity summary'!AS60)="x",$BI148*AS148,VALUE('Capacity summary'!AS60)),0),AS148*$BI148),AS148*$BI148),0)</f>
        <v>4.0384615384615383</v>
      </c>
      <c r="CW148" s="5">
        <f ca="1">IF($BI148&lt;&gt;"",IF('Capacity summary'!$C$14="Yes",IF(COUNTBLANK('Capacity summary'!$H60:$BG60)&lt;52,IF('Capacity summary'!AT60&lt;&gt;"",IF(LOWER('Capacity summary'!AT60)="x",$BI148*AT148,VALUE('Capacity summary'!AT60)),0),AT148*$BI148),AT148*$BI148),0)</f>
        <v>4.0384615384615383</v>
      </c>
      <c r="CX148" s="5">
        <f ca="1">IF($BI148&lt;&gt;"",IF('Capacity summary'!$C$14="Yes",IF(COUNTBLANK('Capacity summary'!$H60:$BG60)&lt;52,IF('Capacity summary'!AU60&lt;&gt;"",IF(LOWER('Capacity summary'!AU60)="x",$BI148*AU148,VALUE('Capacity summary'!AU60)),0),AU148*$BI148),AU148*$BI148),0)</f>
        <v>4.0384615384615383</v>
      </c>
      <c r="CY148" s="5">
        <f ca="1">IF($BI148&lt;&gt;"",IF('Capacity summary'!$C$14="Yes",IF(COUNTBLANK('Capacity summary'!$H60:$BG60)&lt;52,IF('Capacity summary'!AV60&lt;&gt;"",IF(LOWER('Capacity summary'!AV60)="x",$BI148*AV148,VALUE('Capacity summary'!AV60)),0),AV148*$BI148),AV148*$BI148),0)</f>
        <v>4.0384615384615383</v>
      </c>
      <c r="CZ148" s="5">
        <f ca="1">IF($BI148&lt;&gt;"",IF('Capacity summary'!$C$14="Yes",IF(COUNTBLANK('Capacity summary'!$H60:$BG60)&lt;52,IF('Capacity summary'!AW60&lt;&gt;"",IF(LOWER('Capacity summary'!AW60)="x",$BI148*AW148,VALUE('Capacity summary'!AW60)),0),AW148*$BI148),AW148*$BI148),0)</f>
        <v>4.0384615384615383</v>
      </c>
      <c r="DA148" s="5">
        <f ca="1">IF($BI148&lt;&gt;"",IF('Capacity summary'!$C$14="Yes",IF(COUNTBLANK('Capacity summary'!$H60:$BG60)&lt;52,IF('Capacity summary'!AX60&lt;&gt;"",IF(LOWER('Capacity summary'!AX60)="x",$BI148*AX148,VALUE('Capacity summary'!AX60)),0),AX148*$BI148),AX148*$BI148),0)</f>
        <v>4.0384615384615383</v>
      </c>
      <c r="DB148" s="5">
        <f ca="1">IF($BI148&lt;&gt;"",IF('Capacity summary'!$C$14="Yes",IF(COUNTBLANK('Capacity summary'!$H60:$BG60)&lt;52,IF('Capacity summary'!AY60&lt;&gt;"",IF(LOWER('Capacity summary'!AY60)="x",$BI148*AY148,VALUE('Capacity summary'!AY60)),0),AY148*$BI148),AY148*$BI148),0)</f>
        <v>4.0384615384615383</v>
      </c>
      <c r="DC148" s="5">
        <f ca="1">IF($BI148&lt;&gt;"",IF('Capacity summary'!$C$14="Yes",IF(COUNTBLANK('Capacity summary'!$H60:$BG60)&lt;52,IF('Capacity summary'!AZ60&lt;&gt;"",IF(LOWER('Capacity summary'!AZ60)="x",$BI148*AZ148,VALUE('Capacity summary'!AZ60)),0),AZ148*$BI148),AZ148*$BI148),0)</f>
        <v>4.0384615384615383</v>
      </c>
      <c r="DD148" s="5">
        <f ca="1">IF($BI148&lt;&gt;"",IF('Capacity summary'!$C$14="Yes",IF(COUNTBLANK('Capacity summary'!$H60:$BG60)&lt;52,IF('Capacity summary'!BA60&lt;&gt;"",IF(LOWER('Capacity summary'!BA60)="x",$BI148*BA148,VALUE('Capacity summary'!BA60)),0),BA148*$BI148),BA148*$BI148),0)</f>
        <v>4.0384615384615383</v>
      </c>
      <c r="DE148" s="5">
        <f ca="1">IF($BI148&lt;&gt;"",IF('Capacity summary'!$C$14="Yes",IF(COUNTBLANK('Capacity summary'!$H60:$BG60)&lt;52,IF('Capacity summary'!BB60&lt;&gt;"",IF(LOWER('Capacity summary'!BB60)="x",$BI148*BB148,VALUE('Capacity summary'!BB60)),0),BB148*$BI148),BB148*$BI148),0)</f>
        <v>4.0384615384615383</v>
      </c>
      <c r="DF148" s="5">
        <f ca="1">IF($BI148&lt;&gt;"",IF('Capacity summary'!$C$14="Yes",IF(COUNTBLANK('Capacity summary'!$H60:$BG60)&lt;52,IF('Capacity summary'!BC60&lt;&gt;"",IF(LOWER('Capacity summary'!BC60)="x",$BI148*BC148,VALUE('Capacity summary'!BC60)),0),BC148*$BI148),BC148*$BI148),0)</f>
        <v>4.0384615384615383</v>
      </c>
      <c r="DG148" s="5">
        <f ca="1">IF($BI148&lt;&gt;"",IF('Capacity summary'!$C$14="Yes",IF(COUNTBLANK('Capacity summary'!$H60:$BG60)&lt;52,IF('Capacity summary'!BD60&lt;&gt;"",IF(LOWER('Capacity summary'!BD60)="x",$BI148*BD148,VALUE('Capacity summary'!BD60)),0),BD148*$BI148),BD148*$BI148),0)</f>
        <v>4.0384615384615383</v>
      </c>
      <c r="DH148" s="5">
        <f ca="1">IF($BI148&lt;&gt;"",IF('Capacity summary'!$C$14="Yes",IF(COUNTBLANK('Capacity summary'!$H60:$BG60)&lt;52,IF('Capacity summary'!BE60&lt;&gt;"",IF(LOWER('Capacity summary'!BE60)="x",$BI148*BE148,VALUE('Capacity summary'!BE60)),0),BE148*$BI148),BE148*$BI148),0)</f>
        <v>4.0384615384615383</v>
      </c>
      <c r="DI148" s="5">
        <f ca="1">IF($BI148&lt;&gt;"",IF('Capacity summary'!$C$14="Yes",IF(COUNTBLANK('Capacity summary'!$H60:$BG60)&lt;52,IF('Capacity summary'!BF60&lt;&gt;"",IF(LOWER('Capacity summary'!BF60)="x",$BI148*BF148,VALUE('Capacity summary'!BF60)),0),BF148*$BI148),BF148*$BI148),0)</f>
        <v>4.0384615384615383</v>
      </c>
      <c r="DJ148" s="5">
        <f ca="1">IF($BI148&lt;&gt;"",IF('Capacity summary'!$C$14="Yes",IF(COUNTBLANK('Capacity summary'!$H60:$BG60)&lt;52,IF('Capacity summary'!BG60&lt;&gt;"",IF(LOWER('Capacity summary'!BG60)="x",$BI148*BG148,VALUE('Capacity summary'!BG60)),0),BG148*$BI148),BG148*$BI148),0)</f>
        <v>4.0384615384615383</v>
      </c>
      <c r="DK148" s="388">
        <f t="shared" ca="1" si="8"/>
        <v>4.0384615384615383</v>
      </c>
      <c r="DL148" s="5">
        <f t="shared" ca="1" si="9"/>
        <v>210.00000000000011</v>
      </c>
    </row>
    <row r="149" spans="3:116" x14ac:dyDescent="0.2">
      <c r="C149" s="67" t="str">
        <f>ROW(A38)&amp;". "&amp;Capacity!N54</f>
        <v>38. 44412</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 ca="1">IF(ROW(A38)&lt;=Capacity!$M$16,IF('Capacity summary'!$C$14="No",SUM(H149:BG149),'Capacity summary'!$E61),0)</f>
        <v>52</v>
      </c>
      <c r="BI149" s="67">
        <f ca="1">IF(BH149&gt;0,IF(BH149&lt;Capacity!Q54,Capacity!R54,Capacity!T54/'Capacity calculation (hide)'!BH149),"")</f>
        <v>4.0384615384615383</v>
      </c>
      <c r="BJ149" s="5"/>
      <c r="BK149" s="5">
        <f ca="1">IF($BI149&lt;&gt;"",IF('Capacity summary'!$C$14="Yes",IF(COUNTBLANK('Capacity summary'!$H61:$BG61)&lt;52,IF('Capacity summary'!H61&lt;&gt;"",IF(LOWER('Capacity summary'!H61)="x",$BI149*H149,VALUE('Capacity summary'!H61)),0),H149*$BI149),H149*$BI149),0)</f>
        <v>4.0384615384615383</v>
      </c>
      <c r="BL149" s="5">
        <f ca="1">IF($BI149&lt;&gt;"",IF('Capacity summary'!$C$14="Yes",IF(COUNTBLANK('Capacity summary'!$H61:$BG61)&lt;52,IF('Capacity summary'!I61&lt;&gt;"",IF(LOWER('Capacity summary'!I61)="x",$BI149*I149,VALUE('Capacity summary'!I61)),0),I149*$BI149),I149*$BI149),0)</f>
        <v>4.0384615384615383</v>
      </c>
      <c r="BM149" s="5">
        <f ca="1">IF($BI149&lt;&gt;"",IF('Capacity summary'!$C$14="Yes",IF(COUNTBLANK('Capacity summary'!$H61:$BG61)&lt;52,IF('Capacity summary'!J61&lt;&gt;"",IF(LOWER('Capacity summary'!J61)="x",$BI149*J149,VALUE('Capacity summary'!J61)),0),J149*$BI149),J149*$BI149),0)</f>
        <v>4.0384615384615383</v>
      </c>
      <c r="BN149" s="5">
        <f ca="1">IF($BI149&lt;&gt;"",IF('Capacity summary'!$C$14="Yes",IF(COUNTBLANK('Capacity summary'!$H61:$BG61)&lt;52,IF('Capacity summary'!K61&lt;&gt;"",IF(LOWER('Capacity summary'!K61)="x",$BI149*K149,VALUE('Capacity summary'!K61)),0),K149*$BI149),K149*$BI149),0)</f>
        <v>4.0384615384615383</v>
      </c>
      <c r="BO149" s="5">
        <f ca="1">IF($BI149&lt;&gt;"",IF('Capacity summary'!$C$14="Yes",IF(COUNTBLANK('Capacity summary'!$H61:$BG61)&lt;52,IF('Capacity summary'!L61&lt;&gt;"",IF(LOWER('Capacity summary'!L61)="x",$BI149*L149,VALUE('Capacity summary'!L61)),0),L149*$BI149),L149*$BI149),0)</f>
        <v>4.0384615384615383</v>
      </c>
      <c r="BP149" s="5">
        <f ca="1">IF($BI149&lt;&gt;"",IF('Capacity summary'!$C$14="Yes",IF(COUNTBLANK('Capacity summary'!$H61:$BG61)&lt;52,IF('Capacity summary'!M61&lt;&gt;"",IF(LOWER('Capacity summary'!M61)="x",$BI149*M149,VALUE('Capacity summary'!M61)),0),M149*$BI149),M149*$BI149),0)</f>
        <v>4.0384615384615383</v>
      </c>
      <c r="BQ149" s="5">
        <f ca="1">IF($BI149&lt;&gt;"",IF('Capacity summary'!$C$14="Yes",IF(COUNTBLANK('Capacity summary'!$H61:$BG61)&lt;52,IF('Capacity summary'!N61&lt;&gt;"",IF(LOWER('Capacity summary'!N61)="x",$BI149*N149,VALUE('Capacity summary'!N61)),0),N149*$BI149),N149*$BI149),0)</f>
        <v>4.0384615384615383</v>
      </c>
      <c r="BR149" s="5">
        <f ca="1">IF($BI149&lt;&gt;"",IF('Capacity summary'!$C$14="Yes",IF(COUNTBLANK('Capacity summary'!$H61:$BG61)&lt;52,IF('Capacity summary'!O61&lt;&gt;"",IF(LOWER('Capacity summary'!O61)="x",$BI149*O149,VALUE('Capacity summary'!O61)),0),O149*$BI149),O149*$BI149),0)</f>
        <v>4.0384615384615383</v>
      </c>
      <c r="BS149" s="5">
        <f ca="1">IF($BI149&lt;&gt;"",IF('Capacity summary'!$C$14="Yes",IF(COUNTBLANK('Capacity summary'!$H61:$BG61)&lt;52,IF('Capacity summary'!P61&lt;&gt;"",IF(LOWER('Capacity summary'!P61)="x",$BI149*P149,VALUE('Capacity summary'!P61)),0),P149*$BI149),P149*$BI149),0)</f>
        <v>4.0384615384615383</v>
      </c>
      <c r="BT149" s="5">
        <f ca="1">IF($BI149&lt;&gt;"",IF('Capacity summary'!$C$14="Yes",IF(COUNTBLANK('Capacity summary'!$H61:$BG61)&lt;52,IF('Capacity summary'!Q61&lt;&gt;"",IF(LOWER('Capacity summary'!Q61)="x",$BI149*Q149,VALUE('Capacity summary'!Q61)),0),Q149*$BI149),Q149*$BI149),0)</f>
        <v>4.0384615384615383</v>
      </c>
      <c r="BU149" s="5">
        <f ca="1">IF($BI149&lt;&gt;"",IF('Capacity summary'!$C$14="Yes",IF(COUNTBLANK('Capacity summary'!$H61:$BG61)&lt;52,IF('Capacity summary'!R61&lt;&gt;"",IF(LOWER('Capacity summary'!R61)="x",$BI149*R149,VALUE('Capacity summary'!R61)),0),R149*$BI149),R149*$BI149),0)</f>
        <v>4.0384615384615383</v>
      </c>
      <c r="BV149" s="5">
        <f ca="1">IF($BI149&lt;&gt;"",IF('Capacity summary'!$C$14="Yes",IF(COUNTBLANK('Capacity summary'!$H61:$BG61)&lt;52,IF('Capacity summary'!S61&lt;&gt;"",IF(LOWER('Capacity summary'!S61)="x",$BI149*S149,VALUE('Capacity summary'!S61)),0),S149*$BI149),S149*$BI149),0)</f>
        <v>4.0384615384615383</v>
      </c>
      <c r="BW149" s="5">
        <f ca="1">IF($BI149&lt;&gt;"",IF('Capacity summary'!$C$14="Yes",IF(COUNTBLANK('Capacity summary'!$H61:$BG61)&lt;52,IF('Capacity summary'!T61&lt;&gt;"",IF(LOWER('Capacity summary'!T61)="x",$BI149*T149,VALUE('Capacity summary'!T61)),0),T149*$BI149),T149*$BI149),0)</f>
        <v>4.0384615384615383</v>
      </c>
      <c r="BX149" s="5">
        <f ca="1">IF($BI149&lt;&gt;"",IF('Capacity summary'!$C$14="Yes",IF(COUNTBLANK('Capacity summary'!$H61:$BG61)&lt;52,IF('Capacity summary'!U61&lt;&gt;"",IF(LOWER('Capacity summary'!U61)="x",$BI149*U149,VALUE('Capacity summary'!U61)),0),U149*$BI149),U149*$BI149),0)</f>
        <v>4.0384615384615383</v>
      </c>
      <c r="BY149" s="5">
        <f ca="1">IF($BI149&lt;&gt;"",IF('Capacity summary'!$C$14="Yes",IF(COUNTBLANK('Capacity summary'!$H61:$BG61)&lt;52,IF('Capacity summary'!V61&lt;&gt;"",IF(LOWER('Capacity summary'!V61)="x",$BI149*V149,VALUE('Capacity summary'!V61)),0),V149*$BI149),V149*$BI149),0)</f>
        <v>4.0384615384615383</v>
      </c>
      <c r="BZ149" s="5">
        <f ca="1">IF($BI149&lt;&gt;"",IF('Capacity summary'!$C$14="Yes",IF(COUNTBLANK('Capacity summary'!$H61:$BG61)&lt;52,IF('Capacity summary'!W61&lt;&gt;"",IF(LOWER('Capacity summary'!W61)="x",$BI149*W149,VALUE('Capacity summary'!W61)),0),W149*$BI149),W149*$BI149),0)</f>
        <v>4.0384615384615383</v>
      </c>
      <c r="CA149" s="5">
        <f ca="1">IF($BI149&lt;&gt;"",IF('Capacity summary'!$C$14="Yes",IF(COUNTBLANK('Capacity summary'!$H61:$BG61)&lt;52,IF('Capacity summary'!X61&lt;&gt;"",IF(LOWER('Capacity summary'!X61)="x",$BI149*X149,VALUE('Capacity summary'!X61)),0),X149*$BI149),X149*$BI149),0)</f>
        <v>4.0384615384615383</v>
      </c>
      <c r="CB149" s="5">
        <f ca="1">IF($BI149&lt;&gt;"",IF('Capacity summary'!$C$14="Yes",IF(COUNTBLANK('Capacity summary'!$H61:$BG61)&lt;52,IF('Capacity summary'!Y61&lt;&gt;"",IF(LOWER('Capacity summary'!Y61)="x",$BI149*Y149,VALUE('Capacity summary'!Y61)),0),Y149*$BI149),Y149*$BI149),0)</f>
        <v>4.0384615384615383</v>
      </c>
      <c r="CC149" s="5">
        <f ca="1">IF($BI149&lt;&gt;"",IF('Capacity summary'!$C$14="Yes",IF(COUNTBLANK('Capacity summary'!$H61:$BG61)&lt;52,IF('Capacity summary'!Z61&lt;&gt;"",IF(LOWER('Capacity summary'!Z61)="x",$BI149*Z149,VALUE('Capacity summary'!Z61)),0),Z149*$BI149),Z149*$BI149),0)</f>
        <v>4.0384615384615383</v>
      </c>
      <c r="CD149" s="5">
        <f ca="1">IF($BI149&lt;&gt;"",IF('Capacity summary'!$C$14="Yes",IF(COUNTBLANK('Capacity summary'!$H61:$BG61)&lt;52,IF('Capacity summary'!AA61&lt;&gt;"",IF(LOWER('Capacity summary'!AA61)="x",$BI149*AA149,VALUE('Capacity summary'!AA61)),0),AA149*$BI149),AA149*$BI149),0)</f>
        <v>4.0384615384615383</v>
      </c>
      <c r="CE149" s="5">
        <f ca="1">IF($BI149&lt;&gt;"",IF('Capacity summary'!$C$14="Yes",IF(COUNTBLANK('Capacity summary'!$H61:$BG61)&lt;52,IF('Capacity summary'!AB61&lt;&gt;"",IF(LOWER('Capacity summary'!AB61)="x",$BI149*AB149,VALUE('Capacity summary'!AB61)),0),AB149*$BI149),AB149*$BI149),0)</f>
        <v>4.0384615384615383</v>
      </c>
      <c r="CF149" s="5">
        <f ca="1">IF($BI149&lt;&gt;"",IF('Capacity summary'!$C$14="Yes",IF(COUNTBLANK('Capacity summary'!$H61:$BG61)&lt;52,IF('Capacity summary'!AC61&lt;&gt;"",IF(LOWER('Capacity summary'!AC61)="x",$BI149*AC149,VALUE('Capacity summary'!AC61)),0),AC149*$BI149),AC149*$BI149),0)</f>
        <v>4.0384615384615383</v>
      </c>
      <c r="CG149" s="5">
        <f ca="1">IF($BI149&lt;&gt;"",IF('Capacity summary'!$C$14="Yes",IF(COUNTBLANK('Capacity summary'!$H61:$BG61)&lt;52,IF('Capacity summary'!AD61&lt;&gt;"",IF(LOWER('Capacity summary'!AD61)="x",$BI149*AD149,VALUE('Capacity summary'!AD61)),0),AD149*$BI149),AD149*$BI149),0)</f>
        <v>4.0384615384615383</v>
      </c>
      <c r="CH149" s="5">
        <f ca="1">IF($BI149&lt;&gt;"",IF('Capacity summary'!$C$14="Yes",IF(COUNTBLANK('Capacity summary'!$H61:$BG61)&lt;52,IF('Capacity summary'!AE61&lt;&gt;"",IF(LOWER('Capacity summary'!AE61)="x",$BI149*AE149,VALUE('Capacity summary'!AE61)),0),AE149*$BI149),AE149*$BI149),0)</f>
        <v>4.0384615384615383</v>
      </c>
      <c r="CI149" s="5">
        <f ca="1">IF($BI149&lt;&gt;"",IF('Capacity summary'!$C$14="Yes",IF(COUNTBLANK('Capacity summary'!$H61:$BG61)&lt;52,IF('Capacity summary'!AF61&lt;&gt;"",IF(LOWER('Capacity summary'!AF61)="x",$BI149*AF149,VALUE('Capacity summary'!AF61)),0),AF149*$BI149),AF149*$BI149),0)</f>
        <v>4.0384615384615383</v>
      </c>
      <c r="CJ149" s="5">
        <f ca="1">IF($BI149&lt;&gt;"",IF('Capacity summary'!$C$14="Yes",IF(COUNTBLANK('Capacity summary'!$H61:$BG61)&lt;52,IF('Capacity summary'!AG61&lt;&gt;"",IF(LOWER('Capacity summary'!AG61)="x",$BI149*AG149,VALUE('Capacity summary'!AG61)),0),AG149*$BI149),AG149*$BI149),0)</f>
        <v>4.0384615384615383</v>
      </c>
      <c r="CK149" s="5">
        <f ca="1">IF($BI149&lt;&gt;"",IF('Capacity summary'!$C$14="Yes",IF(COUNTBLANK('Capacity summary'!$H61:$BG61)&lt;52,IF('Capacity summary'!AH61&lt;&gt;"",IF(LOWER('Capacity summary'!AH61)="x",$BI149*AH149,VALUE('Capacity summary'!AH61)),0),AH149*$BI149),AH149*$BI149),0)</f>
        <v>4.0384615384615383</v>
      </c>
      <c r="CL149" s="5">
        <f ca="1">IF($BI149&lt;&gt;"",IF('Capacity summary'!$C$14="Yes",IF(COUNTBLANK('Capacity summary'!$H61:$BG61)&lt;52,IF('Capacity summary'!AI61&lt;&gt;"",IF(LOWER('Capacity summary'!AI61)="x",$BI149*AI149,VALUE('Capacity summary'!AI61)),0),AI149*$BI149),AI149*$BI149),0)</f>
        <v>4.0384615384615383</v>
      </c>
      <c r="CM149" s="5">
        <f ca="1">IF($BI149&lt;&gt;"",IF('Capacity summary'!$C$14="Yes",IF(COUNTBLANK('Capacity summary'!$H61:$BG61)&lt;52,IF('Capacity summary'!AJ61&lt;&gt;"",IF(LOWER('Capacity summary'!AJ61)="x",$BI149*AJ149,VALUE('Capacity summary'!AJ61)),0),AJ149*$BI149),AJ149*$BI149),0)</f>
        <v>4.0384615384615383</v>
      </c>
      <c r="CN149" s="5">
        <f ca="1">IF($BI149&lt;&gt;"",IF('Capacity summary'!$C$14="Yes",IF(COUNTBLANK('Capacity summary'!$H61:$BG61)&lt;52,IF('Capacity summary'!AK61&lt;&gt;"",IF(LOWER('Capacity summary'!AK61)="x",$BI149*AK149,VALUE('Capacity summary'!AK61)),0),AK149*$BI149),AK149*$BI149),0)</f>
        <v>4.0384615384615383</v>
      </c>
      <c r="CO149" s="5">
        <f ca="1">IF($BI149&lt;&gt;"",IF('Capacity summary'!$C$14="Yes",IF(COUNTBLANK('Capacity summary'!$H61:$BG61)&lt;52,IF('Capacity summary'!AL61&lt;&gt;"",IF(LOWER('Capacity summary'!AL61)="x",$BI149*AL149,VALUE('Capacity summary'!AL61)),0),AL149*$BI149),AL149*$BI149),0)</f>
        <v>4.0384615384615383</v>
      </c>
      <c r="CP149" s="5">
        <f ca="1">IF($BI149&lt;&gt;"",IF('Capacity summary'!$C$14="Yes",IF(COUNTBLANK('Capacity summary'!$H61:$BG61)&lt;52,IF('Capacity summary'!AM61&lt;&gt;"",IF(LOWER('Capacity summary'!AM61)="x",$BI149*AM149,VALUE('Capacity summary'!AM61)),0),AM149*$BI149),AM149*$BI149),0)</f>
        <v>4.0384615384615383</v>
      </c>
      <c r="CQ149" s="5">
        <f ca="1">IF($BI149&lt;&gt;"",IF('Capacity summary'!$C$14="Yes",IF(COUNTBLANK('Capacity summary'!$H61:$BG61)&lt;52,IF('Capacity summary'!AN61&lt;&gt;"",IF(LOWER('Capacity summary'!AN61)="x",$BI149*AN149,VALUE('Capacity summary'!AN61)),0),AN149*$BI149),AN149*$BI149),0)</f>
        <v>4.0384615384615383</v>
      </c>
      <c r="CR149" s="5">
        <f ca="1">IF($BI149&lt;&gt;"",IF('Capacity summary'!$C$14="Yes",IF(COUNTBLANK('Capacity summary'!$H61:$BG61)&lt;52,IF('Capacity summary'!AO61&lt;&gt;"",IF(LOWER('Capacity summary'!AO61)="x",$BI149*AO149,VALUE('Capacity summary'!AO61)),0),AO149*$BI149),AO149*$BI149),0)</f>
        <v>4.0384615384615383</v>
      </c>
      <c r="CS149" s="5">
        <f ca="1">IF($BI149&lt;&gt;"",IF('Capacity summary'!$C$14="Yes",IF(COUNTBLANK('Capacity summary'!$H61:$BG61)&lt;52,IF('Capacity summary'!AP61&lt;&gt;"",IF(LOWER('Capacity summary'!AP61)="x",$BI149*AP149,VALUE('Capacity summary'!AP61)),0),AP149*$BI149),AP149*$BI149),0)</f>
        <v>4.0384615384615383</v>
      </c>
      <c r="CT149" s="5">
        <f ca="1">IF($BI149&lt;&gt;"",IF('Capacity summary'!$C$14="Yes",IF(COUNTBLANK('Capacity summary'!$H61:$BG61)&lt;52,IF('Capacity summary'!AQ61&lt;&gt;"",IF(LOWER('Capacity summary'!AQ61)="x",$BI149*AQ149,VALUE('Capacity summary'!AQ61)),0),AQ149*$BI149),AQ149*$BI149),0)</f>
        <v>4.0384615384615383</v>
      </c>
      <c r="CU149" s="5">
        <f ca="1">IF($BI149&lt;&gt;"",IF('Capacity summary'!$C$14="Yes",IF(COUNTBLANK('Capacity summary'!$H61:$BG61)&lt;52,IF('Capacity summary'!AR61&lt;&gt;"",IF(LOWER('Capacity summary'!AR61)="x",$BI149*AR149,VALUE('Capacity summary'!AR61)),0),AR149*$BI149),AR149*$BI149),0)</f>
        <v>4.0384615384615383</v>
      </c>
      <c r="CV149" s="5">
        <f ca="1">IF($BI149&lt;&gt;"",IF('Capacity summary'!$C$14="Yes",IF(COUNTBLANK('Capacity summary'!$H61:$BG61)&lt;52,IF('Capacity summary'!AS61&lt;&gt;"",IF(LOWER('Capacity summary'!AS61)="x",$BI149*AS149,VALUE('Capacity summary'!AS61)),0),AS149*$BI149),AS149*$BI149),0)</f>
        <v>4.0384615384615383</v>
      </c>
      <c r="CW149" s="5">
        <f ca="1">IF($BI149&lt;&gt;"",IF('Capacity summary'!$C$14="Yes",IF(COUNTBLANK('Capacity summary'!$H61:$BG61)&lt;52,IF('Capacity summary'!AT61&lt;&gt;"",IF(LOWER('Capacity summary'!AT61)="x",$BI149*AT149,VALUE('Capacity summary'!AT61)),0),AT149*$BI149),AT149*$BI149),0)</f>
        <v>4.0384615384615383</v>
      </c>
      <c r="CX149" s="5">
        <f ca="1">IF($BI149&lt;&gt;"",IF('Capacity summary'!$C$14="Yes",IF(COUNTBLANK('Capacity summary'!$H61:$BG61)&lt;52,IF('Capacity summary'!AU61&lt;&gt;"",IF(LOWER('Capacity summary'!AU61)="x",$BI149*AU149,VALUE('Capacity summary'!AU61)),0),AU149*$BI149),AU149*$BI149),0)</f>
        <v>4.0384615384615383</v>
      </c>
      <c r="CY149" s="5">
        <f ca="1">IF($BI149&lt;&gt;"",IF('Capacity summary'!$C$14="Yes",IF(COUNTBLANK('Capacity summary'!$H61:$BG61)&lt;52,IF('Capacity summary'!AV61&lt;&gt;"",IF(LOWER('Capacity summary'!AV61)="x",$BI149*AV149,VALUE('Capacity summary'!AV61)),0),AV149*$BI149),AV149*$BI149),0)</f>
        <v>4.0384615384615383</v>
      </c>
      <c r="CZ149" s="5">
        <f ca="1">IF($BI149&lt;&gt;"",IF('Capacity summary'!$C$14="Yes",IF(COUNTBLANK('Capacity summary'!$H61:$BG61)&lt;52,IF('Capacity summary'!AW61&lt;&gt;"",IF(LOWER('Capacity summary'!AW61)="x",$BI149*AW149,VALUE('Capacity summary'!AW61)),0),AW149*$BI149),AW149*$BI149),0)</f>
        <v>4.0384615384615383</v>
      </c>
      <c r="DA149" s="5">
        <f ca="1">IF($BI149&lt;&gt;"",IF('Capacity summary'!$C$14="Yes",IF(COUNTBLANK('Capacity summary'!$H61:$BG61)&lt;52,IF('Capacity summary'!AX61&lt;&gt;"",IF(LOWER('Capacity summary'!AX61)="x",$BI149*AX149,VALUE('Capacity summary'!AX61)),0),AX149*$BI149),AX149*$BI149),0)</f>
        <v>4.0384615384615383</v>
      </c>
      <c r="DB149" s="5">
        <f ca="1">IF($BI149&lt;&gt;"",IF('Capacity summary'!$C$14="Yes",IF(COUNTBLANK('Capacity summary'!$H61:$BG61)&lt;52,IF('Capacity summary'!AY61&lt;&gt;"",IF(LOWER('Capacity summary'!AY61)="x",$BI149*AY149,VALUE('Capacity summary'!AY61)),0),AY149*$BI149),AY149*$BI149),0)</f>
        <v>4.0384615384615383</v>
      </c>
      <c r="DC149" s="5">
        <f ca="1">IF($BI149&lt;&gt;"",IF('Capacity summary'!$C$14="Yes",IF(COUNTBLANK('Capacity summary'!$H61:$BG61)&lt;52,IF('Capacity summary'!AZ61&lt;&gt;"",IF(LOWER('Capacity summary'!AZ61)="x",$BI149*AZ149,VALUE('Capacity summary'!AZ61)),0),AZ149*$BI149),AZ149*$BI149),0)</f>
        <v>4.0384615384615383</v>
      </c>
      <c r="DD149" s="5">
        <f ca="1">IF($BI149&lt;&gt;"",IF('Capacity summary'!$C$14="Yes",IF(COUNTBLANK('Capacity summary'!$H61:$BG61)&lt;52,IF('Capacity summary'!BA61&lt;&gt;"",IF(LOWER('Capacity summary'!BA61)="x",$BI149*BA149,VALUE('Capacity summary'!BA61)),0),BA149*$BI149),BA149*$BI149),0)</f>
        <v>4.0384615384615383</v>
      </c>
      <c r="DE149" s="5">
        <f ca="1">IF($BI149&lt;&gt;"",IF('Capacity summary'!$C$14="Yes",IF(COUNTBLANK('Capacity summary'!$H61:$BG61)&lt;52,IF('Capacity summary'!BB61&lt;&gt;"",IF(LOWER('Capacity summary'!BB61)="x",$BI149*BB149,VALUE('Capacity summary'!BB61)),0),BB149*$BI149),BB149*$BI149),0)</f>
        <v>4.0384615384615383</v>
      </c>
      <c r="DF149" s="5">
        <f ca="1">IF($BI149&lt;&gt;"",IF('Capacity summary'!$C$14="Yes",IF(COUNTBLANK('Capacity summary'!$H61:$BG61)&lt;52,IF('Capacity summary'!BC61&lt;&gt;"",IF(LOWER('Capacity summary'!BC61)="x",$BI149*BC149,VALUE('Capacity summary'!BC61)),0),BC149*$BI149),BC149*$BI149),0)</f>
        <v>4.0384615384615383</v>
      </c>
      <c r="DG149" s="5">
        <f ca="1">IF($BI149&lt;&gt;"",IF('Capacity summary'!$C$14="Yes",IF(COUNTBLANK('Capacity summary'!$H61:$BG61)&lt;52,IF('Capacity summary'!BD61&lt;&gt;"",IF(LOWER('Capacity summary'!BD61)="x",$BI149*BD149,VALUE('Capacity summary'!BD61)),0),BD149*$BI149),BD149*$BI149),0)</f>
        <v>4.0384615384615383</v>
      </c>
      <c r="DH149" s="5">
        <f ca="1">IF($BI149&lt;&gt;"",IF('Capacity summary'!$C$14="Yes",IF(COUNTBLANK('Capacity summary'!$H61:$BG61)&lt;52,IF('Capacity summary'!BE61&lt;&gt;"",IF(LOWER('Capacity summary'!BE61)="x",$BI149*BE149,VALUE('Capacity summary'!BE61)),0),BE149*$BI149),BE149*$BI149),0)</f>
        <v>4.0384615384615383</v>
      </c>
      <c r="DI149" s="5">
        <f ca="1">IF($BI149&lt;&gt;"",IF('Capacity summary'!$C$14="Yes",IF(COUNTBLANK('Capacity summary'!$H61:$BG61)&lt;52,IF('Capacity summary'!BF61&lt;&gt;"",IF(LOWER('Capacity summary'!BF61)="x",$BI149*BF149,VALUE('Capacity summary'!BF61)),0),BF149*$BI149),BF149*$BI149),0)</f>
        <v>4.0384615384615383</v>
      </c>
      <c r="DJ149" s="5">
        <f ca="1">IF($BI149&lt;&gt;"",IF('Capacity summary'!$C$14="Yes",IF(COUNTBLANK('Capacity summary'!$H61:$BG61)&lt;52,IF('Capacity summary'!BG61&lt;&gt;"",IF(LOWER('Capacity summary'!BG61)="x",$BI149*BG149,VALUE('Capacity summary'!BG61)),0),BG149*$BI149),BG149*$BI149),0)</f>
        <v>4.0384615384615383</v>
      </c>
      <c r="DK149" s="388">
        <f t="shared" ca="1" si="8"/>
        <v>4.0384615384615383</v>
      </c>
      <c r="DL149" s="5">
        <f t="shared" ca="1" si="9"/>
        <v>210.00000000000011</v>
      </c>
    </row>
    <row r="150" spans="3:116" x14ac:dyDescent="0.2">
      <c r="C150" s="67" t="str">
        <f>ROW(A39)&amp;". "&amp;Capacity!N55</f>
        <v>39. 44413</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 ca="1">IF(ROW(A39)&lt;=Capacity!$M$16,IF('Capacity summary'!$C$14="No",SUM(H150:BG150),'Capacity summary'!$E62),0)</f>
        <v>52</v>
      </c>
      <c r="BI150" s="67">
        <f ca="1">IF(BH150&gt;0,IF(BH150&lt;Capacity!Q55,Capacity!R55,Capacity!T55/'Capacity calculation (hide)'!BH150),"")</f>
        <v>4.0384615384615383</v>
      </c>
      <c r="BJ150" s="5"/>
      <c r="BK150" s="5">
        <f ca="1">IF($BI150&lt;&gt;"",IF('Capacity summary'!$C$14="Yes",IF(COUNTBLANK('Capacity summary'!$H62:$BG62)&lt;52,IF('Capacity summary'!H62&lt;&gt;"",IF(LOWER('Capacity summary'!H62)="x",$BI150*H150,VALUE('Capacity summary'!H62)),0),H150*$BI150),H150*$BI150),0)</f>
        <v>4.0384615384615383</v>
      </c>
      <c r="BL150" s="5">
        <f ca="1">IF($BI150&lt;&gt;"",IF('Capacity summary'!$C$14="Yes",IF(COUNTBLANK('Capacity summary'!$H62:$BG62)&lt;52,IF('Capacity summary'!I62&lt;&gt;"",IF(LOWER('Capacity summary'!I62)="x",$BI150*I150,VALUE('Capacity summary'!I62)),0),I150*$BI150),I150*$BI150),0)</f>
        <v>4.0384615384615383</v>
      </c>
      <c r="BM150" s="5">
        <f ca="1">IF($BI150&lt;&gt;"",IF('Capacity summary'!$C$14="Yes",IF(COUNTBLANK('Capacity summary'!$H62:$BG62)&lt;52,IF('Capacity summary'!J62&lt;&gt;"",IF(LOWER('Capacity summary'!J62)="x",$BI150*J150,VALUE('Capacity summary'!J62)),0),J150*$BI150),J150*$BI150),0)</f>
        <v>4.0384615384615383</v>
      </c>
      <c r="BN150" s="5">
        <f ca="1">IF($BI150&lt;&gt;"",IF('Capacity summary'!$C$14="Yes",IF(COUNTBLANK('Capacity summary'!$H62:$BG62)&lt;52,IF('Capacity summary'!K62&lt;&gt;"",IF(LOWER('Capacity summary'!K62)="x",$BI150*K150,VALUE('Capacity summary'!K62)),0),K150*$BI150),K150*$BI150),0)</f>
        <v>4.0384615384615383</v>
      </c>
      <c r="BO150" s="5">
        <f ca="1">IF($BI150&lt;&gt;"",IF('Capacity summary'!$C$14="Yes",IF(COUNTBLANK('Capacity summary'!$H62:$BG62)&lt;52,IF('Capacity summary'!L62&lt;&gt;"",IF(LOWER('Capacity summary'!L62)="x",$BI150*L150,VALUE('Capacity summary'!L62)),0),L150*$BI150),L150*$BI150),0)</f>
        <v>4.0384615384615383</v>
      </c>
      <c r="BP150" s="5">
        <f ca="1">IF($BI150&lt;&gt;"",IF('Capacity summary'!$C$14="Yes",IF(COUNTBLANK('Capacity summary'!$H62:$BG62)&lt;52,IF('Capacity summary'!M62&lt;&gt;"",IF(LOWER('Capacity summary'!M62)="x",$BI150*M150,VALUE('Capacity summary'!M62)),0),M150*$BI150),M150*$BI150),0)</f>
        <v>4.0384615384615383</v>
      </c>
      <c r="BQ150" s="5">
        <f ca="1">IF($BI150&lt;&gt;"",IF('Capacity summary'!$C$14="Yes",IF(COUNTBLANK('Capacity summary'!$H62:$BG62)&lt;52,IF('Capacity summary'!N62&lt;&gt;"",IF(LOWER('Capacity summary'!N62)="x",$BI150*N150,VALUE('Capacity summary'!N62)),0),N150*$BI150),N150*$BI150),0)</f>
        <v>4.0384615384615383</v>
      </c>
      <c r="BR150" s="5">
        <f ca="1">IF($BI150&lt;&gt;"",IF('Capacity summary'!$C$14="Yes",IF(COUNTBLANK('Capacity summary'!$H62:$BG62)&lt;52,IF('Capacity summary'!O62&lt;&gt;"",IF(LOWER('Capacity summary'!O62)="x",$BI150*O150,VALUE('Capacity summary'!O62)),0),O150*$BI150),O150*$BI150),0)</f>
        <v>4.0384615384615383</v>
      </c>
      <c r="BS150" s="5">
        <f ca="1">IF($BI150&lt;&gt;"",IF('Capacity summary'!$C$14="Yes",IF(COUNTBLANK('Capacity summary'!$H62:$BG62)&lt;52,IF('Capacity summary'!P62&lt;&gt;"",IF(LOWER('Capacity summary'!P62)="x",$BI150*P150,VALUE('Capacity summary'!P62)),0),P150*$BI150),P150*$BI150),0)</f>
        <v>4.0384615384615383</v>
      </c>
      <c r="BT150" s="5">
        <f ca="1">IF($BI150&lt;&gt;"",IF('Capacity summary'!$C$14="Yes",IF(COUNTBLANK('Capacity summary'!$H62:$BG62)&lt;52,IF('Capacity summary'!Q62&lt;&gt;"",IF(LOWER('Capacity summary'!Q62)="x",$BI150*Q150,VALUE('Capacity summary'!Q62)),0),Q150*$BI150),Q150*$BI150),0)</f>
        <v>4.0384615384615383</v>
      </c>
      <c r="BU150" s="5">
        <f ca="1">IF($BI150&lt;&gt;"",IF('Capacity summary'!$C$14="Yes",IF(COUNTBLANK('Capacity summary'!$H62:$BG62)&lt;52,IF('Capacity summary'!R62&lt;&gt;"",IF(LOWER('Capacity summary'!R62)="x",$BI150*R150,VALUE('Capacity summary'!R62)),0),R150*$BI150),R150*$BI150),0)</f>
        <v>4.0384615384615383</v>
      </c>
      <c r="BV150" s="5">
        <f ca="1">IF($BI150&lt;&gt;"",IF('Capacity summary'!$C$14="Yes",IF(COUNTBLANK('Capacity summary'!$H62:$BG62)&lt;52,IF('Capacity summary'!S62&lt;&gt;"",IF(LOWER('Capacity summary'!S62)="x",$BI150*S150,VALUE('Capacity summary'!S62)),0),S150*$BI150),S150*$BI150),0)</f>
        <v>4.0384615384615383</v>
      </c>
      <c r="BW150" s="5">
        <f ca="1">IF($BI150&lt;&gt;"",IF('Capacity summary'!$C$14="Yes",IF(COUNTBLANK('Capacity summary'!$H62:$BG62)&lt;52,IF('Capacity summary'!T62&lt;&gt;"",IF(LOWER('Capacity summary'!T62)="x",$BI150*T150,VALUE('Capacity summary'!T62)),0),T150*$BI150),T150*$BI150),0)</f>
        <v>4.0384615384615383</v>
      </c>
      <c r="BX150" s="5">
        <f ca="1">IF($BI150&lt;&gt;"",IF('Capacity summary'!$C$14="Yes",IF(COUNTBLANK('Capacity summary'!$H62:$BG62)&lt;52,IF('Capacity summary'!U62&lt;&gt;"",IF(LOWER('Capacity summary'!U62)="x",$BI150*U150,VALUE('Capacity summary'!U62)),0),U150*$BI150),U150*$BI150),0)</f>
        <v>4.0384615384615383</v>
      </c>
      <c r="BY150" s="5">
        <f ca="1">IF($BI150&lt;&gt;"",IF('Capacity summary'!$C$14="Yes",IF(COUNTBLANK('Capacity summary'!$H62:$BG62)&lt;52,IF('Capacity summary'!V62&lt;&gt;"",IF(LOWER('Capacity summary'!V62)="x",$BI150*V150,VALUE('Capacity summary'!V62)),0),V150*$BI150),V150*$BI150),0)</f>
        <v>4.0384615384615383</v>
      </c>
      <c r="BZ150" s="5">
        <f ca="1">IF($BI150&lt;&gt;"",IF('Capacity summary'!$C$14="Yes",IF(COUNTBLANK('Capacity summary'!$H62:$BG62)&lt;52,IF('Capacity summary'!W62&lt;&gt;"",IF(LOWER('Capacity summary'!W62)="x",$BI150*W150,VALUE('Capacity summary'!W62)),0),W150*$BI150),W150*$BI150),0)</f>
        <v>4.0384615384615383</v>
      </c>
      <c r="CA150" s="5">
        <f ca="1">IF($BI150&lt;&gt;"",IF('Capacity summary'!$C$14="Yes",IF(COUNTBLANK('Capacity summary'!$H62:$BG62)&lt;52,IF('Capacity summary'!X62&lt;&gt;"",IF(LOWER('Capacity summary'!X62)="x",$BI150*X150,VALUE('Capacity summary'!X62)),0),X150*$BI150),X150*$BI150),0)</f>
        <v>4.0384615384615383</v>
      </c>
      <c r="CB150" s="5">
        <f ca="1">IF($BI150&lt;&gt;"",IF('Capacity summary'!$C$14="Yes",IF(COUNTBLANK('Capacity summary'!$H62:$BG62)&lt;52,IF('Capacity summary'!Y62&lt;&gt;"",IF(LOWER('Capacity summary'!Y62)="x",$BI150*Y150,VALUE('Capacity summary'!Y62)),0),Y150*$BI150),Y150*$BI150),0)</f>
        <v>4.0384615384615383</v>
      </c>
      <c r="CC150" s="5">
        <f ca="1">IF($BI150&lt;&gt;"",IF('Capacity summary'!$C$14="Yes",IF(COUNTBLANK('Capacity summary'!$H62:$BG62)&lt;52,IF('Capacity summary'!Z62&lt;&gt;"",IF(LOWER('Capacity summary'!Z62)="x",$BI150*Z150,VALUE('Capacity summary'!Z62)),0),Z150*$BI150),Z150*$BI150),0)</f>
        <v>4.0384615384615383</v>
      </c>
      <c r="CD150" s="5">
        <f ca="1">IF($BI150&lt;&gt;"",IF('Capacity summary'!$C$14="Yes",IF(COUNTBLANK('Capacity summary'!$H62:$BG62)&lt;52,IF('Capacity summary'!AA62&lt;&gt;"",IF(LOWER('Capacity summary'!AA62)="x",$BI150*AA150,VALUE('Capacity summary'!AA62)),0),AA150*$BI150),AA150*$BI150),0)</f>
        <v>4.0384615384615383</v>
      </c>
      <c r="CE150" s="5">
        <f ca="1">IF($BI150&lt;&gt;"",IF('Capacity summary'!$C$14="Yes",IF(COUNTBLANK('Capacity summary'!$H62:$BG62)&lt;52,IF('Capacity summary'!AB62&lt;&gt;"",IF(LOWER('Capacity summary'!AB62)="x",$BI150*AB150,VALUE('Capacity summary'!AB62)),0),AB150*$BI150),AB150*$BI150),0)</f>
        <v>4.0384615384615383</v>
      </c>
      <c r="CF150" s="5">
        <f ca="1">IF($BI150&lt;&gt;"",IF('Capacity summary'!$C$14="Yes",IF(COUNTBLANK('Capacity summary'!$H62:$BG62)&lt;52,IF('Capacity summary'!AC62&lt;&gt;"",IF(LOWER('Capacity summary'!AC62)="x",$BI150*AC150,VALUE('Capacity summary'!AC62)),0),AC150*$BI150),AC150*$BI150),0)</f>
        <v>4.0384615384615383</v>
      </c>
      <c r="CG150" s="5">
        <f ca="1">IF($BI150&lt;&gt;"",IF('Capacity summary'!$C$14="Yes",IF(COUNTBLANK('Capacity summary'!$H62:$BG62)&lt;52,IF('Capacity summary'!AD62&lt;&gt;"",IF(LOWER('Capacity summary'!AD62)="x",$BI150*AD150,VALUE('Capacity summary'!AD62)),0),AD150*$BI150),AD150*$BI150),0)</f>
        <v>4.0384615384615383</v>
      </c>
      <c r="CH150" s="5">
        <f ca="1">IF($BI150&lt;&gt;"",IF('Capacity summary'!$C$14="Yes",IF(COUNTBLANK('Capacity summary'!$H62:$BG62)&lt;52,IF('Capacity summary'!AE62&lt;&gt;"",IF(LOWER('Capacity summary'!AE62)="x",$BI150*AE150,VALUE('Capacity summary'!AE62)),0),AE150*$BI150),AE150*$BI150),0)</f>
        <v>4.0384615384615383</v>
      </c>
      <c r="CI150" s="5">
        <f ca="1">IF($BI150&lt;&gt;"",IF('Capacity summary'!$C$14="Yes",IF(COUNTBLANK('Capacity summary'!$H62:$BG62)&lt;52,IF('Capacity summary'!AF62&lt;&gt;"",IF(LOWER('Capacity summary'!AF62)="x",$BI150*AF150,VALUE('Capacity summary'!AF62)),0),AF150*$BI150),AF150*$BI150),0)</f>
        <v>4.0384615384615383</v>
      </c>
      <c r="CJ150" s="5">
        <f ca="1">IF($BI150&lt;&gt;"",IF('Capacity summary'!$C$14="Yes",IF(COUNTBLANK('Capacity summary'!$H62:$BG62)&lt;52,IF('Capacity summary'!AG62&lt;&gt;"",IF(LOWER('Capacity summary'!AG62)="x",$BI150*AG150,VALUE('Capacity summary'!AG62)),0),AG150*$BI150),AG150*$BI150),0)</f>
        <v>4.0384615384615383</v>
      </c>
      <c r="CK150" s="5">
        <f ca="1">IF($BI150&lt;&gt;"",IF('Capacity summary'!$C$14="Yes",IF(COUNTBLANK('Capacity summary'!$H62:$BG62)&lt;52,IF('Capacity summary'!AH62&lt;&gt;"",IF(LOWER('Capacity summary'!AH62)="x",$BI150*AH150,VALUE('Capacity summary'!AH62)),0),AH150*$BI150),AH150*$BI150),0)</f>
        <v>4.0384615384615383</v>
      </c>
      <c r="CL150" s="5">
        <f ca="1">IF($BI150&lt;&gt;"",IF('Capacity summary'!$C$14="Yes",IF(COUNTBLANK('Capacity summary'!$H62:$BG62)&lt;52,IF('Capacity summary'!AI62&lt;&gt;"",IF(LOWER('Capacity summary'!AI62)="x",$BI150*AI150,VALUE('Capacity summary'!AI62)),0),AI150*$BI150),AI150*$BI150),0)</f>
        <v>4.0384615384615383</v>
      </c>
      <c r="CM150" s="5">
        <f ca="1">IF($BI150&lt;&gt;"",IF('Capacity summary'!$C$14="Yes",IF(COUNTBLANK('Capacity summary'!$H62:$BG62)&lt;52,IF('Capacity summary'!AJ62&lt;&gt;"",IF(LOWER('Capacity summary'!AJ62)="x",$BI150*AJ150,VALUE('Capacity summary'!AJ62)),0),AJ150*$BI150),AJ150*$BI150),0)</f>
        <v>4.0384615384615383</v>
      </c>
      <c r="CN150" s="5">
        <f ca="1">IF($BI150&lt;&gt;"",IF('Capacity summary'!$C$14="Yes",IF(COUNTBLANK('Capacity summary'!$H62:$BG62)&lt;52,IF('Capacity summary'!AK62&lt;&gt;"",IF(LOWER('Capacity summary'!AK62)="x",$BI150*AK150,VALUE('Capacity summary'!AK62)),0),AK150*$BI150),AK150*$BI150),0)</f>
        <v>4.0384615384615383</v>
      </c>
      <c r="CO150" s="5">
        <f ca="1">IF($BI150&lt;&gt;"",IF('Capacity summary'!$C$14="Yes",IF(COUNTBLANK('Capacity summary'!$H62:$BG62)&lt;52,IF('Capacity summary'!AL62&lt;&gt;"",IF(LOWER('Capacity summary'!AL62)="x",$BI150*AL150,VALUE('Capacity summary'!AL62)),0),AL150*$BI150),AL150*$BI150),0)</f>
        <v>4.0384615384615383</v>
      </c>
      <c r="CP150" s="5">
        <f ca="1">IF($BI150&lt;&gt;"",IF('Capacity summary'!$C$14="Yes",IF(COUNTBLANK('Capacity summary'!$H62:$BG62)&lt;52,IF('Capacity summary'!AM62&lt;&gt;"",IF(LOWER('Capacity summary'!AM62)="x",$BI150*AM150,VALUE('Capacity summary'!AM62)),0),AM150*$BI150),AM150*$BI150),0)</f>
        <v>4.0384615384615383</v>
      </c>
      <c r="CQ150" s="5">
        <f ca="1">IF($BI150&lt;&gt;"",IF('Capacity summary'!$C$14="Yes",IF(COUNTBLANK('Capacity summary'!$H62:$BG62)&lt;52,IF('Capacity summary'!AN62&lt;&gt;"",IF(LOWER('Capacity summary'!AN62)="x",$BI150*AN150,VALUE('Capacity summary'!AN62)),0),AN150*$BI150),AN150*$BI150),0)</f>
        <v>4.0384615384615383</v>
      </c>
      <c r="CR150" s="5">
        <f ca="1">IF($BI150&lt;&gt;"",IF('Capacity summary'!$C$14="Yes",IF(COUNTBLANK('Capacity summary'!$H62:$BG62)&lt;52,IF('Capacity summary'!AO62&lt;&gt;"",IF(LOWER('Capacity summary'!AO62)="x",$BI150*AO150,VALUE('Capacity summary'!AO62)),0),AO150*$BI150),AO150*$BI150),0)</f>
        <v>4.0384615384615383</v>
      </c>
      <c r="CS150" s="5">
        <f ca="1">IF($BI150&lt;&gt;"",IF('Capacity summary'!$C$14="Yes",IF(COUNTBLANK('Capacity summary'!$H62:$BG62)&lt;52,IF('Capacity summary'!AP62&lt;&gt;"",IF(LOWER('Capacity summary'!AP62)="x",$BI150*AP150,VALUE('Capacity summary'!AP62)),0),AP150*$BI150),AP150*$BI150),0)</f>
        <v>4.0384615384615383</v>
      </c>
      <c r="CT150" s="5">
        <f ca="1">IF($BI150&lt;&gt;"",IF('Capacity summary'!$C$14="Yes",IF(COUNTBLANK('Capacity summary'!$H62:$BG62)&lt;52,IF('Capacity summary'!AQ62&lt;&gt;"",IF(LOWER('Capacity summary'!AQ62)="x",$BI150*AQ150,VALUE('Capacity summary'!AQ62)),0),AQ150*$BI150),AQ150*$BI150),0)</f>
        <v>4.0384615384615383</v>
      </c>
      <c r="CU150" s="5">
        <f ca="1">IF($BI150&lt;&gt;"",IF('Capacity summary'!$C$14="Yes",IF(COUNTBLANK('Capacity summary'!$H62:$BG62)&lt;52,IF('Capacity summary'!AR62&lt;&gt;"",IF(LOWER('Capacity summary'!AR62)="x",$BI150*AR150,VALUE('Capacity summary'!AR62)),0),AR150*$BI150),AR150*$BI150),0)</f>
        <v>4.0384615384615383</v>
      </c>
      <c r="CV150" s="5">
        <f ca="1">IF($BI150&lt;&gt;"",IF('Capacity summary'!$C$14="Yes",IF(COUNTBLANK('Capacity summary'!$H62:$BG62)&lt;52,IF('Capacity summary'!AS62&lt;&gt;"",IF(LOWER('Capacity summary'!AS62)="x",$BI150*AS150,VALUE('Capacity summary'!AS62)),0),AS150*$BI150),AS150*$BI150),0)</f>
        <v>4.0384615384615383</v>
      </c>
      <c r="CW150" s="5">
        <f ca="1">IF($BI150&lt;&gt;"",IF('Capacity summary'!$C$14="Yes",IF(COUNTBLANK('Capacity summary'!$H62:$BG62)&lt;52,IF('Capacity summary'!AT62&lt;&gt;"",IF(LOWER('Capacity summary'!AT62)="x",$BI150*AT150,VALUE('Capacity summary'!AT62)),0),AT150*$BI150),AT150*$BI150),0)</f>
        <v>4.0384615384615383</v>
      </c>
      <c r="CX150" s="5">
        <f ca="1">IF($BI150&lt;&gt;"",IF('Capacity summary'!$C$14="Yes",IF(COUNTBLANK('Capacity summary'!$H62:$BG62)&lt;52,IF('Capacity summary'!AU62&lt;&gt;"",IF(LOWER('Capacity summary'!AU62)="x",$BI150*AU150,VALUE('Capacity summary'!AU62)),0),AU150*$BI150),AU150*$BI150),0)</f>
        <v>4.0384615384615383</v>
      </c>
      <c r="CY150" s="5">
        <f ca="1">IF($BI150&lt;&gt;"",IF('Capacity summary'!$C$14="Yes",IF(COUNTBLANK('Capacity summary'!$H62:$BG62)&lt;52,IF('Capacity summary'!AV62&lt;&gt;"",IF(LOWER('Capacity summary'!AV62)="x",$BI150*AV150,VALUE('Capacity summary'!AV62)),0),AV150*$BI150),AV150*$BI150),0)</f>
        <v>4.0384615384615383</v>
      </c>
      <c r="CZ150" s="5">
        <f ca="1">IF($BI150&lt;&gt;"",IF('Capacity summary'!$C$14="Yes",IF(COUNTBLANK('Capacity summary'!$H62:$BG62)&lt;52,IF('Capacity summary'!AW62&lt;&gt;"",IF(LOWER('Capacity summary'!AW62)="x",$BI150*AW150,VALUE('Capacity summary'!AW62)),0),AW150*$BI150),AW150*$BI150),0)</f>
        <v>4.0384615384615383</v>
      </c>
      <c r="DA150" s="5">
        <f ca="1">IF($BI150&lt;&gt;"",IF('Capacity summary'!$C$14="Yes",IF(COUNTBLANK('Capacity summary'!$H62:$BG62)&lt;52,IF('Capacity summary'!AX62&lt;&gt;"",IF(LOWER('Capacity summary'!AX62)="x",$BI150*AX150,VALUE('Capacity summary'!AX62)),0),AX150*$BI150),AX150*$BI150),0)</f>
        <v>4.0384615384615383</v>
      </c>
      <c r="DB150" s="5">
        <f ca="1">IF($BI150&lt;&gt;"",IF('Capacity summary'!$C$14="Yes",IF(COUNTBLANK('Capacity summary'!$H62:$BG62)&lt;52,IF('Capacity summary'!AY62&lt;&gt;"",IF(LOWER('Capacity summary'!AY62)="x",$BI150*AY150,VALUE('Capacity summary'!AY62)),0),AY150*$BI150),AY150*$BI150),0)</f>
        <v>4.0384615384615383</v>
      </c>
      <c r="DC150" s="5">
        <f ca="1">IF($BI150&lt;&gt;"",IF('Capacity summary'!$C$14="Yes",IF(COUNTBLANK('Capacity summary'!$H62:$BG62)&lt;52,IF('Capacity summary'!AZ62&lt;&gt;"",IF(LOWER('Capacity summary'!AZ62)="x",$BI150*AZ150,VALUE('Capacity summary'!AZ62)),0),AZ150*$BI150),AZ150*$BI150),0)</f>
        <v>4.0384615384615383</v>
      </c>
      <c r="DD150" s="5">
        <f ca="1">IF($BI150&lt;&gt;"",IF('Capacity summary'!$C$14="Yes",IF(COUNTBLANK('Capacity summary'!$H62:$BG62)&lt;52,IF('Capacity summary'!BA62&lt;&gt;"",IF(LOWER('Capacity summary'!BA62)="x",$BI150*BA150,VALUE('Capacity summary'!BA62)),0),BA150*$BI150),BA150*$BI150),0)</f>
        <v>4.0384615384615383</v>
      </c>
      <c r="DE150" s="5">
        <f ca="1">IF($BI150&lt;&gt;"",IF('Capacity summary'!$C$14="Yes",IF(COUNTBLANK('Capacity summary'!$H62:$BG62)&lt;52,IF('Capacity summary'!BB62&lt;&gt;"",IF(LOWER('Capacity summary'!BB62)="x",$BI150*BB150,VALUE('Capacity summary'!BB62)),0),BB150*$BI150),BB150*$BI150),0)</f>
        <v>4.0384615384615383</v>
      </c>
      <c r="DF150" s="5">
        <f ca="1">IF($BI150&lt;&gt;"",IF('Capacity summary'!$C$14="Yes",IF(COUNTBLANK('Capacity summary'!$H62:$BG62)&lt;52,IF('Capacity summary'!BC62&lt;&gt;"",IF(LOWER('Capacity summary'!BC62)="x",$BI150*BC150,VALUE('Capacity summary'!BC62)),0),BC150*$BI150),BC150*$BI150),0)</f>
        <v>4.0384615384615383</v>
      </c>
      <c r="DG150" s="5">
        <f ca="1">IF($BI150&lt;&gt;"",IF('Capacity summary'!$C$14="Yes",IF(COUNTBLANK('Capacity summary'!$H62:$BG62)&lt;52,IF('Capacity summary'!BD62&lt;&gt;"",IF(LOWER('Capacity summary'!BD62)="x",$BI150*BD150,VALUE('Capacity summary'!BD62)),0),BD150*$BI150),BD150*$BI150),0)</f>
        <v>4.0384615384615383</v>
      </c>
      <c r="DH150" s="5">
        <f ca="1">IF($BI150&lt;&gt;"",IF('Capacity summary'!$C$14="Yes",IF(COUNTBLANK('Capacity summary'!$H62:$BG62)&lt;52,IF('Capacity summary'!BE62&lt;&gt;"",IF(LOWER('Capacity summary'!BE62)="x",$BI150*BE150,VALUE('Capacity summary'!BE62)),0),BE150*$BI150),BE150*$BI150),0)</f>
        <v>4.0384615384615383</v>
      </c>
      <c r="DI150" s="5">
        <f ca="1">IF($BI150&lt;&gt;"",IF('Capacity summary'!$C$14="Yes",IF(COUNTBLANK('Capacity summary'!$H62:$BG62)&lt;52,IF('Capacity summary'!BF62&lt;&gt;"",IF(LOWER('Capacity summary'!BF62)="x",$BI150*BF150,VALUE('Capacity summary'!BF62)),0),BF150*$BI150),BF150*$BI150),0)</f>
        <v>4.0384615384615383</v>
      </c>
      <c r="DJ150" s="5">
        <f ca="1">IF($BI150&lt;&gt;"",IF('Capacity summary'!$C$14="Yes",IF(COUNTBLANK('Capacity summary'!$H62:$BG62)&lt;52,IF('Capacity summary'!BG62&lt;&gt;"",IF(LOWER('Capacity summary'!BG62)="x",$BI150*BG150,VALUE('Capacity summary'!BG62)),0),BG150*$BI150),BG150*$BI150),0)</f>
        <v>4.0384615384615383</v>
      </c>
      <c r="DK150" s="388">
        <f t="shared" ca="1" si="8"/>
        <v>4.0384615384615383</v>
      </c>
      <c r="DL150" s="5">
        <f t="shared" ca="1" si="9"/>
        <v>210.00000000000011</v>
      </c>
    </row>
    <row r="151" spans="3:116" x14ac:dyDescent="0.2">
      <c r="C151" s="67" t="str">
        <f>ROW(A40)&amp;". "&amp;Capacity!N56</f>
        <v>40. 44415</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 ca="1">IF(ROW(A40)&lt;=Capacity!$M$16,IF('Capacity summary'!$C$14="No",SUM(H151:BG151),'Capacity summary'!$E63),0)</f>
        <v>52</v>
      </c>
      <c r="BI151" s="67">
        <f ca="1">IF(BH151&gt;0,IF(BH151&lt;Capacity!Q56,Capacity!R56,Capacity!T56/'Capacity calculation (hide)'!BH151),"")</f>
        <v>12.692307692307692</v>
      </c>
      <c r="BJ151" s="5"/>
      <c r="BK151" s="5">
        <f ca="1">IF($BI151&lt;&gt;"",IF('Capacity summary'!$C$14="Yes",IF(COUNTBLANK('Capacity summary'!$H63:$BG63)&lt;52,IF('Capacity summary'!H63&lt;&gt;"",IF(LOWER('Capacity summary'!H63)="x",$BI151*H151,VALUE('Capacity summary'!H63)),0),H151*$BI151),H151*$BI151),0)</f>
        <v>12.692307692307692</v>
      </c>
      <c r="BL151" s="5">
        <f ca="1">IF($BI151&lt;&gt;"",IF('Capacity summary'!$C$14="Yes",IF(COUNTBLANK('Capacity summary'!$H63:$BG63)&lt;52,IF('Capacity summary'!I63&lt;&gt;"",IF(LOWER('Capacity summary'!I63)="x",$BI151*I151,VALUE('Capacity summary'!I63)),0),I151*$BI151),I151*$BI151),0)</f>
        <v>12.692307692307692</v>
      </c>
      <c r="BM151" s="5">
        <f ca="1">IF($BI151&lt;&gt;"",IF('Capacity summary'!$C$14="Yes",IF(COUNTBLANK('Capacity summary'!$H63:$BG63)&lt;52,IF('Capacity summary'!J63&lt;&gt;"",IF(LOWER('Capacity summary'!J63)="x",$BI151*J151,VALUE('Capacity summary'!J63)),0),J151*$BI151),J151*$BI151),0)</f>
        <v>12.692307692307692</v>
      </c>
      <c r="BN151" s="5">
        <f ca="1">IF($BI151&lt;&gt;"",IF('Capacity summary'!$C$14="Yes",IF(COUNTBLANK('Capacity summary'!$H63:$BG63)&lt;52,IF('Capacity summary'!K63&lt;&gt;"",IF(LOWER('Capacity summary'!K63)="x",$BI151*K151,VALUE('Capacity summary'!K63)),0),K151*$BI151),K151*$BI151),0)</f>
        <v>12.692307692307692</v>
      </c>
      <c r="BO151" s="5">
        <f ca="1">IF($BI151&lt;&gt;"",IF('Capacity summary'!$C$14="Yes",IF(COUNTBLANK('Capacity summary'!$H63:$BG63)&lt;52,IF('Capacity summary'!L63&lt;&gt;"",IF(LOWER('Capacity summary'!L63)="x",$BI151*L151,VALUE('Capacity summary'!L63)),0),L151*$BI151),L151*$BI151),0)</f>
        <v>12.692307692307692</v>
      </c>
      <c r="BP151" s="5">
        <f ca="1">IF($BI151&lt;&gt;"",IF('Capacity summary'!$C$14="Yes",IF(COUNTBLANK('Capacity summary'!$H63:$BG63)&lt;52,IF('Capacity summary'!M63&lt;&gt;"",IF(LOWER('Capacity summary'!M63)="x",$BI151*M151,VALUE('Capacity summary'!M63)),0),M151*$BI151),M151*$BI151),0)</f>
        <v>12.692307692307692</v>
      </c>
      <c r="BQ151" s="5">
        <f ca="1">IF($BI151&lt;&gt;"",IF('Capacity summary'!$C$14="Yes",IF(COUNTBLANK('Capacity summary'!$H63:$BG63)&lt;52,IF('Capacity summary'!N63&lt;&gt;"",IF(LOWER('Capacity summary'!N63)="x",$BI151*N151,VALUE('Capacity summary'!N63)),0),N151*$BI151),N151*$BI151),0)</f>
        <v>12.692307692307692</v>
      </c>
      <c r="BR151" s="5">
        <f ca="1">IF($BI151&lt;&gt;"",IF('Capacity summary'!$C$14="Yes",IF(COUNTBLANK('Capacity summary'!$H63:$BG63)&lt;52,IF('Capacity summary'!O63&lt;&gt;"",IF(LOWER('Capacity summary'!O63)="x",$BI151*O151,VALUE('Capacity summary'!O63)),0),O151*$BI151),O151*$BI151),0)</f>
        <v>12.692307692307692</v>
      </c>
      <c r="BS151" s="5">
        <f ca="1">IF($BI151&lt;&gt;"",IF('Capacity summary'!$C$14="Yes",IF(COUNTBLANK('Capacity summary'!$H63:$BG63)&lt;52,IF('Capacity summary'!P63&lt;&gt;"",IF(LOWER('Capacity summary'!P63)="x",$BI151*P151,VALUE('Capacity summary'!P63)),0),P151*$BI151),P151*$BI151),0)</f>
        <v>12.692307692307692</v>
      </c>
      <c r="BT151" s="5">
        <f ca="1">IF($BI151&lt;&gt;"",IF('Capacity summary'!$C$14="Yes",IF(COUNTBLANK('Capacity summary'!$H63:$BG63)&lt;52,IF('Capacity summary'!Q63&lt;&gt;"",IF(LOWER('Capacity summary'!Q63)="x",$BI151*Q151,VALUE('Capacity summary'!Q63)),0),Q151*$BI151),Q151*$BI151),0)</f>
        <v>12.692307692307692</v>
      </c>
      <c r="BU151" s="5">
        <f ca="1">IF($BI151&lt;&gt;"",IF('Capacity summary'!$C$14="Yes",IF(COUNTBLANK('Capacity summary'!$H63:$BG63)&lt;52,IF('Capacity summary'!R63&lt;&gt;"",IF(LOWER('Capacity summary'!R63)="x",$BI151*R151,VALUE('Capacity summary'!R63)),0),R151*$BI151),R151*$BI151),0)</f>
        <v>12.692307692307692</v>
      </c>
      <c r="BV151" s="5">
        <f ca="1">IF($BI151&lt;&gt;"",IF('Capacity summary'!$C$14="Yes",IF(COUNTBLANK('Capacity summary'!$H63:$BG63)&lt;52,IF('Capacity summary'!S63&lt;&gt;"",IF(LOWER('Capacity summary'!S63)="x",$BI151*S151,VALUE('Capacity summary'!S63)),0),S151*$BI151),S151*$BI151),0)</f>
        <v>12.692307692307692</v>
      </c>
      <c r="BW151" s="5">
        <f ca="1">IF($BI151&lt;&gt;"",IF('Capacity summary'!$C$14="Yes",IF(COUNTBLANK('Capacity summary'!$H63:$BG63)&lt;52,IF('Capacity summary'!T63&lt;&gt;"",IF(LOWER('Capacity summary'!T63)="x",$BI151*T151,VALUE('Capacity summary'!T63)),0),T151*$BI151),T151*$BI151),0)</f>
        <v>12.692307692307692</v>
      </c>
      <c r="BX151" s="5">
        <f ca="1">IF($BI151&lt;&gt;"",IF('Capacity summary'!$C$14="Yes",IF(COUNTBLANK('Capacity summary'!$H63:$BG63)&lt;52,IF('Capacity summary'!U63&lt;&gt;"",IF(LOWER('Capacity summary'!U63)="x",$BI151*U151,VALUE('Capacity summary'!U63)),0),U151*$BI151),U151*$BI151),0)</f>
        <v>12.692307692307692</v>
      </c>
      <c r="BY151" s="5">
        <f ca="1">IF($BI151&lt;&gt;"",IF('Capacity summary'!$C$14="Yes",IF(COUNTBLANK('Capacity summary'!$H63:$BG63)&lt;52,IF('Capacity summary'!V63&lt;&gt;"",IF(LOWER('Capacity summary'!V63)="x",$BI151*V151,VALUE('Capacity summary'!V63)),0),V151*$BI151),V151*$BI151),0)</f>
        <v>12.692307692307692</v>
      </c>
      <c r="BZ151" s="5">
        <f ca="1">IF($BI151&lt;&gt;"",IF('Capacity summary'!$C$14="Yes",IF(COUNTBLANK('Capacity summary'!$H63:$BG63)&lt;52,IF('Capacity summary'!W63&lt;&gt;"",IF(LOWER('Capacity summary'!W63)="x",$BI151*W151,VALUE('Capacity summary'!W63)),0),W151*$BI151),W151*$BI151),0)</f>
        <v>12.692307692307692</v>
      </c>
      <c r="CA151" s="5">
        <f ca="1">IF($BI151&lt;&gt;"",IF('Capacity summary'!$C$14="Yes",IF(COUNTBLANK('Capacity summary'!$H63:$BG63)&lt;52,IF('Capacity summary'!X63&lt;&gt;"",IF(LOWER('Capacity summary'!X63)="x",$BI151*X151,VALUE('Capacity summary'!X63)),0),X151*$BI151),X151*$BI151),0)</f>
        <v>12.692307692307692</v>
      </c>
      <c r="CB151" s="5">
        <f ca="1">IF($BI151&lt;&gt;"",IF('Capacity summary'!$C$14="Yes",IF(COUNTBLANK('Capacity summary'!$H63:$BG63)&lt;52,IF('Capacity summary'!Y63&lt;&gt;"",IF(LOWER('Capacity summary'!Y63)="x",$BI151*Y151,VALUE('Capacity summary'!Y63)),0),Y151*$BI151),Y151*$BI151),0)</f>
        <v>12.692307692307692</v>
      </c>
      <c r="CC151" s="5">
        <f ca="1">IF($BI151&lt;&gt;"",IF('Capacity summary'!$C$14="Yes",IF(COUNTBLANK('Capacity summary'!$H63:$BG63)&lt;52,IF('Capacity summary'!Z63&lt;&gt;"",IF(LOWER('Capacity summary'!Z63)="x",$BI151*Z151,VALUE('Capacity summary'!Z63)),0),Z151*$BI151),Z151*$BI151),0)</f>
        <v>12.692307692307692</v>
      </c>
      <c r="CD151" s="5">
        <f ca="1">IF($BI151&lt;&gt;"",IF('Capacity summary'!$C$14="Yes",IF(COUNTBLANK('Capacity summary'!$H63:$BG63)&lt;52,IF('Capacity summary'!AA63&lt;&gt;"",IF(LOWER('Capacity summary'!AA63)="x",$BI151*AA151,VALUE('Capacity summary'!AA63)),0),AA151*$BI151),AA151*$BI151),0)</f>
        <v>12.692307692307692</v>
      </c>
      <c r="CE151" s="5">
        <f ca="1">IF($BI151&lt;&gt;"",IF('Capacity summary'!$C$14="Yes",IF(COUNTBLANK('Capacity summary'!$H63:$BG63)&lt;52,IF('Capacity summary'!AB63&lt;&gt;"",IF(LOWER('Capacity summary'!AB63)="x",$BI151*AB151,VALUE('Capacity summary'!AB63)),0),AB151*$BI151),AB151*$BI151),0)</f>
        <v>12.692307692307692</v>
      </c>
      <c r="CF151" s="5">
        <f ca="1">IF($BI151&lt;&gt;"",IF('Capacity summary'!$C$14="Yes",IF(COUNTBLANK('Capacity summary'!$H63:$BG63)&lt;52,IF('Capacity summary'!AC63&lt;&gt;"",IF(LOWER('Capacity summary'!AC63)="x",$BI151*AC151,VALUE('Capacity summary'!AC63)),0),AC151*$BI151),AC151*$BI151),0)</f>
        <v>12.692307692307692</v>
      </c>
      <c r="CG151" s="5">
        <f ca="1">IF($BI151&lt;&gt;"",IF('Capacity summary'!$C$14="Yes",IF(COUNTBLANK('Capacity summary'!$H63:$BG63)&lt;52,IF('Capacity summary'!AD63&lt;&gt;"",IF(LOWER('Capacity summary'!AD63)="x",$BI151*AD151,VALUE('Capacity summary'!AD63)),0),AD151*$BI151),AD151*$BI151),0)</f>
        <v>12.692307692307692</v>
      </c>
      <c r="CH151" s="5">
        <f ca="1">IF($BI151&lt;&gt;"",IF('Capacity summary'!$C$14="Yes",IF(COUNTBLANK('Capacity summary'!$H63:$BG63)&lt;52,IF('Capacity summary'!AE63&lt;&gt;"",IF(LOWER('Capacity summary'!AE63)="x",$BI151*AE151,VALUE('Capacity summary'!AE63)),0),AE151*$BI151),AE151*$BI151),0)</f>
        <v>12.692307692307692</v>
      </c>
      <c r="CI151" s="5">
        <f ca="1">IF($BI151&lt;&gt;"",IF('Capacity summary'!$C$14="Yes",IF(COUNTBLANK('Capacity summary'!$H63:$BG63)&lt;52,IF('Capacity summary'!AF63&lt;&gt;"",IF(LOWER('Capacity summary'!AF63)="x",$BI151*AF151,VALUE('Capacity summary'!AF63)),0),AF151*$BI151),AF151*$BI151),0)</f>
        <v>12.692307692307692</v>
      </c>
      <c r="CJ151" s="5">
        <f ca="1">IF($BI151&lt;&gt;"",IF('Capacity summary'!$C$14="Yes",IF(COUNTBLANK('Capacity summary'!$H63:$BG63)&lt;52,IF('Capacity summary'!AG63&lt;&gt;"",IF(LOWER('Capacity summary'!AG63)="x",$BI151*AG151,VALUE('Capacity summary'!AG63)),0),AG151*$BI151),AG151*$BI151),0)</f>
        <v>12.692307692307692</v>
      </c>
      <c r="CK151" s="5">
        <f ca="1">IF($BI151&lt;&gt;"",IF('Capacity summary'!$C$14="Yes",IF(COUNTBLANK('Capacity summary'!$H63:$BG63)&lt;52,IF('Capacity summary'!AH63&lt;&gt;"",IF(LOWER('Capacity summary'!AH63)="x",$BI151*AH151,VALUE('Capacity summary'!AH63)),0),AH151*$BI151),AH151*$BI151),0)</f>
        <v>12.692307692307692</v>
      </c>
      <c r="CL151" s="5">
        <f ca="1">IF($BI151&lt;&gt;"",IF('Capacity summary'!$C$14="Yes",IF(COUNTBLANK('Capacity summary'!$H63:$BG63)&lt;52,IF('Capacity summary'!AI63&lt;&gt;"",IF(LOWER('Capacity summary'!AI63)="x",$BI151*AI151,VALUE('Capacity summary'!AI63)),0),AI151*$BI151),AI151*$BI151),0)</f>
        <v>12.692307692307692</v>
      </c>
      <c r="CM151" s="5">
        <f ca="1">IF($BI151&lt;&gt;"",IF('Capacity summary'!$C$14="Yes",IF(COUNTBLANK('Capacity summary'!$H63:$BG63)&lt;52,IF('Capacity summary'!AJ63&lt;&gt;"",IF(LOWER('Capacity summary'!AJ63)="x",$BI151*AJ151,VALUE('Capacity summary'!AJ63)),0),AJ151*$BI151),AJ151*$BI151),0)</f>
        <v>12.692307692307692</v>
      </c>
      <c r="CN151" s="5">
        <f ca="1">IF($BI151&lt;&gt;"",IF('Capacity summary'!$C$14="Yes",IF(COUNTBLANK('Capacity summary'!$H63:$BG63)&lt;52,IF('Capacity summary'!AK63&lt;&gt;"",IF(LOWER('Capacity summary'!AK63)="x",$BI151*AK151,VALUE('Capacity summary'!AK63)),0),AK151*$BI151),AK151*$BI151),0)</f>
        <v>12.692307692307692</v>
      </c>
      <c r="CO151" s="5">
        <f ca="1">IF($BI151&lt;&gt;"",IF('Capacity summary'!$C$14="Yes",IF(COUNTBLANK('Capacity summary'!$H63:$BG63)&lt;52,IF('Capacity summary'!AL63&lt;&gt;"",IF(LOWER('Capacity summary'!AL63)="x",$BI151*AL151,VALUE('Capacity summary'!AL63)),0),AL151*$BI151),AL151*$BI151),0)</f>
        <v>12.692307692307692</v>
      </c>
      <c r="CP151" s="5">
        <f ca="1">IF($BI151&lt;&gt;"",IF('Capacity summary'!$C$14="Yes",IF(COUNTBLANK('Capacity summary'!$H63:$BG63)&lt;52,IF('Capacity summary'!AM63&lt;&gt;"",IF(LOWER('Capacity summary'!AM63)="x",$BI151*AM151,VALUE('Capacity summary'!AM63)),0),AM151*$BI151),AM151*$BI151),0)</f>
        <v>12.692307692307692</v>
      </c>
      <c r="CQ151" s="5">
        <f ca="1">IF($BI151&lt;&gt;"",IF('Capacity summary'!$C$14="Yes",IF(COUNTBLANK('Capacity summary'!$H63:$BG63)&lt;52,IF('Capacity summary'!AN63&lt;&gt;"",IF(LOWER('Capacity summary'!AN63)="x",$BI151*AN151,VALUE('Capacity summary'!AN63)),0),AN151*$BI151),AN151*$BI151),0)</f>
        <v>12.692307692307692</v>
      </c>
      <c r="CR151" s="5">
        <f ca="1">IF($BI151&lt;&gt;"",IF('Capacity summary'!$C$14="Yes",IF(COUNTBLANK('Capacity summary'!$H63:$BG63)&lt;52,IF('Capacity summary'!AO63&lt;&gt;"",IF(LOWER('Capacity summary'!AO63)="x",$BI151*AO151,VALUE('Capacity summary'!AO63)),0),AO151*$BI151),AO151*$BI151),0)</f>
        <v>12.692307692307692</v>
      </c>
      <c r="CS151" s="5">
        <f ca="1">IF($BI151&lt;&gt;"",IF('Capacity summary'!$C$14="Yes",IF(COUNTBLANK('Capacity summary'!$H63:$BG63)&lt;52,IF('Capacity summary'!AP63&lt;&gt;"",IF(LOWER('Capacity summary'!AP63)="x",$BI151*AP151,VALUE('Capacity summary'!AP63)),0),AP151*$BI151),AP151*$BI151),0)</f>
        <v>12.692307692307692</v>
      </c>
      <c r="CT151" s="5">
        <f ca="1">IF($BI151&lt;&gt;"",IF('Capacity summary'!$C$14="Yes",IF(COUNTBLANK('Capacity summary'!$H63:$BG63)&lt;52,IF('Capacity summary'!AQ63&lt;&gt;"",IF(LOWER('Capacity summary'!AQ63)="x",$BI151*AQ151,VALUE('Capacity summary'!AQ63)),0),AQ151*$BI151),AQ151*$BI151),0)</f>
        <v>12.692307692307692</v>
      </c>
      <c r="CU151" s="5">
        <f ca="1">IF($BI151&lt;&gt;"",IF('Capacity summary'!$C$14="Yes",IF(COUNTBLANK('Capacity summary'!$H63:$BG63)&lt;52,IF('Capacity summary'!AR63&lt;&gt;"",IF(LOWER('Capacity summary'!AR63)="x",$BI151*AR151,VALUE('Capacity summary'!AR63)),0),AR151*$BI151),AR151*$BI151),0)</f>
        <v>12.692307692307692</v>
      </c>
      <c r="CV151" s="5">
        <f ca="1">IF($BI151&lt;&gt;"",IF('Capacity summary'!$C$14="Yes",IF(COUNTBLANK('Capacity summary'!$H63:$BG63)&lt;52,IF('Capacity summary'!AS63&lt;&gt;"",IF(LOWER('Capacity summary'!AS63)="x",$BI151*AS151,VALUE('Capacity summary'!AS63)),0),AS151*$BI151),AS151*$BI151),0)</f>
        <v>12.692307692307692</v>
      </c>
      <c r="CW151" s="5">
        <f ca="1">IF($BI151&lt;&gt;"",IF('Capacity summary'!$C$14="Yes",IF(COUNTBLANK('Capacity summary'!$H63:$BG63)&lt;52,IF('Capacity summary'!AT63&lt;&gt;"",IF(LOWER('Capacity summary'!AT63)="x",$BI151*AT151,VALUE('Capacity summary'!AT63)),0),AT151*$BI151),AT151*$BI151),0)</f>
        <v>12.692307692307692</v>
      </c>
      <c r="CX151" s="5">
        <f ca="1">IF($BI151&lt;&gt;"",IF('Capacity summary'!$C$14="Yes",IF(COUNTBLANK('Capacity summary'!$H63:$BG63)&lt;52,IF('Capacity summary'!AU63&lt;&gt;"",IF(LOWER('Capacity summary'!AU63)="x",$BI151*AU151,VALUE('Capacity summary'!AU63)),0),AU151*$BI151),AU151*$BI151),0)</f>
        <v>12.692307692307692</v>
      </c>
      <c r="CY151" s="5">
        <f ca="1">IF($BI151&lt;&gt;"",IF('Capacity summary'!$C$14="Yes",IF(COUNTBLANK('Capacity summary'!$H63:$BG63)&lt;52,IF('Capacity summary'!AV63&lt;&gt;"",IF(LOWER('Capacity summary'!AV63)="x",$BI151*AV151,VALUE('Capacity summary'!AV63)),0),AV151*$BI151),AV151*$BI151),0)</f>
        <v>12.692307692307692</v>
      </c>
      <c r="CZ151" s="5">
        <f ca="1">IF($BI151&lt;&gt;"",IF('Capacity summary'!$C$14="Yes",IF(COUNTBLANK('Capacity summary'!$H63:$BG63)&lt;52,IF('Capacity summary'!AW63&lt;&gt;"",IF(LOWER('Capacity summary'!AW63)="x",$BI151*AW151,VALUE('Capacity summary'!AW63)),0),AW151*$BI151),AW151*$BI151),0)</f>
        <v>12.692307692307692</v>
      </c>
      <c r="DA151" s="5">
        <f ca="1">IF($BI151&lt;&gt;"",IF('Capacity summary'!$C$14="Yes",IF(COUNTBLANK('Capacity summary'!$H63:$BG63)&lt;52,IF('Capacity summary'!AX63&lt;&gt;"",IF(LOWER('Capacity summary'!AX63)="x",$BI151*AX151,VALUE('Capacity summary'!AX63)),0),AX151*$BI151),AX151*$BI151),0)</f>
        <v>12.692307692307692</v>
      </c>
      <c r="DB151" s="5">
        <f ca="1">IF($BI151&lt;&gt;"",IF('Capacity summary'!$C$14="Yes",IF(COUNTBLANK('Capacity summary'!$H63:$BG63)&lt;52,IF('Capacity summary'!AY63&lt;&gt;"",IF(LOWER('Capacity summary'!AY63)="x",$BI151*AY151,VALUE('Capacity summary'!AY63)),0),AY151*$BI151),AY151*$BI151),0)</f>
        <v>12.692307692307692</v>
      </c>
      <c r="DC151" s="5">
        <f ca="1">IF($BI151&lt;&gt;"",IF('Capacity summary'!$C$14="Yes",IF(COUNTBLANK('Capacity summary'!$H63:$BG63)&lt;52,IF('Capacity summary'!AZ63&lt;&gt;"",IF(LOWER('Capacity summary'!AZ63)="x",$BI151*AZ151,VALUE('Capacity summary'!AZ63)),0),AZ151*$BI151),AZ151*$BI151),0)</f>
        <v>12.692307692307692</v>
      </c>
      <c r="DD151" s="5">
        <f ca="1">IF($BI151&lt;&gt;"",IF('Capacity summary'!$C$14="Yes",IF(COUNTBLANK('Capacity summary'!$H63:$BG63)&lt;52,IF('Capacity summary'!BA63&lt;&gt;"",IF(LOWER('Capacity summary'!BA63)="x",$BI151*BA151,VALUE('Capacity summary'!BA63)),0),BA151*$BI151),BA151*$BI151),0)</f>
        <v>12.692307692307692</v>
      </c>
      <c r="DE151" s="5">
        <f ca="1">IF($BI151&lt;&gt;"",IF('Capacity summary'!$C$14="Yes",IF(COUNTBLANK('Capacity summary'!$H63:$BG63)&lt;52,IF('Capacity summary'!BB63&lt;&gt;"",IF(LOWER('Capacity summary'!BB63)="x",$BI151*BB151,VALUE('Capacity summary'!BB63)),0),BB151*$BI151),BB151*$BI151),0)</f>
        <v>12.692307692307692</v>
      </c>
      <c r="DF151" s="5">
        <f ca="1">IF($BI151&lt;&gt;"",IF('Capacity summary'!$C$14="Yes",IF(COUNTBLANK('Capacity summary'!$H63:$BG63)&lt;52,IF('Capacity summary'!BC63&lt;&gt;"",IF(LOWER('Capacity summary'!BC63)="x",$BI151*BC151,VALUE('Capacity summary'!BC63)),0),BC151*$BI151),BC151*$BI151),0)</f>
        <v>12.692307692307692</v>
      </c>
      <c r="DG151" s="5">
        <f ca="1">IF($BI151&lt;&gt;"",IF('Capacity summary'!$C$14="Yes",IF(COUNTBLANK('Capacity summary'!$H63:$BG63)&lt;52,IF('Capacity summary'!BD63&lt;&gt;"",IF(LOWER('Capacity summary'!BD63)="x",$BI151*BD151,VALUE('Capacity summary'!BD63)),0),BD151*$BI151),BD151*$BI151),0)</f>
        <v>12.692307692307692</v>
      </c>
      <c r="DH151" s="5">
        <f ca="1">IF($BI151&lt;&gt;"",IF('Capacity summary'!$C$14="Yes",IF(COUNTBLANK('Capacity summary'!$H63:$BG63)&lt;52,IF('Capacity summary'!BE63&lt;&gt;"",IF(LOWER('Capacity summary'!BE63)="x",$BI151*BE151,VALUE('Capacity summary'!BE63)),0),BE151*$BI151),BE151*$BI151),0)</f>
        <v>12.692307692307692</v>
      </c>
      <c r="DI151" s="5">
        <f ca="1">IF($BI151&lt;&gt;"",IF('Capacity summary'!$C$14="Yes",IF(COUNTBLANK('Capacity summary'!$H63:$BG63)&lt;52,IF('Capacity summary'!BF63&lt;&gt;"",IF(LOWER('Capacity summary'!BF63)="x",$BI151*BF151,VALUE('Capacity summary'!BF63)),0),BF151*$BI151),BF151*$BI151),0)</f>
        <v>12.692307692307692</v>
      </c>
      <c r="DJ151" s="5">
        <f ca="1">IF($BI151&lt;&gt;"",IF('Capacity summary'!$C$14="Yes",IF(COUNTBLANK('Capacity summary'!$H63:$BG63)&lt;52,IF('Capacity summary'!BG63&lt;&gt;"",IF(LOWER('Capacity summary'!BG63)="x",$BI151*BG151,VALUE('Capacity summary'!BG63)),0),BG151*$BI151),BG151*$BI151),0)</f>
        <v>12.692307692307692</v>
      </c>
      <c r="DK151" s="388">
        <f t="shared" ca="1" si="8"/>
        <v>12.692307692307692</v>
      </c>
      <c r="DL151" s="5">
        <f t="shared" ca="1" si="9"/>
        <v>660.00000000000011</v>
      </c>
    </row>
    <row r="152" spans="3:116" x14ac:dyDescent="0.2">
      <c r="C152" s="67" t="str">
        <f>ROW(A41)&amp;". "&amp;Capacity!N57</f>
        <v>41. 44416</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 ca="1">IF(ROW(A41)&lt;=Capacity!$M$16,IF('Capacity summary'!$C$14="No",SUM(H152:BG152),'Capacity summary'!$E64),0)</f>
        <v>52</v>
      </c>
      <c r="BI152" s="67">
        <f ca="1">IF(BH152&gt;0,IF(BH152&lt;Capacity!Q57,Capacity!R57,Capacity!T57/'Capacity calculation (hide)'!BH152),"")</f>
        <v>12.692307692307692</v>
      </c>
      <c r="BJ152" s="5"/>
      <c r="BK152" s="5">
        <f ca="1">IF($BI152&lt;&gt;"",IF('Capacity summary'!$C$14="Yes",IF(COUNTBLANK('Capacity summary'!$H64:$BG64)&lt;52,IF('Capacity summary'!H64&lt;&gt;"",IF(LOWER('Capacity summary'!H64)="x",$BI152*H152,VALUE('Capacity summary'!H64)),0),H152*$BI152),H152*$BI152),0)</f>
        <v>12.692307692307692</v>
      </c>
      <c r="BL152" s="5">
        <f ca="1">IF($BI152&lt;&gt;"",IF('Capacity summary'!$C$14="Yes",IF(COUNTBLANK('Capacity summary'!$H64:$BG64)&lt;52,IF('Capacity summary'!I64&lt;&gt;"",IF(LOWER('Capacity summary'!I64)="x",$BI152*I152,VALUE('Capacity summary'!I64)),0),I152*$BI152),I152*$BI152),0)</f>
        <v>12.692307692307692</v>
      </c>
      <c r="BM152" s="5">
        <f ca="1">IF($BI152&lt;&gt;"",IF('Capacity summary'!$C$14="Yes",IF(COUNTBLANK('Capacity summary'!$H64:$BG64)&lt;52,IF('Capacity summary'!J64&lt;&gt;"",IF(LOWER('Capacity summary'!J64)="x",$BI152*J152,VALUE('Capacity summary'!J64)),0),J152*$BI152),J152*$BI152),0)</f>
        <v>12.692307692307692</v>
      </c>
      <c r="BN152" s="5">
        <f ca="1">IF($BI152&lt;&gt;"",IF('Capacity summary'!$C$14="Yes",IF(COUNTBLANK('Capacity summary'!$H64:$BG64)&lt;52,IF('Capacity summary'!K64&lt;&gt;"",IF(LOWER('Capacity summary'!K64)="x",$BI152*K152,VALUE('Capacity summary'!K64)),0),K152*$BI152),K152*$BI152),0)</f>
        <v>12.692307692307692</v>
      </c>
      <c r="BO152" s="5">
        <f ca="1">IF($BI152&lt;&gt;"",IF('Capacity summary'!$C$14="Yes",IF(COUNTBLANK('Capacity summary'!$H64:$BG64)&lt;52,IF('Capacity summary'!L64&lt;&gt;"",IF(LOWER('Capacity summary'!L64)="x",$BI152*L152,VALUE('Capacity summary'!L64)),0),L152*$BI152),L152*$BI152),0)</f>
        <v>12.692307692307692</v>
      </c>
      <c r="BP152" s="5">
        <f ca="1">IF($BI152&lt;&gt;"",IF('Capacity summary'!$C$14="Yes",IF(COUNTBLANK('Capacity summary'!$H64:$BG64)&lt;52,IF('Capacity summary'!M64&lt;&gt;"",IF(LOWER('Capacity summary'!M64)="x",$BI152*M152,VALUE('Capacity summary'!M64)),0),M152*$BI152),M152*$BI152),0)</f>
        <v>12.692307692307692</v>
      </c>
      <c r="BQ152" s="5">
        <f ca="1">IF($BI152&lt;&gt;"",IF('Capacity summary'!$C$14="Yes",IF(COUNTBLANK('Capacity summary'!$H64:$BG64)&lt;52,IF('Capacity summary'!N64&lt;&gt;"",IF(LOWER('Capacity summary'!N64)="x",$BI152*N152,VALUE('Capacity summary'!N64)),0),N152*$BI152),N152*$BI152),0)</f>
        <v>12.692307692307692</v>
      </c>
      <c r="BR152" s="5">
        <f ca="1">IF($BI152&lt;&gt;"",IF('Capacity summary'!$C$14="Yes",IF(COUNTBLANK('Capacity summary'!$H64:$BG64)&lt;52,IF('Capacity summary'!O64&lt;&gt;"",IF(LOWER('Capacity summary'!O64)="x",$BI152*O152,VALUE('Capacity summary'!O64)),0),O152*$BI152),O152*$BI152),0)</f>
        <v>12.692307692307692</v>
      </c>
      <c r="BS152" s="5">
        <f ca="1">IF($BI152&lt;&gt;"",IF('Capacity summary'!$C$14="Yes",IF(COUNTBLANK('Capacity summary'!$H64:$BG64)&lt;52,IF('Capacity summary'!P64&lt;&gt;"",IF(LOWER('Capacity summary'!P64)="x",$BI152*P152,VALUE('Capacity summary'!P64)),0),P152*$BI152),P152*$BI152),0)</f>
        <v>12.692307692307692</v>
      </c>
      <c r="BT152" s="5">
        <f ca="1">IF($BI152&lt;&gt;"",IF('Capacity summary'!$C$14="Yes",IF(COUNTBLANK('Capacity summary'!$H64:$BG64)&lt;52,IF('Capacity summary'!Q64&lt;&gt;"",IF(LOWER('Capacity summary'!Q64)="x",$BI152*Q152,VALUE('Capacity summary'!Q64)),0),Q152*$BI152),Q152*$BI152),0)</f>
        <v>12.692307692307692</v>
      </c>
      <c r="BU152" s="5">
        <f ca="1">IF($BI152&lt;&gt;"",IF('Capacity summary'!$C$14="Yes",IF(COUNTBLANK('Capacity summary'!$H64:$BG64)&lt;52,IF('Capacity summary'!R64&lt;&gt;"",IF(LOWER('Capacity summary'!R64)="x",$BI152*R152,VALUE('Capacity summary'!R64)),0),R152*$BI152),R152*$BI152),0)</f>
        <v>12.692307692307692</v>
      </c>
      <c r="BV152" s="5">
        <f ca="1">IF($BI152&lt;&gt;"",IF('Capacity summary'!$C$14="Yes",IF(COUNTBLANK('Capacity summary'!$H64:$BG64)&lt;52,IF('Capacity summary'!S64&lt;&gt;"",IF(LOWER('Capacity summary'!S64)="x",$BI152*S152,VALUE('Capacity summary'!S64)),0),S152*$BI152),S152*$BI152),0)</f>
        <v>12.692307692307692</v>
      </c>
      <c r="BW152" s="5">
        <f ca="1">IF($BI152&lt;&gt;"",IF('Capacity summary'!$C$14="Yes",IF(COUNTBLANK('Capacity summary'!$H64:$BG64)&lt;52,IF('Capacity summary'!T64&lt;&gt;"",IF(LOWER('Capacity summary'!T64)="x",$BI152*T152,VALUE('Capacity summary'!T64)),0),T152*$BI152),T152*$BI152),0)</f>
        <v>12.692307692307692</v>
      </c>
      <c r="BX152" s="5">
        <f ca="1">IF($BI152&lt;&gt;"",IF('Capacity summary'!$C$14="Yes",IF(COUNTBLANK('Capacity summary'!$H64:$BG64)&lt;52,IF('Capacity summary'!U64&lt;&gt;"",IF(LOWER('Capacity summary'!U64)="x",$BI152*U152,VALUE('Capacity summary'!U64)),0),U152*$BI152),U152*$BI152),0)</f>
        <v>12.692307692307692</v>
      </c>
      <c r="BY152" s="5">
        <f ca="1">IF($BI152&lt;&gt;"",IF('Capacity summary'!$C$14="Yes",IF(COUNTBLANK('Capacity summary'!$H64:$BG64)&lt;52,IF('Capacity summary'!V64&lt;&gt;"",IF(LOWER('Capacity summary'!V64)="x",$BI152*V152,VALUE('Capacity summary'!V64)),0),V152*$BI152),V152*$BI152),0)</f>
        <v>12.692307692307692</v>
      </c>
      <c r="BZ152" s="5">
        <f ca="1">IF($BI152&lt;&gt;"",IF('Capacity summary'!$C$14="Yes",IF(COUNTBLANK('Capacity summary'!$H64:$BG64)&lt;52,IF('Capacity summary'!W64&lt;&gt;"",IF(LOWER('Capacity summary'!W64)="x",$BI152*W152,VALUE('Capacity summary'!W64)),0),W152*$BI152),W152*$BI152),0)</f>
        <v>12.692307692307692</v>
      </c>
      <c r="CA152" s="5">
        <f ca="1">IF($BI152&lt;&gt;"",IF('Capacity summary'!$C$14="Yes",IF(COUNTBLANK('Capacity summary'!$H64:$BG64)&lt;52,IF('Capacity summary'!X64&lt;&gt;"",IF(LOWER('Capacity summary'!X64)="x",$BI152*X152,VALUE('Capacity summary'!X64)),0),X152*$BI152),X152*$BI152),0)</f>
        <v>12.692307692307692</v>
      </c>
      <c r="CB152" s="5">
        <f ca="1">IF($BI152&lt;&gt;"",IF('Capacity summary'!$C$14="Yes",IF(COUNTBLANK('Capacity summary'!$H64:$BG64)&lt;52,IF('Capacity summary'!Y64&lt;&gt;"",IF(LOWER('Capacity summary'!Y64)="x",$BI152*Y152,VALUE('Capacity summary'!Y64)),0),Y152*$BI152),Y152*$BI152),0)</f>
        <v>12.692307692307692</v>
      </c>
      <c r="CC152" s="5">
        <f ca="1">IF($BI152&lt;&gt;"",IF('Capacity summary'!$C$14="Yes",IF(COUNTBLANK('Capacity summary'!$H64:$BG64)&lt;52,IF('Capacity summary'!Z64&lt;&gt;"",IF(LOWER('Capacity summary'!Z64)="x",$BI152*Z152,VALUE('Capacity summary'!Z64)),0),Z152*$BI152),Z152*$BI152),0)</f>
        <v>12.692307692307692</v>
      </c>
      <c r="CD152" s="5">
        <f ca="1">IF($BI152&lt;&gt;"",IF('Capacity summary'!$C$14="Yes",IF(COUNTBLANK('Capacity summary'!$H64:$BG64)&lt;52,IF('Capacity summary'!AA64&lt;&gt;"",IF(LOWER('Capacity summary'!AA64)="x",$BI152*AA152,VALUE('Capacity summary'!AA64)),0),AA152*$BI152),AA152*$BI152),0)</f>
        <v>12.692307692307692</v>
      </c>
      <c r="CE152" s="5">
        <f ca="1">IF($BI152&lt;&gt;"",IF('Capacity summary'!$C$14="Yes",IF(COUNTBLANK('Capacity summary'!$H64:$BG64)&lt;52,IF('Capacity summary'!AB64&lt;&gt;"",IF(LOWER('Capacity summary'!AB64)="x",$BI152*AB152,VALUE('Capacity summary'!AB64)),0),AB152*$BI152),AB152*$BI152),0)</f>
        <v>12.692307692307692</v>
      </c>
      <c r="CF152" s="5">
        <f ca="1">IF($BI152&lt;&gt;"",IF('Capacity summary'!$C$14="Yes",IF(COUNTBLANK('Capacity summary'!$H64:$BG64)&lt;52,IF('Capacity summary'!AC64&lt;&gt;"",IF(LOWER('Capacity summary'!AC64)="x",$BI152*AC152,VALUE('Capacity summary'!AC64)),0),AC152*$BI152),AC152*$BI152),0)</f>
        <v>12.692307692307692</v>
      </c>
      <c r="CG152" s="5">
        <f ca="1">IF($BI152&lt;&gt;"",IF('Capacity summary'!$C$14="Yes",IF(COUNTBLANK('Capacity summary'!$H64:$BG64)&lt;52,IF('Capacity summary'!AD64&lt;&gt;"",IF(LOWER('Capacity summary'!AD64)="x",$BI152*AD152,VALUE('Capacity summary'!AD64)),0),AD152*$BI152),AD152*$BI152),0)</f>
        <v>12.692307692307692</v>
      </c>
      <c r="CH152" s="5">
        <f ca="1">IF($BI152&lt;&gt;"",IF('Capacity summary'!$C$14="Yes",IF(COUNTBLANK('Capacity summary'!$H64:$BG64)&lt;52,IF('Capacity summary'!AE64&lt;&gt;"",IF(LOWER('Capacity summary'!AE64)="x",$BI152*AE152,VALUE('Capacity summary'!AE64)),0),AE152*$BI152),AE152*$BI152),0)</f>
        <v>12.692307692307692</v>
      </c>
      <c r="CI152" s="5">
        <f ca="1">IF($BI152&lt;&gt;"",IF('Capacity summary'!$C$14="Yes",IF(COUNTBLANK('Capacity summary'!$H64:$BG64)&lt;52,IF('Capacity summary'!AF64&lt;&gt;"",IF(LOWER('Capacity summary'!AF64)="x",$BI152*AF152,VALUE('Capacity summary'!AF64)),0),AF152*$BI152),AF152*$BI152),0)</f>
        <v>12.692307692307692</v>
      </c>
      <c r="CJ152" s="5">
        <f ca="1">IF($BI152&lt;&gt;"",IF('Capacity summary'!$C$14="Yes",IF(COUNTBLANK('Capacity summary'!$H64:$BG64)&lt;52,IF('Capacity summary'!AG64&lt;&gt;"",IF(LOWER('Capacity summary'!AG64)="x",$BI152*AG152,VALUE('Capacity summary'!AG64)),0),AG152*$BI152),AG152*$BI152),0)</f>
        <v>12.692307692307692</v>
      </c>
      <c r="CK152" s="5">
        <f ca="1">IF($BI152&lt;&gt;"",IF('Capacity summary'!$C$14="Yes",IF(COUNTBLANK('Capacity summary'!$H64:$BG64)&lt;52,IF('Capacity summary'!AH64&lt;&gt;"",IF(LOWER('Capacity summary'!AH64)="x",$BI152*AH152,VALUE('Capacity summary'!AH64)),0),AH152*$BI152),AH152*$BI152),0)</f>
        <v>12.692307692307692</v>
      </c>
      <c r="CL152" s="5">
        <f ca="1">IF($BI152&lt;&gt;"",IF('Capacity summary'!$C$14="Yes",IF(COUNTBLANK('Capacity summary'!$H64:$BG64)&lt;52,IF('Capacity summary'!AI64&lt;&gt;"",IF(LOWER('Capacity summary'!AI64)="x",$BI152*AI152,VALUE('Capacity summary'!AI64)),0),AI152*$BI152),AI152*$BI152),0)</f>
        <v>12.692307692307692</v>
      </c>
      <c r="CM152" s="5">
        <f ca="1">IF($BI152&lt;&gt;"",IF('Capacity summary'!$C$14="Yes",IF(COUNTBLANK('Capacity summary'!$H64:$BG64)&lt;52,IF('Capacity summary'!AJ64&lt;&gt;"",IF(LOWER('Capacity summary'!AJ64)="x",$BI152*AJ152,VALUE('Capacity summary'!AJ64)),0),AJ152*$BI152),AJ152*$BI152),0)</f>
        <v>12.692307692307692</v>
      </c>
      <c r="CN152" s="5">
        <f ca="1">IF($BI152&lt;&gt;"",IF('Capacity summary'!$C$14="Yes",IF(COUNTBLANK('Capacity summary'!$H64:$BG64)&lt;52,IF('Capacity summary'!AK64&lt;&gt;"",IF(LOWER('Capacity summary'!AK64)="x",$BI152*AK152,VALUE('Capacity summary'!AK64)),0),AK152*$BI152),AK152*$BI152),0)</f>
        <v>12.692307692307692</v>
      </c>
      <c r="CO152" s="5">
        <f ca="1">IF($BI152&lt;&gt;"",IF('Capacity summary'!$C$14="Yes",IF(COUNTBLANK('Capacity summary'!$H64:$BG64)&lt;52,IF('Capacity summary'!AL64&lt;&gt;"",IF(LOWER('Capacity summary'!AL64)="x",$BI152*AL152,VALUE('Capacity summary'!AL64)),0),AL152*$BI152),AL152*$BI152),0)</f>
        <v>12.692307692307692</v>
      </c>
      <c r="CP152" s="5">
        <f ca="1">IF($BI152&lt;&gt;"",IF('Capacity summary'!$C$14="Yes",IF(COUNTBLANK('Capacity summary'!$H64:$BG64)&lt;52,IF('Capacity summary'!AM64&lt;&gt;"",IF(LOWER('Capacity summary'!AM64)="x",$BI152*AM152,VALUE('Capacity summary'!AM64)),0),AM152*$BI152),AM152*$BI152),0)</f>
        <v>12.692307692307692</v>
      </c>
      <c r="CQ152" s="5">
        <f ca="1">IF($BI152&lt;&gt;"",IF('Capacity summary'!$C$14="Yes",IF(COUNTBLANK('Capacity summary'!$H64:$BG64)&lt;52,IF('Capacity summary'!AN64&lt;&gt;"",IF(LOWER('Capacity summary'!AN64)="x",$BI152*AN152,VALUE('Capacity summary'!AN64)),0),AN152*$BI152),AN152*$BI152),0)</f>
        <v>12.692307692307692</v>
      </c>
      <c r="CR152" s="5">
        <f ca="1">IF($BI152&lt;&gt;"",IF('Capacity summary'!$C$14="Yes",IF(COUNTBLANK('Capacity summary'!$H64:$BG64)&lt;52,IF('Capacity summary'!AO64&lt;&gt;"",IF(LOWER('Capacity summary'!AO64)="x",$BI152*AO152,VALUE('Capacity summary'!AO64)),0),AO152*$BI152),AO152*$BI152),0)</f>
        <v>12.692307692307692</v>
      </c>
      <c r="CS152" s="5">
        <f ca="1">IF($BI152&lt;&gt;"",IF('Capacity summary'!$C$14="Yes",IF(COUNTBLANK('Capacity summary'!$H64:$BG64)&lt;52,IF('Capacity summary'!AP64&lt;&gt;"",IF(LOWER('Capacity summary'!AP64)="x",$BI152*AP152,VALUE('Capacity summary'!AP64)),0),AP152*$BI152),AP152*$BI152),0)</f>
        <v>12.692307692307692</v>
      </c>
      <c r="CT152" s="5">
        <f ca="1">IF($BI152&lt;&gt;"",IF('Capacity summary'!$C$14="Yes",IF(COUNTBLANK('Capacity summary'!$H64:$BG64)&lt;52,IF('Capacity summary'!AQ64&lt;&gt;"",IF(LOWER('Capacity summary'!AQ64)="x",$BI152*AQ152,VALUE('Capacity summary'!AQ64)),0),AQ152*$BI152),AQ152*$BI152),0)</f>
        <v>12.692307692307692</v>
      </c>
      <c r="CU152" s="5">
        <f ca="1">IF($BI152&lt;&gt;"",IF('Capacity summary'!$C$14="Yes",IF(COUNTBLANK('Capacity summary'!$H64:$BG64)&lt;52,IF('Capacity summary'!AR64&lt;&gt;"",IF(LOWER('Capacity summary'!AR64)="x",$BI152*AR152,VALUE('Capacity summary'!AR64)),0),AR152*$BI152),AR152*$BI152),0)</f>
        <v>12.692307692307692</v>
      </c>
      <c r="CV152" s="5">
        <f ca="1">IF($BI152&lt;&gt;"",IF('Capacity summary'!$C$14="Yes",IF(COUNTBLANK('Capacity summary'!$H64:$BG64)&lt;52,IF('Capacity summary'!AS64&lt;&gt;"",IF(LOWER('Capacity summary'!AS64)="x",$BI152*AS152,VALUE('Capacity summary'!AS64)),0),AS152*$BI152),AS152*$BI152),0)</f>
        <v>12.692307692307692</v>
      </c>
      <c r="CW152" s="5">
        <f ca="1">IF($BI152&lt;&gt;"",IF('Capacity summary'!$C$14="Yes",IF(COUNTBLANK('Capacity summary'!$H64:$BG64)&lt;52,IF('Capacity summary'!AT64&lt;&gt;"",IF(LOWER('Capacity summary'!AT64)="x",$BI152*AT152,VALUE('Capacity summary'!AT64)),0),AT152*$BI152),AT152*$BI152),0)</f>
        <v>12.692307692307692</v>
      </c>
      <c r="CX152" s="5">
        <f ca="1">IF($BI152&lt;&gt;"",IF('Capacity summary'!$C$14="Yes",IF(COUNTBLANK('Capacity summary'!$H64:$BG64)&lt;52,IF('Capacity summary'!AU64&lt;&gt;"",IF(LOWER('Capacity summary'!AU64)="x",$BI152*AU152,VALUE('Capacity summary'!AU64)),0),AU152*$BI152),AU152*$BI152),0)</f>
        <v>12.692307692307692</v>
      </c>
      <c r="CY152" s="5">
        <f ca="1">IF($BI152&lt;&gt;"",IF('Capacity summary'!$C$14="Yes",IF(COUNTBLANK('Capacity summary'!$H64:$BG64)&lt;52,IF('Capacity summary'!AV64&lt;&gt;"",IF(LOWER('Capacity summary'!AV64)="x",$BI152*AV152,VALUE('Capacity summary'!AV64)),0),AV152*$BI152),AV152*$BI152),0)</f>
        <v>12.692307692307692</v>
      </c>
      <c r="CZ152" s="5">
        <f ca="1">IF($BI152&lt;&gt;"",IF('Capacity summary'!$C$14="Yes",IF(COUNTBLANK('Capacity summary'!$H64:$BG64)&lt;52,IF('Capacity summary'!AW64&lt;&gt;"",IF(LOWER('Capacity summary'!AW64)="x",$BI152*AW152,VALUE('Capacity summary'!AW64)),0),AW152*$BI152),AW152*$BI152),0)</f>
        <v>12.692307692307692</v>
      </c>
      <c r="DA152" s="5">
        <f ca="1">IF($BI152&lt;&gt;"",IF('Capacity summary'!$C$14="Yes",IF(COUNTBLANK('Capacity summary'!$H64:$BG64)&lt;52,IF('Capacity summary'!AX64&lt;&gt;"",IF(LOWER('Capacity summary'!AX64)="x",$BI152*AX152,VALUE('Capacity summary'!AX64)),0),AX152*$BI152),AX152*$BI152),0)</f>
        <v>12.692307692307692</v>
      </c>
      <c r="DB152" s="5">
        <f ca="1">IF($BI152&lt;&gt;"",IF('Capacity summary'!$C$14="Yes",IF(COUNTBLANK('Capacity summary'!$H64:$BG64)&lt;52,IF('Capacity summary'!AY64&lt;&gt;"",IF(LOWER('Capacity summary'!AY64)="x",$BI152*AY152,VALUE('Capacity summary'!AY64)),0),AY152*$BI152),AY152*$BI152),0)</f>
        <v>12.692307692307692</v>
      </c>
      <c r="DC152" s="5">
        <f ca="1">IF($BI152&lt;&gt;"",IF('Capacity summary'!$C$14="Yes",IF(COUNTBLANK('Capacity summary'!$H64:$BG64)&lt;52,IF('Capacity summary'!AZ64&lt;&gt;"",IF(LOWER('Capacity summary'!AZ64)="x",$BI152*AZ152,VALUE('Capacity summary'!AZ64)),0),AZ152*$BI152),AZ152*$BI152),0)</f>
        <v>12.692307692307692</v>
      </c>
      <c r="DD152" s="5">
        <f ca="1">IF($BI152&lt;&gt;"",IF('Capacity summary'!$C$14="Yes",IF(COUNTBLANK('Capacity summary'!$H64:$BG64)&lt;52,IF('Capacity summary'!BA64&lt;&gt;"",IF(LOWER('Capacity summary'!BA64)="x",$BI152*BA152,VALUE('Capacity summary'!BA64)),0),BA152*$BI152),BA152*$BI152),0)</f>
        <v>12.692307692307692</v>
      </c>
      <c r="DE152" s="5">
        <f ca="1">IF($BI152&lt;&gt;"",IF('Capacity summary'!$C$14="Yes",IF(COUNTBLANK('Capacity summary'!$H64:$BG64)&lt;52,IF('Capacity summary'!BB64&lt;&gt;"",IF(LOWER('Capacity summary'!BB64)="x",$BI152*BB152,VALUE('Capacity summary'!BB64)),0),BB152*$BI152),BB152*$BI152),0)</f>
        <v>12.692307692307692</v>
      </c>
      <c r="DF152" s="5">
        <f ca="1">IF($BI152&lt;&gt;"",IF('Capacity summary'!$C$14="Yes",IF(COUNTBLANK('Capacity summary'!$H64:$BG64)&lt;52,IF('Capacity summary'!BC64&lt;&gt;"",IF(LOWER('Capacity summary'!BC64)="x",$BI152*BC152,VALUE('Capacity summary'!BC64)),0),BC152*$BI152),BC152*$BI152),0)</f>
        <v>12.692307692307692</v>
      </c>
      <c r="DG152" s="5">
        <f ca="1">IF($BI152&lt;&gt;"",IF('Capacity summary'!$C$14="Yes",IF(COUNTBLANK('Capacity summary'!$H64:$BG64)&lt;52,IF('Capacity summary'!BD64&lt;&gt;"",IF(LOWER('Capacity summary'!BD64)="x",$BI152*BD152,VALUE('Capacity summary'!BD64)),0),BD152*$BI152),BD152*$BI152),0)</f>
        <v>12.692307692307692</v>
      </c>
      <c r="DH152" s="5">
        <f ca="1">IF($BI152&lt;&gt;"",IF('Capacity summary'!$C$14="Yes",IF(COUNTBLANK('Capacity summary'!$H64:$BG64)&lt;52,IF('Capacity summary'!BE64&lt;&gt;"",IF(LOWER('Capacity summary'!BE64)="x",$BI152*BE152,VALUE('Capacity summary'!BE64)),0),BE152*$BI152),BE152*$BI152),0)</f>
        <v>12.692307692307692</v>
      </c>
      <c r="DI152" s="5">
        <f ca="1">IF($BI152&lt;&gt;"",IF('Capacity summary'!$C$14="Yes",IF(COUNTBLANK('Capacity summary'!$H64:$BG64)&lt;52,IF('Capacity summary'!BF64&lt;&gt;"",IF(LOWER('Capacity summary'!BF64)="x",$BI152*BF152,VALUE('Capacity summary'!BF64)),0),BF152*$BI152),BF152*$BI152),0)</f>
        <v>12.692307692307692</v>
      </c>
      <c r="DJ152" s="5">
        <f ca="1">IF($BI152&lt;&gt;"",IF('Capacity summary'!$C$14="Yes",IF(COUNTBLANK('Capacity summary'!$H64:$BG64)&lt;52,IF('Capacity summary'!BG64&lt;&gt;"",IF(LOWER('Capacity summary'!BG64)="x",$BI152*BG152,VALUE('Capacity summary'!BG64)),0),BG152*$BI152),BG152*$BI152),0)</f>
        <v>12.692307692307692</v>
      </c>
      <c r="DK152" s="388">
        <f t="shared" ca="1" si="8"/>
        <v>12.692307692307692</v>
      </c>
      <c r="DL152" s="5">
        <f t="shared" ca="1" si="9"/>
        <v>660.00000000000011</v>
      </c>
    </row>
    <row r="153" spans="3:116" x14ac:dyDescent="0.2">
      <c r="C153" s="67" t="str">
        <f>ROW(A42)&amp;". "&amp;Capacity!N58</f>
        <v>42. 44416</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 ca="1">IF(ROW(A42)&lt;=Capacity!$M$16,IF('Capacity summary'!$C$14="No",SUM(H153:BG153),'Capacity summary'!$E65),0)</f>
        <v>52</v>
      </c>
      <c r="BI153" s="67">
        <f ca="1">IF(BH153&gt;0,IF(BH153&lt;Capacity!Q58,Capacity!R58,Capacity!T58/'Capacity calculation (hide)'!BH153),"")</f>
        <v>12.692307692307692</v>
      </c>
      <c r="BJ153" s="5"/>
      <c r="BK153" s="5">
        <f ca="1">IF($BI153&lt;&gt;"",IF('Capacity summary'!$C$14="Yes",IF(COUNTBLANK('Capacity summary'!$H65:$BG65)&lt;52,IF('Capacity summary'!H65&lt;&gt;"",IF(LOWER('Capacity summary'!H65)="x",$BI153*H153,VALUE('Capacity summary'!H65)),0),H153*$BI153),H153*$BI153),0)</f>
        <v>12.692307692307692</v>
      </c>
      <c r="BL153" s="5">
        <f ca="1">IF($BI153&lt;&gt;"",IF('Capacity summary'!$C$14="Yes",IF(COUNTBLANK('Capacity summary'!$H65:$BG65)&lt;52,IF('Capacity summary'!I65&lt;&gt;"",IF(LOWER('Capacity summary'!I65)="x",$BI153*I153,VALUE('Capacity summary'!I65)),0),I153*$BI153),I153*$BI153),0)</f>
        <v>12.692307692307692</v>
      </c>
      <c r="BM153" s="5">
        <f ca="1">IF($BI153&lt;&gt;"",IF('Capacity summary'!$C$14="Yes",IF(COUNTBLANK('Capacity summary'!$H65:$BG65)&lt;52,IF('Capacity summary'!J65&lt;&gt;"",IF(LOWER('Capacity summary'!J65)="x",$BI153*J153,VALUE('Capacity summary'!J65)),0),J153*$BI153),J153*$BI153),0)</f>
        <v>12.692307692307692</v>
      </c>
      <c r="BN153" s="5">
        <f ca="1">IF($BI153&lt;&gt;"",IF('Capacity summary'!$C$14="Yes",IF(COUNTBLANK('Capacity summary'!$H65:$BG65)&lt;52,IF('Capacity summary'!K65&lt;&gt;"",IF(LOWER('Capacity summary'!K65)="x",$BI153*K153,VALUE('Capacity summary'!K65)),0),K153*$BI153),K153*$BI153),0)</f>
        <v>12.692307692307692</v>
      </c>
      <c r="BO153" s="5">
        <f ca="1">IF($BI153&lt;&gt;"",IF('Capacity summary'!$C$14="Yes",IF(COUNTBLANK('Capacity summary'!$H65:$BG65)&lt;52,IF('Capacity summary'!L65&lt;&gt;"",IF(LOWER('Capacity summary'!L65)="x",$BI153*L153,VALUE('Capacity summary'!L65)),0),L153*$BI153),L153*$BI153),0)</f>
        <v>12.692307692307692</v>
      </c>
      <c r="BP153" s="5">
        <f ca="1">IF($BI153&lt;&gt;"",IF('Capacity summary'!$C$14="Yes",IF(COUNTBLANK('Capacity summary'!$H65:$BG65)&lt;52,IF('Capacity summary'!M65&lt;&gt;"",IF(LOWER('Capacity summary'!M65)="x",$BI153*M153,VALUE('Capacity summary'!M65)),0),M153*$BI153),M153*$BI153),0)</f>
        <v>12.692307692307692</v>
      </c>
      <c r="BQ153" s="5">
        <f ca="1">IF($BI153&lt;&gt;"",IF('Capacity summary'!$C$14="Yes",IF(COUNTBLANK('Capacity summary'!$H65:$BG65)&lt;52,IF('Capacity summary'!N65&lt;&gt;"",IF(LOWER('Capacity summary'!N65)="x",$BI153*N153,VALUE('Capacity summary'!N65)),0),N153*$BI153),N153*$BI153),0)</f>
        <v>12.692307692307692</v>
      </c>
      <c r="BR153" s="5">
        <f ca="1">IF($BI153&lt;&gt;"",IF('Capacity summary'!$C$14="Yes",IF(COUNTBLANK('Capacity summary'!$H65:$BG65)&lt;52,IF('Capacity summary'!O65&lt;&gt;"",IF(LOWER('Capacity summary'!O65)="x",$BI153*O153,VALUE('Capacity summary'!O65)),0),O153*$BI153),O153*$BI153),0)</f>
        <v>12.692307692307692</v>
      </c>
      <c r="BS153" s="5">
        <f ca="1">IF($BI153&lt;&gt;"",IF('Capacity summary'!$C$14="Yes",IF(COUNTBLANK('Capacity summary'!$H65:$BG65)&lt;52,IF('Capacity summary'!P65&lt;&gt;"",IF(LOWER('Capacity summary'!P65)="x",$BI153*P153,VALUE('Capacity summary'!P65)),0),P153*$BI153),P153*$BI153),0)</f>
        <v>12.692307692307692</v>
      </c>
      <c r="BT153" s="5">
        <f ca="1">IF($BI153&lt;&gt;"",IF('Capacity summary'!$C$14="Yes",IF(COUNTBLANK('Capacity summary'!$H65:$BG65)&lt;52,IF('Capacity summary'!Q65&lt;&gt;"",IF(LOWER('Capacity summary'!Q65)="x",$BI153*Q153,VALUE('Capacity summary'!Q65)),0),Q153*$BI153),Q153*$BI153),0)</f>
        <v>12.692307692307692</v>
      </c>
      <c r="BU153" s="5">
        <f ca="1">IF($BI153&lt;&gt;"",IF('Capacity summary'!$C$14="Yes",IF(COUNTBLANK('Capacity summary'!$H65:$BG65)&lt;52,IF('Capacity summary'!R65&lt;&gt;"",IF(LOWER('Capacity summary'!R65)="x",$BI153*R153,VALUE('Capacity summary'!R65)),0),R153*$BI153),R153*$BI153),0)</f>
        <v>12.692307692307692</v>
      </c>
      <c r="BV153" s="5">
        <f ca="1">IF($BI153&lt;&gt;"",IF('Capacity summary'!$C$14="Yes",IF(COUNTBLANK('Capacity summary'!$H65:$BG65)&lt;52,IF('Capacity summary'!S65&lt;&gt;"",IF(LOWER('Capacity summary'!S65)="x",$BI153*S153,VALUE('Capacity summary'!S65)),0),S153*$BI153),S153*$BI153),0)</f>
        <v>12.692307692307692</v>
      </c>
      <c r="BW153" s="5">
        <f ca="1">IF($BI153&lt;&gt;"",IF('Capacity summary'!$C$14="Yes",IF(COUNTBLANK('Capacity summary'!$H65:$BG65)&lt;52,IF('Capacity summary'!T65&lt;&gt;"",IF(LOWER('Capacity summary'!T65)="x",$BI153*T153,VALUE('Capacity summary'!T65)),0),T153*$BI153),T153*$BI153),0)</f>
        <v>12.692307692307692</v>
      </c>
      <c r="BX153" s="5">
        <f ca="1">IF($BI153&lt;&gt;"",IF('Capacity summary'!$C$14="Yes",IF(COUNTBLANK('Capacity summary'!$H65:$BG65)&lt;52,IF('Capacity summary'!U65&lt;&gt;"",IF(LOWER('Capacity summary'!U65)="x",$BI153*U153,VALUE('Capacity summary'!U65)),0),U153*$BI153),U153*$BI153),0)</f>
        <v>12.692307692307692</v>
      </c>
      <c r="BY153" s="5">
        <f ca="1">IF($BI153&lt;&gt;"",IF('Capacity summary'!$C$14="Yes",IF(COUNTBLANK('Capacity summary'!$H65:$BG65)&lt;52,IF('Capacity summary'!V65&lt;&gt;"",IF(LOWER('Capacity summary'!V65)="x",$BI153*V153,VALUE('Capacity summary'!V65)),0),V153*$BI153),V153*$BI153),0)</f>
        <v>12.692307692307692</v>
      </c>
      <c r="BZ153" s="5">
        <f ca="1">IF($BI153&lt;&gt;"",IF('Capacity summary'!$C$14="Yes",IF(COUNTBLANK('Capacity summary'!$H65:$BG65)&lt;52,IF('Capacity summary'!W65&lt;&gt;"",IF(LOWER('Capacity summary'!W65)="x",$BI153*W153,VALUE('Capacity summary'!W65)),0),W153*$BI153),W153*$BI153),0)</f>
        <v>12.692307692307692</v>
      </c>
      <c r="CA153" s="5">
        <f ca="1">IF($BI153&lt;&gt;"",IF('Capacity summary'!$C$14="Yes",IF(COUNTBLANK('Capacity summary'!$H65:$BG65)&lt;52,IF('Capacity summary'!X65&lt;&gt;"",IF(LOWER('Capacity summary'!X65)="x",$BI153*X153,VALUE('Capacity summary'!X65)),0),X153*$BI153),X153*$BI153),0)</f>
        <v>12.692307692307692</v>
      </c>
      <c r="CB153" s="5">
        <f ca="1">IF($BI153&lt;&gt;"",IF('Capacity summary'!$C$14="Yes",IF(COUNTBLANK('Capacity summary'!$H65:$BG65)&lt;52,IF('Capacity summary'!Y65&lt;&gt;"",IF(LOWER('Capacity summary'!Y65)="x",$BI153*Y153,VALUE('Capacity summary'!Y65)),0),Y153*$BI153),Y153*$BI153),0)</f>
        <v>12.692307692307692</v>
      </c>
      <c r="CC153" s="5">
        <f ca="1">IF($BI153&lt;&gt;"",IF('Capacity summary'!$C$14="Yes",IF(COUNTBLANK('Capacity summary'!$H65:$BG65)&lt;52,IF('Capacity summary'!Z65&lt;&gt;"",IF(LOWER('Capacity summary'!Z65)="x",$BI153*Z153,VALUE('Capacity summary'!Z65)),0),Z153*$BI153),Z153*$BI153),0)</f>
        <v>12.692307692307692</v>
      </c>
      <c r="CD153" s="5">
        <f ca="1">IF($BI153&lt;&gt;"",IF('Capacity summary'!$C$14="Yes",IF(COUNTBLANK('Capacity summary'!$H65:$BG65)&lt;52,IF('Capacity summary'!AA65&lt;&gt;"",IF(LOWER('Capacity summary'!AA65)="x",$BI153*AA153,VALUE('Capacity summary'!AA65)),0),AA153*$BI153),AA153*$BI153),0)</f>
        <v>12.692307692307692</v>
      </c>
      <c r="CE153" s="5">
        <f ca="1">IF($BI153&lt;&gt;"",IF('Capacity summary'!$C$14="Yes",IF(COUNTBLANK('Capacity summary'!$H65:$BG65)&lt;52,IF('Capacity summary'!AB65&lt;&gt;"",IF(LOWER('Capacity summary'!AB65)="x",$BI153*AB153,VALUE('Capacity summary'!AB65)),0),AB153*$BI153),AB153*$BI153),0)</f>
        <v>12.692307692307692</v>
      </c>
      <c r="CF153" s="5">
        <f ca="1">IF($BI153&lt;&gt;"",IF('Capacity summary'!$C$14="Yes",IF(COUNTBLANK('Capacity summary'!$H65:$BG65)&lt;52,IF('Capacity summary'!AC65&lt;&gt;"",IF(LOWER('Capacity summary'!AC65)="x",$BI153*AC153,VALUE('Capacity summary'!AC65)),0),AC153*$BI153),AC153*$BI153),0)</f>
        <v>12.692307692307692</v>
      </c>
      <c r="CG153" s="5">
        <f ca="1">IF($BI153&lt;&gt;"",IF('Capacity summary'!$C$14="Yes",IF(COUNTBLANK('Capacity summary'!$H65:$BG65)&lt;52,IF('Capacity summary'!AD65&lt;&gt;"",IF(LOWER('Capacity summary'!AD65)="x",$BI153*AD153,VALUE('Capacity summary'!AD65)),0),AD153*$BI153),AD153*$BI153),0)</f>
        <v>12.692307692307692</v>
      </c>
      <c r="CH153" s="5">
        <f ca="1">IF($BI153&lt;&gt;"",IF('Capacity summary'!$C$14="Yes",IF(COUNTBLANK('Capacity summary'!$H65:$BG65)&lt;52,IF('Capacity summary'!AE65&lt;&gt;"",IF(LOWER('Capacity summary'!AE65)="x",$BI153*AE153,VALUE('Capacity summary'!AE65)),0),AE153*$BI153),AE153*$BI153),0)</f>
        <v>12.692307692307692</v>
      </c>
      <c r="CI153" s="5">
        <f ca="1">IF($BI153&lt;&gt;"",IF('Capacity summary'!$C$14="Yes",IF(COUNTBLANK('Capacity summary'!$H65:$BG65)&lt;52,IF('Capacity summary'!AF65&lt;&gt;"",IF(LOWER('Capacity summary'!AF65)="x",$BI153*AF153,VALUE('Capacity summary'!AF65)),0),AF153*$BI153),AF153*$BI153),0)</f>
        <v>12.692307692307692</v>
      </c>
      <c r="CJ153" s="5">
        <f ca="1">IF($BI153&lt;&gt;"",IF('Capacity summary'!$C$14="Yes",IF(COUNTBLANK('Capacity summary'!$H65:$BG65)&lt;52,IF('Capacity summary'!AG65&lt;&gt;"",IF(LOWER('Capacity summary'!AG65)="x",$BI153*AG153,VALUE('Capacity summary'!AG65)),0),AG153*$BI153),AG153*$BI153),0)</f>
        <v>12.692307692307692</v>
      </c>
      <c r="CK153" s="5">
        <f ca="1">IF($BI153&lt;&gt;"",IF('Capacity summary'!$C$14="Yes",IF(COUNTBLANK('Capacity summary'!$H65:$BG65)&lt;52,IF('Capacity summary'!AH65&lt;&gt;"",IF(LOWER('Capacity summary'!AH65)="x",$BI153*AH153,VALUE('Capacity summary'!AH65)),0),AH153*$BI153),AH153*$BI153),0)</f>
        <v>12.692307692307692</v>
      </c>
      <c r="CL153" s="5">
        <f ca="1">IF($BI153&lt;&gt;"",IF('Capacity summary'!$C$14="Yes",IF(COUNTBLANK('Capacity summary'!$H65:$BG65)&lt;52,IF('Capacity summary'!AI65&lt;&gt;"",IF(LOWER('Capacity summary'!AI65)="x",$BI153*AI153,VALUE('Capacity summary'!AI65)),0),AI153*$BI153),AI153*$BI153),0)</f>
        <v>12.692307692307692</v>
      </c>
      <c r="CM153" s="5">
        <f ca="1">IF($BI153&lt;&gt;"",IF('Capacity summary'!$C$14="Yes",IF(COUNTBLANK('Capacity summary'!$H65:$BG65)&lt;52,IF('Capacity summary'!AJ65&lt;&gt;"",IF(LOWER('Capacity summary'!AJ65)="x",$BI153*AJ153,VALUE('Capacity summary'!AJ65)),0),AJ153*$BI153),AJ153*$BI153),0)</f>
        <v>12.692307692307692</v>
      </c>
      <c r="CN153" s="5">
        <f ca="1">IF($BI153&lt;&gt;"",IF('Capacity summary'!$C$14="Yes",IF(COUNTBLANK('Capacity summary'!$H65:$BG65)&lt;52,IF('Capacity summary'!AK65&lt;&gt;"",IF(LOWER('Capacity summary'!AK65)="x",$BI153*AK153,VALUE('Capacity summary'!AK65)),0),AK153*$BI153),AK153*$BI153),0)</f>
        <v>12.692307692307692</v>
      </c>
      <c r="CO153" s="5">
        <f ca="1">IF($BI153&lt;&gt;"",IF('Capacity summary'!$C$14="Yes",IF(COUNTBLANK('Capacity summary'!$H65:$BG65)&lt;52,IF('Capacity summary'!AL65&lt;&gt;"",IF(LOWER('Capacity summary'!AL65)="x",$BI153*AL153,VALUE('Capacity summary'!AL65)),0),AL153*$BI153),AL153*$BI153),0)</f>
        <v>12.692307692307692</v>
      </c>
      <c r="CP153" s="5">
        <f ca="1">IF($BI153&lt;&gt;"",IF('Capacity summary'!$C$14="Yes",IF(COUNTBLANK('Capacity summary'!$H65:$BG65)&lt;52,IF('Capacity summary'!AM65&lt;&gt;"",IF(LOWER('Capacity summary'!AM65)="x",$BI153*AM153,VALUE('Capacity summary'!AM65)),0),AM153*$BI153),AM153*$BI153),0)</f>
        <v>12.692307692307692</v>
      </c>
      <c r="CQ153" s="5">
        <f ca="1">IF($BI153&lt;&gt;"",IF('Capacity summary'!$C$14="Yes",IF(COUNTBLANK('Capacity summary'!$H65:$BG65)&lt;52,IF('Capacity summary'!AN65&lt;&gt;"",IF(LOWER('Capacity summary'!AN65)="x",$BI153*AN153,VALUE('Capacity summary'!AN65)),0),AN153*$BI153),AN153*$BI153),0)</f>
        <v>12.692307692307692</v>
      </c>
      <c r="CR153" s="5">
        <f ca="1">IF($BI153&lt;&gt;"",IF('Capacity summary'!$C$14="Yes",IF(COUNTBLANK('Capacity summary'!$H65:$BG65)&lt;52,IF('Capacity summary'!AO65&lt;&gt;"",IF(LOWER('Capacity summary'!AO65)="x",$BI153*AO153,VALUE('Capacity summary'!AO65)),0),AO153*$BI153),AO153*$BI153),0)</f>
        <v>12.692307692307692</v>
      </c>
      <c r="CS153" s="5">
        <f ca="1">IF($BI153&lt;&gt;"",IF('Capacity summary'!$C$14="Yes",IF(COUNTBLANK('Capacity summary'!$H65:$BG65)&lt;52,IF('Capacity summary'!AP65&lt;&gt;"",IF(LOWER('Capacity summary'!AP65)="x",$BI153*AP153,VALUE('Capacity summary'!AP65)),0),AP153*$BI153),AP153*$BI153),0)</f>
        <v>12.692307692307692</v>
      </c>
      <c r="CT153" s="5">
        <f ca="1">IF($BI153&lt;&gt;"",IF('Capacity summary'!$C$14="Yes",IF(COUNTBLANK('Capacity summary'!$H65:$BG65)&lt;52,IF('Capacity summary'!AQ65&lt;&gt;"",IF(LOWER('Capacity summary'!AQ65)="x",$BI153*AQ153,VALUE('Capacity summary'!AQ65)),0),AQ153*$BI153),AQ153*$BI153),0)</f>
        <v>12.692307692307692</v>
      </c>
      <c r="CU153" s="5">
        <f ca="1">IF($BI153&lt;&gt;"",IF('Capacity summary'!$C$14="Yes",IF(COUNTBLANK('Capacity summary'!$H65:$BG65)&lt;52,IF('Capacity summary'!AR65&lt;&gt;"",IF(LOWER('Capacity summary'!AR65)="x",$BI153*AR153,VALUE('Capacity summary'!AR65)),0),AR153*$BI153),AR153*$BI153),0)</f>
        <v>12.692307692307692</v>
      </c>
      <c r="CV153" s="5">
        <f ca="1">IF($BI153&lt;&gt;"",IF('Capacity summary'!$C$14="Yes",IF(COUNTBLANK('Capacity summary'!$H65:$BG65)&lt;52,IF('Capacity summary'!AS65&lt;&gt;"",IF(LOWER('Capacity summary'!AS65)="x",$BI153*AS153,VALUE('Capacity summary'!AS65)),0),AS153*$BI153),AS153*$BI153),0)</f>
        <v>12.692307692307692</v>
      </c>
      <c r="CW153" s="5">
        <f ca="1">IF($BI153&lt;&gt;"",IF('Capacity summary'!$C$14="Yes",IF(COUNTBLANK('Capacity summary'!$H65:$BG65)&lt;52,IF('Capacity summary'!AT65&lt;&gt;"",IF(LOWER('Capacity summary'!AT65)="x",$BI153*AT153,VALUE('Capacity summary'!AT65)),0),AT153*$BI153),AT153*$BI153),0)</f>
        <v>12.692307692307692</v>
      </c>
      <c r="CX153" s="5">
        <f ca="1">IF($BI153&lt;&gt;"",IF('Capacity summary'!$C$14="Yes",IF(COUNTBLANK('Capacity summary'!$H65:$BG65)&lt;52,IF('Capacity summary'!AU65&lt;&gt;"",IF(LOWER('Capacity summary'!AU65)="x",$BI153*AU153,VALUE('Capacity summary'!AU65)),0),AU153*$BI153),AU153*$BI153),0)</f>
        <v>12.692307692307692</v>
      </c>
      <c r="CY153" s="5">
        <f ca="1">IF($BI153&lt;&gt;"",IF('Capacity summary'!$C$14="Yes",IF(COUNTBLANK('Capacity summary'!$H65:$BG65)&lt;52,IF('Capacity summary'!AV65&lt;&gt;"",IF(LOWER('Capacity summary'!AV65)="x",$BI153*AV153,VALUE('Capacity summary'!AV65)),0),AV153*$BI153),AV153*$BI153),0)</f>
        <v>12.692307692307692</v>
      </c>
      <c r="CZ153" s="5">
        <f ca="1">IF($BI153&lt;&gt;"",IF('Capacity summary'!$C$14="Yes",IF(COUNTBLANK('Capacity summary'!$H65:$BG65)&lt;52,IF('Capacity summary'!AW65&lt;&gt;"",IF(LOWER('Capacity summary'!AW65)="x",$BI153*AW153,VALUE('Capacity summary'!AW65)),0),AW153*$BI153),AW153*$BI153),0)</f>
        <v>12.692307692307692</v>
      </c>
      <c r="DA153" s="5">
        <f ca="1">IF($BI153&lt;&gt;"",IF('Capacity summary'!$C$14="Yes",IF(COUNTBLANK('Capacity summary'!$H65:$BG65)&lt;52,IF('Capacity summary'!AX65&lt;&gt;"",IF(LOWER('Capacity summary'!AX65)="x",$BI153*AX153,VALUE('Capacity summary'!AX65)),0),AX153*$BI153),AX153*$BI153),0)</f>
        <v>12.692307692307692</v>
      </c>
      <c r="DB153" s="5">
        <f ca="1">IF($BI153&lt;&gt;"",IF('Capacity summary'!$C$14="Yes",IF(COUNTBLANK('Capacity summary'!$H65:$BG65)&lt;52,IF('Capacity summary'!AY65&lt;&gt;"",IF(LOWER('Capacity summary'!AY65)="x",$BI153*AY153,VALUE('Capacity summary'!AY65)),0),AY153*$BI153),AY153*$BI153),0)</f>
        <v>12.692307692307692</v>
      </c>
      <c r="DC153" s="5">
        <f ca="1">IF($BI153&lt;&gt;"",IF('Capacity summary'!$C$14="Yes",IF(COUNTBLANK('Capacity summary'!$H65:$BG65)&lt;52,IF('Capacity summary'!AZ65&lt;&gt;"",IF(LOWER('Capacity summary'!AZ65)="x",$BI153*AZ153,VALUE('Capacity summary'!AZ65)),0),AZ153*$BI153),AZ153*$BI153),0)</f>
        <v>12.692307692307692</v>
      </c>
      <c r="DD153" s="5">
        <f ca="1">IF($BI153&lt;&gt;"",IF('Capacity summary'!$C$14="Yes",IF(COUNTBLANK('Capacity summary'!$H65:$BG65)&lt;52,IF('Capacity summary'!BA65&lt;&gt;"",IF(LOWER('Capacity summary'!BA65)="x",$BI153*BA153,VALUE('Capacity summary'!BA65)),0),BA153*$BI153),BA153*$BI153),0)</f>
        <v>12.692307692307692</v>
      </c>
      <c r="DE153" s="5">
        <f ca="1">IF($BI153&lt;&gt;"",IF('Capacity summary'!$C$14="Yes",IF(COUNTBLANK('Capacity summary'!$H65:$BG65)&lt;52,IF('Capacity summary'!BB65&lt;&gt;"",IF(LOWER('Capacity summary'!BB65)="x",$BI153*BB153,VALUE('Capacity summary'!BB65)),0),BB153*$BI153),BB153*$BI153),0)</f>
        <v>12.692307692307692</v>
      </c>
      <c r="DF153" s="5">
        <f ca="1">IF($BI153&lt;&gt;"",IF('Capacity summary'!$C$14="Yes",IF(COUNTBLANK('Capacity summary'!$H65:$BG65)&lt;52,IF('Capacity summary'!BC65&lt;&gt;"",IF(LOWER('Capacity summary'!BC65)="x",$BI153*BC153,VALUE('Capacity summary'!BC65)),0),BC153*$BI153),BC153*$BI153),0)</f>
        <v>12.692307692307692</v>
      </c>
      <c r="DG153" s="5">
        <f ca="1">IF($BI153&lt;&gt;"",IF('Capacity summary'!$C$14="Yes",IF(COUNTBLANK('Capacity summary'!$H65:$BG65)&lt;52,IF('Capacity summary'!BD65&lt;&gt;"",IF(LOWER('Capacity summary'!BD65)="x",$BI153*BD153,VALUE('Capacity summary'!BD65)),0),BD153*$BI153),BD153*$BI153),0)</f>
        <v>12.692307692307692</v>
      </c>
      <c r="DH153" s="5">
        <f ca="1">IF($BI153&lt;&gt;"",IF('Capacity summary'!$C$14="Yes",IF(COUNTBLANK('Capacity summary'!$H65:$BG65)&lt;52,IF('Capacity summary'!BE65&lt;&gt;"",IF(LOWER('Capacity summary'!BE65)="x",$BI153*BE153,VALUE('Capacity summary'!BE65)),0),BE153*$BI153),BE153*$BI153),0)</f>
        <v>12.692307692307692</v>
      </c>
      <c r="DI153" s="5">
        <f ca="1">IF($BI153&lt;&gt;"",IF('Capacity summary'!$C$14="Yes",IF(COUNTBLANK('Capacity summary'!$H65:$BG65)&lt;52,IF('Capacity summary'!BF65&lt;&gt;"",IF(LOWER('Capacity summary'!BF65)="x",$BI153*BF153,VALUE('Capacity summary'!BF65)),0),BF153*$BI153),BF153*$BI153),0)</f>
        <v>12.692307692307692</v>
      </c>
      <c r="DJ153" s="5">
        <f ca="1">IF($BI153&lt;&gt;"",IF('Capacity summary'!$C$14="Yes",IF(COUNTBLANK('Capacity summary'!$H65:$BG65)&lt;52,IF('Capacity summary'!BG65&lt;&gt;"",IF(LOWER('Capacity summary'!BG65)="x",$BI153*BG153,VALUE('Capacity summary'!BG65)),0),BG153*$BI153),BG153*$BI153),0)</f>
        <v>12.692307692307692</v>
      </c>
      <c r="DK153" s="388">
        <f t="shared" ca="1" si="8"/>
        <v>12.692307692307692</v>
      </c>
      <c r="DL153" s="5">
        <f t="shared" ca="1" si="9"/>
        <v>660.00000000000011</v>
      </c>
    </row>
    <row r="154" spans="3:116" x14ac:dyDescent="0.2">
      <c r="C154" s="67" t="str">
        <f>ROW(A43)&amp;". "&amp;Capacity!N59</f>
        <v>43. 44417</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 ca="1">IF(ROW(A43)&lt;=Capacity!$M$16,IF('Capacity summary'!$C$14="No",SUM(H154:BG154),'Capacity summary'!$E66),0)</f>
        <v>52</v>
      </c>
      <c r="BI154" s="67">
        <f ca="1">IF(BH154&gt;0,IF(BH154&lt;Capacity!Q59,Capacity!R59,Capacity!T59/'Capacity calculation (hide)'!BH154),"")</f>
        <v>4.0384615384615383</v>
      </c>
      <c r="BJ154" s="5"/>
      <c r="BK154" s="5">
        <f ca="1">IF($BI154&lt;&gt;"",IF('Capacity summary'!$C$14="Yes",IF(COUNTBLANK('Capacity summary'!$H66:$BG66)&lt;52,IF('Capacity summary'!H66&lt;&gt;"",IF(LOWER('Capacity summary'!H66)="x",$BI154*H154,VALUE('Capacity summary'!H66)),0),H154*$BI154),H154*$BI154),0)</f>
        <v>4.0384615384615383</v>
      </c>
      <c r="BL154" s="5">
        <f ca="1">IF($BI154&lt;&gt;"",IF('Capacity summary'!$C$14="Yes",IF(COUNTBLANK('Capacity summary'!$H66:$BG66)&lt;52,IF('Capacity summary'!I66&lt;&gt;"",IF(LOWER('Capacity summary'!I66)="x",$BI154*I154,VALUE('Capacity summary'!I66)),0),I154*$BI154),I154*$BI154),0)</f>
        <v>4.0384615384615383</v>
      </c>
      <c r="BM154" s="5">
        <f ca="1">IF($BI154&lt;&gt;"",IF('Capacity summary'!$C$14="Yes",IF(COUNTBLANK('Capacity summary'!$H66:$BG66)&lt;52,IF('Capacity summary'!J66&lt;&gt;"",IF(LOWER('Capacity summary'!J66)="x",$BI154*J154,VALUE('Capacity summary'!J66)),0),J154*$BI154),J154*$BI154),0)</f>
        <v>4.0384615384615383</v>
      </c>
      <c r="BN154" s="5">
        <f ca="1">IF($BI154&lt;&gt;"",IF('Capacity summary'!$C$14="Yes",IF(COUNTBLANK('Capacity summary'!$H66:$BG66)&lt;52,IF('Capacity summary'!K66&lt;&gt;"",IF(LOWER('Capacity summary'!K66)="x",$BI154*K154,VALUE('Capacity summary'!K66)),0),K154*$BI154),K154*$BI154),0)</f>
        <v>4.0384615384615383</v>
      </c>
      <c r="BO154" s="5">
        <f ca="1">IF($BI154&lt;&gt;"",IF('Capacity summary'!$C$14="Yes",IF(COUNTBLANK('Capacity summary'!$H66:$BG66)&lt;52,IF('Capacity summary'!L66&lt;&gt;"",IF(LOWER('Capacity summary'!L66)="x",$BI154*L154,VALUE('Capacity summary'!L66)),0),L154*$BI154),L154*$BI154),0)</f>
        <v>4.0384615384615383</v>
      </c>
      <c r="BP154" s="5">
        <f ca="1">IF($BI154&lt;&gt;"",IF('Capacity summary'!$C$14="Yes",IF(COUNTBLANK('Capacity summary'!$H66:$BG66)&lt;52,IF('Capacity summary'!M66&lt;&gt;"",IF(LOWER('Capacity summary'!M66)="x",$BI154*M154,VALUE('Capacity summary'!M66)),0),M154*$BI154),M154*$BI154),0)</f>
        <v>4.0384615384615383</v>
      </c>
      <c r="BQ154" s="5">
        <f ca="1">IF($BI154&lt;&gt;"",IF('Capacity summary'!$C$14="Yes",IF(COUNTBLANK('Capacity summary'!$H66:$BG66)&lt;52,IF('Capacity summary'!N66&lt;&gt;"",IF(LOWER('Capacity summary'!N66)="x",$BI154*N154,VALUE('Capacity summary'!N66)),0),N154*$BI154),N154*$BI154),0)</f>
        <v>4.0384615384615383</v>
      </c>
      <c r="BR154" s="5">
        <f ca="1">IF($BI154&lt;&gt;"",IF('Capacity summary'!$C$14="Yes",IF(COUNTBLANK('Capacity summary'!$H66:$BG66)&lt;52,IF('Capacity summary'!O66&lt;&gt;"",IF(LOWER('Capacity summary'!O66)="x",$BI154*O154,VALUE('Capacity summary'!O66)),0),O154*$BI154),O154*$BI154),0)</f>
        <v>4.0384615384615383</v>
      </c>
      <c r="BS154" s="5">
        <f ca="1">IF($BI154&lt;&gt;"",IF('Capacity summary'!$C$14="Yes",IF(COUNTBLANK('Capacity summary'!$H66:$BG66)&lt;52,IF('Capacity summary'!P66&lt;&gt;"",IF(LOWER('Capacity summary'!P66)="x",$BI154*P154,VALUE('Capacity summary'!P66)),0),P154*$BI154),P154*$BI154),0)</f>
        <v>4.0384615384615383</v>
      </c>
      <c r="BT154" s="5">
        <f ca="1">IF($BI154&lt;&gt;"",IF('Capacity summary'!$C$14="Yes",IF(COUNTBLANK('Capacity summary'!$H66:$BG66)&lt;52,IF('Capacity summary'!Q66&lt;&gt;"",IF(LOWER('Capacity summary'!Q66)="x",$BI154*Q154,VALUE('Capacity summary'!Q66)),0),Q154*$BI154),Q154*$BI154),0)</f>
        <v>4.0384615384615383</v>
      </c>
      <c r="BU154" s="5">
        <f ca="1">IF($BI154&lt;&gt;"",IF('Capacity summary'!$C$14="Yes",IF(COUNTBLANK('Capacity summary'!$H66:$BG66)&lt;52,IF('Capacity summary'!R66&lt;&gt;"",IF(LOWER('Capacity summary'!R66)="x",$BI154*R154,VALUE('Capacity summary'!R66)),0),R154*$BI154),R154*$BI154),0)</f>
        <v>4.0384615384615383</v>
      </c>
      <c r="BV154" s="5">
        <f ca="1">IF($BI154&lt;&gt;"",IF('Capacity summary'!$C$14="Yes",IF(COUNTBLANK('Capacity summary'!$H66:$BG66)&lt;52,IF('Capacity summary'!S66&lt;&gt;"",IF(LOWER('Capacity summary'!S66)="x",$BI154*S154,VALUE('Capacity summary'!S66)),0),S154*$BI154),S154*$BI154),0)</f>
        <v>4.0384615384615383</v>
      </c>
      <c r="BW154" s="5">
        <f ca="1">IF($BI154&lt;&gt;"",IF('Capacity summary'!$C$14="Yes",IF(COUNTBLANK('Capacity summary'!$H66:$BG66)&lt;52,IF('Capacity summary'!T66&lt;&gt;"",IF(LOWER('Capacity summary'!T66)="x",$BI154*T154,VALUE('Capacity summary'!T66)),0),T154*$BI154),T154*$BI154),0)</f>
        <v>4.0384615384615383</v>
      </c>
      <c r="BX154" s="5">
        <f ca="1">IF($BI154&lt;&gt;"",IF('Capacity summary'!$C$14="Yes",IF(COUNTBLANK('Capacity summary'!$H66:$BG66)&lt;52,IF('Capacity summary'!U66&lt;&gt;"",IF(LOWER('Capacity summary'!U66)="x",$BI154*U154,VALUE('Capacity summary'!U66)),0),U154*$BI154),U154*$BI154),0)</f>
        <v>4.0384615384615383</v>
      </c>
      <c r="BY154" s="5">
        <f ca="1">IF($BI154&lt;&gt;"",IF('Capacity summary'!$C$14="Yes",IF(COUNTBLANK('Capacity summary'!$H66:$BG66)&lt;52,IF('Capacity summary'!V66&lt;&gt;"",IF(LOWER('Capacity summary'!V66)="x",$BI154*V154,VALUE('Capacity summary'!V66)),0),V154*$BI154),V154*$BI154),0)</f>
        <v>4.0384615384615383</v>
      </c>
      <c r="BZ154" s="5">
        <f ca="1">IF($BI154&lt;&gt;"",IF('Capacity summary'!$C$14="Yes",IF(COUNTBLANK('Capacity summary'!$H66:$BG66)&lt;52,IF('Capacity summary'!W66&lt;&gt;"",IF(LOWER('Capacity summary'!W66)="x",$BI154*W154,VALUE('Capacity summary'!W66)),0),W154*$BI154),W154*$BI154),0)</f>
        <v>4.0384615384615383</v>
      </c>
      <c r="CA154" s="5">
        <f ca="1">IF($BI154&lt;&gt;"",IF('Capacity summary'!$C$14="Yes",IF(COUNTBLANK('Capacity summary'!$H66:$BG66)&lt;52,IF('Capacity summary'!X66&lt;&gt;"",IF(LOWER('Capacity summary'!X66)="x",$BI154*X154,VALUE('Capacity summary'!X66)),0),X154*$BI154),X154*$BI154),0)</f>
        <v>4.0384615384615383</v>
      </c>
      <c r="CB154" s="5">
        <f ca="1">IF($BI154&lt;&gt;"",IF('Capacity summary'!$C$14="Yes",IF(COUNTBLANK('Capacity summary'!$H66:$BG66)&lt;52,IF('Capacity summary'!Y66&lt;&gt;"",IF(LOWER('Capacity summary'!Y66)="x",$BI154*Y154,VALUE('Capacity summary'!Y66)),0),Y154*$BI154),Y154*$BI154),0)</f>
        <v>4.0384615384615383</v>
      </c>
      <c r="CC154" s="5">
        <f ca="1">IF($BI154&lt;&gt;"",IF('Capacity summary'!$C$14="Yes",IF(COUNTBLANK('Capacity summary'!$H66:$BG66)&lt;52,IF('Capacity summary'!Z66&lt;&gt;"",IF(LOWER('Capacity summary'!Z66)="x",$BI154*Z154,VALUE('Capacity summary'!Z66)),0),Z154*$BI154),Z154*$BI154),0)</f>
        <v>4.0384615384615383</v>
      </c>
      <c r="CD154" s="5">
        <f ca="1">IF($BI154&lt;&gt;"",IF('Capacity summary'!$C$14="Yes",IF(COUNTBLANK('Capacity summary'!$H66:$BG66)&lt;52,IF('Capacity summary'!AA66&lt;&gt;"",IF(LOWER('Capacity summary'!AA66)="x",$BI154*AA154,VALUE('Capacity summary'!AA66)),0),AA154*$BI154),AA154*$BI154),0)</f>
        <v>4.0384615384615383</v>
      </c>
      <c r="CE154" s="5">
        <f ca="1">IF($BI154&lt;&gt;"",IF('Capacity summary'!$C$14="Yes",IF(COUNTBLANK('Capacity summary'!$H66:$BG66)&lt;52,IF('Capacity summary'!AB66&lt;&gt;"",IF(LOWER('Capacity summary'!AB66)="x",$BI154*AB154,VALUE('Capacity summary'!AB66)),0),AB154*$BI154),AB154*$BI154),0)</f>
        <v>4.0384615384615383</v>
      </c>
      <c r="CF154" s="5">
        <f ca="1">IF($BI154&lt;&gt;"",IF('Capacity summary'!$C$14="Yes",IF(COUNTBLANK('Capacity summary'!$H66:$BG66)&lt;52,IF('Capacity summary'!AC66&lt;&gt;"",IF(LOWER('Capacity summary'!AC66)="x",$BI154*AC154,VALUE('Capacity summary'!AC66)),0),AC154*$BI154),AC154*$BI154),0)</f>
        <v>4.0384615384615383</v>
      </c>
      <c r="CG154" s="5">
        <f ca="1">IF($BI154&lt;&gt;"",IF('Capacity summary'!$C$14="Yes",IF(COUNTBLANK('Capacity summary'!$H66:$BG66)&lt;52,IF('Capacity summary'!AD66&lt;&gt;"",IF(LOWER('Capacity summary'!AD66)="x",$BI154*AD154,VALUE('Capacity summary'!AD66)),0),AD154*$BI154),AD154*$BI154),0)</f>
        <v>4.0384615384615383</v>
      </c>
      <c r="CH154" s="5">
        <f ca="1">IF($BI154&lt;&gt;"",IF('Capacity summary'!$C$14="Yes",IF(COUNTBLANK('Capacity summary'!$H66:$BG66)&lt;52,IF('Capacity summary'!AE66&lt;&gt;"",IF(LOWER('Capacity summary'!AE66)="x",$BI154*AE154,VALUE('Capacity summary'!AE66)),0),AE154*$BI154),AE154*$BI154),0)</f>
        <v>4.0384615384615383</v>
      </c>
      <c r="CI154" s="5">
        <f ca="1">IF($BI154&lt;&gt;"",IF('Capacity summary'!$C$14="Yes",IF(COUNTBLANK('Capacity summary'!$H66:$BG66)&lt;52,IF('Capacity summary'!AF66&lt;&gt;"",IF(LOWER('Capacity summary'!AF66)="x",$BI154*AF154,VALUE('Capacity summary'!AF66)),0),AF154*$BI154),AF154*$BI154),0)</f>
        <v>4.0384615384615383</v>
      </c>
      <c r="CJ154" s="5">
        <f ca="1">IF($BI154&lt;&gt;"",IF('Capacity summary'!$C$14="Yes",IF(COUNTBLANK('Capacity summary'!$H66:$BG66)&lt;52,IF('Capacity summary'!AG66&lt;&gt;"",IF(LOWER('Capacity summary'!AG66)="x",$BI154*AG154,VALUE('Capacity summary'!AG66)),0),AG154*$BI154),AG154*$BI154),0)</f>
        <v>4.0384615384615383</v>
      </c>
      <c r="CK154" s="5">
        <f ca="1">IF($BI154&lt;&gt;"",IF('Capacity summary'!$C$14="Yes",IF(COUNTBLANK('Capacity summary'!$H66:$BG66)&lt;52,IF('Capacity summary'!AH66&lt;&gt;"",IF(LOWER('Capacity summary'!AH66)="x",$BI154*AH154,VALUE('Capacity summary'!AH66)),0),AH154*$BI154),AH154*$BI154),0)</f>
        <v>4.0384615384615383</v>
      </c>
      <c r="CL154" s="5">
        <f ca="1">IF($BI154&lt;&gt;"",IF('Capacity summary'!$C$14="Yes",IF(COUNTBLANK('Capacity summary'!$H66:$BG66)&lt;52,IF('Capacity summary'!AI66&lt;&gt;"",IF(LOWER('Capacity summary'!AI66)="x",$BI154*AI154,VALUE('Capacity summary'!AI66)),0),AI154*$BI154),AI154*$BI154),0)</f>
        <v>4.0384615384615383</v>
      </c>
      <c r="CM154" s="5">
        <f ca="1">IF($BI154&lt;&gt;"",IF('Capacity summary'!$C$14="Yes",IF(COUNTBLANK('Capacity summary'!$H66:$BG66)&lt;52,IF('Capacity summary'!AJ66&lt;&gt;"",IF(LOWER('Capacity summary'!AJ66)="x",$BI154*AJ154,VALUE('Capacity summary'!AJ66)),0),AJ154*$BI154),AJ154*$BI154),0)</f>
        <v>4.0384615384615383</v>
      </c>
      <c r="CN154" s="5">
        <f ca="1">IF($BI154&lt;&gt;"",IF('Capacity summary'!$C$14="Yes",IF(COUNTBLANK('Capacity summary'!$H66:$BG66)&lt;52,IF('Capacity summary'!AK66&lt;&gt;"",IF(LOWER('Capacity summary'!AK66)="x",$BI154*AK154,VALUE('Capacity summary'!AK66)),0),AK154*$BI154),AK154*$BI154),0)</f>
        <v>4.0384615384615383</v>
      </c>
      <c r="CO154" s="5">
        <f ca="1">IF($BI154&lt;&gt;"",IF('Capacity summary'!$C$14="Yes",IF(COUNTBLANK('Capacity summary'!$H66:$BG66)&lt;52,IF('Capacity summary'!AL66&lt;&gt;"",IF(LOWER('Capacity summary'!AL66)="x",$BI154*AL154,VALUE('Capacity summary'!AL66)),0),AL154*$BI154),AL154*$BI154),0)</f>
        <v>4.0384615384615383</v>
      </c>
      <c r="CP154" s="5">
        <f ca="1">IF($BI154&lt;&gt;"",IF('Capacity summary'!$C$14="Yes",IF(COUNTBLANK('Capacity summary'!$H66:$BG66)&lt;52,IF('Capacity summary'!AM66&lt;&gt;"",IF(LOWER('Capacity summary'!AM66)="x",$BI154*AM154,VALUE('Capacity summary'!AM66)),0),AM154*$BI154),AM154*$BI154),0)</f>
        <v>4.0384615384615383</v>
      </c>
      <c r="CQ154" s="5">
        <f ca="1">IF($BI154&lt;&gt;"",IF('Capacity summary'!$C$14="Yes",IF(COUNTBLANK('Capacity summary'!$H66:$BG66)&lt;52,IF('Capacity summary'!AN66&lt;&gt;"",IF(LOWER('Capacity summary'!AN66)="x",$BI154*AN154,VALUE('Capacity summary'!AN66)),0),AN154*$BI154),AN154*$BI154),0)</f>
        <v>4.0384615384615383</v>
      </c>
      <c r="CR154" s="5">
        <f ca="1">IF($BI154&lt;&gt;"",IF('Capacity summary'!$C$14="Yes",IF(COUNTBLANK('Capacity summary'!$H66:$BG66)&lt;52,IF('Capacity summary'!AO66&lt;&gt;"",IF(LOWER('Capacity summary'!AO66)="x",$BI154*AO154,VALUE('Capacity summary'!AO66)),0),AO154*$BI154),AO154*$BI154),0)</f>
        <v>4.0384615384615383</v>
      </c>
      <c r="CS154" s="5">
        <f ca="1">IF($BI154&lt;&gt;"",IF('Capacity summary'!$C$14="Yes",IF(COUNTBLANK('Capacity summary'!$H66:$BG66)&lt;52,IF('Capacity summary'!AP66&lt;&gt;"",IF(LOWER('Capacity summary'!AP66)="x",$BI154*AP154,VALUE('Capacity summary'!AP66)),0),AP154*$BI154),AP154*$BI154),0)</f>
        <v>4.0384615384615383</v>
      </c>
      <c r="CT154" s="5">
        <f ca="1">IF($BI154&lt;&gt;"",IF('Capacity summary'!$C$14="Yes",IF(COUNTBLANK('Capacity summary'!$H66:$BG66)&lt;52,IF('Capacity summary'!AQ66&lt;&gt;"",IF(LOWER('Capacity summary'!AQ66)="x",$BI154*AQ154,VALUE('Capacity summary'!AQ66)),0),AQ154*$BI154),AQ154*$BI154),0)</f>
        <v>4.0384615384615383</v>
      </c>
      <c r="CU154" s="5">
        <f ca="1">IF($BI154&lt;&gt;"",IF('Capacity summary'!$C$14="Yes",IF(COUNTBLANK('Capacity summary'!$H66:$BG66)&lt;52,IF('Capacity summary'!AR66&lt;&gt;"",IF(LOWER('Capacity summary'!AR66)="x",$BI154*AR154,VALUE('Capacity summary'!AR66)),0),AR154*$BI154),AR154*$BI154),0)</f>
        <v>4.0384615384615383</v>
      </c>
      <c r="CV154" s="5">
        <f ca="1">IF($BI154&lt;&gt;"",IF('Capacity summary'!$C$14="Yes",IF(COUNTBLANK('Capacity summary'!$H66:$BG66)&lt;52,IF('Capacity summary'!AS66&lt;&gt;"",IF(LOWER('Capacity summary'!AS66)="x",$BI154*AS154,VALUE('Capacity summary'!AS66)),0),AS154*$BI154),AS154*$BI154),0)</f>
        <v>4.0384615384615383</v>
      </c>
      <c r="CW154" s="5">
        <f ca="1">IF($BI154&lt;&gt;"",IF('Capacity summary'!$C$14="Yes",IF(COUNTBLANK('Capacity summary'!$H66:$BG66)&lt;52,IF('Capacity summary'!AT66&lt;&gt;"",IF(LOWER('Capacity summary'!AT66)="x",$BI154*AT154,VALUE('Capacity summary'!AT66)),0),AT154*$BI154),AT154*$BI154),0)</f>
        <v>4.0384615384615383</v>
      </c>
      <c r="CX154" s="5">
        <f ca="1">IF($BI154&lt;&gt;"",IF('Capacity summary'!$C$14="Yes",IF(COUNTBLANK('Capacity summary'!$H66:$BG66)&lt;52,IF('Capacity summary'!AU66&lt;&gt;"",IF(LOWER('Capacity summary'!AU66)="x",$BI154*AU154,VALUE('Capacity summary'!AU66)),0),AU154*$BI154),AU154*$BI154),0)</f>
        <v>4.0384615384615383</v>
      </c>
      <c r="CY154" s="5">
        <f ca="1">IF($BI154&lt;&gt;"",IF('Capacity summary'!$C$14="Yes",IF(COUNTBLANK('Capacity summary'!$H66:$BG66)&lt;52,IF('Capacity summary'!AV66&lt;&gt;"",IF(LOWER('Capacity summary'!AV66)="x",$BI154*AV154,VALUE('Capacity summary'!AV66)),0),AV154*$BI154),AV154*$BI154),0)</f>
        <v>4.0384615384615383</v>
      </c>
      <c r="CZ154" s="5">
        <f ca="1">IF($BI154&lt;&gt;"",IF('Capacity summary'!$C$14="Yes",IF(COUNTBLANK('Capacity summary'!$H66:$BG66)&lt;52,IF('Capacity summary'!AW66&lt;&gt;"",IF(LOWER('Capacity summary'!AW66)="x",$BI154*AW154,VALUE('Capacity summary'!AW66)),0),AW154*$BI154),AW154*$BI154),0)</f>
        <v>4.0384615384615383</v>
      </c>
      <c r="DA154" s="5">
        <f ca="1">IF($BI154&lt;&gt;"",IF('Capacity summary'!$C$14="Yes",IF(COUNTBLANK('Capacity summary'!$H66:$BG66)&lt;52,IF('Capacity summary'!AX66&lt;&gt;"",IF(LOWER('Capacity summary'!AX66)="x",$BI154*AX154,VALUE('Capacity summary'!AX66)),0),AX154*$BI154),AX154*$BI154),0)</f>
        <v>4.0384615384615383</v>
      </c>
      <c r="DB154" s="5">
        <f ca="1">IF($BI154&lt;&gt;"",IF('Capacity summary'!$C$14="Yes",IF(COUNTBLANK('Capacity summary'!$H66:$BG66)&lt;52,IF('Capacity summary'!AY66&lt;&gt;"",IF(LOWER('Capacity summary'!AY66)="x",$BI154*AY154,VALUE('Capacity summary'!AY66)),0),AY154*$BI154),AY154*$BI154),0)</f>
        <v>4.0384615384615383</v>
      </c>
      <c r="DC154" s="5">
        <f ca="1">IF($BI154&lt;&gt;"",IF('Capacity summary'!$C$14="Yes",IF(COUNTBLANK('Capacity summary'!$H66:$BG66)&lt;52,IF('Capacity summary'!AZ66&lt;&gt;"",IF(LOWER('Capacity summary'!AZ66)="x",$BI154*AZ154,VALUE('Capacity summary'!AZ66)),0),AZ154*$BI154),AZ154*$BI154),0)</f>
        <v>4.0384615384615383</v>
      </c>
      <c r="DD154" s="5">
        <f ca="1">IF($BI154&lt;&gt;"",IF('Capacity summary'!$C$14="Yes",IF(COUNTBLANK('Capacity summary'!$H66:$BG66)&lt;52,IF('Capacity summary'!BA66&lt;&gt;"",IF(LOWER('Capacity summary'!BA66)="x",$BI154*BA154,VALUE('Capacity summary'!BA66)),0),BA154*$BI154),BA154*$BI154),0)</f>
        <v>4.0384615384615383</v>
      </c>
      <c r="DE154" s="5">
        <f ca="1">IF($BI154&lt;&gt;"",IF('Capacity summary'!$C$14="Yes",IF(COUNTBLANK('Capacity summary'!$H66:$BG66)&lt;52,IF('Capacity summary'!BB66&lt;&gt;"",IF(LOWER('Capacity summary'!BB66)="x",$BI154*BB154,VALUE('Capacity summary'!BB66)),0),BB154*$BI154),BB154*$BI154),0)</f>
        <v>4.0384615384615383</v>
      </c>
      <c r="DF154" s="5">
        <f ca="1">IF($BI154&lt;&gt;"",IF('Capacity summary'!$C$14="Yes",IF(COUNTBLANK('Capacity summary'!$H66:$BG66)&lt;52,IF('Capacity summary'!BC66&lt;&gt;"",IF(LOWER('Capacity summary'!BC66)="x",$BI154*BC154,VALUE('Capacity summary'!BC66)),0),BC154*$BI154),BC154*$BI154),0)</f>
        <v>4.0384615384615383</v>
      </c>
      <c r="DG154" s="5">
        <f ca="1">IF($BI154&lt;&gt;"",IF('Capacity summary'!$C$14="Yes",IF(COUNTBLANK('Capacity summary'!$H66:$BG66)&lt;52,IF('Capacity summary'!BD66&lt;&gt;"",IF(LOWER('Capacity summary'!BD66)="x",$BI154*BD154,VALUE('Capacity summary'!BD66)),0),BD154*$BI154),BD154*$BI154),0)</f>
        <v>4.0384615384615383</v>
      </c>
      <c r="DH154" s="5">
        <f ca="1">IF($BI154&lt;&gt;"",IF('Capacity summary'!$C$14="Yes",IF(COUNTBLANK('Capacity summary'!$H66:$BG66)&lt;52,IF('Capacity summary'!BE66&lt;&gt;"",IF(LOWER('Capacity summary'!BE66)="x",$BI154*BE154,VALUE('Capacity summary'!BE66)),0),BE154*$BI154),BE154*$BI154),0)</f>
        <v>4.0384615384615383</v>
      </c>
      <c r="DI154" s="5">
        <f ca="1">IF($BI154&lt;&gt;"",IF('Capacity summary'!$C$14="Yes",IF(COUNTBLANK('Capacity summary'!$H66:$BG66)&lt;52,IF('Capacity summary'!BF66&lt;&gt;"",IF(LOWER('Capacity summary'!BF66)="x",$BI154*BF154,VALUE('Capacity summary'!BF66)),0),BF154*$BI154),BF154*$BI154),0)</f>
        <v>4.0384615384615383</v>
      </c>
      <c r="DJ154" s="5">
        <f ca="1">IF($BI154&lt;&gt;"",IF('Capacity summary'!$C$14="Yes",IF(COUNTBLANK('Capacity summary'!$H66:$BG66)&lt;52,IF('Capacity summary'!BG66&lt;&gt;"",IF(LOWER('Capacity summary'!BG66)="x",$BI154*BG154,VALUE('Capacity summary'!BG66)),0),BG154*$BI154),BG154*$BI154),0)</f>
        <v>4.0384615384615383</v>
      </c>
      <c r="DK154" s="388">
        <f t="shared" ca="1" si="8"/>
        <v>4.0384615384615383</v>
      </c>
      <c r="DL154" s="5">
        <f t="shared" ca="1" si="9"/>
        <v>210.00000000000011</v>
      </c>
    </row>
    <row r="155" spans="3:116" x14ac:dyDescent="0.2">
      <c r="C155" s="67" t="str">
        <f>ROW(A44)&amp;". "&amp;Capacity!N60</f>
        <v>44. 44418</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 ca="1">IF(ROW(A44)&lt;=Capacity!$M$16,IF('Capacity summary'!$C$14="No",SUM(H155:BG155),'Capacity summary'!$E67),0)</f>
        <v>52</v>
      </c>
      <c r="BI155" s="67">
        <f ca="1">IF(BH155&gt;0,IF(BH155&lt;Capacity!Q60,Capacity!R60,Capacity!T60/'Capacity calculation (hide)'!BH155),"")</f>
        <v>12.692307692307692</v>
      </c>
      <c r="BJ155" s="5"/>
      <c r="BK155" s="5">
        <f ca="1">IF($BI155&lt;&gt;"",IF('Capacity summary'!$C$14="Yes",IF(COUNTBLANK('Capacity summary'!$H67:$BG67)&lt;52,IF('Capacity summary'!H67&lt;&gt;"",IF(LOWER('Capacity summary'!H67)="x",$BI155*H155,VALUE('Capacity summary'!H67)),0),H155*$BI155),H155*$BI155),0)</f>
        <v>12.692307692307692</v>
      </c>
      <c r="BL155" s="5">
        <f ca="1">IF($BI155&lt;&gt;"",IF('Capacity summary'!$C$14="Yes",IF(COUNTBLANK('Capacity summary'!$H67:$BG67)&lt;52,IF('Capacity summary'!I67&lt;&gt;"",IF(LOWER('Capacity summary'!I67)="x",$BI155*I155,VALUE('Capacity summary'!I67)),0),I155*$BI155),I155*$BI155),0)</f>
        <v>12.692307692307692</v>
      </c>
      <c r="BM155" s="5">
        <f ca="1">IF($BI155&lt;&gt;"",IF('Capacity summary'!$C$14="Yes",IF(COUNTBLANK('Capacity summary'!$H67:$BG67)&lt;52,IF('Capacity summary'!J67&lt;&gt;"",IF(LOWER('Capacity summary'!J67)="x",$BI155*J155,VALUE('Capacity summary'!J67)),0),J155*$BI155),J155*$BI155),0)</f>
        <v>12.692307692307692</v>
      </c>
      <c r="BN155" s="5">
        <f ca="1">IF($BI155&lt;&gt;"",IF('Capacity summary'!$C$14="Yes",IF(COUNTBLANK('Capacity summary'!$H67:$BG67)&lt;52,IF('Capacity summary'!K67&lt;&gt;"",IF(LOWER('Capacity summary'!K67)="x",$BI155*K155,VALUE('Capacity summary'!K67)),0),K155*$BI155),K155*$BI155),0)</f>
        <v>12.692307692307692</v>
      </c>
      <c r="BO155" s="5">
        <f ca="1">IF($BI155&lt;&gt;"",IF('Capacity summary'!$C$14="Yes",IF(COUNTBLANK('Capacity summary'!$H67:$BG67)&lt;52,IF('Capacity summary'!L67&lt;&gt;"",IF(LOWER('Capacity summary'!L67)="x",$BI155*L155,VALUE('Capacity summary'!L67)),0),L155*$BI155),L155*$BI155),0)</f>
        <v>12.692307692307692</v>
      </c>
      <c r="BP155" s="5">
        <f ca="1">IF($BI155&lt;&gt;"",IF('Capacity summary'!$C$14="Yes",IF(COUNTBLANK('Capacity summary'!$H67:$BG67)&lt;52,IF('Capacity summary'!M67&lt;&gt;"",IF(LOWER('Capacity summary'!M67)="x",$BI155*M155,VALUE('Capacity summary'!M67)),0),M155*$BI155),M155*$BI155),0)</f>
        <v>12.692307692307692</v>
      </c>
      <c r="BQ155" s="5">
        <f ca="1">IF($BI155&lt;&gt;"",IF('Capacity summary'!$C$14="Yes",IF(COUNTBLANK('Capacity summary'!$H67:$BG67)&lt;52,IF('Capacity summary'!N67&lt;&gt;"",IF(LOWER('Capacity summary'!N67)="x",$BI155*N155,VALUE('Capacity summary'!N67)),0),N155*$BI155),N155*$BI155),0)</f>
        <v>12.692307692307692</v>
      </c>
      <c r="BR155" s="5">
        <f ca="1">IF($BI155&lt;&gt;"",IF('Capacity summary'!$C$14="Yes",IF(COUNTBLANK('Capacity summary'!$H67:$BG67)&lt;52,IF('Capacity summary'!O67&lt;&gt;"",IF(LOWER('Capacity summary'!O67)="x",$BI155*O155,VALUE('Capacity summary'!O67)),0),O155*$BI155),O155*$BI155),0)</f>
        <v>12.692307692307692</v>
      </c>
      <c r="BS155" s="5">
        <f ca="1">IF($BI155&lt;&gt;"",IF('Capacity summary'!$C$14="Yes",IF(COUNTBLANK('Capacity summary'!$H67:$BG67)&lt;52,IF('Capacity summary'!P67&lt;&gt;"",IF(LOWER('Capacity summary'!P67)="x",$BI155*P155,VALUE('Capacity summary'!P67)),0),P155*$BI155),P155*$BI155),0)</f>
        <v>12.692307692307692</v>
      </c>
      <c r="BT155" s="5">
        <f ca="1">IF($BI155&lt;&gt;"",IF('Capacity summary'!$C$14="Yes",IF(COUNTBLANK('Capacity summary'!$H67:$BG67)&lt;52,IF('Capacity summary'!Q67&lt;&gt;"",IF(LOWER('Capacity summary'!Q67)="x",$BI155*Q155,VALUE('Capacity summary'!Q67)),0),Q155*$BI155),Q155*$BI155),0)</f>
        <v>12.692307692307692</v>
      </c>
      <c r="BU155" s="5">
        <f ca="1">IF($BI155&lt;&gt;"",IF('Capacity summary'!$C$14="Yes",IF(COUNTBLANK('Capacity summary'!$H67:$BG67)&lt;52,IF('Capacity summary'!R67&lt;&gt;"",IF(LOWER('Capacity summary'!R67)="x",$BI155*R155,VALUE('Capacity summary'!R67)),0),R155*$BI155),R155*$BI155),0)</f>
        <v>12.692307692307692</v>
      </c>
      <c r="BV155" s="5">
        <f ca="1">IF($BI155&lt;&gt;"",IF('Capacity summary'!$C$14="Yes",IF(COUNTBLANK('Capacity summary'!$H67:$BG67)&lt;52,IF('Capacity summary'!S67&lt;&gt;"",IF(LOWER('Capacity summary'!S67)="x",$BI155*S155,VALUE('Capacity summary'!S67)),0),S155*$BI155),S155*$BI155),0)</f>
        <v>12.692307692307692</v>
      </c>
      <c r="BW155" s="5">
        <f ca="1">IF($BI155&lt;&gt;"",IF('Capacity summary'!$C$14="Yes",IF(COUNTBLANK('Capacity summary'!$H67:$BG67)&lt;52,IF('Capacity summary'!T67&lt;&gt;"",IF(LOWER('Capacity summary'!T67)="x",$BI155*T155,VALUE('Capacity summary'!T67)),0),T155*$BI155),T155*$BI155),0)</f>
        <v>12.692307692307692</v>
      </c>
      <c r="BX155" s="5">
        <f ca="1">IF($BI155&lt;&gt;"",IF('Capacity summary'!$C$14="Yes",IF(COUNTBLANK('Capacity summary'!$H67:$BG67)&lt;52,IF('Capacity summary'!U67&lt;&gt;"",IF(LOWER('Capacity summary'!U67)="x",$BI155*U155,VALUE('Capacity summary'!U67)),0),U155*$BI155),U155*$BI155),0)</f>
        <v>12.692307692307692</v>
      </c>
      <c r="BY155" s="5">
        <f ca="1">IF($BI155&lt;&gt;"",IF('Capacity summary'!$C$14="Yes",IF(COUNTBLANK('Capacity summary'!$H67:$BG67)&lt;52,IF('Capacity summary'!V67&lt;&gt;"",IF(LOWER('Capacity summary'!V67)="x",$BI155*V155,VALUE('Capacity summary'!V67)),0),V155*$BI155),V155*$BI155),0)</f>
        <v>12.692307692307692</v>
      </c>
      <c r="BZ155" s="5">
        <f ca="1">IF($BI155&lt;&gt;"",IF('Capacity summary'!$C$14="Yes",IF(COUNTBLANK('Capacity summary'!$H67:$BG67)&lt;52,IF('Capacity summary'!W67&lt;&gt;"",IF(LOWER('Capacity summary'!W67)="x",$BI155*W155,VALUE('Capacity summary'!W67)),0),W155*$BI155),W155*$BI155),0)</f>
        <v>12.692307692307692</v>
      </c>
      <c r="CA155" s="5">
        <f ca="1">IF($BI155&lt;&gt;"",IF('Capacity summary'!$C$14="Yes",IF(COUNTBLANK('Capacity summary'!$H67:$BG67)&lt;52,IF('Capacity summary'!X67&lt;&gt;"",IF(LOWER('Capacity summary'!X67)="x",$BI155*X155,VALUE('Capacity summary'!X67)),0),X155*$BI155),X155*$BI155),0)</f>
        <v>12.692307692307692</v>
      </c>
      <c r="CB155" s="5">
        <f ca="1">IF($BI155&lt;&gt;"",IF('Capacity summary'!$C$14="Yes",IF(COUNTBLANK('Capacity summary'!$H67:$BG67)&lt;52,IF('Capacity summary'!Y67&lt;&gt;"",IF(LOWER('Capacity summary'!Y67)="x",$BI155*Y155,VALUE('Capacity summary'!Y67)),0),Y155*$BI155),Y155*$BI155),0)</f>
        <v>12.692307692307692</v>
      </c>
      <c r="CC155" s="5">
        <f ca="1">IF($BI155&lt;&gt;"",IF('Capacity summary'!$C$14="Yes",IF(COUNTBLANK('Capacity summary'!$H67:$BG67)&lt;52,IF('Capacity summary'!Z67&lt;&gt;"",IF(LOWER('Capacity summary'!Z67)="x",$BI155*Z155,VALUE('Capacity summary'!Z67)),0),Z155*$BI155),Z155*$BI155),0)</f>
        <v>12.692307692307692</v>
      </c>
      <c r="CD155" s="5">
        <f ca="1">IF($BI155&lt;&gt;"",IF('Capacity summary'!$C$14="Yes",IF(COUNTBLANK('Capacity summary'!$H67:$BG67)&lt;52,IF('Capacity summary'!AA67&lt;&gt;"",IF(LOWER('Capacity summary'!AA67)="x",$BI155*AA155,VALUE('Capacity summary'!AA67)),0),AA155*$BI155),AA155*$BI155),0)</f>
        <v>12.692307692307692</v>
      </c>
      <c r="CE155" s="5">
        <f ca="1">IF($BI155&lt;&gt;"",IF('Capacity summary'!$C$14="Yes",IF(COUNTBLANK('Capacity summary'!$H67:$BG67)&lt;52,IF('Capacity summary'!AB67&lt;&gt;"",IF(LOWER('Capacity summary'!AB67)="x",$BI155*AB155,VALUE('Capacity summary'!AB67)),0),AB155*$BI155),AB155*$BI155),0)</f>
        <v>12.692307692307692</v>
      </c>
      <c r="CF155" s="5">
        <f ca="1">IF($BI155&lt;&gt;"",IF('Capacity summary'!$C$14="Yes",IF(COUNTBLANK('Capacity summary'!$H67:$BG67)&lt;52,IF('Capacity summary'!AC67&lt;&gt;"",IF(LOWER('Capacity summary'!AC67)="x",$BI155*AC155,VALUE('Capacity summary'!AC67)),0),AC155*$BI155),AC155*$BI155),0)</f>
        <v>12.692307692307692</v>
      </c>
      <c r="CG155" s="5">
        <f ca="1">IF($BI155&lt;&gt;"",IF('Capacity summary'!$C$14="Yes",IF(COUNTBLANK('Capacity summary'!$H67:$BG67)&lt;52,IF('Capacity summary'!AD67&lt;&gt;"",IF(LOWER('Capacity summary'!AD67)="x",$BI155*AD155,VALUE('Capacity summary'!AD67)),0),AD155*$BI155),AD155*$BI155),0)</f>
        <v>12.692307692307692</v>
      </c>
      <c r="CH155" s="5">
        <f ca="1">IF($BI155&lt;&gt;"",IF('Capacity summary'!$C$14="Yes",IF(COUNTBLANK('Capacity summary'!$H67:$BG67)&lt;52,IF('Capacity summary'!AE67&lt;&gt;"",IF(LOWER('Capacity summary'!AE67)="x",$BI155*AE155,VALUE('Capacity summary'!AE67)),0),AE155*$BI155),AE155*$BI155),0)</f>
        <v>12.692307692307692</v>
      </c>
      <c r="CI155" s="5">
        <f ca="1">IF($BI155&lt;&gt;"",IF('Capacity summary'!$C$14="Yes",IF(COUNTBLANK('Capacity summary'!$H67:$BG67)&lt;52,IF('Capacity summary'!AF67&lt;&gt;"",IF(LOWER('Capacity summary'!AF67)="x",$BI155*AF155,VALUE('Capacity summary'!AF67)),0),AF155*$BI155),AF155*$BI155),0)</f>
        <v>12.692307692307692</v>
      </c>
      <c r="CJ155" s="5">
        <f ca="1">IF($BI155&lt;&gt;"",IF('Capacity summary'!$C$14="Yes",IF(COUNTBLANK('Capacity summary'!$H67:$BG67)&lt;52,IF('Capacity summary'!AG67&lt;&gt;"",IF(LOWER('Capacity summary'!AG67)="x",$BI155*AG155,VALUE('Capacity summary'!AG67)),0),AG155*$BI155),AG155*$BI155),0)</f>
        <v>12.692307692307692</v>
      </c>
      <c r="CK155" s="5">
        <f ca="1">IF($BI155&lt;&gt;"",IF('Capacity summary'!$C$14="Yes",IF(COUNTBLANK('Capacity summary'!$H67:$BG67)&lt;52,IF('Capacity summary'!AH67&lt;&gt;"",IF(LOWER('Capacity summary'!AH67)="x",$BI155*AH155,VALUE('Capacity summary'!AH67)),0),AH155*$BI155),AH155*$BI155),0)</f>
        <v>12.692307692307692</v>
      </c>
      <c r="CL155" s="5">
        <f ca="1">IF($BI155&lt;&gt;"",IF('Capacity summary'!$C$14="Yes",IF(COUNTBLANK('Capacity summary'!$H67:$BG67)&lt;52,IF('Capacity summary'!AI67&lt;&gt;"",IF(LOWER('Capacity summary'!AI67)="x",$BI155*AI155,VALUE('Capacity summary'!AI67)),0),AI155*$BI155),AI155*$BI155),0)</f>
        <v>12.692307692307692</v>
      </c>
      <c r="CM155" s="5">
        <f ca="1">IF($BI155&lt;&gt;"",IF('Capacity summary'!$C$14="Yes",IF(COUNTBLANK('Capacity summary'!$H67:$BG67)&lt;52,IF('Capacity summary'!AJ67&lt;&gt;"",IF(LOWER('Capacity summary'!AJ67)="x",$BI155*AJ155,VALUE('Capacity summary'!AJ67)),0),AJ155*$BI155),AJ155*$BI155),0)</f>
        <v>12.692307692307692</v>
      </c>
      <c r="CN155" s="5">
        <f ca="1">IF($BI155&lt;&gt;"",IF('Capacity summary'!$C$14="Yes",IF(COUNTBLANK('Capacity summary'!$H67:$BG67)&lt;52,IF('Capacity summary'!AK67&lt;&gt;"",IF(LOWER('Capacity summary'!AK67)="x",$BI155*AK155,VALUE('Capacity summary'!AK67)),0),AK155*$BI155),AK155*$BI155),0)</f>
        <v>12.692307692307692</v>
      </c>
      <c r="CO155" s="5">
        <f ca="1">IF($BI155&lt;&gt;"",IF('Capacity summary'!$C$14="Yes",IF(COUNTBLANK('Capacity summary'!$H67:$BG67)&lt;52,IF('Capacity summary'!AL67&lt;&gt;"",IF(LOWER('Capacity summary'!AL67)="x",$BI155*AL155,VALUE('Capacity summary'!AL67)),0),AL155*$BI155),AL155*$BI155),0)</f>
        <v>12.692307692307692</v>
      </c>
      <c r="CP155" s="5">
        <f ca="1">IF($BI155&lt;&gt;"",IF('Capacity summary'!$C$14="Yes",IF(COUNTBLANK('Capacity summary'!$H67:$BG67)&lt;52,IF('Capacity summary'!AM67&lt;&gt;"",IF(LOWER('Capacity summary'!AM67)="x",$BI155*AM155,VALUE('Capacity summary'!AM67)),0),AM155*$BI155),AM155*$BI155),0)</f>
        <v>12.692307692307692</v>
      </c>
      <c r="CQ155" s="5">
        <f ca="1">IF($BI155&lt;&gt;"",IF('Capacity summary'!$C$14="Yes",IF(COUNTBLANK('Capacity summary'!$H67:$BG67)&lt;52,IF('Capacity summary'!AN67&lt;&gt;"",IF(LOWER('Capacity summary'!AN67)="x",$BI155*AN155,VALUE('Capacity summary'!AN67)),0),AN155*$BI155),AN155*$BI155),0)</f>
        <v>12.692307692307692</v>
      </c>
      <c r="CR155" s="5">
        <f ca="1">IF($BI155&lt;&gt;"",IF('Capacity summary'!$C$14="Yes",IF(COUNTBLANK('Capacity summary'!$H67:$BG67)&lt;52,IF('Capacity summary'!AO67&lt;&gt;"",IF(LOWER('Capacity summary'!AO67)="x",$BI155*AO155,VALUE('Capacity summary'!AO67)),0),AO155*$BI155),AO155*$BI155),0)</f>
        <v>12.692307692307692</v>
      </c>
      <c r="CS155" s="5">
        <f ca="1">IF($BI155&lt;&gt;"",IF('Capacity summary'!$C$14="Yes",IF(COUNTBLANK('Capacity summary'!$H67:$BG67)&lt;52,IF('Capacity summary'!AP67&lt;&gt;"",IF(LOWER('Capacity summary'!AP67)="x",$BI155*AP155,VALUE('Capacity summary'!AP67)),0),AP155*$BI155),AP155*$BI155),0)</f>
        <v>12.692307692307692</v>
      </c>
      <c r="CT155" s="5">
        <f ca="1">IF($BI155&lt;&gt;"",IF('Capacity summary'!$C$14="Yes",IF(COUNTBLANK('Capacity summary'!$H67:$BG67)&lt;52,IF('Capacity summary'!AQ67&lt;&gt;"",IF(LOWER('Capacity summary'!AQ67)="x",$BI155*AQ155,VALUE('Capacity summary'!AQ67)),0),AQ155*$BI155),AQ155*$BI155),0)</f>
        <v>12.692307692307692</v>
      </c>
      <c r="CU155" s="5">
        <f ca="1">IF($BI155&lt;&gt;"",IF('Capacity summary'!$C$14="Yes",IF(COUNTBLANK('Capacity summary'!$H67:$BG67)&lt;52,IF('Capacity summary'!AR67&lt;&gt;"",IF(LOWER('Capacity summary'!AR67)="x",$BI155*AR155,VALUE('Capacity summary'!AR67)),0),AR155*$BI155),AR155*$BI155),0)</f>
        <v>12.692307692307692</v>
      </c>
      <c r="CV155" s="5">
        <f ca="1">IF($BI155&lt;&gt;"",IF('Capacity summary'!$C$14="Yes",IF(COUNTBLANK('Capacity summary'!$H67:$BG67)&lt;52,IF('Capacity summary'!AS67&lt;&gt;"",IF(LOWER('Capacity summary'!AS67)="x",$BI155*AS155,VALUE('Capacity summary'!AS67)),0),AS155*$BI155),AS155*$BI155),0)</f>
        <v>12.692307692307692</v>
      </c>
      <c r="CW155" s="5">
        <f ca="1">IF($BI155&lt;&gt;"",IF('Capacity summary'!$C$14="Yes",IF(COUNTBLANK('Capacity summary'!$H67:$BG67)&lt;52,IF('Capacity summary'!AT67&lt;&gt;"",IF(LOWER('Capacity summary'!AT67)="x",$BI155*AT155,VALUE('Capacity summary'!AT67)),0),AT155*$BI155),AT155*$BI155),0)</f>
        <v>12.692307692307692</v>
      </c>
      <c r="CX155" s="5">
        <f ca="1">IF($BI155&lt;&gt;"",IF('Capacity summary'!$C$14="Yes",IF(COUNTBLANK('Capacity summary'!$H67:$BG67)&lt;52,IF('Capacity summary'!AU67&lt;&gt;"",IF(LOWER('Capacity summary'!AU67)="x",$BI155*AU155,VALUE('Capacity summary'!AU67)),0),AU155*$BI155),AU155*$BI155),0)</f>
        <v>12.692307692307692</v>
      </c>
      <c r="CY155" s="5">
        <f ca="1">IF($BI155&lt;&gt;"",IF('Capacity summary'!$C$14="Yes",IF(COUNTBLANK('Capacity summary'!$H67:$BG67)&lt;52,IF('Capacity summary'!AV67&lt;&gt;"",IF(LOWER('Capacity summary'!AV67)="x",$BI155*AV155,VALUE('Capacity summary'!AV67)),0),AV155*$BI155),AV155*$BI155),0)</f>
        <v>12.692307692307692</v>
      </c>
      <c r="CZ155" s="5">
        <f ca="1">IF($BI155&lt;&gt;"",IF('Capacity summary'!$C$14="Yes",IF(COUNTBLANK('Capacity summary'!$H67:$BG67)&lt;52,IF('Capacity summary'!AW67&lt;&gt;"",IF(LOWER('Capacity summary'!AW67)="x",$BI155*AW155,VALUE('Capacity summary'!AW67)),0),AW155*$BI155),AW155*$BI155),0)</f>
        <v>12.692307692307692</v>
      </c>
      <c r="DA155" s="5">
        <f ca="1">IF($BI155&lt;&gt;"",IF('Capacity summary'!$C$14="Yes",IF(COUNTBLANK('Capacity summary'!$H67:$BG67)&lt;52,IF('Capacity summary'!AX67&lt;&gt;"",IF(LOWER('Capacity summary'!AX67)="x",$BI155*AX155,VALUE('Capacity summary'!AX67)),0),AX155*$BI155),AX155*$BI155),0)</f>
        <v>12.692307692307692</v>
      </c>
      <c r="DB155" s="5">
        <f ca="1">IF($BI155&lt;&gt;"",IF('Capacity summary'!$C$14="Yes",IF(COUNTBLANK('Capacity summary'!$H67:$BG67)&lt;52,IF('Capacity summary'!AY67&lt;&gt;"",IF(LOWER('Capacity summary'!AY67)="x",$BI155*AY155,VALUE('Capacity summary'!AY67)),0),AY155*$BI155),AY155*$BI155),0)</f>
        <v>12.692307692307692</v>
      </c>
      <c r="DC155" s="5">
        <f ca="1">IF($BI155&lt;&gt;"",IF('Capacity summary'!$C$14="Yes",IF(COUNTBLANK('Capacity summary'!$H67:$BG67)&lt;52,IF('Capacity summary'!AZ67&lt;&gt;"",IF(LOWER('Capacity summary'!AZ67)="x",$BI155*AZ155,VALUE('Capacity summary'!AZ67)),0),AZ155*$BI155),AZ155*$BI155),0)</f>
        <v>12.692307692307692</v>
      </c>
      <c r="DD155" s="5">
        <f ca="1">IF($BI155&lt;&gt;"",IF('Capacity summary'!$C$14="Yes",IF(COUNTBLANK('Capacity summary'!$H67:$BG67)&lt;52,IF('Capacity summary'!BA67&lt;&gt;"",IF(LOWER('Capacity summary'!BA67)="x",$BI155*BA155,VALUE('Capacity summary'!BA67)),0),BA155*$BI155),BA155*$BI155),0)</f>
        <v>12.692307692307692</v>
      </c>
      <c r="DE155" s="5">
        <f ca="1">IF($BI155&lt;&gt;"",IF('Capacity summary'!$C$14="Yes",IF(COUNTBLANK('Capacity summary'!$H67:$BG67)&lt;52,IF('Capacity summary'!BB67&lt;&gt;"",IF(LOWER('Capacity summary'!BB67)="x",$BI155*BB155,VALUE('Capacity summary'!BB67)),0),BB155*$BI155),BB155*$BI155),0)</f>
        <v>12.692307692307692</v>
      </c>
      <c r="DF155" s="5">
        <f ca="1">IF($BI155&lt;&gt;"",IF('Capacity summary'!$C$14="Yes",IF(COUNTBLANK('Capacity summary'!$H67:$BG67)&lt;52,IF('Capacity summary'!BC67&lt;&gt;"",IF(LOWER('Capacity summary'!BC67)="x",$BI155*BC155,VALUE('Capacity summary'!BC67)),0),BC155*$BI155),BC155*$BI155),0)</f>
        <v>12.692307692307692</v>
      </c>
      <c r="DG155" s="5">
        <f ca="1">IF($BI155&lt;&gt;"",IF('Capacity summary'!$C$14="Yes",IF(COUNTBLANK('Capacity summary'!$H67:$BG67)&lt;52,IF('Capacity summary'!BD67&lt;&gt;"",IF(LOWER('Capacity summary'!BD67)="x",$BI155*BD155,VALUE('Capacity summary'!BD67)),0),BD155*$BI155),BD155*$BI155),0)</f>
        <v>12.692307692307692</v>
      </c>
      <c r="DH155" s="5">
        <f ca="1">IF($BI155&lt;&gt;"",IF('Capacity summary'!$C$14="Yes",IF(COUNTBLANK('Capacity summary'!$H67:$BG67)&lt;52,IF('Capacity summary'!BE67&lt;&gt;"",IF(LOWER('Capacity summary'!BE67)="x",$BI155*BE155,VALUE('Capacity summary'!BE67)),0),BE155*$BI155),BE155*$BI155),0)</f>
        <v>12.692307692307692</v>
      </c>
      <c r="DI155" s="5">
        <f ca="1">IF($BI155&lt;&gt;"",IF('Capacity summary'!$C$14="Yes",IF(COUNTBLANK('Capacity summary'!$H67:$BG67)&lt;52,IF('Capacity summary'!BF67&lt;&gt;"",IF(LOWER('Capacity summary'!BF67)="x",$BI155*BF155,VALUE('Capacity summary'!BF67)),0),BF155*$BI155),BF155*$BI155),0)</f>
        <v>12.692307692307692</v>
      </c>
      <c r="DJ155" s="5">
        <f ca="1">IF($BI155&lt;&gt;"",IF('Capacity summary'!$C$14="Yes",IF(COUNTBLANK('Capacity summary'!$H67:$BG67)&lt;52,IF('Capacity summary'!BG67&lt;&gt;"",IF(LOWER('Capacity summary'!BG67)="x",$BI155*BG155,VALUE('Capacity summary'!BG67)),0),BG155*$BI155),BG155*$BI155),0)</f>
        <v>12.692307692307692</v>
      </c>
      <c r="DK155" s="388">
        <f t="shared" ca="1" si="8"/>
        <v>12.692307692307692</v>
      </c>
      <c r="DL155" s="5">
        <f t="shared" ca="1" si="9"/>
        <v>660.00000000000011</v>
      </c>
    </row>
    <row r="156" spans="3:116" x14ac:dyDescent="0.2">
      <c r="C156" s="67" t="str">
        <f>ROW(A45)&amp;". "&amp;Capacity!N61</f>
        <v>45. 44419</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 ca="1">IF(ROW(A45)&lt;=Capacity!$M$16,IF('Capacity summary'!$C$14="No",SUM(H156:BG156),'Capacity summary'!$E68),0)</f>
        <v>52</v>
      </c>
      <c r="BI156" s="67">
        <f ca="1">IF(BH156&gt;0,IF(BH156&lt;Capacity!Q61,Capacity!R61,Capacity!T61/'Capacity calculation (hide)'!BH156),"")</f>
        <v>12.692307692307692</v>
      </c>
      <c r="BJ156" s="5"/>
      <c r="BK156" s="5">
        <f ca="1">IF($BI156&lt;&gt;"",IF('Capacity summary'!$C$14="Yes",IF(COUNTBLANK('Capacity summary'!$H68:$BG68)&lt;52,IF('Capacity summary'!H68&lt;&gt;"",IF(LOWER('Capacity summary'!H68)="x",$BI156*H156,VALUE('Capacity summary'!H68)),0),H156*$BI156),H156*$BI156),0)</f>
        <v>12.692307692307692</v>
      </c>
      <c r="BL156" s="5">
        <f ca="1">IF($BI156&lt;&gt;"",IF('Capacity summary'!$C$14="Yes",IF(COUNTBLANK('Capacity summary'!$H68:$BG68)&lt;52,IF('Capacity summary'!I68&lt;&gt;"",IF(LOWER('Capacity summary'!I68)="x",$BI156*I156,VALUE('Capacity summary'!I68)),0),I156*$BI156),I156*$BI156),0)</f>
        <v>12.692307692307692</v>
      </c>
      <c r="BM156" s="5">
        <f ca="1">IF($BI156&lt;&gt;"",IF('Capacity summary'!$C$14="Yes",IF(COUNTBLANK('Capacity summary'!$H68:$BG68)&lt;52,IF('Capacity summary'!J68&lt;&gt;"",IF(LOWER('Capacity summary'!J68)="x",$BI156*J156,VALUE('Capacity summary'!J68)),0),J156*$BI156),J156*$BI156),0)</f>
        <v>12.692307692307692</v>
      </c>
      <c r="BN156" s="5">
        <f ca="1">IF($BI156&lt;&gt;"",IF('Capacity summary'!$C$14="Yes",IF(COUNTBLANK('Capacity summary'!$H68:$BG68)&lt;52,IF('Capacity summary'!K68&lt;&gt;"",IF(LOWER('Capacity summary'!K68)="x",$BI156*K156,VALUE('Capacity summary'!K68)),0),K156*$BI156),K156*$BI156),0)</f>
        <v>12.692307692307692</v>
      </c>
      <c r="BO156" s="5">
        <f ca="1">IF($BI156&lt;&gt;"",IF('Capacity summary'!$C$14="Yes",IF(COUNTBLANK('Capacity summary'!$H68:$BG68)&lt;52,IF('Capacity summary'!L68&lt;&gt;"",IF(LOWER('Capacity summary'!L68)="x",$BI156*L156,VALUE('Capacity summary'!L68)),0),L156*$BI156),L156*$BI156),0)</f>
        <v>12.692307692307692</v>
      </c>
      <c r="BP156" s="5">
        <f ca="1">IF($BI156&lt;&gt;"",IF('Capacity summary'!$C$14="Yes",IF(COUNTBLANK('Capacity summary'!$H68:$BG68)&lt;52,IF('Capacity summary'!M68&lt;&gt;"",IF(LOWER('Capacity summary'!M68)="x",$BI156*M156,VALUE('Capacity summary'!M68)),0),M156*$BI156),M156*$BI156),0)</f>
        <v>12.692307692307692</v>
      </c>
      <c r="BQ156" s="5">
        <f ca="1">IF($BI156&lt;&gt;"",IF('Capacity summary'!$C$14="Yes",IF(COUNTBLANK('Capacity summary'!$H68:$BG68)&lt;52,IF('Capacity summary'!N68&lt;&gt;"",IF(LOWER('Capacity summary'!N68)="x",$BI156*N156,VALUE('Capacity summary'!N68)),0),N156*$BI156),N156*$BI156),0)</f>
        <v>12.692307692307692</v>
      </c>
      <c r="BR156" s="5">
        <f ca="1">IF($BI156&lt;&gt;"",IF('Capacity summary'!$C$14="Yes",IF(COUNTBLANK('Capacity summary'!$H68:$BG68)&lt;52,IF('Capacity summary'!O68&lt;&gt;"",IF(LOWER('Capacity summary'!O68)="x",$BI156*O156,VALUE('Capacity summary'!O68)),0),O156*$BI156),O156*$BI156),0)</f>
        <v>12.692307692307692</v>
      </c>
      <c r="BS156" s="5">
        <f ca="1">IF($BI156&lt;&gt;"",IF('Capacity summary'!$C$14="Yes",IF(COUNTBLANK('Capacity summary'!$H68:$BG68)&lt;52,IF('Capacity summary'!P68&lt;&gt;"",IF(LOWER('Capacity summary'!P68)="x",$BI156*P156,VALUE('Capacity summary'!P68)),0),P156*$BI156),P156*$BI156),0)</f>
        <v>12.692307692307692</v>
      </c>
      <c r="BT156" s="5">
        <f ca="1">IF($BI156&lt;&gt;"",IF('Capacity summary'!$C$14="Yes",IF(COUNTBLANK('Capacity summary'!$H68:$BG68)&lt;52,IF('Capacity summary'!Q68&lt;&gt;"",IF(LOWER('Capacity summary'!Q68)="x",$BI156*Q156,VALUE('Capacity summary'!Q68)),0),Q156*$BI156),Q156*$BI156),0)</f>
        <v>12.692307692307692</v>
      </c>
      <c r="BU156" s="5">
        <f ca="1">IF($BI156&lt;&gt;"",IF('Capacity summary'!$C$14="Yes",IF(COUNTBLANK('Capacity summary'!$H68:$BG68)&lt;52,IF('Capacity summary'!R68&lt;&gt;"",IF(LOWER('Capacity summary'!R68)="x",$BI156*R156,VALUE('Capacity summary'!R68)),0),R156*$BI156),R156*$BI156),0)</f>
        <v>12.692307692307692</v>
      </c>
      <c r="BV156" s="5">
        <f ca="1">IF($BI156&lt;&gt;"",IF('Capacity summary'!$C$14="Yes",IF(COUNTBLANK('Capacity summary'!$H68:$BG68)&lt;52,IF('Capacity summary'!S68&lt;&gt;"",IF(LOWER('Capacity summary'!S68)="x",$BI156*S156,VALUE('Capacity summary'!S68)),0),S156*$BI156),S156*$BI156),0)</f>
        <v>12.692307692307692</v>
      </c>
      <c r="BW156" s="5">
        <f ca="1">IF($BI156&lt;&gt;"",IF('Capacity summary'!$C$14="Yes",IF(COUNTBLANK('Capacity summary'!$H68:$BG68)&lt;52,IF('Capacity summary'!T68&lt;&gt;"",IF(LOWER('Capacity summary'!T68)="x",$BI156*T156,VALUE('Capacity summary'!T68)),0),T156*$BI156),T156*$BI156),0)</f>
        <v>12.692307692307692</v>
      </c>
      <c r="BX156" s="5">
        <f ca="1">IF($BI156&lt;&gt;"",IF('Capacity summary'!$C$14="Yes",IF(COUNTBLANK('Capacity summary'!$H68:$BG68)&lt;52,IF('Capacity summary'!U68&lt;&gt;"",IF(LOWER('Capacity summary'!U68)="x",$BI156*U156,VALUE('Capacity summary'!U68)),0),U156*$BI156),U156*$BI156),0)</f>
        <v>12.692307692307692</v>
      </c>
      <c r="BY156" s="5">
        <f ca="1">IF($BI156&lt;&gt;"",IF('Capacity summary'!$C$14="Yes",IF(COUNTBLANK('Capacity summary'!$H68:$BG68)&lt;52,IF('Capacity summary'!V68&lt;&gt;"",IF(LOWER('Capacity summary'!V68)="x",$BI156*V156,VALUE('Capacity summary'!V68)),0),V156*$BI156),V156*$BI156),0)</f>
        <v>12.692307692307692</v>
      </c>
      <c r="BZ156" s="5">
        <f ca="1">IF($BI156&lt;&gt;"",IF('Capacity summary'!$C$14="Yes",IF(COUNTBLANK('Capacity summary'!$H68:$BG68)&lt;52,IF('Capacity summary'!W68&lt;&gt;"",IF(LOWER('Capacity summary'!W68)="x",$BI156*W156,VALUE('Capacity summary'!W68)),0),W156*$BI156),W156*$BI156),0)</f>
        <v>12.692307692307692</v>
      </c>
      <c r="CA156" s="5">
        <f ca="1">IF($BI156&lt;&gt;"",IF('Capacity summary'!$C$14="Yes",IF(COUNTBLANK('Capacity summary'!$H68:$BG68)&lt;52,IF('Capacity summary'!X68&lt;&gt;"",IF(LOWER('Capacity summary'!X68)="x",$BI156*X156,VALUE('Capacity summary'!X68)),0),X156*$BI156),X156*$BI156),0)</f>
        <v>12.692307692307692</v>
      </c>
      <c r="CB156" s="5">
        <f ca="1">IF($BI156&lt;&gt;"",IF('Capacity summary'!$C$14="Yes",IF(COUNTBLANK('Capacity summary'!$H68:$BG68)&lt;52,IF('Capacity summary'!Y68&lt;&gt;"",IF(LOWER('Capacity summary'!Y68)="x",$BI156*Y156,VALUE('Capacity summary'!Y68)),0),Y156*$BI156),Y156*$BI156),0)</f>
        <v>12.692307692307692</v>
      </c>
      <c r="CC156" s="5">
        <f ca="1">IF($BI156&lt;&gt;"",IF('Capacity summary'!$C$14="Yes",IF(COUNTBLANK('Capacity summary'!$H68:$BG68)&lt;52,IF('Capacity summary'!Z68&lt;&gt;"",IF(LOWER('Capacity summary'!Z68)="x",$BI156*Z156,VALUE('Capacity summary'!Z68)),0),Z156*$BI156),Z156*$BI156),0)</f>
        <v>12.692307692307692</v>
      </c>
      <c r="CD156" s="5">
        <f ca="1">IF($BI156&lt;&gt;"",IF('Capacity summary'!$C$14="Yes",IF(COUNTBLANK('Capacity summary'!$H68:$BG68)&lt;52,IF('Capacity summary'!AA68&lt;&gt;"",IF(LOWER('Capacity summary'!AA68)="x",$BI156*AA156,VALUE('Capacity summary'!AA68)),0),AA156*$BI156),AA156*$BI156),0)</f>
        <v>12.692307692307692</v>
      </c>
      <c r="CE156" s="5">
        <f ca="1">IF($BI156&lt;&gt;"",IF('Capacity summary'!$C$14="Yes",IF(COUNTBLANK('Capacity summary'!$H68:$BG68)&lt;52,IF('Capacity summary'!AB68&lt;&gt;"",IF(LOWER('Capacity summary'!AB68)="x",$BI156*AB156,VALUE('Capacity summary'!AB68)),0),AB156*$BI156),AB156*$BI156),0)</f>
        <v>12.692307692307692</v>
      </c>
      <c r="CF156" s="5">
        <f ca="1">IF($BI156&lt;&gt;"",IF('Capacity summary'!$C$14="Yes",IF(COUNTBLANK('Capacity summary'!$H68:$BG68)&lt;52,IF('Capacity summary'!AC68&lt;&gt;"",IF(LOWER('Capacity summary'!AC68)="x",$BI156*AC156,VALUE('Capacity summary'!AC68)),0),AC156*$BI156),AC156*$BI156),0)</f>
        <v>12.692307692307692</v>
      </c>
      <c r="CG156" s="5">
        <f ca="1">IF($BI156&lt;&gt;"",IF('Capacity summary'!$C$14="Yes",IF(COUNTBLANK('Capacity summary'!$H68:$BG68)&lt;52,IF('Capacity summary'!AD68&lt;&gt;"",IF(LOWER('Capacity summary'!AD68)="x",$BI156*AD156,VALUE('Capacity summary'!AD68)),0),AD156*$BI156),AD156*$BI156),0)</f>
        <v>12.692307692307692</v>
      </c>
      <c r="CH156" s="5">
        <f ca="1">IF($BI156&lt;&gt;"",IF('Capacity summary'!$C$14="Yes",IF(COUNTBLANK('Capacity summary'!$H68:$BG68)&lt;52,IF('Capacity summary'!AE68&lt;&gt;"",IF(LOWER('Capacity summary'!AE68)="x",$BI156*AE156,VALUE('Capacity summary'!AE68)),0),AE156*$BI156),AE156*$BI156),0)</f>
        <v>12.692307692307692</v>
      </c>
      <c r="CI156" s="5">
        <f ca="1">IF($BI156&lt;&gt;"",IF('Capacity summary'!$C$14="Yes",IF(COUNTBLANK('Capacity summary'!$H68:$BG68)&lt;52,IF('Capacity summary'!AF68&lt;&gt;"",IF(LOWER('Capacity summary'!AF68)="x",$BI156*AF156,VALUE('Capacity summary'!AF68)),0),AF156*$BI156),AF156*$BI156),0)</f>
        <v>12.692307692307692</v>
      </c>
      <c r="CJ156" s="5">
        <f ca="1">IF($BI156&lt;&gt;"",IF('Capacity summary'!$C$14="Yes",IF(COUNTBLANK('Capacity summary'!$H68:$BG68)&lt;52,IF('Capacity summary'!AG68&lt;&gt;"",IF(LOWER('Capacity summary'!AG68)="x",$BI156*AG156,VALUE('Capacity summary'!AG68)),0),AG156*$BI156),AG156*$BI156),0)</f>
        <v>12.692307692307692</v>
      </c>
      <c r="CK156" s="5">
        <f ca="1">IF($BI156&lt;&gt;"",IF('Capacity summary'!$C$14="Yes",IF(COUNTBLANK('Capacity summary'!$H68:$BG68)&lt;52,IF('Capacity summary'!AH68&lt;&gt;"",IF(LOWER('Capacity summary'!AH68)="x",$BI156*AH156,VALUE('Capacity summary'!AH68)),0),AH156*$BI156),AH156*$BI156),0)</f>
        <v>12.692307692307692</v>
      </c>
      <c r="CL156" s="5">
        <f ca="1">IF($BI156&lt;&gt;"",IF('Capacity summary'!$C$14="Yes",IF(COUNTBLANK('Capacity summary'!$H68:$BG68)&lt;52,IF('Capacity summary'!AI68&lt;&gt;"",IF(LOWER('Capacity summary'!AI68)="x",$BI156*AI156,VALUE('Capacity summary'!AI68)),0),AI156*$BI156),AI156*$BI156),0)</f>
        <v>12.692307692307692</v>
      </c>
      <c r="CM156" s="5">
        <f ca="1">IF($BI156&lt;&gt;"",IF('Capacity summary'!$C$14="Yes",IF(COUNTBLANK('Capacity summary'!$H68:$BG68)&lt;52,IF('Capacity summary'!AJ68&lt;&gt;"",IF(LOWER('Capacity summary'!AJ68)="x",$BI156*AJ156,VALUE('Capacity summary'!AJ68)),0),AJ156*$BI156),AJ156*$BI156),0)</f>
        <v>12.692307692307692</v>
      </c>
      <c r="CN156" s="5">
        <f ca="1">IF($BI156&lt;&gt;"",IF('Capacity summary'!$C$14="Yes",IF(COUNTBLANK('Capacity summary'!$H68:$BG68)&lt;52,IF('Capacity summary'!AK68&lt;&gt;"",IF(LOWER('Capacity summary'!AK68)="x",$BI156*AK156,VALUE('Capacity summary'!AK68)),0),AK156*$BI156),AK156*$BI156),0)</f>
        <v>12.692307692307692</v>
      </c>
      <c r="CO156" s="5">
        <f ca="1">IF($BI156&lt;&gt;"",IF('Capacity summary'!$C$14="Yes",IF(COUNTBLANK('Capacity summary'!$H68:$BG68)&lt;52,IF('Capacity summary'!AL68&lt;&gt;"",IF(LOWER('Capacity summary'!AL68)="x",$BI156*AL156,VALUE('Capacity summary'!AL68)),0),AL156*$BI156),AL156*$BI156),0)</f>
        <v>12.692307692307692</v>
      </c>
      <c r="CP156" s="5">
        <f ca="1">IF($BI156&lt;&gt;"",IF('Capacity summary'!$C$14="Yes",IF(COUNTBLANK('Capacity summary'!$H68:$BG68)&lt;52,IF('Capacity summary'!AM68&lt;&gt;"",IF(LOWER('Capacity summary'!AM68)="x",$BI156*AM156,VALUE('Capacity summary'!AM68)),0),AM156*$BI156),AM156*$BI156),0)</f>
        <v>12.692307692307692</v>
      </c>
      <c r="CQ156" s="5">
        <f ca="1">IF($BI156&lt;&gt;"",IF('Capacity summary'!$C$14="Yes",IF(COUNTBLANK('Capacity summary'!$H68:$BG68)&lt;52,IF('Capacity summary'!AN68&lt;&gt;"",IF(LOWER('Capacity summary'!AN68)="x",$BI156*AN156,VALUE('Capacity summary'!AN68)),0),AN156*$BI156),AN156*$BI156),0)</f>
        <v>12.692307692307692</v>
      </c>
      <c r="CR156" s="5">
        <f ca="1">IF($BI156&lt;&gt;"",IF('Capacity summary'!$C$14="Yes",IF(COUNTBLANK('Capacity summary'!$H68:$BG68)&lt;52,IF('Capacity summary'!AO68&lt;&gt;"",IF(LOWER('Capacity summary'!AO68)="x",$BI156*AO156,VALUE('Capacity summary'!AO68)),0),AO156*$BI156),AO156*$BI156),0)</f>
        <v>12.692307692307692</v>
      </c>
      <c r="CS156" s="5">
        <f ca="1">IF($BI156&lt;&gt;"",IF('Capacity summary'!$C$14="Yes",IF(COUNTBLANK('Capacity summary'!$H68:$BG68)&lt;52,IF('Capacity summary'!AP68&lt;&gt;"",IF(LOWER('Capacity summary'!AP68)="x",$BI156*AP156,VALUE('Capacity summary'!AP68)),0),AP156*$BI156),AP156*$BI156),0)</f>
        <v>12.692307692307692</v>
      </c>
      <c r="CT156" s="5">
        <f ca="1">IF($BI156&lt;&gt;"",IF('Capacity summary'!$C$14="Yes",IF(COUNTBLANK('Capacity summary'!$H68:$BG68)&lt;52,IF('Capacity summary'!AQ68&lt;&gt;"",IF(LOWER('Capacity summary'!AQ68)="x",$BI156*AQ156,VALUE('Capacity summary'!AQ68)),0),AQ156*$BI156),AQ156*$BI156),0)</f>
        <v>12.692307692307692</v>
      </c>
      <c r="CU156" s="5">
        <f ca="1">IF($BI156&lt;&gt;"",IF('Capacity summary'!$C$14="Yes",IF(COUNTBLANK('Capacity summary'!$H68:$BG68)&lt;52,IF('Capacity summary'!AR68&lt;&gt;"",IF(LOWER('Capacity summary'!AR68)="x",$BI156*AR156,VALUE('Capacity summary'!AR68)),0),AR156*$BI156),AR156*$BI156),0)</f>
        <v>12.692307692307692</v>
      </c>
      <c r="CV156" s="5">
        <f ca="1">IF($BI156&lt;&gt;"",IF('Capacity summary'!$C$14="Yes",IF(COUNTBLANK('Capacity summary'!$H68:$BG68)&lt;52,IF('Capacity summary'!AS68&lt;&gt;"",IF(LOWER('Capacity summary'!AS68)="x",$BI156*AS156,VALUE('Capacity summary'!AS68)),0),AS156*$BI156),AS156*$BI156),0)</f>
        <v>12.692307692307692</v>
      </c>
      <c r="CW156" s="5">
        <f ca="1">IF($BI156&lt;&gt;"",IF('Capacity summary'!$C$14="Yes",IF(COUNTBLANK('Capacity summary'!$H68:$BG68)&lt;52,IF('Capacity summary'!AT68&lt;&gt;"",IF(LOWER('Capacity summary'!AT68)="x",$BI156*AT156,VALUE('Capacity summary'!AT68)),0),AT156*$BI156),AT156*$BI156),0)</f>
        <v>12.692307692307692</v>
      </c>
      <c r="CX156" s="5">
        <f ca="1">IF($BI156&lt;&gt;"",IF('Capacity summary'!$C$14="Yes",IF(COUNTBLANK('Capacity summary'!$H68:$BG68)&lt;52,IF('Capacity summary'!AU68&lt;&gt;"",IF(LOWER('Capacity summary'!AU68)="x",$BI156*AU156,VALUE('Capacity summary'!AU68)),0),AU156*$BI156),AU156*$BI156),0)</f>
        <v>12.692307692307692</v>
      </c>
      <c r="CY156" s="5">
        <f ca="1">IF($BI156&lt;&gt;"",IF('Capacity summary'!$C$14="Yes",IF(COUNTBLANK('Capacity summary'!$H68:$BG68)&lt;52,IF('Capacity summary'!AV68&lt;&gt;"",IF(LOWER('Capacity summary'!AV68)="x",$BI156*AV156,VALUE('Capacity summary'!AV68)),0),AV156*$BI156),AV156*$BI156),0)</f>
        <v>12.692307692307692</v>
      </c>
      <c r="CZ156" s="5">
        <f ca="1">IF($BI156&lt;&gt;"",IF('Capacity summary'!$C$14="Yes",IF(COUNTBLANK('Capacity summary'!$H68:$BG68)&lt;52,IF('Capacity summary'!AW68&lt;&gt;"",IF(LOWER('Capacity summary'!AW68)="x",$BI156*AW156,VALUE('Capacity summary'!AW68)),0),AW156*$BI156),AW156*$BI156),0)</f>
        <v>12.692307692307692</v>
      </c>
      <c r="DA156" s="5">
        <f ca="1">IF($BI156&lt;&gt;"",IF('Capacity summary'!$C$14="Yes",IF(COUNTBLANK('Capacity summary'!$H68:$BG68)&lt;52,IF('Capacity summary'!AX68&lt;&gt;"",IF(LOWER('Capacity summary'!AX68)="x",$BI156*AX156,VALUE('Capacity summary'!AX68)),0),AX156*$BI156),AX156*$BI156),0)</f>
        <v>12.692307692307692</v>
      </c>
      <c r="DB156" s="5">
        <f ca="1">IF($BI156&lt;&gt;"",IF('Capacity summary'!$C$14="Yes",IF(COUNTBLANK('Capacity summary'!$H68:$BG68)&lt;52,IF('Capacity summary'!AY68&lt;&gt;"",IF(LOWER('Capacity summary'!AY68)="x",$BI156*AY156,VALUE('Capacity summary'!AY68)),0),AY156*$BI156),AY156*$BI156),0)</f>
        <v>12.692307692307692</v>
      </c>
      <c r="DC156" s="5">
        <f ca="1">IF($BI156&lt;&gt;"",IF('Capacity summary'!$C$14="Yes",IF(COUNTBLANK('Capacity summary'!$H68:$BG68)&lt;52,IF('Capacity summary'!AZ68&lt;&gt;"",IF(LOWER('Capacity summary'!AZ68)="x",$BI156*AZ156,VALUE('Capacity summary'!AZ68)),0),AZ156*$BI156),AZ156*$BI156),0)</f>
        <v>12.692307692307692</v>
      </c>
      <c r="DD156" s="5">
        <f ca="1">IF($BI156&lt;&gt;"",IF('Capacity summary'!$C$14="Yes",IF(COUNTBLANK('Capacity summary'!$H68:$BG68)&lt;52,IF('Capacity summary'!BA68&lt;&gt;"",IF(LOWER('Capacity summary'!BA68)="x",$BI156*BA156,VALUE('Capacity summary'!BA68)),0),BA156*$BI156),BA156*$BI156),0)</f>
        <v>12.692307692307692</v>
      </c>
      <c r="DE156" s="5">
        <f ca="1">IF($BI156&lt;&gt;"",IF('Capacity summary'!$C$14="Yes",IF(COUNTBLANK('Capacity summary'!$H68:$BG68)&lt;52,IF('Capacity summary'!BB68&lt;&gt;"",IF(LOWER('Capacity summary'!BB68)="x",$BI156*BB156,VALUE('Capacity summary'!BB68)),0),BB156*$BI156),BB156*$BI156),0)</f>
        <v>12.692307692307692</v>
      </c>
      <c r="DF156" s="5">
        <f ca="1">IF($BI156&lt;&gt;"",IF('Capacity summary'!$C$14="Yes",IF(COUNTBLANK('Capacity summary'!$H68:$BG68)&lt;52,IF('Capacity summary'!BC68&lt;&gt;"",IF(LOWER('Capacity summary'!BC68)="x",$BI156*BC156,VALUE('Capacity summary'!BC68)),0),BC156*$BI156),BC156*$BI156),0)</f>
        <v>12.692307692307692</v>
      </c>
      <c r="DG156" s="5">
        <f ca="1">IF($BI156&lt;&gt;"",IF('Capacity summary'!$C$14="Yes",IF(COUNTBLANK('Capacity summary'!$H68:$BG68)&lt;52,IF('Capacity summary'!BD68&lt;&gt;"",IF(LOWER('Capacity summary'!BD68)="x",$BI156*BD156,VALUE('Capacity summary'!BD68)),0),BD156*$BI156),BD156*$BI156),0)</f>
        <v>12.692307692307692</v>
      </c>
      <c r="DH156" s="5">
        <f ca="1">IF($BI156&lt;&gt;"",IF('Capacity summary'!$C$14="Yes",IF(COUNTBLANK('Capacity summary'!$H68:$BG68)&lt;52,IF('Capacity summary'!BE68&lt;&gt;"",IF(LOWER('Capacity summary'!BE68)="x",$BI156*BE156,VALUE('Capacity summary'!BE68)),0),BE156*$BI156),BE156*$BI156),0)</f>
        <v>12.692307692307692</v>
      </c>
      <c r="DI156" s="5">
        <f ca="1">IF($BI156&lt;&gt;"",IF('Capacity summary'!$C$14="Yes",IF(COUNTBLANK('Capacity summary'!$H68:$BG68)&lt;52,IF('Capacity summary'!BF68&lt;&gt;"",IF(LOWER('Capacity summary'!BF68)="x",$BI156*BF156,VALUE('Capacity summary'!BF68)),0),BF156*$BI156),BF156*$BI156),0)</f>
        <v>12.692307692307692</v>
      </c>
      <c r="DJ156" s="5">
        <f ca="1">IF($BI156&lt;&gt;"",IF('Capacity summary'!$C$14="Yes",IF(COUNTBLANK('Capacity summary'!$H68:$BG68)&lt;52,IF('Capacity summary'!BG68&lt;&gt;"",IF(LOWER('Capacity summary'!BG68)="x",$BI156*BG156,VALUE('Capacity summary'!BG68)),0),BG156*$BI156),BG156*$BI156),0)</f>
        <v>12.692307692307692</v>
      </c>
      <c r="DK156" s="388">
        <f t="shared" ca="1" si="8"/>
        <v>12.692307692307692</v>
      </c>
      <c r="DL156" s="5">
        <f t="shared" ca="1" si="9"/>
        <v>660.00000000000011</v>
      </c>
    </row>
    <row r="157" spans="3:116" x14ac:dyDescent="0.2">
      <c r="C157" s="67" t="str">
        <f>ROW(A46)&amp;". "&amp;Capacity!N62</f>
        <v>46. 44420</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 ca="1">IF(ROW(A46)&lt;=Capacity!$M$16,IF('Capacity summary'!$C$14="No",SUM(H157:BG157),'Capacity summary'!$E69),0)</f>
        <v>52</v>
      </c>
      <c r="BI157" s="67">
        <f ca="1">IF(BH157&gt;0,IF(BH157&lt;Capacity!Q62,Capacity!R62,Capacity!T62/'Capacity calculation (hide)'!BH157),"")</f>
        <v>4.0384615384615383</v>
      </c>
      <c r="BJ157" s="5"/>
      <c r="BK157" s="5">
        <f ca="1">IF($BI157&lt;&gt;"",IF('Capacity summary'!$C$14="Yes",IF(COUNTBLANK('Capacity summary'!$H69:$BG69)&lt;52,IF('Capacity summary'!H69&lt;&gt;"",IF(LOWER('Capacity summary'!H69)="x",$BI157*H157,VALUE('Capacity summary'!H69)),0),H157*$BI157),H157*$BI157),0)</f>
        <v>4.0384615384615383</v>
      </c>
      <c r="BL157" s="5">
        <f ca="1">IF($BI157&lt;&gt;"",IF('Capacity summary'!$C$14="Yes",IF(COUNTBLANK('Capacity summary'!$H69:$BG69)&lt;52,IF('Capacity summary'!I69&lt;&gt;"",IF(LOWER('Capacity summary'!I69)="x",$BI157*I157,VALUE('Capacity summary'!I69)),0),I157*$BI157),I157*$BI157),0)</f>
        <v>4.0384615384615383</v>
      </c>
      <c r="BM157" s="5">
        <f ca="1">IF($BI157&lt;&gt;"",IF('Capacity summary'!$C$14="Yes",IF(COUNTBLANK('Capacity summary'!$H69:$BG69)&lt;52,IF('Capacity summary'!J69&lt;&gt;"",IF(LOWER('Capacity summary'!J69)="x",$BI157*J157,VALUE('Capacity summary'!J69)),0),J157*$BI157),J157*$BI157),0)</f>
        <v>4.0384615384615383</v>
      </c>
      <c r="BN157" s="5">
        <f ca="1">IF($BI157&lt;&gt;"",IF('Capacity summary'!$C$14="Yes",IF(COUNTBLANK('Capacity summary'!$H69:$BG69)&lt;52,IF('Capacity summary'!K69&lt;&gt;"",IF(LOWER('Capacity summary'!K69)="x",$BI157*K157,VALUE('Capacity summary'!K69)),0),K157*$BI157),K157*$BI157),0)</f>
        <v>4.0384615384615383</v>
      </c>
      <c r="BO157" s="5">
        <f ca="1">IF($BI157&lt;&gt;"",IF('Capacity summary'!$C$14="Yes",IF(COUNTBLANK('Capacity summary'!$H69:$BG69)&lt;52,IF('Capacity summary'!L69&lt;&gt;"",IF(LOWER('Capacity summary'!L69)="x",$BI157*L157,VALUE('Capacity summary'!L69)),0),L157*$BI157),L157*$BI157),0)</f>
        <v>4.0384615384615383</v>
      </c>
      <c r="BP157" s="5">
        <f ca="1">IF($BI157&lt;&gt;"",IF('Capacity summary'!$C$14="Yes",IF(COUNTBLANK('Capacity summary'!$H69:$BG69)&lt;52,IF('Capacity summary'!M69&lt;&gt;"",IF(LOWER('Capacity summary'!M69)="x",$BI157*M157,VALUE('Capacity summary'!M69)),0),M157*$BI157),M157*$BI157),0)</f>
        <v>4.0384615384615383</v>
      </c>
      <c r="BQ157" s="5">
        <f ca="1">IF($BI157&lt;&gt;"",IF('Capacity summary'!$C$14="Yes",IF(COUNTBLANK('Capacity summary'!$H69:$BG69)&lt;52,IF('Capacity summary'!N69&lt;&gt;"",IF(LOWER('Capacity summary'!N69)="x",$BI157*N157,VALUE('Capacity summary'!N69)),0),N157*$BI157),N157*$BI157),0)</f>
        <v>4.0384615384615383</v>
      </c>
      <c r="BR157" s="5">
        <f ca="1">IF($BI157&lt;&gt;"",IF('Capacity summary'!$C$14="Yes",IF(COUNTBLANK('Capacity summary'!$H69:$BG69)&lt;52,IF('Capacity summary'!O69&lt;&gt;"",IF(LOWER('Capacity summary'!O69)="x",$BI157*O157,VALUE('Capacity summary'!O69)),0),O157*$BI157),O157*$BI157),0)</f>
        <v>4.0384615384615383</v>
      </c>
      <c r="BS157" s="5">
        <f ca="1">IF($BI157&lt;&gt;"",IF('Capacity summary'!$C$14="Yes",IF(COUNTBLANK('Capacity summary'!$H69:$BG69)&lt;52,IF('Capacity summary'!P69&lt;&gt;"",IF(LOWER('Capacity summary'!P69)="x",$BI157*P157,VALUE('Capacity summary'!P69)),0),P157*$BI157),P157*$BI157),0)</f>
        <v>4.0384615384615383</v>
      </c>
      <c r="BT157" s="5">
        <f ca="1">IF($BI157&lt;&gt;"",IF('Capacity summary'!$C$14="Yes",IF(COUNTBLANK('Capacity summary'!$H69:$BG69)&lt;52,IF('Capacity summary'!Q69&lt;&gt;"",IF(LOWER('Capacity summary'!Q69)="x",$BI157*Q157,VALUE('Capacity summary'!Q69)),0),Q157*$BI157),Q157*$BI157),0)</f>
        <v>4.0384615384615383</v>
      </c>
      <c r="BU157" s="5">
        <f ca="1">IF($BI157&lt;&gt;"",IF('Capacity summary'!$C$14="Yes",IF(COUNTBLANK('Capacity summary'!$H69:$BG69)&lt;52,IF('Capacity summary'!R69&lt;&gt;"",IF(LOWER('Capacity summary'!R69)="x",$BI157*R157,VALUE('Capacity summary'!R69)),0),R157*$BI157),R157*$BI157),0)</f>
        <v>4.0384615384615383</v>
      </c>
      <c r="BV157" s="5">
        <f ca="1">IF($BI157&lt;&gt;"",IF('Capacity summary'!$C$14="Yes",IF(COUNTBLANK('Capacity summary'!$H69:$BG69)&lt;52,IF('Capacity summary'!S69&lt;&gt;"",IF(LOWER('Capacity summary'!S69)="x",$BI157*S157,VALUE('Capacity summary'!S69)),0),S157*$BI157),S157*$BI157),0)</f>
        <v>4.0384615384615383</v>
      </c>
      <c r="BW157" s="5">
        <f ca="1">IF($BI157&lt;&gt;"",IF('Capacity summary'!$C$14="Yes",IF(COUNTBLANK('Capacity summary'!$H69:$BG69)&lt;52,IF('Capacity summary'!T69&lt;&gt;"",IF(LOWER('Capacity summary'!T69)="x",$BI157*T157,VALUE('Capacity summary'!T69)),0),T157*$BI157),T157*$BI157),0)</f>
        <v>4.0384615384615383</v>
      </c>
      <c r="BX157" s="5">
        <f ca="1">IF($BI157&lt;&gt;"",IF('Capacity summary'!$C$14="Yes",IF(COUNTBLANK('Capacity summary'!$H69:$BG69)&lt;52,IF('Capacity summary'!U69&lt;&gt;"",IF(LOWER('Capacity summary'!U69)="x",$BI157*U157,VALUE('Capacity summary'!U69)),0),U157*$BI157),U157*$BI157),0)</f>
        <v>4.0384615384615383</v>
      </c>
      <c r="BY157" s="5">
        <f ca="1">IF($BI157&lt;&gt;"",IF('Capacity summary'!$C$14="Yes",IF(COUNTBLANK('Capacity summary'!$H69:$BG69)&lt;52,IF('Capacity summary'!V69&lt;&gt;"",IF(LOWER('Capacity summary'!V69)="x",$BI157*V157,VALUE('Capacity summary'!V69)),0),V157*$BI157),V157*$BI157),0)</f>
        <v>4.0384615384615383</v>
      </c>
      <c r="BZ157" s="5">
        <f ca="1">IF($BI157&lt;&gt;"",IF('Capacity summary'!$C$14="Yes",IF(COUNTBLANK('Capacity summary'!$H69:$BG69)&lt;52,IF('Capacity summary'!W69&lt;&gt;"",IF(LOWER('Capacity summary'!W69)="x",$BI157*W157,VALUE('Capacity summary'!W69)),0),W157*$BI157),W157*$BI157),0)</f>
        <v>4.0384615384615383</v>
      </c>
      <c r="CA157" s="5">
        <f ca="1">IF($BI157&lt;&gt;"",IF('Capacity summary'!$C$14="Yes",IF(COUNTBLANK('Capacity summary'!$H69:$BG69)&lt;52,IF('Capacity summary'!X69&lt;&gt;"",IF(LOWER('Capacity summary'!X69)="x",$BI157*X157,VALUE('Capacity summary'!X69)),0),X157*$BI157),X157*$BI157),0)</f>
        <v>4.0384615384615383</v>
      </c>
      <c r="CB157" s="5">
        <f ca="1">IF($BI157&lt;&gt;"",IF('Capacity summary'!$C$14="Yes",IF(COUNTBLANK('Capacity summary'!$H69:$BG69)&lt;52,IF('Capacity summary'!Y69&lt;&gt;"",IF(LOWER('Capacity summary'!Y69)="x",$BI157*Y157,VALUE('Capacity summary'!Y69)),0),Y157*$BI157),Y157*$BI157),0)</f>
        <v>4.0384615384615383</v>
      </c>
      <c r="CC157" s="5">
        <f ca="1">IF($BI157&lt;&gt;"",IF('Capacity summary'!$C$14="Yes",IF(COUNTBLANK('Capacity summary'!$H69:$BG69)&lt;52,IF('Capacity summary'!Z69&lt;&gt;"",IF(LOWER('Capacity summary'!Z69)="x",$BI157*Z157,VALUE('Capacity summary'!Z69)),0),Z157*$BI157),Z157*$BI157),0)</f>
        <v>4.0384615384615383</v>
      </c>
      <c r="CD157" s="5">
        <f ca="1">IF($BI157&lt;&gt;"",IF('Capacity summary'!$C$14="Yes",IF(COUNTBLANK('Capacity summary'!$H69:$BG69)&lt;52,IF('Capacity summary'!AA69&lt;&gt;"",IF(LOWER('Capacity summary'!AA69)="x",$BI157*AA157,VALUE('Capacity summary'!AA69)),0),AA157*$BI157),AA157*$BI157),0)</f>
        <v>4.0384615384615383</v>
      </c>
      <c r="CE157" s="5">
        <f ca="1">IF($BI157&lt;&gt;"",IF('Capacity summary'!$C$14="Yes",IF(COUNTBLANK('Capacity summary'!$H69:$BG69)&lt;52,IF('Capacity summary'!AB69&lt;&gt;"",IF(LOWER('Capacity summary'!AB69)="x",$BI157*AB157,VALUE('Capacity summary'!AB69)),0),AB157*$BI157),AB157*$BI157),0)</f>
        <v>4.0384615384615383</v>
      </c>
      <c r="CF157" s="5">
        <f ca="1">IF($BI157&lt;&gt;"",IF('Capacity summary'!$C$14="Yes",IF(COUNTBLANK('Capacity summary'!$H69:$BG69)&lt;52,IF('Capacity summary'!AC69&lt;&gt;"",IF(LOWER('Capacity summary'!AC69)="x",$BI157*AC157,VALUE('Capacity summary'!AC69)),0),AC157*$BI157),AC157*$BI157),0)</f>
        <v>4.0384615384615383</v>
      </c>
      <c r="CG157" s="5">
        <f ca="1">IF($BI157&lt;&gt;"",IF('Capacity summary'!$C$14="Yes",IF(COUNTBLANK('Capacity summary'!$H69:$BG69)&lt;52,IF('Capacity summary'!AD69&lt;&gt;"",IF(LOWER('Capacity summary'!AD69)="x",$BI157*AD157,VALUE('Capacity summary'!AD69)),0),AD157*$BI157),AD157*$BI157),0)</f>
        <v>4.0384615384615383</v>
      </c>
      <c r="CH157" s="5">
        <f ca="1">IF($BI157&lt;&gt;"",IF('Capacity summary'!$C$14="Yes",IF(COUNTBLANK('Capacity summary'!$H69:$BG69)&lt;52,IF('Capacity summary'!AE69&lt;&gt;"",IF(LOWER('Capacity summary'!AE69)="x",$BI157*AE157,VALUE('Capacity summary'!AE69)),0),AE157*$BI157),AE157*$BI157),0)</f>
        <v>4.0384615384615383</v>
      </c>
      <c r="CI157" s="5">
        <f ca="1">IF($BI157&lt;&gt;"",IF('Capacity summary'!$C$14="Yes",IF(COUNTBLANK('Capacity summary'!$H69:$BG69)&lt;52,IF('Capacity summary'!AF69&lt;&gt;"",IF(LOWER('Capacity summary'!AF69)="x",$BI157*AF157,VALUE('Capacity summary'!AF69)),0),AF157*$BI157),AF157*$BI157),0)</f>
        <v>4.0384615384615383</v>
      </c>
      <c r="CJ157" s="5">
        <f ca="1">IF($BI157&lt;&gt;"",IF('Capacity summary'!$C$14="Yes",IF(COUNTBLANK('Capacity summary'!$H69:$BG69)&lt;52,IF('Capacity summary'!AG69&lt;&gt;"",IF(LOWER('Capacity summary'!AG69)="x",$BI157*AG157,VALUE('Capacity summary'!AG69)),0),AG157*$BI157),AG157*$BI157),0)</f>
        <v>4.0384615384615383</v>
      </c>
      <c r="CK157" s="5">
        <f ca="1">IF($BI157&lt;&gt;"",IF('Capacity summary'!$C$14="Yes",IF(COUNTBLANK('Capacity summary'!$H69:$BG69)&lt;52,IF('Capacity summary'!AH69&lt;&gt;"",IF(LOWER('Capacity summary'!AH69)="x",$BI157*AH157,VALUE('Capacity summary'!AH69)),0),AH157*$BI157),AH157*$BI157),0)</f>
        <v>4.0384615384615383</v>
      </c>
      <c r="CL157" s="5">
        <f ca="1">IF($BI157&lt;&gt;"",IF('Capacity summary'!$C$14="Yes",IF(COUNTBLANK('Capacity summary'!$H69:$BG69)&lt;52,IF('Capacity summary'!AI69&lt;&gt;"",IF(LOWER('Capacity summary'!AI69)="x",$BI157*AI157,VALUE('Capacity summary'!AI69)),0),AI157*$BI157),AI157*$BI157),0)</f>
        <v>4.0384615384615383</v>
      </c>
      <c r="CM157" s="5">
        <f ca="1">IF($BI157&lt;&gt;"",IF('Capacity summary'!$C$14="Yes",IF(COUNTBLANK('Capacity summary'!$H69:$BG69)&lt;52,IF('Capacity summary'!AJ69&lt;&gt;"",IF(LOWER('Capacity summary'!AJ69)="x",$BI157*AJ157,VALUE('Capacity summary'!AJ69)),0),AJ157*$BI157),AJ157*$BI157),0)</f>
        <v>4.0384615384615383</v>
      </c>
      <c r="CN157" s="5">
        <f ca="1">IF($BI157&lt;&gt;"",IF('Capacity summary'!$C$14="Yes",IF(COUNTBLANK('Capacity summary'!$H69:$BG69)&lt;52,IF('Capacity summary'!AK69&lt;&gt;"",IF(LOWER('Capacity summary'!AK69)="x",$BI157*AK157,VALUE('Capacity summary'!AK69)),0),AK157*$BI157),AK157*$BI157),0)</f>
        <v>4.0384615384615383</v>
      </c>
      <c r="CO157" s="5">
        <f ca="1">IF($BI157&lt;&gt;"",IF('Capacity summary'!$C$14="Yes",IF(COUNTBLANK('Capacity summary'!$H69:$BG69)&lt;52,IF('Capacity summary'!AL69&lt;&gt;"",IF(LOWER('Capacity summary'!AL69)="x",$BI157*AL157,VALUE('Capacity summary'!AL69)),0),AL157*$BI157),AL157*$BI157),0)</f>
        <v>4.0384615384615383</v>
      </c>
      <c r="CP157" s="5">
        <f ca="1">IF($BI157&lt;&gt;"",IF('Capacity summary'!$C$14="Yes",IF(COUNTBLANK('Capacity summary'!$H69:$BG69)&lt;52,IF('Capacity summary'!AM69&lt;&gt;"",IF(LOWER('Capacity summary'!AM69)="x",$BI157*AM157,VALUE('Capacity summary'!AM69)),0),AM157*$BI157),AM157*$BI157),0)</f>
        <v>4.0384615384615383</v>
      </c>
      <c r="CQ157" s="5">
        <f ca="1">IF($BI157&lt;&gt;"",IF('Capacity summary'!$C$14="Yes",IF(COUNTBLANK('Capacity summary'!$H69:$BG69)&lt;52,IF('Capacity summary'!AN69&lt;&gt;"",IF(LOWER('Capacity summary'!AN69)="x",$BI157*AN157,VALUE('Capacity summary'!AN69)),0),AN157*$BI157),AN157*$BI157),0)</f>
        <v>4.0384615384615383</v>
      </c>
      <c r="CR157" s="5">
        <f ca="1">IF($BI157&lt;&gt;"",IF('Capacity summary'!$C$14="Yes",IF(COUNTBLANK('Capacity summary'!$H69:$BG69)&lt;52,IF('Capacity summary'!AO69&lt;&gt;"",IF(LOWER('Capacity summary'!AO69)="x",$BI157*AO157,VALUE('Capacity summary'!AO69)),0),AO157*$BI157),AO157*$BI157),0)</f>
        <v>4.0384615384615383</v>
      </c>
      <c r="CS157" s="5">
        <f ca="1">IF($BI157&lt;&gt;"",IF('Capacity summary'!$C$14="Yes",IF(COUNTBLANK('Capacity summary'!$H69:$BG69)&lt;52,IF('Capacity summary'!AP69&lt;&gt;"",IF(LOWER('Capacity summary'!AP69)="x",$BI157*AP157,VALUE('Capacity summary'!AP69)),0),AP157*$BI157),AP157*$BI157),0)</f>
        <v>4.0384615384615383</v>
      </c>
      <c r="CT157" s="5">
        <f ca="1">IF($BI157&lt;&gt;"",IF('Capacity summary'!$C$14="Yes",IF(COUNTBLANK('Capacity summary'!$H69:$BG69)&lt;52,IF('Capacity summary'!AQ69&lt;&gt;"",IF(LOWER('Capacity summary'!AQ69)="x",$BI157*AQ157,VALUE('Capacity summary'!AQ69)),0),AQ157*$BI157),AQ157*$BI157),0)</f>
        <v>4.0384615384615383</v>
      </c>
      <c r="CU157" s="5">
        <f ca="1">IF($BI157&lt;&gt;"",IF('Capacity summary'!$C$14="Yes",IF(COUNTBLANK('Capacity summary'!$H69:$BG69)&lt;52,IF('Capacity summary'!AR69&lt;&gt;"",IF(LOWER('Capacity summary'!AR69)="x",$BI157*AR157,VALUE('Capacity summary'!AR69)),0),AR157*$BI157),AR157*$BI157),0)</f>
        <v>4.0384615384615383</v>
      </c>
      <c r="CV157" s="5">
        <f ca="1">IF($BI157&lt;&gt;"",IF('Capacity summary'!$C$14="Yes",IF(COUNTBLANK('Capacity summary'!$H69:$BG69)&lt;52,IF('Capacity summary'!AS69&lt;&gt;"",IF(LOWER('Capacity summary'!AS69)="x",$BI157*AS157,VALUE('Capacity summary'!AS69)),0),AS157*$BI157),AS157*$BI157),0)</f>
        <v>4.0384615384615383</v>
      </c>
      <c r="CW157" s="5">
        <f ca="1">IF($BI157&lt;&gt;"",IF('Capacity summary'!$C$14="Yes",IF(COUNTBLANK('Capacity summary'!$H69:$BG69)&lt;52,IF('Capacity summary'!AT69&lt;&gt;"",IF(LOWER('Capacity summary'!AT69)="x",$BI157*AT157,VALUE('Capacity summary'!AT69)),0),AT157*$BI157),AT157*$BI157),0)</f>
        <v>4.0384615384615383</v>
      </c>
      <c r="CX157" s="5">
        <f ca="1">IF($BI157&lt;&gt;"",IF('Capacity summary'!$C$14="Yes",IF(COUNTBLANK('Capacity summary'!$H69:$BG69)&lt;52,IF('Capacity summary'!AU69&lt;&gt;"",IF(LOWER('Capacity summary'!AU69)="x",$BI157*AU157,VALUE('Capacity summary'!AU69)),0),AU157*$BI157),AU157*$BI157),0)</f>
        <v>4.0384615384615383</v>
      </c>
      <c r="CY157" s="5">
        <f ca="1">IF($BI157&lt;&gt;"",IF('Capacity summary'!$C$14="Yes",IF(COUNTBLANK('Capacity summary'!$H69:$BG69)&lt;52,IF('Capacity summary'!AV69&lt;&gt;"",IF(LOWER('Capacity summary'!AV69)="x",$BI157*AV157,VALUE('Capacity summary'!AV69)),0),AV157*$BI157),AV157*$BI157),0)</f>
        <v>4.0384615384615383</v>
      </c>
      <c r="CZ157" s="5">
        <f ca="1">IF($BI157&lt;&gt;"",IF('Capacity summary'!$C$14="Yes",IF(COUNTBLANK('Capacity summary'!$H69:$BG69)&lt;52,IF('Capacity summary'!AW69&lt;&gt;"",IF(LOWER('Capacity summary'!AW69)="x",$BI157*AW157,VALUE('Capacity summary'!AW69)),0),AW157*$BI157),AW157*$BI157),0)</f>
        <v>4.0384615384615383</v>
      </c>
      <c r="DA157" s="5">
        <f ca="1">IF($BI157&lt;&gt;"",IF('Capacity summary'!$C$14="Yes",IF(COUNTBLANK('Capacity summary'!$H69:$BG69)&lt;52,IF('Capacity summary'!AX69&lt;&gt;"",IF(LOWER('Capacity summary'!AX69)="x",$BI157*AX157,VALUE('Capacity summary'!AX69)),0),AX157*$BI157),AX157*$BI157),0)</f>
        <v>4.0384615384615383</v>
      </c>
      <c r="DB157" s="5">
        <f ca="1">IF($BI157&lt;&gt;"",IF('Capacity summary'!$C$14="Yes",IF(COUNTBLANK('Capacity summary'!$H69:$BG69)&lt;52,IF('Capacity summary'!AY69&lt;&gt;"",IF(LOWER('Capacity summary'!AY69)="x",$BI157*AY157,VALUE('Capacity summary'!AY69)),0),AY157*$BI157),AY157*$BI157),0)</f>
        <v>4.0384615384615383</v>
      </c>
      <c r="DC157" s="5">
        <f ca="1">IF($BI157&lt;&gt;"",IF('Capacity summary'!$C$14="Yes",IF(COUNTBLANK('Capacity summary'!$H69:$BG69)&lt;52,IF('Capacity summary'!AZ69&lt;&gt;"",IF(LOWER('Capacity summary'!AZ69)="x",$BI157*AZ157,VALUE('Capacity summary'!AZ69)),0),AZ157*$BI157),AZ157*$BI157),0)</f>
        <v>4.0384615384615383</v>
      </c>
      <c r="DD157" s="5">
        <f ca="1">IF($BI157&lt;&gt;"",IF('Capacity summary'!$C$14="Yes",IF(COUNTBLANK('Capacity summary'!$H69:$BG69)&lt;52,IF('Capacity summary'!BA69&lt;&gt;"",IF(LOWER('Capacity summary'!BA69)="x",$BI157*BA157,VALUE('Capacity summary'!BA69)),0),BA157*$BI157),BA157*$BI157),0)</f>
        <v>4.0384615384615383</v>
      </c>
      <c r="DE157" s="5">
        <f ca="1">IF($BI157&lt;&gt;"",IF('Capacity summary'!$C$14="Yes",IF(COUNTBLANK('Capacity summary'!$H69:$BG69)&lt;52,IF('Capacity summary'!BB69&lt;&gt;"",IF(LOWER('Capacity summary'!BB69)="x",$BI157*BB157,VALUE('Capacity summary'!BB69)),0),BB157*$BI157),BB157*$BI157),0)</f>
        <v>4.0384615384615383</v>
      </c>
      <c r="DF157" s="5">
        <f ca="1">IF($BI157&lt;&gt;"",IF('Capacity summary'!$C$14="Yes",IF(COUNTBLANK('Capacity summary'!$H69:$BG69)&lt;52,IF('Capacity summary'!BC69&lt;&gt;"",IF(LOWER('Capacity summary'!BC69)="x",$BI157*BC157,VALUE('Capacity summary'!BC69)),0),BC157*$BI157),BC157*$BI157),0)</f>
        <v>4.0384615384615383</v>
      </c>
      <c r="DG157" s="5">
        <f ca="1">IF($BI157&lt;&gt;"",IF('Capacity summary'!$C$14="Yes",IF(COUNTBLANK('Capacity summary'!$H69:$BG69)&lt;52,IF('Capacity summary'!BD69&lt;&gt;"",IF(LOWER('Capacity summary'!BD69)="x",$BI157*BD157,VALUE('Capacity summary'!BD69)),0),BD157*$BI157),BD157*$BI157),0)</f>
        <v>4.0384615384615383</v>
      </c>
      <c r="DH157" s="5">
        <f ca="1">IF($BI157&lt;&gt;"",IF('Capacity summary'!$C$14="Yes",IF(COUNTBLANK('Capacity summary'!$H69:$BG69)&lt;52,IF('Capacity summary'!BE69&lt;&gt;"",IF(LOWER('Capacity summary'!BE69)="x",$BI157*BE157,VALUE('Capacity summary'!BE69)),0),BE157*$BI157),BE157*$BI157),0)</f>
        <v>4.0384615384615383</v>
      </c>
      <c r="DI157" s="5">
        <f ca="1">IF($BI157&lt;&gt;"",IF('Capacity summary'!$C$14="Yes",IF(COUNTBLANK('Capacity summary'!$H69:$BG69)&lt;52,IF('Capacity summary'!BF69&lt;&gt;"",IF(LOWER('Capacity summary'!BF69)="x",$BI157*BF157,VALUE('Capacity summary'!BF69)),0),BF157*$BI157),BF157*$BI157),0)</f>
        <v>4.0384615384615383</v>
      </c>
      <c r="DJ157" s="5">
        <f ca="1">IF($BI157&lt;&gt;"",IF('Capacity summary'!$C$14="Yes",IF(COUNTBLANK('Capacity summary'!$H69:$BG69)&lt;52,IF('Capacity summary'!BG69&lt;&gt;"",IF(LOWER('Capacity summary'!BG69)="x",$BI157*BG157,VALUE('Capacity summary'!BG69)),0),BG157*$BI157),BG157*$BI157),0)</f>
        <v>4.0384615384615383</v>
      </c>
      <c r="DK157" s="388">
        <f t="shared" ca="1" si="8"/>
        <v>4.0384615384615383</v>
      </c>
      <c r="DL157" s="5">
        <f t="shared" ca="1" si="9"/>
        <v>210.00000000000011</v>
      </c>
    </row>
    <row r="158" spans="3:116" x14ac:dyDescent="0.2">
      <c r="C158" s="67" t="str">
        <f>ROW(A47)&amp;". "&amp;Capacity!N63</f>
        <v>47. 44423</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 ca="1">IF(ROW(A47)&lt;=Capacity!$M$16,IF('Capacity summary'!$C$14="No",SUM(H158:BG158),'Capacity summary'!$E70),0)</f>
        <v>52</v>
      </c>
      <c r="BI158" s="67">
        <f ca="1">IF(BH158&gt;0,IF(BH158&lt;Capacity!Q63,Capacity!R63,Capacity!T63/'Capacity calculation (hide)'!BH158),"")</f>
        <v>4.615384615384615</v>
      </c>
      <c r="BJ158" s="5"/>
      <c r="BK158" s="5">
        <f ca="1">IF($BI158&lt;&gt;"",IF('Capacity summary'!$C$14="Yes",IF(COUNTBLANK('Capacity summary'!$H70:$BG70)&lt;52,IF('Capacity summary'!H70&lt;&gt;"",IF(LOWER('Capacity summary'!H70)="x",$BI158*H158,VALUE('Capacity summary'!H70)),0),H158*$BI158),H158*$BI158),0)</f>
        <v>4.615384615384615</v>
      </c>
      <c r="BL158" s="5">
        <f ca="1">IF($BI158&lt;&gt;"",IF('Capacity summary'!$C$14="Yes",IF(COUNTBLANK('Capacity summary'!$H70:$BG70)&lt;52,IF('Capacity summary'!I70&lt;&gt;"",IF(LOWER('Capacity summary'!I70)="x",$BI158*I158,VALUE('Capacity summary'!I70)),0),I158*$BI158),I158*$BI158),0)</f>
        <v>4.615384615384615</v>
      </c>
      <c r="BM158" s="5">
        <f ca="1">IF($BI158&lt;&gt;"",IF('Capacity summary'!$C$14="Yes",IF(COUNTBLANK('Capacity summary'!$H70:$BG70)&lt;52,IF('Capacity summary'!J70&lt;&gt;"",IF(LOWER('Capacity summary'!J70)="x",$BI158*J158,VALUE('Capacity summary'!J70)),0),J158*$BI158),J158*$BI158),0)</f>
        <v>4.615384615384615</v>
      </c>
      <c r="BN158" s="5">
        <f ca="1">IF($BI158&lt;&gt;"",IF('Capacity summary'!$C$14="Yes",IF(COUNTBLANK('Capacity summary'!$H70:$BG70)&lt;52,IF('Capacity summary'!K70&lt;&gt;"",IF(LOWER('Capacity summary'!K70)="x",$BI158*K158,VALUE('Capacity summary'!K70)),0),K158*$BI158),K158*$BI158),0)</f>
        <v>4.615384615384615</v>
      </c>
      <c r="BO158" s="5">
        <f ca="1">IF($BI158&lt;&gt;"",IF('Capacity summary'!$C$14="Yes",IF(COUNTBLANK('Capacity summary'!$H70:$BG70)&lt;52,IF('Capacity summary'!L70&lt;&gt;"",IF(LOWER('Capacity summary'!L70)="x",$BI158*L158,VALUE('Capacity summary'!L70)),0),L158*$BI158),L158*$BI158),0)</f>
        <v>4.615384615384615</v>
      </c>
      <c r="BP158" s="5">
        <f ca="1">IF($BI158&lt;&gt;"",IF('Capacity summary'!$C$14="Yes",IF(COUNTBLANK('Capacity summary'!$H70:$BG70)&lt;52,IF('Capacity summary'!M70&lt;&gt;"",IF(LOWER('Capacity summary'!M70)="x",$BI158*M158,VALUE('Capacity summary'!M70)),0),M158*$BI158),M158*$BI158),0)</f>
        <v>4.615384615384615</v>
      </c>
      <c r="BQ158" s="5">
        <f ca="1">IF($BI158&lt;&gt;"",IF('Capacity summary'!$C$14="Yes",IF(COUNTBLANK('Capacity summary'!$H70:$BG70)&lt;52,IF('Capacity summary'!N70&lt;&gt;"",IF(LOWER('Capacity summary'!N70)="x",$BI158*N158,VALUE('Capacity summary'!N70)),0),N158*$BI158),N158*$BI158),0)</f>
        <v>4.615384615384615</v>
      </c>
      <c r="BR158" s="5">
        <f ca="1">IF($BI158&lt;&gt;"",IF('Capacity summary'!$C$14="Yes",IF(COUNTBLANK('Capacity summary'!$H70:$BG70)&lt;52,IF('Capacity summary'!O70&lt;&gt;"",IF(LOWER('Capacity summary'!O70)="x",$BI158*O158,VALUE('Capacity summary'!O70)),0),O158*$BI158),O158*$BI158),0)</f>
        <v>4.615384615384615</v>
      </c>
      <c r="BS158" s="5">
        <f ca="1">IF($BI158&lt;&gt;"",IF('Capacity summary'!$C$14="Yes",IF(COUNTBLANK('Capacity summary'!$H70:$BG70)&lt;52,IF('Capacity summary'!P70&lt;&gt;"",IF(LOWER('Capacity summary'!P70)="x",$BI158*P158,VALUE('Capacity summary'!P70)),0),P158*$BI158),P158*$BI158),0)</f>
        <v>4.615384615384615</v>
      </c>
      <c r="BT158" s="5">
        <f ca="1">IF($BI158&lt;&gt;"",IF('Capacity summary'!$C$14="Yes",IF(COUNTBLANK('Capacity summary'!$H70:$BG70)&lt;52,IF('Capacity summary'!Q70&lt;&gt;"",IF(LOWER('Capacity summary'!Q70)="x",$BI158*Q158,VALUE('Capacity summary'!Q70)),0),Q158*$BI158),Q158*$BI158),0)</f>
        <v>4.615384615384615</v>
      </c>
      <c r="BU158" s="5">
        <f ca="1">IF($BI158&lt;&gt;"",IF('Capacity summary'!$C$14="Yes",IF(COUNTBLANK('Capacity summary'!$H70:$BG70)&lt;52,IF('Capacity summary'!R70&lt;&gt;"",IF(LOWER('Capacity summary'!R70)="x",$BI158*R158,VALUE('Capacity summary'!R70)),0),R158*$BI158),R158*$BI158),0)</f>
        <v>4.615384615384615</v>
      </c>
      <c r="BV158" s="5">
        <f ca="1">IF($BI158&lt;&gt;"",IF('Capacity summary'!$C$14="Yes",IF(COUNTBLANK('Capacity summary'!$H70:$BG70)&lt;52,IF('Capacity summary'!S70&lt;&gt;"",IF(LOWER('Capacity summary'!S70)="x",$BI158*S158,VALUE('Capacity summary'!S70)),0),S158*$BI158),S158*$BI158),0)</f>
        <v>4.615384615384615</v>
      </c>
      <c r="BW158" s="5">
        <f ca="1">IF($BI158&lt;&gt;"",IF('Capacity summary'!$C$14="Yes",IF(COUNTBLANK('Capacity summary'!$H70:$BG70)&lt;52,IF('Capacity summary'!T70&lt;&gt;"",IF(LOWER('Capacity summary'!T70)="x",$BI158*T158,VALUE('Capacity summary'!T70)),0),T158*$BI158),T158*$BI158),0)</f>
        <v>4.615384615384615</v>
      </c>
      <c r="BX158" s="5">
        <f ca="1">IF($BI158&lt;&gt;"",IF('Capacity summary'!$C$14="Yes",IF(COUNTBLANK('Capacity summary'!$H70:$BG70)&lt;52,IF('Capacity summary'!U70&lt;&gt;"",IF(LOWER('Capacity summary'!U70)="x",$BI158*U158,VALUE('Capacity summary'!U70)),0),U158*$BI158),U158*$BI158),0)</f>
        <v>4.615384615384615</v>
      </c>
      <c r="BY158" s="5">
        <f ca="1">IF($BI158&lt;&gt;"",IF('Capacity summary'!$C$14="Yes",IF(COUNTBLANK('Capacity summary'!$H70:$BG70)&lt;52,IF('Capacity summary'!V70&lt;&gt;"",IF(LOWER('Capacity summary'!V70)="x",$BI158*V158,VALUE('Capacity summary'!V70)),0),V158*$BI158),V158*$BI158),0)</f>
        <v>4.615384615384615</v>
      </c>
      <c r="BZ158" s="5">
        <f ca="1">IF($BI158&lt;&gt;"",IF('Capacity summary'!$C$14="Yes",IF(COUNTBLANK('Capacity summary'!$H70:$BG70)&lt;52,IF('Capacity summary'!W70&lt;&gt;"",IF(LOWER('Capacity summary'!W70)="x",$BI158*W158,VALUE('Capacity summary'!W70)),0),W158*$BI158),W158*$BI158),0)</f>
        <v>4.615384615384615</v>
      </c>
      <c r="CA158" s="5">
        <f ca="1">IF($BI158&lt;&gt;"",IF('Capacity summary'!$C$14="Yes",IF(COUNTBLANK('Capacity summary'!$H70:$BG70)&lt;52,IF('Capacity summary'!X70&lt;&gt;"",IF(LOWER('Capacity summary'!X70)="x",$BI158*X158,VALUE('Capacity summary'!X70)),0),X158*$BI158),X158*$BI158),0)</f>
        <v>4.615384615384615</v>
      </c>
      <c r="CB158" s="5">
        <f ca="1">IF($BI158&lt;&gt;"",IF('Capacity summary'!$C$14="Yes",IF(COUNTBLANK('Capacity summary'!$H70:$BG70)&lt;52,IF('Capacity summary'!Y70&lt;&gt;"",IF(LOWER('Capacity summary'!Y70)="x",$BI158*Y158,VALUE('Capacity summary'!Y70)),0),Y158*$BI158),Y158*$BI158),0)</f>
        <v>4.615384615384615</v>
      </c>
      <c r="CC158" s="5">
        <f ca="1">IF($BI158&lt;&gt;"",IF('Capacity summary'!$C$14="Yes",IF(COUNTBLANK('Capacity summary'!$H70:$BG70)&lt;52,IF('Capacity summary'!Z70&lt;&gt;"",IF(LOWER('Capacity summary'!Z70)="x",$BI158*Z158,VALUE('Capacity summary'!Z70)),0),Z158*$BI158),Z158*$BI158),0)</f>
        <v>4.615384615384615</v>
      </c>
      <c r="CD158" s="5">
        <f ca="1">IF($BI158&lt;&gt;"",IF('Capacity summary'!$C$14="Yes",IF(COUNTBLANK('Capacity summary'!$H70:$BG70)&lt;52,IF('Capacity summary'!AA70&lt;&gt;"",IF(LOWER('Capacity summary'!AA70)="x",$BI158*AA158,VALUE('Capacity summary'!AA70)),0),AA158*$BI158),AA158*$BI158),0)</f>
        <v>4.615384615384615</v>
      </c>
      <c r="CE158" s="5">
        <f ca="1">IF($BI158&lt;&gt;"",IF('Capacity summary'!$C$14="Yes",IF(COUNTBLANK('Capacity summary'!$H70:$BG70)&lt;52,IF('Capacity summary'!AB70&lt;&gt;"",IF(LOWER('Capacity summary'!AB70)="x",$BI158*AB158,VALUE('Capacity summary'!AB70)),0),AB158*$BI158),AB158*$BI158),0)</f>
        <v>4.615384615384615</v>
      </c>
      <c r="CF158" s="5">
        <f ca="1">IF($BI158&lt;&gt;"",IF('Capacity summary'!$C$14="Yes",IF(COUNTBLANK('Capacity summary'!$H70:$BG70)&lt;52,IF('Capacity summary'!AC70&lt;&gt;"",IF(LOWER('Capacity summary'!AC70)="x",$BI158*AC158,VALUE('Capacity summary'!AC70)),0),AC158*$BI158),AC158*$BI158),0)</f>
        <v>4.615384615384615</v>
      </c>
      <c r="CG158" s="5">
        <f ca="1">IF($BI158&lt;&gt;"",IF('Capacity summary'!$C$14="Yes",IF(COUNTBLANK('Capacity summary'!$H70:$BG70)&lt;52,IF('Capacity summary'!AD70&lt;&gt;"",IF(LOWER('Capacity summary'!AD70)="x",$BI158*AD158,VALUE('Capacity summary'!AD70)),0),AD158*$BI158),AD158*$BI158),0)</f>
        <v>4.615384615384615</v>
      </c>
      <c r="CH158" s="5">
        <f ca="1">IF($BI158&lt;&gt;"",IF('Capacity summary'!$C$14="Yes",IF(COUNTBLANK('Capacity summary'!$H70:$BG70)&lt;52,IF('Capacity summary'!AE70&lt;&gt;"",IF(LOWER('Capacity summary'!AE70)="x",$BI158*AE158,VALUE('Capacity summary'!AE70)),0),AE158*$BI158),AE158*$BI158),0)</f>
        <v>4.615384615384615</v>
      </c>
      <c r="CI158" s="5">
        <f ca="1">IF($BI158&lt;&gt;"",IF('Capacity summary'!$C$14="Yes",IF(COUNTBLANK('Capacity summary'!$H70:$BG70)&lt;52,IF('Capacity summary'!AF70&lt;&gt;"",IF(LOWER('Capacity summary'!AF70)="x",$BI158*AF158,VALUE('Capacity summary'!AF70)),0),AF158*$BI158),AF158*$BI158),0)</f>
        <v>4.615384615384615</v>
      </c>
      <c r="CJ158" s="5">
        <f ca="1">IF($BI158&lt;&gt;"",IF('Capacity summary'!$C$14="Yes",IF(COUNTBLANK('Capacity summary'!$H70:$BG70)&lt;52,IF('Capacity summary'!AG70&lt;&gt;"",IF(LOWER('Capacity summary'!AG70)="x",$BI158*AG158,VALUE('Capacity summary'!AG70)),0),AG158*$BI158),AG158*$BI158),0)</f>
        <v>4.615384615384615</v>
      </c>
      <c r="CK158" s="5">
        <f ca="1">IF($BI158&lt;&gt;"",IF('Capacity summary'!$C$14="Yes",IF(COUNTBLANK('Capacity summary'!$H70:$BG70)&lt;52,IF('Capacity summary'!AH70&lt;&gt;"",IF(LOWER('Capacity summary'!AH70)="x",$BI158*AH158,VALUE('Capacity summary'!AH70)),0),AH158*$BI158),AH158*$BI158),0)</f>
        <v>4.615384615384615</v>
      </c>
      <c r="CL158" s="5">
        <f ca="1">IF($BI158&lt;&gt;"",IF('Capacity summary'!$C$14="Yes",IF(COUNTBLANK('Capacity summary'!$H70:$BG70)&lt;52,IF('Capacity summary'!AI70&lt;&gt;"",IF(LOWER('Capacity summary'!AI70)="x",$BI158*AI158,VALUE('Capacity summary'!AI70)),0),AI158*$BI158),AI158*$BI158),0)</f>
        <v>4.615384615384615</v>
      </c>
      <c r="CM158" s="5">
        <f ca="1">IF($BI158&lt;&gt;"",IF('Capacity summary'!$C$14="Yes",IF(COUNTBLANK('Capacity summary'!$H70:$BG70)&lt;52,IF('Capacity summary'!AJ70&lt;&gt;"",IF(LOWER('Capacity summary'!AJ70)="x",$BI158*AJ158,VALUE('Capacity summary'!AJ70)),0),AJ158*$BI158),AJ158*$BI158),0)</f>
        <v>4.615384615384615</v>
      </c>
      <c r="CN158" s="5">
        <f ca="1">IF($BI158&lt;&gt;"",IF('Capacity summary'!$C$14="Yes",IF(COUNTBLANK('Capacity summary'!$H70:$BG70)&lt;52,IF('Capacity summary'!AK70&lt;&gt;"",IF(LOWER('Capacity summary'!AK70)="x",$BI158*AK158,VALUE('Capacity summary'!AK70)),0),AK158*$BI158),AK158*$BI158),0)</f>
        <v>4.615384615384615</v>
      </c>
      <c r="CO158" s="5">
        <f ca="1">IF($BI158&lt;&gt;"",IF('Capacity summary'!$C$14="Yes",IF(COUNTBLANK('Capacity summary'!$H70:$BG70)&lt;52,IF('Capacity summary'!AL70&lt;&gt;"",IF(LOWER('Capacity summary'!AL70)="x",$BI158*AL158,VALUE('Capacity summary'!AL70)),0),AL158*$BI158),AL158*$BI158),0)</f>
        <v>4.615384615384615</v>
      </c>
      <c r="CP158" s="5">
        <f ca="1">IF($BI158&lt;&gt;"",IF('Capacity summary'!$C$14="Yes",IF(COUNTBLANK('Capacity summary'!$H70:$BG70)&lt;52,IF('Capacity summary'!AM70&lt;&gt;"",IF(LOWER('Capacity summary'!AM70)="x",$BI158*AM158,VALUE('Capacity summary'!AM70)),0),AM158*$BI158),AM158*$BI158),0)</f>
        <v>4.615384615384615</v>
      </c>
      <c r="CQ158" s="5">
        <f ca="1">IF($BI158&lt;&gt;"",IF('Capacity summary'!$C$14="Yes",IF(COUNTBLANK('Capacity summary'!$H70:$BG70)&lt;52,IF('Capacity summary'!AN70&lt;&gt;"",IF(LOWER('Capacity summary'!AN70)="x",$BI158*AN158,VALUE('Capacity summary'!AN70)),0),AN158*$BI158),AN158*$BI158),0)</f>
        <v>4.615384615384615</v>
      </c>
      <c r="CR158" s="5">
        <f ca="1">IF($BI158&lt;&gt;"",IF('Capacity summary'!$C$14="Yes",IF(COUNTBLANK('Capacity summary'!$H70:$BG70)&lt;52,IF('Capacity summary'!AO70&lt;&gt;"",IF(LOWER('Capacity summary'!AO70)="x",$BI158*AO158,VALUE('Capacity summary'!AO70)),0),AO158*$BI158),AO158*$BI158),0)</f>
        <v>4.615384615384615</v>
      </c>
      <c r="CS158" s="5">
        <f ca="1">IF($BI158&lt;&gt;"",IF('Capacity summary'!$C$14="Yes",IF(COUNTBLANK('Capacity summary'!$H70:$BG70)&lt;52,IF('Capacity summary'!AP70&lt;&gt;"",IF(LOWER('Capacity summary'!AP70)="x",$BI158*AP158,VALUE('Capacity summary'!AP70)),0),AP158*$BI158),AP158*$BI158),0)</f>
        <v>4.615384615384615</v>
      </c>
      <c r="CT158" s="5">
        <f ca="1">IF($BI158&lt;&gt;"",IF('Capacity summary'!$C$14="Yes",IF(COUNTBLANK('Capacity summary'!$H70:$BG70)&lt;52,IF('Capacity summary'!AQ70&lt;&gt;"",IF(LOWER('Capacity summary'!AQ70)="x",$BI158*AQ158,VALUE('Capacity summary'!AQ70)),0),AQ158*$BI158),AQ158*$BI158),0)</f>
        <v>4.615384615384615</v>
      </c>
      <c r="CU158" s="5">
        <f ca="1">IF($BI158&lt;&gt;"",IF('Capacity summary'!$C$14="Yes",IF(COUNTBLANK('Capacity summary'!$H70:$BG70)&lt;52,IF('Capacity summary'!AR70&lt;&gt;"",IF(LOWER('Capacity summary'!AR70)="x",$BI158*AR158,VALUE('Capacity summary'!AR70)),0),AR158*$BI158),AR158*$BI158),0)</f>
        <v>4.615384615384615</v>
      </c>
      <c r="CV158" s="5">
        <f ca="1">IF($BI158&lt;&gt;"",IF('Capacity summary'!$C$14="Yes",IF(COUNTBLANK('Capacity summary'!$H70:$BG70)&lt;52,IF('Capacity summary'!AS70&lt;&gt;"",IF(LOWER('Capacity summary'!AS70)="x",$BI158*AS158,VALUE('Capacity summary'!AS70)),0),AS158*$BI158),AS158*$BI158),0)</f>
        <v>4.615384615384615</v>
      </c>
      <c r="CW158" s="5">
        <f ca="1">IF($BI158&lt;&gt;"",IF('Capacity summary'!$C$14="Yes",IF(COUNTBLANK('Capacity summary'!$H70:$BG70)&lt;52,IF('Capacity summary'!AT70&lt;&gt;"",IF(LOWER('Capacity summary'!AT70)="x",$BI158*AT158,VALUE('Capacity summary'!AT70)),0),AT158*$BI158),AT158*$BI158),0)</f>
        <v>4.615384615384615</v>
      </c>
      <c r="CX158" s="5">
        <f ca="1">IF($BI158&lt;&gt;"",IF('Capacity summary'!$C$14="Yes",IF(COUNTBLANK('Capacity summary'!$H70:$BG70)&lt;52,IF('Capacity summary'!AU70&lt;&gt;"",IF(LOWER('Capacity summary'!AU70)="x",$BI158*AU158,VALUE('Capacity summary'!AU70)),0),AU158*$BI158),AU158*$BI158),0)</f>
        <v>4.615384615384615</v>
      </c>
      <c r="CY158" s="5">
        <f ca="1">IF($BI158&lt;&gt;"",IF('Capacity summary'!$C$14="Yes",IF(COUNTBLANK('Capacity summary'!$H70:$BG70)&lt;52,IF('Capacity summary'!AV70&lt;&gt;"",IF(LOWER('Capacity summary'!AV70)="x",$BI158*AV158,VALUE('Capacity summary'!AV70)),0),AV158*$BI158),AV158*$BI158),0)</f>
        <v>4.615384615384615</v>
      </c>
      <c r="CZ158" s="5">
        <f ca="1">IF($BI158&lt;&gt;"",IF('Capacity summary'!$C$14="Yes",IF(COUNTBLANK('Capacity summary'!$H70:$BG70)&lt;52,IF('Capacity summary'!AW70&lt;&gt;"",IF(LOWER('Capacity summary'!AW70)="x",$BI158*AW158,VALUE('Capacity summary'!AW70)),0),AW158*$BI158),AW158*$BI158),0)</f>
        <v>4.615384615384615</v>
      </c>
      <c r="DA158" s="5">
        <f ca="1">IF($BI158&lt;&gt;"",IF('Capacity summary'!$C$14="Yes",IF(COUNTBLANK('Capacity summary'!$H70:$BG70)&lt;52,IF('Capacity summary'!AX70&lt;&gt;"",IF(LOWER('Capacity summary'!AX70)="x",$BI158*AX158,VALUE('Capacity summary'!AX70)),0),AX158*$BI158),AX158*$BI158),0)</f>
        <v>4.615384615384615</v>
      </c>
      <c r="DB158" s="5">
        <f ca="1">IF($BI158&lt;&gt;"",IF('Capacity summary'!$C$14="Yes",IF(COUNTBLANK('Capacity summary'!$H70:$BG70)&lt;52,IF('Capacity summary'!AY70&lt;&gt;"",IF(LOWER('Capacity summary'!AY70)="x",$BI158*AY158,VALUE('Capacity summary'!AY70)),0),AY158*$BI158),AY158*$BI158),0)</f>
        <v>4.615384615384615</v>
      </c>
      <c r="DC158" s="5">
        <f ca="1">IF($BI158&lt;&gt;"",IF('Capacity summary'!$C$14="Yes",IF(COUNTBLANK('Capacity summary'!$H70:$BG70)&lt;52,IF('Capacity summary'!AZ70&lt;&gt;"",IF(LOWER('Capacity summary'!AZ70)="x",$BI158*AZ158,VALUE('Capacity summary'!AZ70)),0),AZ158*$BI158),AZ158*$BI158),0)</f>
        <v>4.615384615384615</v>
      </c>
      <c r="DD158" s="5">
        <f ca="1">IF($BI158&lt;&gt;"",IF('Capacity summary'!$C$14="Yes",IF(COUNTBLANK('Capacity summary'!$H70:$BG70)&lt;52,IF('Capacity summary'!BA70&lt;&gt;"",IF(LOWER('Capacity summary'!BA70)="x",$BI158*BA158,VALUE('Capacity summary'!BA70)),0),BA158*$BI158),BA158*$BI158),0)</f>
        <v>4.615384615384615</v>
      </c>
      <c r="DE158" s="5">
        <f ca="1">IF($BI158&lt;&gt;"",IF('Capacity summary'!$C$14="Yes",IF(COUNTBLANK('Capacity summary'!$H70:$BG70)&lt;52,IF('Capacity summary'!BB70&lt;&gt;"",IF(LOWER('Capacity summary'!BB70)="x",$BI158*BB158,VALUE('Capacity summary'!BB70)),0),BB158*$BI158),BB158*$BI158),0)</f>
        <v>4.615384615384615</v>
      </c>
      <c r="DF158" s="5">
        <f ca="1">IF($BI158&lt;&gt;"",IF('Capacity summary'!$C$14="Yes",IF(COUNTBLANK('Capacity summary'!$H70:$BG70)&lt;52,IF('Capacity summary'!BC70&lt;&gt;"",IF(LOWER('Capacity summary'!BC70)="x",$BI158*BC158,VALUE('Capacity summary'!BC70)),0),BC158*$BI158),BC158*$BI158),0)</f>
        <v>4.615384615384615</v>
      </c>
      <c r="DG158" s="5">
        <f ca="1">IF($BI158&lt;&gt;"",IF('Capacity summary'!$C$14="Yes",IF(COUNTBLANK('Capacity summary'!$H70:$BG70)&lt;52,IF('Capacity summary'!BD70&lt;&gt;"",IF(LOWER('Capacity summary'!BD70)="x",$BI158*BD158,VALUE('Capacity summary'!BD70)),0),BD158*$BI158),BD158*$BI158),0)</f>
        <v>4.615384615384615</v>
      </c>
      <c r="DH158" s="5">
        <f ca="1">IF($BI158&lt;&gt;"",IF('Capacity summary'!$C$14="Yes",IF(COUNTBLANK('Capacity summary'!$H70:$BG70)&lt;52,IF('Capacity summary'!BE70&lt;&gt;"",IF(LOWER('Capacity summary'!BE70)="x",$BI158*BE158,VALUE('Capacity summary'!BE70)),0),BE158*$BI158),BE158*$BI158),0)</f>
        <v>4.615384615384615</v>
      </c>
      <c r="DI158" s="5">
        <f ca="1">IF($BI158&lt;&gt;"",IF('Capacity summary'!$C$14="Yes",IF(COUNTBLANK('Capacity summary'!$H70:$BG70)&lt;52,IF('Capacity summary'!BF70&lt;&gt;"",IF(LOWER('Capacity summary'!BF70)="x",$BI158*BF158,VALUE('Capacity summary'!BF70)),0),BF158*$BI158),BF158*$BI158),0)</f>
        <v>4.615384615384615</v>
      </c>
      <c r="DJ158" s="5">
        <f ca="1">IF($BI158&lt;&gt;"",IF('Capacity summary'!$C$14="Yes",IF(COUNTBLANK('Capacity summary'!$H70:$BG70)&lt;52,IF('Capacity summary'!BG70&lt;&gt;"",IF(LOWER('Capacity summary'!BG70)="x",$BI158*BG158,VALUE('Capacity summary'!BG70)),0),BG158*$BI158),BG158*$BI158),0)</f>
        <v>4.615384615384615</v>
      </c>
      <c r="DK158" s="388">
        <f t="shared" ca="1" si="8"/>
        <v>4.615384615384615</v>
      </c>
      <c r="DL158" s="5">
        <f t="shared" ca="1" si="9"/>
        <v>239.99999999999991</v>
      </c>
    </row>
    <row r="159" spans="3:116" x14ac:dyDescent="0.2">
      <c r="C159" s="67" t="str">
        <f>ROW(A48)&amp;". "&amp;Capacity!N64</f>
        <v>48. 44423</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 ca="1">IF(ROW(A48)&lt;=Capacity!$M$16,IF('Capacity summary'!$C$14="No",SUM(H159:BG159),'Capacity summary'!$E71),0)</f>
        <v>52</v>
      </c>
      <c r="BI159" s="67">
        <f ca="1">IF(BH159&gt;0,IF(BH159&lt;Capacity!Q64,Capacity!R64,Capacity!T64/'Capacity calculation (hide)'!BH159),"")</f>
        <v>13.846153846153847</v>
      </c>
      <c r="BJ159" s="5"/>
      <c r="BK159" s="5">
        <f ca="1">IF($BI159&lt;&gt;"",IF('Capacity summary'!$C$14="Yes",IF(COUNTBLANK('Capacity summary'!$H71:$BG71)&lt;52,IF('Capacity summary'!H71&lt;&gt;"",IF(LOWER('Capacity summary'!H71)="x",$BI159*H159,VALUE('Capacity summary'!H71)),0),H159*$BI159),H159*$BI159),0)</f>
        <v>13.846153846153847</v>
      </c>
      <c r="BL159" s="5">
        <f ca="1">IF($BI159&lt;&gt;"",IF('Capacity summary'!$C$14="Yes",IF(COUNTBLANK('Capacity summary'!$H71:$BG71)&lt;52,IF('Capacity summary'!I71&lt;&gt;"",IF(LOWER('Capacity summary'!I71)="x",$BI159*I159,VALUE('Capacity summary'!I71)),0),I159*$BI159),I159*$BI159),0)</f>
        <v>13.846153846153847</v>
      </c>
      <c r="BM159" s="5">
        <f ca="1">IF($BI159&lt;&gt;"",IF('Capacity summary'!$C$14="Yes",IF(COUNTBLANK('Capacity summary'!$H71:$BG71)&lt;52,IF('Capacity summary'!J71&lt;&gt;"",IF(LOWER('Capacity summary'!J71)="x",$BI159*J159,VALUE('Capacity summary'!J71)),0),J159*$BI159),J159*$BI159),0)</f>
        <v>13.846153846153847</v>
      </c>
      <c r="BN159" s="5">
        <f ca="1">IF($BI159&lt;&gt;"",IF('Capacity summary'!$C$14="Yes",IF(COUNTBLANK('Capacity summary'!$H71:$BG71)&lt;52,IF('Capacity summary'!K71&lt;&gt;"",IF(LOWER('Capacity summary'!K71)="x",$BI159*K159,VALUE('Capacity summary'!K71)),0),K159*$BI159),K159*$BI159),0)</f>
        <v>13.846153846153847</v>
      </c>
      <c r="BO159" s="5">
        <f ca="1">IF($BI159&lt;&gt;"",IF('Capacity summary'!$C$14="Yes",IF(COUNTBLANK('Capacity summary'!$H71:$BG71)&lt;52,IF('Capacity summary'!L71&lt;&gt;"",IF(LOWER('Capacity summary'!L71)="x",$BI159*L159,VALUE('Capacity summary'!L71)),0),L159*$BI159),L159*$BI159),0)</f>
        <v>13.846153846153847</v>
      </c>
      <c r="BP159" s="5">
        <f ca="1">IF($BI159&lt;&gt;"",IF('Capacity summary'!$C$14="Yes",IF(COUNTBLANK('Capacity summary'!$H71:$BG71)&lt;52,IF('Capacity summary'!M71&lt;&gt;"",IF(LOWER('Capacity summary'!M71)="x",$BI159*M159,VALUE('Capacity summary'!M71)),0),M159*$BI159),M159*$BI159),0)</f>
        <v>13.846153846153847</v>
      </c>
      <c r="BQ159" s="5">
        <f ca="1">IF($BI159&lt;&gt;"",IF('Capacity summary'!$C$14="Yes",IF(COUNTBLANK('Capacity summary'!$H71:$BG71)&lt;52,IF('Capacity summary'!N71&lt;&gt;"",IF(LOWER('Capacity summary'!N71)="x",$BI159*N159,VALUE('Capacity summary'!N71)),0),N159*$BI159),N159*$BI159),0)</f>
        <v>13.846153846153847</v>
      </c>
      <c r="BR159" s="5">
        <f ca="1">IF($BI159&lt;&gt;"",IF('Capacity summary'!$C$14="Yes",IF(COUNTBLANK('Capacity summary'!$H71:$BG71)&lt;52,IF('Capacity summary'!O71&lt;&gt;"",IF(LOWER('Capacity summary'!O71)="x",$BI159*O159,VALUE('Capacity summary'!O71)),0),O159*$BI159),O159*$BI159),0)</f>
        <v>13.846153846153847</v>
      </c>
      <c r="BS159" s="5">
        <f ca="1">IF($BI159&lt;&gt;"",IF('Capacity summary'!$C$14="Yes",IF(COUNTBLANK('Capacity summary'!$H71:$BG71)&lt;52,IF('Capacity summary'!P71&lt;&gt;"",IF(LOWER('Capacity summary'!P71)="x",$BI159*P159,VALUE('Capacity summary'!P71)),0),P159*$BI159),P159*$BI159),0)</f>
        <v>13.846153846153847</v>
      </c>
      <c r="BT159" s="5">
        <f ca="1">IF($BI159&lt;&gt;"",IF('Capacity summary'!$C$14="Yes",IF(COUNTBLANK('Capacity summary'!$H71:$BG71)&lt;52,IF('Capacity summary'!Q71&lt;&gt;"",IF(LOWER('Capacity summary'!Q71)="x",$BI159*Q159,VALUE('Capacity summary'!Q71)),0),Q159*$BI159),Q159*$BI159),0)</f>
        <v>13.846153846153847</v>
      </c>
      <c r="BU159" s="5">
        <f ca="1">IF($BI159&lt;&gt;"",IF('Capacity summary'!$C$14="Yes",IF(COUNTBLANK('Capacity summary'!$H71:$BG71)&lt;52,IF('Capacity summary'!R71&lt;&gt;"",IF(LOWER('Capacity summary'!R71)="x",$BI159*R159,VALUE('Capacity summary'!R71)),0),R159*$BI159),R159*$BI159),0)</f>
        <v>13.846153846153847</v>
      </c>
      <c r="BV159" s="5">
        <f ca="1">IF($BI159&lt;&gt;"",IF('Capacity summary'!$C$14="Yes",IF(COUNTBLANK('Capacity summary'!$H71:$BG71)&lt;52,IF('Capacity summary'!S71&lt;&gt;"",IF(LOWER('Capacity summary'!S71)="x",$BI159*S159,VALUE('Capacity summary'!S71)),0),S159*$BI159),S159*$BI159),0)</f>
        <v>13.846153846153847</v>
      </c>
      <c r="BW159" s="5">
        <f ca="1">IF($BI159&lt;&gt;"",IF('Capacity summary'!$C$14="Yes",IF(COUNTBLANK('Capacity summary'!$H71:$BG71)&lt;52,IF('Capacity summary'!T71&lt;&gt;"",IF(LOWER('Capacity summary'!T71)="x",$BI159*T159,VALUE('Capacity summary'!T71)),0),T159*$BI159),T159*$BI159),0)</f>
        <v>13.846153846153847</v>
      </c>
      <c r="BX159" s="5">
        <f ca="1">IF($BI159&lt;&gt;"",IF('Capacity summary'!$C$14="Yes",IF(COUNTBLANK('Capacity summary'!$H71:$BG71)&lt;52,IF('Capacity summary'!U71&lt;&gt;"",IF(LOWER('Capacity summary'!U71)="x",$BI159*U159,VALUE('Capacity summary'!U71)),0),U159*$BI159),U159*$BI159),0)</f>
        <v>13.846153846153847</v>
      </c>
      <c r="BY159" s="5">
        <f ca="1">IF($BI159&lt;&gt;"",IF('Capacity summary'!$C$14="Yes",IF(COUNTBLANK('Capacity summary'!$H71:$BG71)&lt;52,IF('Capacity summary'!V71&lt;&gt;"",IF(LOWER('Capacity summary'!V71)="x",$BI159*V159,VALUE('Capacity summary'!V71)),0),V159*$BI159),V159*$BI159),0)</f>
        <v>13.846153846153847</v>
      </c>
      <c r="BZ159" s="5">
        <f ca="1">IF($BI159&lt;&gt;"",IF('Capacity summary'!$C$14="Yes",IF(COUNTBLANK('Capacity summary'!$H71:$BG71)&lt;52,IF('Capacity summary'!W71&lt;&gt;"",IF(LOWER('Capacity summary'!W71)="x",$BI159*W159,VALUE('Capacity summary'!W71)),0),W159*$BI159),W159*$BI159),0)</f>
        <v>13.846153846153847</v>
      </c>
      <c r="CA159" s="5">
        <f ca="1">IF($BI159&lt;&gt;"",IF('Capacity summary'!$C$14="Yes",IF(COUNTBLANK('Capacity summary'!$H71:$BG71)&lt;52,IF('Capacity summary'!X71&lt;&gt;"",IF(LOWER('Capacity summary'!X71)="x",$BI159*X159,VALUE('Capacity summary'!X71)),0),X159*$BI159),X159*$BI159),0)</f>
        <v>13.846153846153847</v>
      </c>
      <c r="CB159" s="5">
        <f ca="1">IF($BI159&lt;&gt;"",IF('Capacity summary'!$C$14="Yes",IF(COUNTBLANK('Capacity summary'!$H71:$BG71)&lt;52,IF('Capacity summary'!Y71&lt;&gt;"",IF(LOWER('Capacity summary'!Y71)="x",$BI159*Y159,VALUE('Capacity summary'!Y71)),0),Y159*$BI159),Y159*$BI159),0)</f>
        <v>13.846153846153847</v>
      </c>
      <c r="CC159" s="5">
        <f ca="1">IF($BI159&lt;&gt;"",IF('Capacity summary'!$C$14="Yes",IF(COUNTBLANK('Capacity summary'!$H71:$BG71)&lt;52,IF('Capacity summary'!Z71&lt;&gt;"",IF(LOWER('Capacity summary'!Z71)="x",$BI159*Z159,VALUE('Capacity summary'!Z71)),0),Z159*$BI159),Z159*$BI159),0)</f>
        <v>13.846153846153847</v>
      </c>
      <c r="CD159" s="5">
        <f ca="1">IF($BI159&lt;&gt;"",IF('Capacity summary'!$C$14="Yes",IF(COUNTBLANK('Capacity summary'!$H71:$BG71)&lt;52,IF('Capacity summary'!AA71&lt;&gt;"",IF(LOWER('Capacity summary'!AA71)="x",$BI159*AA159,VALUE('Capacity summary'!AA71)),0),AA159*$BI159),AA159*$BI159),0)</f>
        <v>13.846153846153847</v>
      </c>
      <c r="CE159" s="5">
        <f ca="1">IF($BI159&lt;&gt;"",IF('Capacity summary'!$C$14="Yes",IF(COUNTBLANK('Capacity summary'!$H71:$BG71)&lt;52,IF('Capacity summary'!AB71&lt;&gt;"",IF(LOWER('Capacity summary'!AB71)="x",$BI159*AB159,VALUE('Capacity summary'!AB71)),0),AB159*$BI159),AB159*$BI159),0)</f>
        <v>13.846153846153847</v>
      </c>
      <c r="CF159" s="5">
        <f ca="1">IF($BI159&lt;&gt;"",IF('Capacity summary'!$C$14="Yes",IF(COUNTBLANK('Capacity summary'!$H71:$BG71)&lt;52,IF('Capacity summary'!AC71&lt;&gt;"",IF(LOWER('Capacity summary'!AC71)="x",$BI159*AC159,VALUE('Capacity summary'!AC71)),0),AC159*$BI159),AC159*$BI159),0)</f>
        <v>13.846153846153847</v>
      </c>
      <c r="CG159" s="5">
        <f ca="1">IF($BI159&lt;&gt;"",IF('Capacity summary'!$C$14="Yes",IF(COUNTBLANK('Capacity summary'!$H71:$BG71)&lt;52,IF('Capacity summary'!AD71&lt;&gt;"",IF(LOWER('Capacity summary'!AD71)="x",$BI159*AD159,VALUE('Capacity summary'!AD71)),0),AD159*$BI159),AD159*$BI159),0)</f>
        <v>13.846153846153847</v>
      </c>
      <c r="CH159" s="5">
        <f ca="1">IF($BI159&lt;&gt;"",IF('Capacity summary'!$C$14="Yes",IF(COUNTBLANK('Capacity summary'!$H71:$BG71)&lt;52,IF('Capacity summary'!AE71&lt;&gt;"",IF(LOWER('Capacity summary'!AE71)="x",$BI159*AE159,VALUE('Capacity summary'!AE71)),0),AE159*$BI159),AE159*$BI159),0)</f>
        <v>13.846153846153847</v>
      </c>
      <c r="CI159" s="5">
        <f ca="1">IF($BI159&lt;&gt;"",IF('Capacity summary'!$C$14="Yes",IF(COUNTBLANK('Capacity summary'!$H71:$BG71)&lt;52,IF('Capacity summary'!AF71&lt;&gt;"",IF(LOWER('Capacity summary'!AF71)="x",$BI159*AF159,VALUE('Capacity summary'!AF71)),0),AF159*$BI159),AF159*$BI159),0)</f>
        <v>13.846153846153847</v>
      </c>
      <c r="CJ159" s="5">
        <f ca="1">IF($BI159&lt;&gt;"",IF('Capacity summary'!$C$14="Yes",IF(COUNTBLANK('Capacity summary'!$H71:$BG71)&lt;52,IF('Capacity summary'!AG71&lt;&gt;"",IF(LOWER('Capacity summary'!AG71)="x",$BI159*AG159,VALUE('Capacity summary'!AG71)),0),AG159*$BI159),AG159*$BI159),0)</f>
        <v>13.846153846153847</v>
      </c>
      <c r="CK159" s="5">
        <f ca="1">IF($BI159&lt;&gt;"",IF('Capacity summary'!$C$14="Yes",IF(COUNTBLANK('Capacity summary'!$H71:$BG71)&lt;52,IF('Capacity summary'!AH71&lt;&gt;"",IF(LOWER('Capacity summary'!AH71)="x",$BI159*AH159,VALUE('Capacity summary'!AH71)),0),AH159*$BI159),AH159*$BI159),0)</f>
        <v>13.846153846153847</v>
      </c>
      <c r="CL159" s="5">
        <f ca="1">IF($BI159&lt;&gt;"",IF('Capacity summary'!$C$14="Yes",IF(COUNTBLANK('Capacity summary'!$H71:$BG71)&lt;52,IF('Capacity summary'!AI71&lt;&gt;"",IF(LOWER('Capacity summary'!AI71)="x",$BI159*AI159,VALUE('Capacity summary'!AI71)),0),AI159*$BI159),AI159*$BI159),0)</f>
        <v>13.846153846153847</v>
      </c>
      <c r="CM159" s="5">
        <f ca="1">IF($BI159&lt;&gt;"",IF('Capacity summary'!$C$14="Yes",IF(COUNTBLANK('Capacity summary'!$H71:$BG71)&lt;52,IF('Capacity summary'!AJ71&lt;&gt;"",IF(LOWER('Capacity summary'!AJ71)="x",$BI159*AJ159,VALUE('Capacity summary'!AJ71)),0),AJ159*$BI159),AJ159*$BI159),0)</f>
        <v>13.846153846153847</v>
      </c>
      <c r="CN159" s="5">
        <f ca="1">IF($BI159&lt;&gt;"",IF('Capacity summary'!$C$14="Yes",IF(COUNTBLANK('Capacity summary'!$H71:$BG71)&lt;52,IF('Capacity summary'!AK71&lt;&gt;"",IF(LOWER('Capacity summary'!AK71)="x",$BI159*AK159,VALUE('Capacity summary'!AK71)),0),AK159*$BI159),AK159*$BI159),0)</f>
        <v>13.846153846153847</v>
      </c>
      <c r="CO159" s="5">
        <f ca="1">IF($BI159&lt;&gt;"",IF('Capacity summary'!$C$14="Yes",IF(COUNTBLANK('Capacity summary'!$H71:$BG71)&lt;52,IF('Capacity summary'!AL71&lt;&gt;"",IF(LOWER('Capacity summary'!AL71)="x",$BI159*AL159,VALUE('Capacity summary'!AL71)),0),AL159*$BI159),AL159*$BI159),0)</f>
        <v>13.846153846153847</v>
      </c>
      <c r="CP159" s="5">
        <f ca="1">IF($BI159&lt;&gt;"",IF('Capacity summary'!$C$14="Yes",IF(COUNTBLANK('Capacity summary'!$H71:$BG71)&lt;52,IF('Capacity summary'!AM71&lt;&gt;"",IF(LOWER('Capacity summary'!AM71)="x",$BI159*AM159,VALUE('Capacity summary'!AM71)),0),AM159*$BI159),AM159*$BI159),0)</f>
        <v>13.846153846153847</v>
      </c>
      <c r="CQ159" s="5">
        <f ca="1">IF($BI159&lt;&gt;"",IF('Capacity summary'!$C$14="Yes",IF(COUNTBLANK('Capacity summary'!$H71:$BG71)&lt;52,IF('Capacity summary'!AN71&lt;&gt;"",IF(LOWER('Capacity summary'!AN71)="x",$BI159*AN159,VALUE('Capacity summary'!AN71)),0),AN159*$BI159),AN159*$BI159),0)</f>
        <v>13.846153846153847</v>
      </c>
      <c r="CR159" s="5">
        <f ca="1">IF($BI159&lt;&gt;"",IF('Capacity summary'!$C$14="Yes",IF(COUNTBLANK('Capacity summary'!$H71:$BG71)&lt;52,IF('Capacity summary'!AO71&lt;&gt;"",IF(LOWER('Capacity summary'!AO71)="x",$BI159*AO159,VALUE('Capacity summary'!AO71)),0),AO159*$BI159),AO159*$BI159),0)</f>
        <v>13.846153846153847</v>
      </c>
      <c r="CS159" s="5">
        <f ca="1">IF($BI159&lt;&gt;"",IF('Capacity summary'!$C$14="Yes",IF(COUNTBLANK('Capacity summary'!$H71:$BG71)&lt;52,IF('Capacity summary'!AP71&lt;&gt;"",IF(LOWER('Capacity summary'!AP71)="x",$BI159*AP159,VALUE('Capacity summary'!AP71)),0),AP159*$BI159),AP159*$BI159),0)</f>
        <v>13.846153846153847</v>
      </c>
      <c r="CT159" s="5">
        <f ca="1">IF($BI159&lt;&gt;"",IF('Capacity summary'!$C$14="Yes",IF(COUNTBLANK('Capacity summary'!$H71:$BG71)&lt;52,IF('Capacity summary'!AQ71&lt;&gt;"",IF(LOWER('Capacity summary'!AQ71)="x",$BI159*AQ159,VALUE('Capacity summary'!AQ71)),0),AQ159*$BI159),AQ159*$BI159),0)</f>
        <v>13.846153846153847</v>
      </c>
      <c r="CU159" s="5">
        <f ca="1">IF($BI159&lt;&gt;"",IF('Capacity summary'!$C$14="Yes",IF(COUNTBLANK('Capacity summary'!$H71:$BG71)&lt;52,IF('Capacity summary'!AR71&lt;&gt;"",IF(LOWER('Capacity summary'!AR71)="x",$BI159*AR159,VALUE('Capacity summary'!AR71)),0),AR159*$BI159),AR159*$BI159),0)</f>
        <v>13.846153846153847</v>
      </c>
      <c r="CV159" s="5">
        <f ca="1">IF($BI159&lt;&gt;"",IF('Capacity summary'!$C$14="Yes",IF(COUNTBLANK('Capacity summary'!$H71:$BG71)&lt;52,IF('Capacity summary'!AS71&lt;&gt;"",IF(LOWER('Capacity summary'!AS71)="x",$BI159*AS159,VALUE('Capacity summary'!AS71)),0),AS159*$BI159),AS159*$BI159),0)</f>
        <v>13.846153846153847</v>
      </c>
      <c r="CW159" s="5">
        <f ca="1">IF($BI159&lt;&gt;"",IF('Capacity summary'!$C$14="Yes",IF(COUNTBLANK('Capacity summary'!$H71:$BG71)&lt;52,IF('Capacity summary'!AT71&lt;&gt;"",IF(LOWER('Capacity summary'!AT71)="x",$BI159*AT159,VALUE('Capacity summary'!AT71)),0),AT159*$BI159),AT159*$BI159),0)</f>
        <v>13.846153846153847</v>
      </c>
      <c r="CX159" s="5">
        <f ca="1">IF($BI159&lt;&gt;"",IF('Capacity summary'!$C$14="Yes",IF(COUNTBLANK('Capacity summary'!$H71:$BG71)&lt;52,IF('Capacity summary'!AU71&lt;&gt;"",IF(LOWER('Capacity summary'!AU71)="x",$BI159*AU159,VALUE('Capacity summary'!AU71)),0),AU159*$BI159),AU159*$BI159),0)</f>
        <v>13.846153846153847</v>
      </c>
      <c r="CY159" s="5">
        <f ca="1">IF($BI159&lt;&gt;"",IF('Capacity summary'!$C$14="Yes",IF(COUNTBLANK('Capacity summary'!$H71:$BG71)&lt;52,IF('Capacity summary'!AV71&lt;&gt;"",IF(LOWER('Capacity summary'!AV71)="x",$BI159*AV159,VALUE('Capacity summary'!AV71)),0),AV159*$BI159),AV159*$BI159),0)</f>
        <v>13.846153846153847</v>
      </c>
      <c r="CZ159" s="5">
        <f ca="1">IF($BI159&lt;&gt;"",IF('Capacity summary'!$C$14="Yes",IF(COUNTBLANK('Capacity summary'!$H71:$BG71)&lt;52,IF('Capacity summary'!AW71&lt;&gt;"",IF(LOWER('Capacity summary'!AW71)="x",$BI159*AW159,VALUE('Capacity summary'!AW71)),0),AW159*$BI159),AW159*$BI159),0)</f>
        <v>13.846153846153847</v>
      </c>
      <c r="DA159" s="5">
        <f ca="1">IF($BI159&lt;&gt;"",IF('Capacity summary'!$C$14="Yes",IF(COUNTBLANK('Capacity summary'!$H71:$BG71)&lt;52,IF('Capacity summary'!AX71&lt;&gt;"",IF(LOWER('Capacity summary'!AX71)="x",$BI159*AX159,VALUE('Capacity summary'!AX71)),0),AX159*$BI159),AX159*$BI159),0)</f>
        <v>13.846153846153847</v>
      </c>
      <c r="DB159" s="5">
        <f ca="1">IF($BI159&lt;&gt;"",IF('Capacity summary'!$C$14="Yes",IF(COUNTBLANK('Capacity summary'!$H71:$BG71)&lt;52,IF('Capacity summary'!AY71&lt;&gt;"",IF(LOWER('Capacity summary'!AY71)="x",$BI159*AY159,VALUE('Capacity summary'!AY71)),0),AY159*$BI159),AY159*$BI159),0)</f>
        <v>13.846153846153847</v>
      </c>
      <c r="DC159" s="5">
        <f ca="1">IF($BI159&lt;&gt;"",IF('Capacity summary'!$C$14="Yes",IF(COUNTBLANK('Capacity summary'!$H71:$BG71)&lt;52,IF('Capacity summary'!AZ71&lt;&gt;"",IF(LOWER('Capacity summary'!AZ71)="x",$BI159*AZ159,VALUE('Capacity summary'!AZ71)),0),AZ159*$BI159),AZ159*$BI159),0)</f>
        <v>13.846153846153847</v>
      </c>
      <c r="DD159" s="5">
        <f ca="1">IF($BI159&lt;&gt;"",IF('Capacity summary'!$C$14="Yes",IF(COUNTBLANK('Capacity summary'!$H71:$BG71)&lt;52,IF('Capacity summary'!BA71&lt;&gt;"",IF(LOWER('Capacity summary'!BA71)="x",$BI159*BA159,VALUE('Capacity summary'!BA71)),0),BA159*$BI159),BA159*$BI159),0)</f>
        <v>13.846153846153847</v>
      </c>
      <c r="DE159" s="5">
        <f ca="1">IF($BI159&lt;&gt;"",IF('Capacity summary'!$C$14="Yes",IF(COUNTBLANK('Capacity summary'!$H71:$BG71)&lt;52,IF('Capacity summary'!BB71&lt;&gt;"",IF(LOWER('Capacity summary'!BB71)="x",$BI159*BB159,VALUE('Capacity summary'!BB71)),0),BB159*$BI159),BB159*$BI159),0)</f>
        <v>13.846153846153847</v>
      </c>
      <c r="DF159" s="5">
        <f ca="1">IF($BI159&lt;&gt;"",IF('Capacity summary'!$C$14="Yes",IF(COUNTBLANK('Capacity summary'!$H71:$BG71)&lt;52,IF('Capacity summary'!BC71&lt;&gt;"",IF(LOWER('Capacity summary'!BC71)="x",$BI159*BC159,VALUE('Capacity summary'!BC71)),0),BC159*$BI159),BC159*$BI159),0)</f>
        <v>13.846153846153847</v>
      </c>
      <c r="DG159" s="5">
        <f ca="1">IF($BI159&lt;&gt;"",IF('Capacity summary'!$C$14="Yes",IF(COUNTBLANK('Capacity summary'!$H71:$BG71)&lt;52,IF('Capacity summary'!BD71&lt;&gt;"",IF(LOWER('Capacity summary'!BD71)="x",$BI159*BD159,VALUE('Capacity summary'!BD71)),0),BD159*$BI159),BD159*$BI159),0)</f>
        <v>13.846153846153847</v>
      </c>
      <c r="DH159" s="5">
        <f ca="1">IF($BI159&lt;&gt;"",IF('Capacity summary'!$C$14="Yes",IF(COUNTBLANK('Capacity summary'!$H71:$BG71)&lt;52,IF('Capacity summary'!BE71&lt;&gt;"",IF(LOWER('Capacity summary'!BE71)="x",$BI159*BE159,VALUE('Capacity summary'!BE71)),0),BE159*$BI159),BE159*$BI159),0)</f>
        <v>13.846153846153847</v>
      </c>
      <c r="DI159" s="5">
        <f ca="1">IF($BI159&lt;&gt;"",IF('Capacity summary'!$C$14="Yes",IF(COUNTBLANK('Capacity summary'!$H71:$BG71)&lt;52,IF('Capacity summary'!BF71&lt;&gt;"",IF(LOWER('Capacity summary'!BF71)="x",$BI159*BF159,VALUE('Capacity summary'!BF71)),0),BF159*$BI159),BF159*$BI159),0)</f>
        <v>13.846153846153847</v>
      </c>
      <c r="DJ159" s="5">
        <f ca="1">IF($BI159&lt;&gt;"",IF('Capacity summary'!$C$14="Yes",IF(COUNTBLANK('Capacity summary'!$H71:$BG71)&lt;52,IF('Capacity summary'!BG71&lt;&gt;"",IF(LOWER('Capacity summary'!BG71)="x",$BI159*BG159,VALUE('Capacity summary'!BG71)),0),BG159*$BI159),BG159*$BI159),0)</f>
        <v>13.846153846153847</v>
      </c>
      <c r="DK159" s="388">
        <f t="shared" ca="1" si="8"/>
        <v>13.846153846153847</v>
      </c>
      <c r="DL159" s="5">
        <f t="shared" ca="1" si="9"/>
        <v>719.99999999999977</v>
      </c>
    </row>
    <row r="160" spans="3:116" x14ac:dyDescent="0.2">
      <c r="C160" s="67" t="str">
        <f>ROW(A49)&amp;". "&amp;Capacity!N65</f>
        <v>49. 44425</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 ca="1">IF(ROW(A49)&lt;=Capacity!$M$16,IF('Capacity summary'!$C$14="No",SUM(H160:BG160),'Capacity summary'!$E72),0)</f>
        <v>52</v>
      </c>
      <c r="BI160" s="67">
        <f ca="1">IF(BH160&gt;0,IF(BH160&lt;Capacity!Q65,Capacity!R65,Capacity!T65/'Capacity calculation (hide)'!BH160),"")</f>
        <v>4.0384615384615383</v>
      </c>
      <c r="BJ160" s="5"/>
      <c r="BK160" s="5">
        <f ca="1">IF($BI160&lt;&gt;"",IF('Capacity summary'!$C$14="Yes",IF(COUNTBLANK('Capacity summary'!$H72:$BG72)&lt;52,IF('Capacity summary'!H72&lt;&gt;"",IF(LOWER('Capacity summary'!H72)="x",$BI160*H160,VALUE('Capacity summary'!H72)),0),H160*$BI160),H160*$BI160),0)</f>
        <v>4.0384615384615383</v>
      </c>
      <c r="BL160" s="5">
        <f ca="1">IF($BI160&lt;&gt;"",IF('Capacity summary'!$C$14="Yes",IF(COUNTBLANK('Capacity summary'!$H72:$BG72)&lt;52,IF('Capacity summary'!I72&lt;&gt;"",IF(LOWER('Capacity summary'!I72)="x",$BI160*I160,VALUE('Capacity summary'!I72)),0),I160*$BI160),I160*$BI160),0)</f>
        <v>4.0384615384615383</v>
      </c>
      <c r="BM160" s="5">
        <f ca="1">IF($BI160&lt;&gt;"",IF('Capacity summary'!$C$14="Yes",IF(COUNTBLANK('Capacity summary'!$H72:$BG72)&lt;52,IF('Capacity summary'!J72&lt;&gt;"",IF(LOWER('Capacity summary'!J72)="x",$BI160*J160,VALUE('Capacity summary'!J72)),0),J160*$BI160),J160*$BI160),0)</f>
        <v>4.0384615384615383</v>
      </c>
      <c r="BN160" s="5">
        <f ca="1">IF($BI160&lt;&gt;"",IF('Capacity summary'!$C$14="Yes",IF(COUNTBLANK('Capacity summary'!$H72:$BG72)&lt;52,IF('Capacity summary'!K72&lt;&gt;"",IF(LOWER('Capacity summary'!K72)="x",$BI160*K160,VALUE('Capacity summary'!K72)),0),K160*$BI160),K160*$BI160),0)</f>
        <v>4.0384615384615383</v>
      </c>
      <c r="BO160" s="5">
        <f ca="1">IF($BI160&lt;&gt;"",IF('Capacity summary'!$C$14="Yes",IF(COUNTBLANK('Capacity summary'!$H72:$BG72)&lt;52,IF('Capacity summary'!L72&lt;&gt;"",IF(LOWER('Capacity summary'!L72)="x",$BI160*L160,VALUE('Capacity summary'!L72)),0),L160*$BI160),L160*$BI160),0)</f>
        <v>4.0384615384615383</v>
      </c>
      <c r="BP160" s="5">
        <f ca="1">IF($BI160&lt;&gt;"",IF('Capacity summary'!$C$14="Yes",IF(COUNTBLANK('Capacity summary'!$H72:$BG72)&lt;52,IF('Capacity summary'!M72&lt;&gt;"",IF(LOWER('Capacity summary'!M72)="x",$BI160*M160,VALUE('Capacity summary'!M72)),0),M160*$BI160),M160*$BI160),0)</f>
        <v>4.0384615384615383</v>
      </c>
      <c r="BQ160" s="5">
        <f ca="1">IF($BI160&lt;&gt;"",IF('Capacity summary'!$C$14="Yes",IF(COUNTBLANK('Capacity summary'!$H72:$BG72)&lt;52,IF('Capacity summary'!N72&lt;&gt;"",IF(LOWER('Capacity summary'!N72)="x",$BI160*N160,VALUE('Capacity summary'!N72)),0),N160*$BI160),N160*$BI160),0)</f>
        <v>4.0384615384615383</v>
      </c>
      <c r="BR160" s="5">
        <f ca="1">IF($BI160&lt;&gt;"",IF('Capacity summary'!$C$14="Yes",IF(COUNTBLANK('Capacity summary'!$H72:$BG72)&lt;52,IF('Capacity summary'!O72&lt;&gt;"",IF(LOWER('Capacity summary'!O72)="x",$BI160*O160,VALUE('Capacity summary'!O72)),0),O160*$BI160),O160*$BI160),0)</f>
        <v>4.0384615384615383</v>
      </c>
      <c r="BS160" s="5">
        <f ca="1">IF($BI160&lt;&gt;"",IF('Capacity summary'!$C$14="Yes",IF(COUNTBLANK('Capacity summary'!$H72:$BG72)&lt;52,IF('Capacity summary'!P72&lt;&gt;"",IF(LOWER('Capacity summary'!P72)="x",$BI160*P160,VALUE('Capacity summary'!P72)),0),P160*$BI160),P160*$BI160),0)</f>
        <v>4.0384615384615383</v>
      </c>
      <c r="BT160" s="5">
        <f ca="1">IF($BI160&lt;&gt;"",IF('Capacity summary'!$C$14="Yes",IF(COUNTBLANK('Capacity summary'!$H72:$BG72)&lt;52,IF('Capacity summary'!Q72&lt;&gt;"",IF(LOWER('Capacity summary'!Q72)="x",$BI160*Q160,VALUE('Capacity summary'!Q72)),0),Q160*$BI160),Q160*$BI160),0)</f>
        <v>4.0384615384615383</v>
      </c>
      <c r="BU160" s="5">
        <f ca="1">IF($BI160&lt;&gt;"",IF('Capacity summary'!$C$14="Yes",IF(COUNTBLANK('Capacity summary'!$H72:$BG72)&lt;52,IF('Capacity summary'!R72&lt;&gt;"",IF(LOWER('Capacity summary'!R72)="x",$BI160*R160,VALUE('Capacity summary'!R72)),0),R160*$BI160),R160*$BI160),0)</f>
        <v>4.0384615384615383</v>
      </c>
      <c r="BV160" s="5">
        <f ca="1">IF($BI160&lt;&gt;"",IF('Capacity summary'!$C$14="Yes",IF(COUNTBLANK('Capacity summary'!$H72:$BG72)&lt;52,IF('Capacity summary'!S72&lt;&gt;"",IF(LOWER('Capacity summary'!S72)="x",$BI160*S160,VALUE('Capacity summary'!S72)),0),S160*$BI160),S160*$BI160),0)</f>
        <v>4.0384615384615383</v>
      </c>
      <c r="BW160" s="5">
        <f ca="1">IF($BI160&lt;&gt;"",IF('Capacity summary'!$C$14="Yes",IF(COUNTBLANK('Capacity summary'!$H72:$BG72)&lt;52,IF('Capacity summary'!T72&lt;&gt;"",IF(LOWER('Capacity summary'!T72)="x",$BI160*T160,VALUE('Capacity summary'!T72)),0),T160*$BI160),T160*$BI160),0)</f>
        <v>4.0384615384615383</v>
      </c>
      <c r="BX160" s="5">
        <f ca="1">IF($BI160&lt;&gt;"",IF('Capacity summary'!$C$14="Yes",IF(COUNTBLANK('Capacity summary'!$H72:$BG72)&lt;52,IF('Capacity summary'!U72&lt;&gt;"",IF(LOWER('Capacity summary'!U72)="x",$BI160*U160,VALUE('Capacity summary'!U72)),0),U160*$BI160),U160*$BI160),0)</f>
        <v>4.0384615384615383</v>
      </c>
      <c r="BY160" s="5">
        <f ca="1">IF($BI160&lt;&gt;"",IF('Capacity summary'!$C$14="Yes",IF(COUNTBLANK('Capacity summary'!$H72:$BG72)&lt;52,IF('Capacity summary'!V72&lt;&gt;"",IF(LOWER('Capacity summary'!V72)="x",$BI160*V160,VALUE('Capacity summary'!V72)),0),V160*$BI160),V160*$BI160),0)</f>
        <v>4.0384615384615383</v>
      </c>
      <c r="BZ160" s="5">
        <f ca="1">IF($BI160&lt;&gt;"",IF('Capacity summary'!$C$14="Yes",IF(COUNTBLANK('Capacity summary'!$H72:$BG72)&lt;52,IF('Capacity summary'!W72&lt;&gt;"",IF(LOWER('Capacity summary'!W72)="x",$BI160*W160,VALUE('Capacity summary'!W72)),0),W160*$BI160),W160*$BI160),0)</f>
        <v>4.0384615384615383</v>
      </c>
      <c r="CA160" s="5">
        <f ca="1">IF($BI160&lt;&gt;"",IF('Capacity summary'!$C$14="Yes",IF(COUNTBLANK('Capacity summary'!$H72:$BG72)&lt;52,IF('Capacity summary'!X72&lt;&gt;"",IF(LOWER('Capacity summary'!X72)="x",$BI160*X160,VALUE('Capacity summary'!X72)),0),X160*$BI160),X160*$BI160),0)</f>
        <v>4.0384615384615383</v>
      </c>
      <c r="CB160" s="5">
        <f ca="1">IF($BI160&lt;&gt;"",IF('Capacity summary'!$C$14="Yes",IF(COUNTBLANK('Capacity summary'!$H72:$BG72)&lt;52,IF('Capacity summary'!Y72&lt;&gt;"",IF(LOWER('Capacity summary'!Y72)="x",$BI160*Y160,VALUE('Capacity summary'!Y72)),0),Y160*$BI160),Y160*$BI160),0)</f>
        <v>4.0384615384615383</v>
      </c>
      <c r="CC160" s="5">
        <f ca="1">IF($BI160&lt;&gt;"",IF('Capacity summary'!$C$14="Yes",IF(COUNTBLANK('Capacity summary'!$H72:$BG72)&lt;52,IF('Capacity summary'!Z72&lt;&gt;"",IF(LOWER('Capacity summary'!Z72)="x",$BI160*Z160,VALUE('Capacity summary'!Z72)),0),Z160*$BI160),Z160*$BI160),0)</f>
        <v>4.0384615384615383</v>
      </c>
      <c r="CD160" s="5">
        <f ca="1">IF($BI160&lt;&gt;"",IF('Capacity summary'!$C$14="Yes",IF(COUNTBLANK('Capacity summary'!$H72:$BG72)&lt;52,IF('Capacity summary'!AA72&lt;&gt;"",IF(LOWER('Capacity summary'!AA72)="x",$BI160*AA160,VALUE('Capacity summary'!AA72)),0),AA160*$BI160),AA160*$BI160),0)</f>
        <v>4.0384615384615383</v>
      </c>
      <c r="CE160" s="5">
        <f ca="1">IF($BI160&lt;&gt;"",IF('Capacity summary'!$C$14="Yes",IF(COUNTBLANK('Capacity summary'!$H72:$BG72)&lt;52,IF('Capacity summary'!AB72&lt;&gt;"",IF(LOWER('Capacity summary'!AB72)="x",$BI160*AB160,VALUE('Capacity summary'!AB72)),0),AB160*$BI160),AB160*$BI160),0)</f>
        <v>4.0384615384615383</v>
      </c>
      <c r="CF160" s="5">
        <f ca="1">IF($BI160&lt;&gt;"",IF('Capacity summary'!$C$14="Yes",IF(COUNTBLANK('Capacity summary'!$H72:$BG72)&lt;52,IF('Capacity summary'!AC72&lt;&gt;"",IF(LOWER('Capacity summary'!AC72)="x",$BI160*AC160,VALUE('Capacity summary'!AC72)),0),AC160*$BI160),AC160*$BI160),0)</f>
        <v>4.0384615384615383</v>
      </c>
      <c r="CG160" s="5">
        <f ca="1">IF($BI160&lt;&gt;"",IF('Capacity summary'!$C$14="Yes",IF(COUNTBLANK('Capacity summary'!$H72:$BG72)&lt;52,IF('Capacity summary'!AD72&lt;&gt;"",IF(LOWER('Capacity summary'!AD72)="x",$BI160*AD160,VALUE('Capacity summary'!AD72)),0),AD160*$BI160),AD160*$BI160),0)</f>
        <v>4.0384615384615383</v>
      </c>
      <c r="CH160" s="5">
        <f ca="1">IF($BI160&lt;&gt;"",IF('Capacity summary'!$C$14="Yes",IF(COUNTBLANK('Capacity summary'!$H72:$BG72)&lt;52,IF('Capacity summary'!AE72&lt;&gt;"",IF(LOWER('Capacity summary'!AE72)="x",$BI160*AE160,VALUE('Capacity summary'!AE72)),0),AE160*$BI160),AE160*$BI160),0)</f>
        <v>4.0384615384615383</v>
      </c>
      <c r="CI160" s="5">
        <f ca="1">IF($BI160&lt;&gt;"",IF('Capacity summary'!$C$14="Yes",IF(COUNTBLANK('Capacity summary'!$H72:$BG72)&lt;52,IF('Capacity summary'!AF72&lt;&gt;"",IF(LOWER('Capacity summary'!AF72)="x",$BI160*AF160,VALUE('Capacity summary'!AF72)),0),AF160*$BI160),AF160*$BI160),0)</f>
        <v>4.0384615384615383</v>
      </c>
      <c r="CJ160" s="5">
        <f ca="1">IF($BI160&lt;&gt;"",IF('Capacity summary'!$C$14="Yes",IF(COUNTBLANK('Capacity summary'!$H72:$BG72)&lt;52,IF('Capacity summary'!AG72&lt;&gt;"",IF(LOWER('Capacity summary'!AG72)="x",$BI160*AG160,VALUE('Capacity summary'!AG72)),0),AG160*$BI160),AG160*$BI160),0)</f>
        <v>4.0384615384615383</v>
      </c>
      <c r="CK160" s="5">
        <f ca="1">IF($BI160&lt;&gt;"",IF('Capacity summary'!$C$14="Yes",IF(COUNTBLANK('Capacity summary'!$H72:$BG72)&lt;52,IF('Capacity summary'!AH72&lt;&gt;"",IF(LOWER('Capacity summary'!AH72)="x",$BI160*AH160,VALUE('Capacity summary'!AH72)),0),AH160*$BI160),AH160*$BI160),0)</f>
        <v>4.0384615384615383</v>
      </c>
      <c r="CL160" s="5">
        <f ca="1">IF($BI160&lt;&gt;"",IF('Capacity summary'!$C$14="Yes",IF(COUNTBLANK('Capacity summary'!$H72:$BG72)&lt;52,IF('Capacity summary'!AI72&lt;&gt;"",IF(LOWER('Capacity summary'!AI72)="x",$BI160*AI160,VALUE('Capacity summary'!AI72)),0),AI160*$BI160),AI160*$BI160),0)</f>
        <v>4.0384615384615383</v>
      </c>
      <c r="CM160" s="5">
        <f ca="1">IF($BI160&lt;&gt;"",IF('Capacity summary'!$C$14="Yes",IF(COUNTBLANK('Capacity summary'!$H72:$BG72)&lt;52,IF('Capacity summary'!AJ72&lt;&gt;"",IF(LOWER('Capacity summary'!AJ72)="x",$BI160*AJ160,VALUE('Capacity summary'!AJ72)),0),AJ160*$BI160),AJ160*$BI160),0)</f>
        <v>4.0384615384615383</v>
      </c>
      <c r="CN160" s="5">
        <f ca="1">IF($BI160&lt;&gt;"",IF('Capacity summary'!$C$14="Yes",IF(COUNTBLANK('Capacity summary'!$H72:$BG72)&lt;52,IF('Capacity summary'!AK72&lt;&gt;"",IF(LOWER('Capacity summary'!AK72)="x",$BI160*AK160,VALUE('Capacity summary'!AK72)),0),AK160*$BI160),AK160*$BI160),0)</f>
        <v>4.0384615384615383</v>
      </c>
      <c r="CO160" s="5">
        <f ca="1">IF($BI160&lt;&gt;"",IF('Capacity summary'!$C$14="Yes",IF(COUNTBLANK('Capacity summary'!$H72:$BG72)&lt;52,IF('Capacity summary'!AL72&lt;&gt;"",IF(LOWER('Capacity summary'!AL72)="x",$BI160*AL160,VALUE('Capacity summary'!AL72)),0),AL160*$BI160),AL160*$BI160),0)</f>
        <v>4.0384615384615383</v>
      </c>
      <c r="CP160" s="5">
        <f ca="1">IF($BI160&lt;&gt;"",IF('Capacity summary'!$C$14="Yes",IF(COUNTBLANK('Capacity summary'!$H72:$BG72)&lt;52,IF('Capacity summary'!AM72&lt;&gt;"",IF(LOWER('Capacity summary'!AM72)="x",$BI160*AM160,VALUE('Capacity summary'!AM72)),0),AM160*$BI160),AM160*$BI160),0)</f>
        <v>4.0384615384615383</v>
      </c>
      <c r="CQ160" s="5">
        <f ca="1">IF($BI160&lt;&gt;"",IF('Capacity summary'!$C$14="Yes",IF(COUNTBLANK('Capacity summary'!$H72:$BG72)&lt;52,IF('Capacity summary'!AN72&lt;&gt;"",IF(LOWER('Capacity summary'!AN72)="x",$BI160*AN160,VALUE('Capacity summary'!AN72)),0),AN160*$BI160),AN160*$BI160),0)</f>
        <v>4.0384615384615383</v>
      </c>
      <c r="CR160" s="5">
        <f ca="1">IF($BI160&lt;&gt;"",IF('Capacity summary'!$C$14="Yes",IF(COUNTBLANK('Capacity summary'!$H72:$BG72)&lt;52,IF('Capacity summary'!AO72&lt;&gt;"",IF(LOWER('Capacity summary'!AO72)="x",$BI160*AO160,VALUE('Capacity summary'!AO72)),0),AO160*$BI160),AO160*$BI160),0)</f>
        <v>4.0384615384615383</v>
      </c>
      <c r="CS160" s="5">
        <f ca="1">IF($BI160&lt;&gt;"",IF('Capacity summary'!$C$14="Yes",IF(COUNTBLANK('Capacity summary'!$H72:$BG72)&lt;52,IF('Capacity summary'!AP72&lt;&gt;"",IF(LOWER('Capacity summary'!AP72)="x",$BI160*AP160,VALUE('Capacity summary'!AP72)),0),AP160*$BI160),AP160*$BI160),0)</f>
        <v>4.0384615384615383</v>
      </c>
      <c r="CT160" s="5">
        <f ca="1">IF($BI160&lt;&gt;"",IF('Capacity summary'!$C$14="Yes",IF(COUNTBLANK('Capacity summary'!$H72:$BG72)&lt;52,IF('Capacity summary'!AQ72&lt;&gt;"",IF(LOWER('Capacity summary'!AQ72)="x",$BI160*AQ160,VALUE('Capacity summary'!AQ72)),0),AQ160*$BI160),AQ160*$BI160),0)</f>
        <v>4.0384615384615383</v>
      </c>
      <c r="CU160" s="5">
        <f ca="1">IF($BI160&lt;&gt;"",IF('Capacity summary'!$C$14="Yes",IF(COUNTBLANK('Capacity summary'!$H72:$BG72)&lt;52,IF('Capacity summary'!AR72&lt;&gt;"",IF(LOWER('Capacity summary'!AR72)="x",$BI160*AR160,VALUE('Capacity summary'!AR72)),0),AR160*$BI160),AR160*$BI160),0)</f>
        <v>4.0384615384615383</v>
      </c>
      <c r="CV160" s="5">
        <f ca="1">IF($BI160&lt;&gt;"",IF('Capacity summary'!$C$14="Yes",IF(COUNTBLANK('Capacity summary'!$H72:$BG72)&lt;52,IF('Capacity summary'!AS72&lt;&gt;"",IF(LOWER('Capacity summary'!AS72)="x",$BI160*AS160,VALUE('Capacity summary'!AS72)),0),AS160*$BI160),AS160*$BI160),0)</f>
        <v>4.0384615384615383</v>
      </c>
      <c r="CW160" s="5">
        <f ca="1">IF($BI160&lt;&gt;"",IF('Capacity summary'!$C$14="Yes",IF(COUNTBLANK('Capacity summary'!$H72:$BG72)&lt;52,IF('Capacity summary'!AT72&lt;&gt;"",IF(LOWER('Capacity summary'!AT72)="x",$BI160*AT160,VALUE('Capacity summary'!AT72)),0),AT160*$BI160),AT160*$BI160),0)</f>
        <v>4.0384615384615383</v>
      </c>
      <c r="CX160" s="5">
        <f ca="1">IF($BI160&lt;&gt;"",IF('Capacity summary'!$C$14="Yes",IF(COUNTBLANK('Capacity summary'!$H72:$BG72)&lt;52,IF('Capacity summary'!AU72&lt;&gt;"",IF(LOWER('Capacity summary'!AU72)="x",$BI160*AU160,VALUE('Capacity summary'!AU72)),0),AU160*$BI160),AU160*$BI160),0)</f>
        <v>4.0384615384615383</v>
      </c>
      <c r="CY160" s="5">
        <f ca="1">IF($BI160&lt;&gt;"",IF('Capacity summary'!$C$14="Yes",IF(COUNTBLANK('Capacity summary'!$H72:$BG72)&lt;52,IF('Capacity summary'!AV72&lt;&gt;"",IF(LOWER('Capacity summary'!AV72)="x",$BI160*AV160,VALUE('Capacity summary'!AV72)),0),AV160*$BI160),AV160*$BI160),0)</f>
        <v>4.0384615384615383</v>
      </c>
      <c r="CZ160" s="5">
        <f ca="1">IF($BI160&lt;&gt;"",IF('Capacity summary'!$C$14="Yes",IF(COUNTBLANK('Capacity summary'!$H72:$BG72)&lt;52,IF('Capacity summary'!AW72&lt;&gt;"",IF(LOWER('Capacity summary'!AW72)="x",$BI160*AW160,VALUE('Capacity summary'!AW72)),0),AW160*$BI160),AW160*$BI160),0)</f>
        <v>4.0384615384615383</v>
      </c>
      <c r="DA160" s="5">
        <f ca="1">IF($BI160&lt;&gt;"",IF('Capacity summary'!$C$14="Yes",IF(COUNTBLANK('Capacity summary'!$H72:$BG72)&lt;52,IF('Capacity summary'!AX72&lt;&gt;"",IF(LOWER('Capacity summary'!AX72)="x",$BI160*AX160,VALUE('Capacity summary'!AX72)),0),AX160*$BI160),AX160*$BI160),0)</f>
        <v>4.0384615384615383</v>
      </c>
      <c r="DB160" s="5">
        <f ca="1">IF($BI160&lt;&gt;"",IF('Capacity summary'!$C$14="Yes",IF(COUNTBLANK('Capacity summary'!$H72:$BG72)&lt;52,IF('Capacity summary'!AY72&lt;&gt;"",IF(LOWER('Capacity summary'!AY72)="x",$BI160*AY160,VALUE('Capacity summary'!AY72)),0),AY160*$BI160),AY160*$BI160),0)</f>
        <v>4.0384615384615383</v>
      </c>
      <c r="DC160" s="5">
        <f ca="1">IF($BI160&lt;&gt;"",IF('Capacity summary'!$C$14="Yes",IF(COUNTBLANK('Capacity summary'!$H72:$BG72)&lt;52,IF('Capacity summary'!AZ72&lt;&gt;"",IF(LOWER('Capacity summary'!AZ72)="x",$BI160*AZ160,VALUE('Capacity summary'!AZ72)),0),AZ160*$BI160),AZ160*$BI160),0)</f>
        <v>4.0384615384615383</v>
      </c>
      <c r="DD160" s="5">
        <f ca="1">IF($BI160&lt;&gt;"",IF('Capacity summary'!$C$14="Yes",IF(COUNTBLANK('Capacity summary'!$H72:$BG72)&lt;52,IF('Capacity summary'!BA72&lt;&gt;"",IF(LOWER('Capacity summary'!BA72)="x",$BI160*BA160,VALUE('Capacity summary'!BA72)),0),BA160*$BI160),BA160*$BI160),0)</f>
        <v>4.0384615384615383</v>
      </c>
      <c r="DE160" s="5">
        <f ca="1">IF($BI160&lt;&gt;"",IF('Capacity summary'!$C$14="Yes",IF(COUNTBLANK('Capacity summary'!$H72:$BG72)&lt;52,IF('Capacity summary'!BB72&lt;&gt;"",IF(LOWER('Capacity summary'!BB72)="x",$BI160*BB160,VALUE('Capacity summary'!BB72)),0),BB160*$BI160),BB160*$BI160),0)</f>
        <v>4.0384615384615383</v>
      </c>
      <c r="DF160" s="5">
        <f ca="1">IF($BI160&lt;&gt;"",IF('Capacity summary'!$C$14="Yes",IF(COUNTBLANK('Capacity summary'!$H72:$BG72)&lt;52,IF('Capacity summary'!BC72&lt;&gt;"",IF(LOWER('Capacity summary'!BC72)="x",$BI160*BC160,VALUE('Capacity summary'!BC72)),0),BC160*$BI160),BC160*$BI160),0)</f>
        <v>4.0384615384615383</v>
      </c>
      <c r="DG160" s="5">
        <f ca="1">IF($BI160&lt;&gt;"",IF('Capacity summary'!$C$14="Yes",IF(COUNTBLANK('Capacity summary'!$H72:$BG72)&lt;52,IF('Capacity summary'!BD72&lt;&gt;"",IF(LOWER('Capacity summary'!BD72)="x",$BI160*BD160,VALUE('Capacity summary'!BD72)),0),BD160*$BI160),BD160*$BI160),0)</f>
        <v>4.0384615384615383</v>
      </c>
      <c r="DH160" s="5">
        <f ca="1">IF($BI160&lt;&gt;"",IF('Capacity summary'!$C$14="Yes",IF(COUNTBLANK('Capacity summary'!$H72:$BG72)&lt;52,IF('Capacity summary'!BE72&lt;&gt;"",IF(LOWER('Capacity summary'!BE72)="x",$BI160*BE160,VALUE('Capacity summary'!BE72)),0),BE160*$BI160),BE160*$BI160),0)</f>
        <v>4.0384615384615383</v>
      </c>
      <c r="DI160" s="5">
        <f ca="1">IF($BI160&lt;&gt;"",IF('Capacity summary'!$C$14="Yes",IF(COUNTBLANK('Capacity summary'!$H72:$BG72)&lt;52,IF('Capacity summary'!BF72&lt;&gt;"",IF(LOWER('Capacity summary'!BF72)="x",$BI160*BF160,VALUE('Capacity summary'!BF72)),0),BF160*$BI160),BF160*$BI160),0)</f>
        <v>4.0384615384615383</v>
      </c>
      <c r="DJ160" s="5">
        <f ca="1">IF($BI160&lt;&gt;"",IF('Capacity summary'!$C$14="Yes",IF(COUNTBLANK('Capacity summary'!$H72:$BG72)&lt;52,IF('Capacity summary'!BG72&lt;&gt;"",IF(LOWER('Capacity summary'!BG72)="x",$BI160*BG160,VALUE('Capacity summary'!BG72)),0),BG160*$BI160),BG160*$BI160),0)</f>
        <v>4.0384615384615383</v>
      </c>
      <c r="DK160" s="388">
        <f t="shared" ca="1" si="8"/>
        <v>4.0384615384615383</v>
      </c>
      <c r="DL160" s="5">
        <f t="shared" ca="1" si="9"/>
        <v>210.00000000000011</v>
      </c>
    </row>
    <row r="161" spans="3:116" x14ac:dyDescent="0.2">
      <c r="C161" s="67" t="str">
        <f>ROW(A50)&amp;". "&amp;Capacity!N66</f>
        <v>50. 44425</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 ca="1">IF(ROW(A50)&lt;=Capacity!$M$16,IF('Capacity summary'!$C$14="No",SUM(H161:BG161),'Capacity summary'!$E73),0)</f>
        <v>52</v>
      </c>
      <c r="BI161" s="67">
        <f ca="1">IF(BH161&gt;0,IF(BH161&lt;Capacity!Q66,Capacity!R66,Capacity!T66/'Capacity calculation (hide)'!BH161),"")</f>
        <v>12.692307692307692</v>
      </c>
      <c r="BJ161" s="5"/>
      <c r="BK161" s="5">
        <f ca="1">IF($BI161&lt;&gt;"",IF('Capacity summary'!$C$14="Yes",IF(COUNTBLANK('Capacity summary'!$H73:$BG73)&lt;52,IF('Capacity summary'!H73&lt;&gt;"",IF(LOWER('Capacity summary'!H73)="x",$BI161*H161,VALUE('Capacity summary'!H73)),0),H161*$BI161),H161*$BI161),0)</f>
        <v>12.692307692307692</v>
      </c>
      <c r="BL161" s="5">
        <f ca="1">IF($BI161&lt;&gt;"",IF('Capacity summary'!$C$14="Yes",IF(COUNTBLANK('Capacity summary'!$H73:$BG73)&lt;52,IF('Capacity summary'!I73&lt;&gt;"",IF(LOWER('Capacity summary'!I73)="x",$BI161*I161,VALUE('Capacity summary'!I73)),0),I161*$BI161),I161*$BI161),0)</f>
        <v>12.692307692307692</v>
      </c>
      <c r="BM161" s="5">
        <f ca="1">IF($BI161&lt;&gt;"",IF('Capacity summary'!$C$14="Yes",IF(COUNTBLANK('Capacity summary'!$H73:$BG73)&lt;52,IF('Capacity summary'!J73&lt;&gt;"",IF(LOWER('Capacity summary'!J73)="x",$BI161*J161,VALUE('Capacity summary'!J73)),0),J161*$BI161),J161*$BI161),0)</f>
        <v>12.692307692307692</v>
      </c>
      <c r="BN161" s="5">
        <f ca="1">IF($BI161&lt;&gt;"",IF('Capacity summary'!$C$14="Yes",IF(COUNTBLANK('Capacity summary'!$H73:$BG73)&lt;52,IF('Capacity summary'!K73&lt;&gt;"",IF(LOWER('Capacity summary'!K73)="x",$BI161*K161,VALUE('Capacity summary'!K73)),0),K161*$BI161),K161*$BI161),0)</f>
        <v>12.692307692307692</v>
      </c>
      <c r="BO161" s="5">
        <f ca="1">IF($BI161&lt;&gt;"",IF('Capacity summary'!$C$14="Yes",IF(COUNTBLANK('Capacity summary'!$H73:$BG73)&lt;52,IF('Capacity summary'!L73&lt;&gt;"",IF(LOWER('Capacity summary'!L73)="x",$BI161*L161,VALUE('Capacity summary'!L73)),0),L161*$BI161),L161*$BI161),0)</f>
        <v>12.692307692307692</v>
      </c>
      <c r="BP161" s="5">
        <f ca="1">IF($BI161&lt;&gt;"",IF('Capacity summary'!$C$14="Yes",IF(COUNTBLANK('Capacity summary'!$H73:$BG73)&lt;52,IF('Capacity summary'!M73&lt;&gt;"",IF(LOWER('Capacity summary'!M73)="x",$BI161*M161,VALUE('Capacity summary'!M73)),0),M161*$BI161),M161*$BI161),0)</f>
        <v>12.692307692307692</v>
      </c>
      <c r="BQ161" s="5">
        <f ca="1">IF($BI161&lt;&gt;"",IF('Capacity summary'!$C$14="Yes",IF(COUNTBLANK('Capacity summary'!$H73:$BG73)&lt;52,IF('Capacity summary'!N73&lt;&gt;"",IF(LOWER('Capacity summary'!N73)="x",$BI161*N161,VALUE('Capacity summary'!N73)),0),N161*$BI161),N161*$BI161),0)</f>
        <v>12.692307692307692</v>
      </c>
      <c r="BR161" s="5">
        <f ca="1">IF($BI161&lt;&gt;"",IF('Capacity summary'!$C$14="Yes",IF(COUNTBLANK('Capacity summary'!$H73:$BG73)&lt;52,IF('Capacity summary'!O73&lt;&gt;"",IF(LOWER('Capacity summary'!O73)="x",$BI161*O161,VALUE('Capacity summary'!O73)),0),O161*$BI161),O161*$BI161),0)</f>
        <v>12.692307692307692</v>
      </c>
      <c r="BS161" s="5">
        <f ca="1">IF($BI161&lt;&gt;"",IF('Capacity summary'!$C$14="Yes",IF(COUNTBLANK('Capacity summary'!$H73:$BG73)&lt;52,IF('Capacity summary'!P73&lt;&gt;"",IF(LOWER('Capacity summary'!P73)="x",$BI161*P161,VALUE('Capacity summary'!P73)),0),P161*$BI161),P161*$BI161),0)</f>
        <v>12.692307692307692</v>
      </c>
      <c r="BT161" s="5">
        <f ca="1">IF($BI161&lt;&gt;"",IF('Capacity summary'!$C$14="Yes",IF(COUNTBLANK('Capacity summary'!$H73:$BG73)&lt;52,IF('Capacity summary'!Q73&lt;&gt;"",IF(LOWER('Capacity summary'!Q73)="x",$BI161*Q161,VALUE('Capacity summary'!Q73)),0),Q161*$BI161),Q161*$BI161),0)</f>
        <v>12.692307692307692</v>
      </c>
      <c r="BU161" s="5">
        <f ca="1">IF($BI161&lt;&gt;"",IF('Capacity summary'!$C$14="Yes",IF(COUNTBLANK('Capacity summary'!$H73:$BG73)&lt;52,IF('Capacity summary'!R73&lt;&gt;"",IF(LOWER('Capacity summary'!R73)="x",$BI161*R161,VALUE('Capacity summary'!R73)),0),R161*$BI161),R161*$BI161),0)</f>
        <v>12.692307692307692</v>
      </c>
      <c r="BV161" s="5">
        <f ca="1">IF($BI161&lt;&gt;"",IF('Capacity summary'!$C$14="Yes",IF(COUNTBLANK('Capacity summary'!$H73:$BG73)&lt;52,IF('Capacity summary'!S73&lt;&gt;"",IF(LOWER('Capacity summary'!S73)="x",$BI161*S161,VALUE('Capacity summary'!S73)),0),S161*$BI161),S161*$BI161),0)</f>
        <v>12.692307692307692</v>
      </c>
      <c r="BW161" s="5">
        <f ca="1">IF($BI161&lt;&gt;"",IF('Capacity summary'!$C$14="Yes",IF(COUNTBLANK('Capacity summary'!$H73:$BG73)&lt;52,IF('Capacity summary'!T73&lt;&gt;"",IF(LOWER('Capacity summary'!T73)="x",$BI161*T161,VALUE('Capacity summary'!T73)),0),T161*$BI161),T161*$BI161),0)</f>
        <v>12.692307692307692</v>
      </c>
      <c r="BX161" s="5">
        <f ca="1">IF($BI161&lt;&gt;"",IF('Capacity summary'!$C$14="Yes",IF(COUNTBLANK('Capacity summary'!$H73:$BG73)&lt;52,IF('Capacity summary'!U73&lt;&gt;"",IF(LOWER('Capacity summary'!U73)="x",$BI161*U161,VALUE('Capacity summary'!U73)),0),U161*$BI161),U161*$BI161),0)</f>
        <v>12.692307692307692</v>
      </c>
      <c r="BY161" s="5">
        <f ca="1">IF($BI161&lt;&gt;"",IF('Capacity summary'!$C$14="Yes",IF(COUNTBLANK('Capacity summary'!$H73:$BG73)&lt;52,IF('Capacity summary'!V73&lt;&gt;"",IF(LOWER('Capacity summary'!V73)="x",$BI161*V161,VALUE('Capacity summary'!V73)),0),V161*$BI161),V161*$BI161),0)</f>
        <v>12.692307692307692</v>
      </c>
      <c r="BZ161" s="5">
        <f ca="1">IF($BI161&lt;&gt;"",IF('Capacity summary'!$C$14="Yes",IF(COUNTBLANK('Capacity summary'!$H73:$BG73)&lt;52,IF('Capacity summary'!W73&lt;&gt;"",IF(LOWER('Capacity summary'!W73)="x",$BI161*W161,VALUE('Capacity summary'!W73)),0),W161*$BI161),W161*$BI161),0)</f>
        <v>12.692307692307692</v>
      </c>
      <c r="CA161" s="5">
        <f ca="1">IF($BI161&lt;&gt;"",IF('Capacity summary'!$C$14="Yes",IF(COUNTBLANK('Capacity summary'!$H73:$BG73)&lt;52,IF('Capacity summary'!X73&lt;&gt;"",IF(LOWER('Capacity summary'!X73)="x",$BI161*X161,VALUE('Capacity summary'!X73)),0),X161*$BI161),X161*$BI161),0)</f>
        <v>12.692307692307692</v>
      </c>
      <c r="CB161" s="5">
        <f ca="1">IF($BI161&lt;&gt;"",IF('Capacity summary'!$C$14="Yes",IF(COUNTBLANK('Capacity summary'!$H73:$BG73)&lt;52,IF('Capacity summary'!Y73&lt;&gt;"",IF(LOWER('Capacity summary'!Y73)="x",$BI161*Y161,VALUE('Capacity summary'!Y73)),0),Y161*$BI161),Y161*$BI161),0)</f>
        <v>12.692307692307692</v>
      </c>
      <c r="CC161" s="5">
        <f ca="1">IF($BI161&lt;&gt;"",IF('Capacity summary'!$C$14="Yes",IF(COUNTBLANK('Capacity summary'!$H73:$BG73)&lt;52,IF('Capacity summary'!Z73&lt;&gt;"",IF(LOWER('Capacity summary'!Z73)="x",$BI161*Z161,VALUE('Capacity summary'!Z73)),0),Z161*$BI161),Z161*$BI161),0)</f>
        <v>12.692307692307692</v>
      </c>
      <c r="CD161" s="5">
        <f ca="1">IF($BI161&lt;&gt;"",IF('Capacity summary'!$C$14="Yes",IF(COUNTBLANK('Capacity summary'!$H73:$BG73)&lt;52,IF('Capacity summary'!AA73&lt;&gt;"",IF(LOWER('Capacity summary'!AA73)="x",$BI161*AA161,VALUE('Capacity summary'!AA73)),0),AA161*$BI161),AA161*$BI161),0)</f>
        <v>12.692307692307692</v>
      </c>
      <c r="CE161" s="5">
        <f ca="1">IF($BI161&lt;&gt;"",IF('Capacity summary'!$C$14="Yes",IF(COUNTBLANK('Capacity summary'!$H73:$BG73)&lt;52,IF('Capacity summary'!AB73&lt;&gt;"",IF(LOWER('Capacity summary'!AB73)="x",$BI161*AB161,VALUE('Capacity summary'!AB73)),0),AB161*$BI161),AB161*$BI161),0)</f>
        <v>12.692307692307692</v>
      </c>
      <c r="CF161" s="5">
        <f ca="1">IF($BI161&lt;&gt;"",IF('Capacity summary'!$C$14="Yes",IF(COUNTBLANK('Capacity summary'!$H73:$BG73)&lt;52,IF('Capacity summary'!AC73&lt;&gt;"",IF(LOWER('Capacity summary'!AC73)="x",$BI161*AC161,VALUE('Capacity summary'!AC73)),0),AC161*$BI161),AC161*$BI161),0)</f>
        <v>12.692307692307692</v>
      </c>
      <c r="CG161" s="5">
        <f ca="1">IF($BI161&lt;&gt;"",IF('Capacity summary'!$C$14="Yes",IF(COUNTBLANK('Capacity summary'!$H73:$BG73)&lt;52,IF('Capacity summary'!AD73&lt;&gt;"",IF(LOWER('Capacity summary'!AD73)="x",$BI161*AD161,VALUE('Capacity summary'!AD73)),0),AD161*$BI161),AD161*$BI161),0)</f>
        <v>12.692307692307692</v>
      </c>
      <c r="CH161" s="5">
        <f ca="1">IF($BI161&lt;&gt;"",IF('Capacity summary'!$C$14="Yes",IF(COUNTBLANK('Capacity summary'!$H73:$BG73)&lt;52,IF('Capacity summary'!AE73&lt;&gt;"",IF(LOWER('Capacity summary'!AE73)="x",$BI161*AE161,VALUE('Capacity summary'!AE73)),0),AE161*$BI161),AE161*$BI161),0)</f>
        <v>12.692307692307692</v>
      </c>
      <c r="CI161" s="5">
        <f ca="1">IF($BI161&lt;&gt;"",IF('Capacity summary'!$C$14="Yes",IF(COUNTBLANK('Capacity summary'!$H73:$BG73)&lt;52,IF('Capacity summary'!AF73&lt;&gt;"",IF(LOWER('Capacity summary'!AF73)="x",$BI161*AF161,VALUE('Capacity summary'!AF73)),0),AF161*$BI161),AF161*$BI161),0)</f>
        <v>12.692307692307692</v>
      </c>
      <c r="CJ161" s="5">
        <f ca="1">IF($BI161&lt;&gt;"",IF('Capacity summary'!$C$14="Yes",IF(COUNTBLANK('Capacity summary'!$H73:$BG73)&lt;52,IF('Capacity summary'!AG73&lt;&gt;"",IF(LOWER('Capacity summary'!AG73)="x",$BI161*AG161,VALUE('Capacity summary'!AG73)),0),AG161*$BI161),AG161*$BI161),0)</f>
        <v>12.692307692307692</v>
      </c>
      <c r="CK161" s="5">
        <f ca="1">IF($BI161&lt;&gt;"",IF('Capacity summary'!$C$14="Yes",IF(COUNTBLANK('Capacity summary'!$H73:$BG73)&lt;52,IF('Capacity summary'!AH73&lt;&gt;"",IF(LOWER('Capacity summary'!AH73)="x",$BI161*AH161,VALUE('Capacity summary'!AH73)),0),AH161*$BI161),AH161*$BI161),0)</f>
        <v>12.692307692307692</v>
      </c>
      <c r="CL161" s="5">
        <f ca="1">IF($BI161&lt;&gt;"",IF('Capacity summary'!$C$14="Yes",IF(COUNTBLANK('Capacity summary'!$H73:$BG73)&lt;52,IF('Capacity summary'!AI73&lt;&gt;"",IF(LOWER('Capacity summary'!AI73)="x",$BI161*AI161,VALUE('Capacity summary'!AI73)),0),AI161*$BI161),AI161*$BI161),0)</f>
        <v>12.692307692307692</v>
      </c>
      <c r="CM161" s="5">
        <f ca="1">IF($BI161&lt;&gt;"",IF('Capacity summary'!$C$14="Yes",IF(COUNTBLANK('Capacity summary'!$H73:$BG73)&lt;52,IF('Capacity summary'!AJ73&lt;&gt;"",IF(LOWER('Capacity summary'!AJ73)="x",$BI161*AJ161,VALUE('Capacity summary'!AJ73)),0),AJ161*$BI161),AJ161*$BI161),0)</f>
        <v>12.692307692307692</v>
      </c>
      <c r="CN161" s="5">
        <f ca="1">IF($BI161&lt;&gt;"",IF('Capacity summary'!$C$14="Yes",IF(COUNTBLANK('Capacity summary'!$H73:$BG73)&lt;52,IF('Capacity summary'!AK73&lt;&gt;"",IF(LOWER('Capacity summary'!AK73)="x",$BI161*AK161,VALUE('Capacity summary'!AK73)),0),AK161*$BI161),AK161*$BI161),0)</f>
        <v>12.692307692307692</v>
      </c>
      <c r="CO161" s="5">
        <f ca="1">IF($BI161&lt;&gt;"",IF('Capacity summary'!$C$14="Yes",IF(COUNTBLANK('Capacity summary'!$H73:$BG73)&lt;52,IF('Capacity summary'!AL73&lt;&gt;"",IF(LOWER('Capacity summary'!AL73)="x",$BI161*AL161,VALUE('Capacity summary'!AL73)),0),AL161*$BI161),AL161*$BI161),0)</f>
        <v>12.692307692307692</v>
      </c>
      <c r="CP161" s="5">
        <f ca="1">IF($BI161&lt;&gt;"",IF('Capacity summary'!$C$14="Yes",IF(COUNTBLANK('Capacity summary'!$H73:$BG73)&lt;52,IF('Capacity summary'!AM73&lt;&gt;"",IF(LOWER('Capacity summary'!AM73)="x",$BI161*AM161,VALUE('Capacity summary'!AM73)),0),AM161*$BI161),AM161*$BI161),0)</f>
        <v>12.692307692307692</v>
      </c>
      <c r="CQ161" s="5">
        <f ca="1">IF($BI161&lt;&gt;"",IF('Capacity summary'!$C$14="Yes",IF(COUNTBLANK('Capacity summary'!$H73:$BG73)&lt;52,IF('Capacity summary'!AN73&lt;&gt;"",IF(LOWER('Capacity summary'!AN73)="x",$BI161*AN161,VALUE('Capacity summary'!AN73)),0),AN161*$BI161),AN161*$BI161),0)</f>
        <v>12.692307692307692</v>
      </c>
      <c r="CR161" s="5">
        <f ca="1">IF($BI161&lt;&gt;"",IF('Capacity summary'!$C$14="Yes",IF(COUNTBLANK('Capacity summary'!$H73:$BG73)&lt;52,IF('Capacity summary'!AO73&lt;&gt;"",IF(LOWER('Capacity summary'!AO73)="x",$BI161*AO161,VALUE('Capacity summary'!AO73)),0),AO161*$BI161),AO161*$BI161),0)</f>
        <v>12.692307692307692</v>
      </c>
      <c r="CS161" s="5">
        <f ca="1">IF($BI161&lt;&gt;"",IF('Capacity summary'!$C$14="Yes",IF(COUNTBLANK('Capacity summary'!$H73:$BG73)&lt;52,IF('Capacity summary'!AP73&lt;&gt;"",IF(LOWER('Capacity summary'!AP73)="x",$BI161*AP161,VALUE('Capacity summary'!AP73)),0),AP161*$BI161),AP161*$BI161),0)</f>
        <v>12.692307692307692</v>
      </c>
      <c r="CT161" s="5">
        <f ca="1">IF($BI161&lt;&gt;"",IF('Capacity summary'!$C$14="Yes",IF(COUNTBLANK('Capacity summary'!$H73:$BG73)&lt;52,IF('Capacity summary'!AQ73&lt;&gt;"",IF(LOWER('Capacity summary'!AQ73)="x",$BI161*AQ161,VALUE('Capacity summary'!AQ73)),0),AQ161*$BI161),AQ161*$BI161),0)</f>
        <v>12.692307692307692</v>
      </c>
      <c r="CU161" s="5">
        <f ca="1">IF($BI161&lt;&gt;"",IF('Capacity summary'!$C$14="Yes",IF(COUNTBLANK('Capacity summary'!$H73:$BG73)&lt;52,IF('Capacity summary'!AR73&lt;&gt;"",IF(LOWER('Capacity summary'!AR73)="x",$BI161*AR161,VALUE('Capacity summary'!AR73)),0),AR161*$BI161),AR161*$BI161),0)</f>
        <v>12.692307692307692</v>
      </c>
      <c r="CV161" s="5">
        <f ca="1">IF($BI161&lt;&gt;"",IF('Capacity summary'!$C$14="Yes",IF(COUNTBLANK('Capacity summary'!$H73:$BG73)&lt;52,IF('Capacity summary'!AS73&lt;&gt;"",IF(LOWER('Capacity summary'!AS73)="x",$BI161*AS161,VALUE('Capacity summary'!AS73)),0),AS161*$BI161),AS161*$BI161),0)</f>
        <v>12.692307692307692</v>
      </c>
      <c r="CW161" s="5">
        <f ca="1">IF($BI161&lt;&gt;"",IF('Capacity summary'!$C$14="Yes",IF(COUNTBLANK('Capacity summary'!$H73:$BG73)&lt;52,IF('Capacity summary'!AT73&lt;&gt;"",IF(LOWER('Capacity summary'!AT73)="x",$BI161*AT161,VALUE('Capacity summary'!AT73)),0),AT161*$BI161),AT161*$BI161),0)</f>
        <v>12.692307692307692</v>
      </c>
      <c r="CX161" s="5">
        <f ca="1">IF($BI161&lt;&gt;"",IF('Capacity summary'!$C$14="Yes",IF(COUNTBLANK('Capacity summary'!$H73:$BG73)&lt;52,IF('Capacity summary'!AU73&lt;&gt;"",IF(LOWER('Capacity summary'!AU73)="x",$BI161*AU161,VALUE('Capacity summary'!AU73)),0),AU161*$BI161),AU161*$BI161),0)</f>
        <v>12.692307692307692</v>
      </c>
      <c r="CY161" s="5">
        <f ca="1">IF($BI161&lt;&gt;"",IF('Capacity summary'!$C$14="Yes",IF(COUNTBLANK('Capacity summary'!$H73:$BG73)&lt;52,IF('Capacity summary'!AV73&lt;&gt;"",IF(LOWER('Capacity summary'!AV73)="x",$BI161*AV161,VALUE('Capacity summary'!AV73)),0),AV161*$BI161),AV161*$BI161),0)</f>
        <v>12.692307692307692</v>
      </c>
      <c r="CZ161" s="5">
        <f ca="1">IF($BI161&lt;&gt;"",IF('Capacity summary'!$C$14="Yes",IF(COUNTBLANK('Capacity summary'!$H73:$BG73)&lt;52,IF('Capacity summary'!AW73&lt;&gt;"",IF(LOWER('Capacity summary'!AW73)="x",$BI161*AW161,VALUE('Capacity summary'!AW73)),0),AW161*$BI161),AW161*$BI161),0)</f>
        <v>12.692307692307692</v>
      </c>
      <c r="DA161" s="5">
        <f ca="1">IF($BI161&lt;&gt;"",IF('Capacity summary'!$C$14="Yes",IF(COUNTBLANK('Capacity summary'!$H73:$BG73)&lt;52,IF('Capacity summary'!AX73&lt;&gt;"",IF(LOWER('Capacity summary'!AX73)="x",$BI161*AX161,VALUE('Capacity summary'!AX73)),0),AX161*$BI161),AX161*$BI161),0)</f>
        <v>12.692307692307692</v>
      </c>
      <c r="DB161" s="5">
        <f ca="1">IF($BI161&lt;&gt;"",IF('Capacity summary'!$C$14="Yes",IF(COUNTBLANK('Capacity summary'!$H73:$BG73)&lt;52,IF('Capacity summary'!AY73&lt;&gt;"",IF(LOWER('Capacity summary'!AY73)="x",$BI161*AY161,VALUE('Capacity summary'!AY73)),0),AY161*$BI161),AY161*$BI161),0)</f>
        <v>12.692307692307692</v>
      </c>
      <c r="DC161" s="5">
        <f ca="1">IF($BI161&lt;&gt;"",IF('Capacity summary'!$C$14="Yes",IF(COUNTBLANK('Capacity summary'!$H73:$BG73)&lt;52,IF('Capacity summary'!AZ73&lt;&gt;"",IF(LOWER('Capacity summary'!AZ73)="x",$BI161*AZ161,VALUE('Capacity summary'!AZ73)),0),AZ161*$BI161),AZ161*$BI161),0)</f>
        <v>12.692307692307692</v>
      </c>
      <c r="DD161" s="5">
        <f ca="1">IF($BI161&lt;&gt;"",IF('Capacity summary'!$C$14="Yes",IF(COUNTBLANK('Capacity summary'!$H73:$BG73)&lt;52,IF('Capacity summary'!BA73&lt;&gt;"",IF(LOWER('Capacity summary'!BA73)="x",$BI161*BA161,VALUE('Capacity summary'!BA73)),0),BA161*$BI161),BA161*$BI161),0)</f>
        <v>12.692307692307692</v>
      </c>
      <c r="DE161" s="5">
        <f ca="1">IF($BI161&lt;&gt;"",IF('Capacity summary'!$C$14="Yes",IF(COUNTBLANK('Capacity summary'!$H73:$BG73)&lt;52,IF('Capacity summary'!BB73&lt;&gt;"",IF(LOWER('Capacity summary'!BB73)="x",$BI161*BB161,VALUE('Capacity summary'!BB73)),0),BB161*$BI161),BB161*$BI161),0)</f>
        <v>12.692307692307692</v>
      </c>
      <c r="DF161" s="5">
        <f ca="1">IF($BI161&lt;&gt;"",IF('Capacity summary'!$C$14="Yes",IF(COUNTBLANK('Capacity summary'!$H73:$BG73)&lt;52,IF('Capacity summary'!BC73&lt;&gt;"",IF(LOWER('Capacity summary'!BC73)="x",$BI161*BC161,VALUE('Capacity summary'!BC73)),0),BC161*$BI161),BC161*$BI161),0)</f>
        <v>12.692307692307692</v>
      </c>
      <c r="DG161" s="5">
        <f ca="1">IF($BI161&lt;&gt;"",IF('Capacity summary'!$C$14="Yes",IF(COUNTBLANK('Capacity summary'!$H73:$BG73)&lt;52,IF('Capacity summary'!BD73&lt;&gt;"",IF(LOWER('Capacity summary'!BD73)="x",$BI161*BD161,VALUE('Capacity summary'!BD73)),0),BD161*$BI161),BD161*$BI161),0)</f>
        <v>12.692307692307692</v>
      </c>
      <c r="DH161" s="5">
        <f ca="1">IF($BI161&lt;&gt;"",IF('Capacity summary'!$C$14="Yes",IF(COUNTBLANK('Capacity summary'!$H73:$BG73)&lt;52,IF('Capacity summary'!BE73&lt;&gt;"",IF(LOWER('Capacity summary'!BE73)="x",$BI161*BE161,VALUE('Capacity summary'!BE73)),0),BE161*$BI161),BE161*$BI161),0)</f>
        <v>12.692307692307692</v>
      </c>
      <c r="DI161" s="5">
        <f ca="1">IF($BI161&lt;&gt;"",IF('Capacity summary'!$C$14="Yes",IF(COUNTBLANK('Capacity summary'!$H73:$BG73)&lt;52,IF('Capacity summary'!BF73&lt;&gt;"",IF(LOWER('Capacity summary'!BF73)="x",$BI161*BF161,VALUE('Capacity summary'!BF73)),0),BF161*$BI161),BF161*$BI161),0)</f>
        <v>12.692307692307692</v>
      </c>
      <c r="DJ161" s="5">
        <f ca="1">IF($BI161&lt;&gt;"",IF('Capacity summary'!$C$14="Yes",IF(COUNTBLANK('Capacity summary'!$H73:$BG73)&lt;52,IF('Capacity summary'!BG73&lt;&gt;"",IF(LOWER('Capacity summary'!BG73)="x",$BI161*BG161,VALUE('Capacity summary'!BG73)),0),BG161*$BI161),BG161*$BI161),0)</f>
        <v>12.692307692307692</v>
      </c>
      <c r="DK161" s="388">
        <f t="shared" ca="1" si="8"/>
        <v>12.692307692307692</v>
      </c>
      <c r="DL161" s="5">
        <f t="shared" ca="1" si="9"/>
        <v>660.00000000000011</v>
      </c>
    </row>
    <row r="162" spans="3:116" x14ac:dyDescent="0.2">
      <c r="C162" s="67" t="str">
        <f>ROW(A51)&amp;". "&amp;Capacity!N67</f>
        <v>51. 44426</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 ca="1">IF(ROW(A51)&lt;=Capacity!$M$16,IF('Capacity summary'!$C$14="No",SUM(H162:BG162),'Capacity summary'!$E74),0)</f>
        <v>52</v>
      </c>
      <c r="BI162" s="67">
        <f ca="1">IF(BH162&gt;0,IF(BH162&lt;Capacity!Q67,Capacity!R67,Capacity!T67/'Capacity calculation (hide)'!BH162),"")</f>
        <v>4.0384615384615383</v>
      </c>
      <c r="BJ162" s="5"/>
      <c r="BK162" s="5">
        <f ca="1">IF($BI162&lt;&gt;"",IF('Capacity summary'!$C$14="Yes",IF(COUNTBLANK('Capacity summary'!$H74:$BG74)&lt;52,IF('Capacity summary'!H74&lt;&gt;"",IF(LOWER('Capacity summary'!H74)="x",$BI162*H162,VALUE('Capacity summary'!H74)),0),H162*$BI162),H162*$BI162),0)</f>
        <v>4.0384615384615383</v>
      </c>
      <c r="BL162" s="5">
        <f ca="1">IF($BI162&lt;&gt;"",IF('Capacity summary'!$C$14="Yes",IF(COUNTBLANK('Capacity summary'!$H74:$BG74)&lt;52,IF('Capacity summary'!I74&lt;&gt;"",IF(LOWER('Capacity summary'!I74)="x",$BI162*I162,VALUE('Capacity summary'!I74)),0),I162*$BI162),I162*$BI162),0)</f>
        <v>4.0384615384615383</v>
      </c>
      <c r="BM162" s="5">
        <f ca="1">IF($BI162&lt;&gt;"",IF('Capacity summary'!$C$14="Yes",IF(COUNTBLANK('Capacity summary'!$H74:$BG74)&lt;52,IF('Capacity summary'!J74&lt;&gt;"",IF(LOWER('Capacity summary'!J74)="x",$BI162*J162,VALUE('Capacity summary'!J74)),0),J162*$BI162),J162*$BI162),0)</f>
        <v>4.0384615384615383</v>
      </c>
      <c r="BN162" s="5">
        <f ca="1">IF($BI162&lt;&gt;"",IF('Capacity summary'!$C$14="Yes",IF(COUNTBLANK('Capacity summary'!$H74:$BG74)&lt;52,IF('Capacity summary'!K74&lt;&gt;"",IF(LOWER('Capacity summary'!K74)="x",$BI162*K162,VALUE('Capacity summary'!K74)),0),K162*$BI162),K162*$BI162),0)</f>
        <v>4.0384615384615383</v>
      </c>
      <c r="BO162" s="5">
        <f ca="1">IF($BI162&lt;&gt;"",IF('Capacity summary'!$C$14="Yes",IF(COUNTBLANK('Capacity summary'!$H74:$BG74)&lt;52,IF('Capacity summary'!L74&lt;&gt;"",IF(LOWER('Capacity summary'!L74)="x",$BI162*L162,VALUE('Capacity summary'!L74)),0),L162*$BI162),L162*$BI162),0)</f>
        <v>4.0384615384615383</v>
      </c>
      <c r="BP162" s="5">
        <f ca="1">IF($BI162&lt;&gt;"",IF('Capacity summary'!$C$14="Yes",IF(COUNTBLANK('Capacity summary'!$H74:$BG74)&lt;52,IF('Capacity summary'!M74&lt;&gt;"",IF(LOWER('Capacity summary'!M74)="x",$BI162*M162,VALUE('Capacity summary'!M74)),0),M162*$BI162),M162*$BI162),0)</f>
        <v>4.0384615384615383</v>
      </c>
      <c r="BQ162" s="5">
        <f ca="1">IF($BI162&lt;&gt;"",IF('Capacity summary'!$C$14="Yes",IF(COUNTBLANK('Capacity summary'!$H74:$BG74)&lt;52,IF('Capacity summary'!N74&lt;&gt;"",IF(LOWER('Capacity summary'!N74)="x",$BI162*N162,VALUE('Capacity summary'!N74)),0),N162*$BI162),N162*$BI162),0)</f>
        <v>4.0384615384615383</v>
      </c>
      <c r="BR162" s="5">
        <f ca="1">IF($BI162&lt;&gt;"",IF('Capacity summary'!$C$14="Yes",IF(COUNTBLANK('Capacity summary'!$H74:$BG74)&lt;52,IF('Capacity summary'!O74&lt;&gt;"",IF(LOWER('Capacity summary'!O74)="x",$BI162*O162,VALUE('Capacity summary'!O74)),0),O162*$BI162),O162*$BI162),0)</f>
        <v>4.0384615384615383</v>
      </c>
      <c r="BS162" s="5">
        <f ca="1">IF($BI162&lt;&gt;"",IF('Capacity summary'!$C$14="Yes",IF(COUNTBLANK('Capacity summary'!$H74:$BG74)&lt;52,IF('Capacity summary'!P74&lt;&gt;"",IF(LOWER('Capacity summary'!P74)="x",$BI162*P162,VALUE('Capacity summary'!P74)),0),P162*$BI162),P162*$BI162),0)</f>
        <v>4.0384615384615383</v>
      </c>
      <c r="BT162" s="5">
        <f ca="1">IF($BI162&lt;&gt;"",IF('Capacity summary'!$C$14="Yes",IF(COUNTBLANK('Capacity summary'!$H74:$BG74)&lt;52,IF('Capacity summary'!Q74&lt;&gt;"",IF(LOWER('Capacity summary'!Q74)="x",$BI162*Q162,VALUE('Capacity summary'!Q74)),0),Q162*$BI162),Q162*$BI162),0)</f>
        <v>4.0384615384615383</v>
      </c>
      <c r="BU162" s="5">
        <f ca="1">IF($BI162&lt;&gt;"",IF('Capacity summary'!$C$14="Yes",IF(COUNTBLANK('Capacity summary'!$H74:$BG74)&lt;52,IF('Capacity summary'!R74&lt;&gt;"",IF(LOWER('Capacity summary'!R74)="x",$BI162*R162,VALUE('Capacity summary'!R74)),0),R162*$BI162),R162*$BI162),0)</f>
        <v>4.0384615384615383</v>
      </c>
      <c r="BV162" s="5">
        <f ca="1">IF($BI162&lt;&gt;"",IF('Capacity summary'!$C$14="Yes",IF(COUNTBLANK('Capacity summary'!$H74:$BG74)&lt;52,IF('Capacity summary'!S74&lt;&gt;"",IF(LOWER('Capacity summary'!S74)="x",$BI162*S162,VALUE('Capacity summary'!S74)),0),S162*$BI162),S162*$BI162),0)</f>
        <v>4.0384615384615383</v>
      </c>
      <c r="BW162" s="5">
        <f ca="1">IF($BI162&lt;&gt;"",IF('Capacity summary'!$C$14="Yes",IF(COUNTBLANK('Capacity summary'!$H74:$BG74)&lt;52,IF('Capacity summary'!T74&lt;&gt;"",IF(LOWER('Capacity summary'!T74)="x",$BI162*T162,VALUE('Capacity summary'!T74)),0),T162*$BI162),T162*$BI162),0)</f>
        <v>4.0384615384615383</v>
      </c>
      <c r="BX162" s="5">
        <f ca="1">IF($BI162&lt;&gt;"",IF('Capacity summary'!$C$14="Yes",IF(COUNTBLANK('Capacity summary'!$H74:$BG74)&lt;52,IF('Capacity summary'!U74&lt;&gt;"",IF(LOWER('Capacity summary'!U74)="x",$BI162*U162,VALUE('Capacity summary'!U74)),0),U162*$BI162),U162*$BI162),0)</f>
        <v>4.0384615384615383</v>
      </c>
      <c r="BY162" s="5">
        <f ca="1">IF($BI162&lt;&gt;"",IF('Capacity summary'!$C$14="Yes",IF(COUNTBLANK('Capacity summary'!$H74:$BG74)&lt;52,IF('Capacity summary'!V74&lt;&gt;"",IF(LOWER('Capacity summary'!V74)="x",$BI162*V162,VALUE('Capacity summary'!V74)),0),V162*$BI162),V162*$BI162),0)</f>
        <v>4.0384615384615383</v>
      </c>
      <c r="BZ162" s="5">
        <f ca="1">IF($BI162&lt;&gt;"",IF('Capacity summary'!$C$14="Yes",IF(COUNTBLANK('Capacity summary'!$H74:$BG74)&lt;52,IF('Capacity summary'!W74&lt;&gt;"",IF(LOWER('Capacity summary'!W74)="x",$BI162*W162,VALUE('Capacity summary'!W74)),0),W162*$BI162),W162*$BI162),0)</f>
        <v>4.0384615384615383</v>
      </c>
      <c r="CA162" s="5">
        <f ca="1">IF($BI162&lt;&gt;"",IF('Capacity summary'!$C$14="Yes",IF(COUNTBLANK('Capacity summary'!$H74:$BG74)&lt;52,IF('Capacity summary'!X74&lt;&gt;"",IF(LOWER('Capacity summary'!X74)="x",$BI162*X162,VALUE('Capacity summary'!X74)),0),X162*$BI162),X162*$BI162),0)</f>
        <v>4.0384615384615383</v>
      </c>
      <c r="CB162" s="5">
        <f ca="1">IF($BI162&lt;&gt;"",IF('Capacity summary'!$C$14="Yes",IF(COUNTBLANK('Capacity summary'!$H74:$BG74)&lt;52,IF('Capacity summary'!Y74&lt;&gt;"",IF(LOWER('Capacity summary'!Y74)="x",$BI162*Y162,VALUE('Capacity summary'!Y74)),0),Y162*$BI162),Y162*$BI162),0)</f>
        <v>4.0384615384615383</v>
      </c>
      <c r="CC162" s="5">
        <f ca="1">IF($BI162&lt;&gt;"",IF('Capacity summary'!$C$14="Yes",IF(COUNTBLANK('Capacity summary'!$H74:$BG74)&lt;52,IF('Capacity summary'!Z74&lt;&gt;"",IF(LOWER('Capacity summary'!Z74)="x",$BI162*Z162,VALUE('Capacity summary'!Z74)),0),Z162*$BI162),Z162*$BI162),0)</f>
        <v>4.0384615384615383</v>
      </c>
      <c r="CD162" s="5">
        <f ca="1">IF($BI162&lt;&gt;"",IF('Capacity summary'!$C$14="Yes",IF(COUNTBLANK('Capacity summary'!$H74:$BG74)&lt;52,IF('Capacity summary'!AA74&lt;&gt;"",IF(LOWER('Capacity summary'!AA74)="x",$BI162*AA162,VALUE('Capacity summary'!AA74)),0),AA162*$BI162),AA162*$BI162),0)</f>
        <v>4.0384615384615383</v>
      </c>
      <c r="CE162" s="5">
        <f ca="1">IF($BI162&lt;&gt;"",IF('Capacity summary'!$C$14="Yes",IF(COUNTBLANK('Capacity summary'!$H74:$BG74)&lt;52,IF('Capacity summary'!AB74&lt;&gt;"",IF(LOWER('Capacity summary'!AB74)="x",$BI162*AB162,VALUE('Capacity summary'!AB74)),0),AB162*$BI162),AB162*$BI162),0)</f>
        <v>4.0384615384615383</v>
      </c>
      <c r="CF162" s="5">
        <f ca="1">IF($BI162&lt;&gt;"",IF('Capacity summary'!$C$14="Yes",IF(COUNTBLANK('Capacity summary'!$H74:$BG74)&lt;52,IF('Capacity summary'!AC74&lt;&gt;"",IF(LOWER('Capacity summary'!AC74)="x",$BI162*AC162,VALUE('Capacity summary'!AC74)),0),AC162*$BI162),AC162*$BI162),0)</f>
        <v>4.0384615384615383</v>
      </c>
      <c r="CG162" s="5">
        <f ca="1">IF($BI162&lt;&gt;"",IF('Capacity summary'!$C$14="Yes",IF(COUNTBLANK('Capacity summary'!$H74:$BG74)&lt;52,IF('Capacity summary'!AD74&lt;&gt;"",IF(LOWER('Capacity summary'!AD74)="x",$BI162*AD162,VALUE('Capacity summary'!AD74)),0),AD162*$BI162),AD162*$BI162),0)</f>
        <v>4.0384615384615383</v>
      </c>
      <c r="CH162" s="5">
        <f ca="1">IF($BI162&lt;&gt;"",IF('Capacity summary'!$C$14="Yes",IF(COUNTBLANK('Capacity summary'!$H74:$BG74)&lt;52,IF('Capacity summary'!AE74&lt;&gt;"",IF(LOWER('Capacity summary'!AE74)="x",$BI162*AE162,VALUE('Capacity summary'!AE74)),0),AE162*$BI162),AE162*$BI162),0)</f>
        <v>4.0384615384615383</v>
      </c>
      <c r="CI162" s="5">
        <f ca="1">IF($BI162&lt;&gt;"",IF('Capacity summary'!$C$14="Yes",IF(COUNTBLANK('Capacity summary'!$H74:$BG74)&lt;52,IF('Capacity summary'!AF74&lt;&gt;"",IF(LOWER('Capacity summary'!AF74)="x",$BI162*AF162,VALUE('Capacity summary'!AF74)),0),AF162*$BI162),AF162*$BI162),0)</f>
        <v>4.0384615384615383</v>
      </c>
      <c r="CJ162" s="5">
        <f ca="1">IF($BI162&lt;&gt;"",IF('Capacity summary'!$C$14="Yes",IF(COUNTBLANK('Capacity summary'!$H74:$BG74)&lt;52,IF('Capacity summary'!AG74&lt;&gt;"",IF(LOWER('Capacity summary'!AG74)="x",$BI162*AG162,VALUE('Capacity summary'!AG74)),0),AG162*$BI162),AG162*$BI162),0)</f>
        <v>4.0384615384615383</v>
      </c>
      <c r="CK162" s="5">
        <f ca="1">IF($BI162&lt;&gt;"",IF('Capacity summary'!$C$14="Yes",IF(COUNTBLANK('Capacity summary'!$H74:$BG74)&lt;52,IF('Capacity summary'!AH74&lt;&gt;"",IF(LOWER('Capacity summary'!AH74)="x",$BI162*AH162,VALUE('Capacity summary'!AH74)),0),AH162*$BI162),AH162*$BI162),0)</f>
        <v>4.0384615384615383</v>
      </c>
      <c r="CL162" s="5">
        <f ca="1">IF($BI162&lt;&gt;"",IF('Capacity summary'!$C$14="Yes",IF(COUNTBLANK('Capacity summary'!$H74:$BG74)&lt;52,IF('Capacity summary'!AI74&lt;&gt;"",IF(LOWER('Capacity summary'!AI74)="x",$BI162*AI162,VALUE('Capacity summary'!AI74)),0),AI162*$BI162),AI162*$BI162),0)</f>
        <v>4.0384615384615383</v>
      </c>
      <c r="CM162" s="5">
        <f ca="1">IF($BI162&lt;&gt;"",IF('Capacity summary'!$C$14="Yes",IF(COUNTBLANK('Capacity summary'!$H74:$BG74)&lt;52,IF('Capacity summary'!AJ74&lt;&gt;"",IF(LOWER('Capacity summary'!AJ74)="x",$BI162*AJ162,VALUE('Capacity summary'!AJ74)),0),AJ162*$BI162),AJ162*$BI162),0)</f>
        <v>4.0384615384615383</v>
      </c>
      <c r="CN162" s="5">
        <f ca="1">IF($BI162&lt;&gt;"",IF('Capacity summary'!$C$14="Yes",IF(COUNTBLANK('Capacity summary'!$H74:$BG74)&lt;52,IF('Capacity summary'!AK74&lt;&gt;"",IF(LOWER('Capacity summary'!AK74)="x",$BI162*AK162,VALUE('Capacity summary'!AK74)),0),AK162*$BI162),AK162*$BI162),0)</f>
        <v>4.0384615384615383</v>
      </c>
      <c r="CO162" s="5">
        <f ca="1">IF($BI162&lt;&gt;"",IF('Capacity summary'!$C$14="Yes",IF(COUNTBLANK('Capacity summary'!$H74:$BG74)&lt;52,IF('Capacity summary'!AL74&lt;&gt;"",IF(LOWER('Capacity summary'!AL74)="x",$BI162*AL162,VALUE('Capacity summary'!AL74)),0),AL162*$BI162),AL162*$BI162),0)</f>
        <v>4.0384615384615383</v>
      </c>
      <c r="CP162" s="5">
        <f ca="1">IF($BI162&lt;&gt;"",IF('Capacity summary'!$C$14="Yes",IF(COUNTBLANK('Capacity summary'!$H74:$BG74)&lt;52,IF('Capacity summary'!AM74&lt;&gt;"",IF(LOWER('Capacity summary'!AM74)="x",$BI162*AM162,VALUE('Capacity summary'!AM74)),0),AM162*$BI162),AM162*$BI162),0)</f>
        <v>4.0384615384615383</v>
      </c>
      <c r="CQ162" s="5">
        <f ca="1">IF($BI162&lt;&gt;"",IF('Capacity summary'!$C$14="Yes",IF(COUNTBLANK('Capacity summary'!$H74:$BG74)&lt;52,IF('Capacity summary'!AN74&lt;&gt;"",IF(LOWER('Capacity summary'!AN74)="x",$BI162*AN162,VALUE('Capacity summary'!AN74)),0),AN162*$BI162),AN162*$BI162),0)</f>
        <v>4.0384615384615383</v>
      </c>
      <c r="CR162" s="5">
        <f ca="1">IF($BI162&lt;&gt;"",IF('Capacity summary'!$C$14="Yes",IF(COUNTBLANK('Capacity summary'!$H74:$BG74)&lt;52,IF('Capacity summary'!AO74&lt;&gt;"",IF(LOWER('Capacity summary'!AO74)="x",$BI162*AO162,VALUE('Capacity summary'!AO74)),0),AO162*$BI162),AO162*$BI162),0)</f>
        <v>4.0384615384615383</v>
      </c>
      <c r="CS162" s="5">
        <f ca="1">IF($BI162&lt;&gt;"",IF('Capacity summary'!$C$14="Yes",IF(COUNTBLANK('Capacity summary'!$H74:$BG74)&lt;52,IF('Capacity summary'!AP74&lt;&gt;"",IF(LOWER('Capacity summary'!AP74)="x",$BI162*AP162,VALUE('Capacity summary'!AP74)),0),AP162*$BI162),AP162*$BI162),0)</f>
        <v>4.0384615384615383</v>
      </c>
      <c r="CT162" s="5">
        <f ca="1">IF($BI162&lt;&gt;"",IF('Capacity summary'!$C$14="Yes",IF(COUNTBLANK('Capacity summary'!$H74:$BG74)&lt;52,IF('Capacity summary'!AQ74&lt;&gt;"",IF(LOWER('Capacity summary'!AQ74)="x",$BI162*AQ162,VALUE('Capacity summary'!AQ74)),0),AQ162*$BI162),AQ162*$BI162),0)</f>
        <v>4.0384615384615383</v>
      </c>
      <c r="CU162" s="5">
        <f ca="1">IF($BI162&lt;&gt;"",IF('Capacity summary'!$C$14="Yes",IF(COUNTBLANK('Capacity summary'!$H74:$BG74)&lt;52,IF('Capacity summary'!AR74&lt;&gt;"",IF(LOWER('Capacity summary'!AR74)="x",$BI162*AR162,VALUE('Capacity summary'!AR74)),0),AR162*$BI162),AR162*$BI162),0)</f>
        <v>4.0384615384615383</v>
      </c>
      <c r="CV162" s="5">
        <f ca="1">IF($BI162&lt;&gt;"",IF('Capacity summary'!$C$14="Yes",IF(COUNTBLANK('Capacity summary'!$H74:$BG74)&lt;52,IF('Capacity summary'!AS74&lt;&gt;"",IF(LOWER('Capacity summary'!AS74)="x",$BI162*AS162,VALUE('Capacity summary'!AS74)),0),AS162*$BI162),AS162*$BI162),0)</f>
        <v>4.0384615384615383</v>
      </c>
      <c r="CW162" s="5">
        <f ca="1">IF($BI162&lt;&gt;"",IF('Capacity summary'!$C$14="Yes",IF(COUNTBLANK('Capacity summary'!$H74:$BG74)&lt;52,IF('Capacity summary'!AT74&lt;&gt;"",IF(LOWER('Capacity summary'!AT74)="x",$BI162*AT162,VALUE('Capacity summary'!AT74)),0),AT162*$BI162),AT162*$BI162),0)</f>
        <v>4.0384615384615383</v>
      </c>
      <c r="CX162" s="5">
        <f ca="1">IF($BI162&lt;&gt;"",IF('Capacity summary'!$C$14="Yes",IF(COUNTBLANK('Capacity summary'!$H74:$BG74)&lt;52,IF('Capacity summary'!AU74&lt;&gt;"",IF(LOWER('Capacity summary'!AU74)="x",$BI162*AU162,VALUE('Capacity summary'!AU74)),0),AU162*$BI162),AU162*$BI162),0)</f>
        <v>4.0384615384615383</v>
      </c>
      <c r="CY162" s="5">
        <f ca="1">IF($BI162&lt;&gt;"",IF('Capacity summary'!$C$14="Yes",IF(COUNTBLANK('Capacity summary'!$H74:$BG74)&lt;52,IF('Capacity summary'!AV74&lt;&gt;"",IF(LOWER('Capacity summary'!AV74)="x",$BI162*AV162,VALUE('Capacity summary'!AV74)),0),AV162*$BI162),AV162*$BI162),0)</f>
        <v>4.0384615384615383</v>
      </c>
      <c r="CZ162" s="5">
        <f ca="1">IF($BI162&lt;&gt;"",IF('Capacity summary'!$C$14="Yes",IF(COUNTBLANK('Capacity summary'!$H74:$BG74)&lt;52,IF('Capacity summary'!AW74&lt;&gt;"",IF(LOWER('Capacity summary'!AW74)="x",$BI162*AW162,VALUE('Capacity summary'!AW74)),0),AW162*$BI162),AW162*$BI162),0)</f>
        <v>4.0384615384615383</v>
      </c>
      <c r="DA162" s="5">
        <f ca="1">IF($BI162&lt;&gt;"",IF('Capacity summary'!$C$14="Yes",IF(COUNTBLANK('Capacity summary'!$H74:$BG74)&lt;52,IF('Capacity summary'!AX74&lt;&gt;"",IF(LOWER('Capacity summary'!AX74)="x",$BI162*AX162,VALUE('Capacity summary'!AX74)),0),AX162*$BI162),AX162*$BI162),0)</f>
        <v>4.0384615384615383</v>
      </c>
      <c r="DB162" s="5">
        <f ca="1">IF($BI162&lt;&gt;"",IF('Capacity summary'!$C$14="Yes",IF(COUNTBLANK('Capacity summary'!$H74:$BG74)&lt;52,IF('Capacity summary'!AY74&lt;&gt;"",IF(LOWER('Capacity summary'!AY74)="x",$BI162*AY162,VALUE('Capacity summary'!AY74)),0),AY162*$BI162),AY162*$BI162),0)</f>
        <v>4.0384615384615383</v>
      </c>
      <c r="DC162" s="5">
        <f ca="1">IF($BI162&lt;&gt;"",IF('Capacity summary'!$C$14="Yes",IF(COUNTBLANK('Capacity summary'!$H74:$BG74)&lt;52,IF('Capacity summary'!AZ74&lt;&gt;"",IF(LOWER('Capacity summary'!AZ74)="x",$BI162*AZ162,VALUE('Capacity summary'!AZ74)),0),AZ162*$BI162),AZ162*$BI162),0)</f>
        <v>4.0384615384615383</v>
      </c>
      <c r="DD162" s="5">
        <f ca="1">IF($BI162&lt;&gt;"",IF('Capacity summary'!$C$14="Yes",IF(COUNTBLANK('Capacity summary'!$H74:$BG74)&lt;52,IF('Capacity summary'!BA74&lt;&gt;"",IF(LOWER('Capacity summary'!BA74)="x",$BI162*BA162,VALUE('Capacity summary'!BA74)),0),BA162*$BI162),BA162*$BI162),0)</f>
        <v>4.0384615384615383</v>
      </c>
      <c r="DE162" s="5">
        <f ca="1">IF($BI162&lt;&gt;"",IF('Capacity summary'!$C$14="Yes",IF(COUNTBLANK('Capacity summary'!$H74:$BG74)&lt;52,IF('Capacity summary'!BB74&lt;&gt;"",IF(LOWER('Capacity summary'!BB74)="x",$BI162*BB162,VALUE('Capacity summary'!BB74)),0),BB162*$BI162),BB162*$BI162),0)</f>
        <v>4.0384615384615383</v>
      </c>
      <c r="DF162" s="5">
        <f ca="1">IF($BI162&lt;&gt;"",IF('Capacity summary'!$C$14="Yes",IF(COUNTBLANK('Capacity summary'!$H74:$BG74)&lt;52,IF('Capacity summary'!BC74&lt;&gt;"",IF(LOWER('Capacity summary'!BC74)="x",$BI162*BC162,VALUE('Capacity summary'!BC74)),0),BC162*$BI162),BC162*$BI162),0)</f>
        <v>4.0384615384615383</v>
      </c>
      <c r="DG162" s="5">
        <f ca="1">IF($BI162&lt;&gt;"",IF('Capacity summary'!$C$14="Yes",IF(COUNTBLANK('Capacity summary'!$H74:$BG74)&lt;52,IF('Capacity summary'!BD74&lt;&gt;"",IF(LOWER('Capacity summary'!BD74)="x",$BI162*BD162,VALUE('Capacity summary'!BD74)),0),BD162*$BI162),BD162*$BI162),0)</f>
        <v>4.0384615384615383</v>
      </c>
      <c r="DH162" s="5">
        <f ca="1">IF($BI162&lt;&gt;"",IF('Capacity summary'!$C$14="Yes",IF(COUNTBLANK('Capacity summary'!$H74:$BG74)&lt;52,IF('Capacity summary'!BE74&lt;&gt;"",IF(LOWER('Capacity summary'!BE74)="x",$BI162*BE162,VALUE('Capacity summary'!BE74)),0),BE162*$BI162),BE162*$BI162),0)</f>
        <v>4.0384615384615383</v>
      </c>
      <c r="DI162" s="5">
        <f ca="1">IF($BI162&lt;&gt;"",IF('Capacity summary'!$C$14="Yes",IF(COUNTBLANK('Capacity summary'!$H74:$BG74)&lt;52,IF('Capacity summary'!BF74&lt;&gt;"",IF(LOWER('Capacity summary'!BF74)="x",$BI162*BF162,VALUE('Capacity summary'!BF74)),0),BF162*$BI162),BF162*$BI162),0)</f>
        <v>4.0384615384615383</v>
      </c>
      <c r="DJ162" s="5">
        <f ca="1">IF($BI162&lt;&gt;"",IF('Capacity summary'!$C$14="Yes",IF(COUNTBLANK('Capacity summary'!$H74:$BG74)&lt;52,IF('Capacity summary'!BG74&lt;&gt;"",IF(LOWER('Capacity summary'!BG74)="x",$BI162*BG162,VALUE('Capacity summary'!BG74)),0),BG162*$BI162),BG162*$BI162),0)</f>
        <v>4.0384615384615383</v>
      </c>
      <c r="DK162" s="388">
        <f t="shared" ca="1" si="8"/>
        <v>4.0384615384615383</v>
      </c>
      <c r="DL162" s="5">
        <f t="shared" ca="1" si="9"/>
        <v>210.00000000000011</v>
      </c>
    </row>
    <row r="163" spans="3:116" x14ac:dyDescent="0.2">
      <c r="C163" s="67" t="str">
        <f>ROW(A52)&amp;". "&amp;Capacity!N68</f>
        <v>52. 44427</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 ca="1">IF(ROW(A52)&lt;=Capacity!$M$16,IF('Capacity summary'!$C$14="No",SUM(H163:BG163),'Capacity summary'!$E75),0)</f>
        <v>52</v>
      </c>
      <c r="BI163" s="67">
        <f ca="1">IF(BH163&gt;0,IF(BH163&lt;Capacity!Q68,Capacity!R68,Capacity!T68/'Capacity calculation (hide)'!BH163),"")</f>
        <v>4.0384615384615383</v>
      </c>
      <c r="BJ163" s="5"/>
      <c r="BK163" s="5">
        <f ca="1">IF($BI163&lt;&gt;"",IF('Capacity summary'!$C$14="Yes",IF(COUNTBLANK('Capacity summary'!$H75:$BG75)&lt;52,IF('Capacity summary'!H75&lt;&gt;"",IF(LOWER('Capacity summary'!H75)="x",$BI163*H163,VALUE('Capacity summary'!H75)),0),H163*$BI163),H163*$BI163),0)</f>
        <v>4.0384615384615383</v>
      </c>
      <c r="BL163" s="5">
        <f ca="1">IF($BI163&lt;&gt;"",IF('Capacity summary'!$C$14="Yes",IF(COUNTBLANK('Capacity summary'!$H75:$BG75)&lt;52,IF('Capacity summary'!I75&lt;&gt;"",IF(LOWER('Capacity summary'!I75)="x",$BI163*I163,VALUE('Capacity summary'!I75)),0),I163*$BI163),I163*$BI163),0)</f>
        <v>4.0384615384615383</v>
      </c>
      <c r="BM163" s="5">
        <f ca="1">IF($BI163&lt;&gt;"",IF('Capacity summary'!$C$14="Yes",IF(COUNTBLANK('Capacity summary'!$H75:$BG75)&lt;52,IF('Capacity summary'!J75&lt;&gt;"",IF(LOWER('Capacity summary'!J75)="x",$BI163*J163,VALUE('Capacity summary'!J75)),0),J163*$BI163),J163*$BI163),0)</f>
        <v>4.0384615384615383</v>
      </c>
      <c r="BN163" s="5">
        <f ca="1">IF($BI163&lt;&gt;"",IF('Capacity summary'!$C$14="Yes",IF(COUNTBLANK('Capacity summary'!$H75:$BG75)&lt;52,IF('Capacity summary'!K75&lt;&gt;"",IF(LOWER('Capacity summary'!K75)="x",$BI163*K163,VALUE('Capacity summary'!K75)),0),K163*$BI163),K163*$BI163),0)</f>
        <v>4.0384615384615383</v>
      </c>
      <c r="BO163" s="5">
        <f ca="1">IF($BI163&lt;&gt;"",IF('Capacity summary'!$C$14="Yes",IF(COUNTBLANK('Capacity summary'!$H75:$BG75)&lt;52,IF('Capacity summary'!L75&lt;&gt;"",IF(LOWER('Capacity summary'!L75)="x",$BI163*L163,VALUE('Capacity summary'!L75)),0),L163*$BI163),L163*$BI163),0)</f>
        <v>4.0384615384615383</v>
      </c>
      <c r="BP163" s="5">
        <f ca="1">IF($BI163&lt;&gt;"",IF('Capacity summary'!$C$14="Yes",IF(COUNTBLANK('Capacity summary'!$H75:$BG75)&lt;52,IF('Capacity summary'!M75&lt;&gt;"",IF(LOWER('Capacity summary'!M75)="x",$BI163*M163,VALUE('Capacity summary'!M75)),0),M163*$BI163),M163*$BI163),0)</f>
        <v>4.0384615384615383</v>
      </c>
      <c r="BQ163" s="5">
        <f ca="1">IF($BI163&lt;&gt;"",IF('Capacity summary'!$C$14="Yes",IF(COUNTBLANK('Capacity summary'!$H75:$BG75)&lt;52,IF('Capacity summary'!N75&lt;&gt;"",IF(LOWER('Capacity summary'!N75)="x",$BI163*N163,VALUE('Capacity summary'!N75)),0),N163*$BI163),N163*$BI163),0)</f>
        <v>4.0384615384615383</v>
      </c>
      <c r="BR163" s="5">
        <f ca="1">IF($BI163&lt;&gt;"",IF('Capacity summary'!$C$14="Yes",IF(COUNTBLANK('Capacity summary'!$H75:$BG75)&lt;52,IF('Capacity summary'!O75&lt;&gt;"",IF(LOWER('Capacity summary'!O75)="x",$BI163*O163,VALUE('Capacity summary'!O75)),0),O163*$BI163),O163*$BI163),0)</f>
        <v>4.0384615384615383</v>
      </c>
      <c r="BS163" s="5">
        <f ca="1">IF($BI163&lt;&gt;"",IF('Capacity summary'!$C$14="Yes",IF(COUNTBLANK('Capacity summary'!$H75:$BG75)&lt;52,IF('Capacity summary'!P75&lt;&gt;"",IF(LOWER('Capacity summary'!P75)="x",$BI163*P163,VALUE('Capacity summary'!P75)),0),P163*$BI163),P163*$BI163),0)</f>
        <v>4.0384615384615383</v>
      </c>
      <c r="BT163" s="5">
        <f ca="1">IF($BI163&lt;&gt;"",IF('Capacity summary'!$C$14="Yes",IF(COUNTBLANK('Capacity summary'!$H75:$BG75)&lt;52,IF('Capacity summary'!Q75&lt;&gt;"",IF(LOWER('Capacity summary'!Q75)="x",$BI163*Q163,VALUE('Capacity summary'!Q75)),0),Q163*$BI163),Q163*$BI163),0)</f>
        <v>4.0384615384615383</v>
      </c>
      <c r="BU163" s="5">
        <f ca="1">IF($BI163&lt;&gt;"",IF('Capacity summary'!$C$14="Yes",IF(COUNTBLANK('Capacity summary'!$H75:$BG75)&lt;52,IF('Capacity summary'!R75&lt;&gt;"",IF(LOWER('Capacity summary'!R75)="x",$BI163*R163,VALUE('Capacity summary'!R75)),0),R163*$BI163),R163*$BI163),0)</f>
        <v>4.0384615384615383</v>
      </c>
      <c r="BV163" s="5">
        <f ca="1">IF($BI163&lt;&gt;"",IF('Capacity summary'!$C$14="Yes",IF(COUNTBLANK('Capacity summary'!$H75:$BG75)&lt;52,IF('Capacity summary'!S75&lt;&gt;"",IF(LOWER('Capacity summary'!S75)="x",$BI163*S163,VALUE('Capacity summary'!S75)),0),S163*$BI163),S163*$BI163),0)</f>
        <v>4.0384615384615383</v>
      </c>
      <c r="BW163" s="5">
        <f ca="1">IF($BI163&lt;&gt;"",IF('Capacity summary'!$C$14="Yes",IF(COUNTBLANK('Capacity summary'!$H75:$BG75)&lt;52,IF('Capacity summary'!T75&lt;&gt;"",IF(LOWER('Capacity summary'!T75)="x",$BI163*T163,VALUE('Capacity summary'!T75)),0),T163*$BI163),T163*$BI163),0)</f>
        <v>4.0384615384615383</v>
      </c>
      <c r="BX163" s="5">
        <f ca="1">IF($BI163&lt;&gt;"",IF('Capacity summary'!$C$14="Yes",IF(COUNTBLANK('Capacity summary'!$H75:$BG75)&lt;52,IF('Capacity summary'!U75&lt;&gt;"",IF(LOWER('Capacity summary'!U75)="x",$BI163*U163,VALUE('Capacity summary'!U75)),0),U163*$BI163),U163*$BI163),0)</f>
        <v>4.0384615384615383</v>
      </c>
      <c r="BY163" s="5">
        <f ca="1">IF($BI163&lt;&gt;"",IF('Capacity summary'!$C$14="Yes",IF(COUNTBLANK('Capacity summary'!$H75:$BG75)&lt;52,IF('Capacity summary'!V75&lt;&gt;"",IF(LOWER('Capacity summary'!V75)="x",$BI163*V163,VALUE('Capacity summary'!V75)),0),V163*$BI163),V163*$BI163),0)</f>
        <v>4.0384615384615383</v>
      </c>
      <c r="BZ163" s="5">
        <f ca="1">IF($BI163&lt;&gt;"",IF('Capacity summary'!$C$14="Yes",IF(COUNTBLANK('Capacity summary'!$H75:$BG75)&lt;52,IF('Capacity summary'!W75&lt;&gt;"",IF(LOWER('Capacity summary'!W75)="x",$BI163*W163,VALUE('Capacity summary'!W75)),0),W163*$BI163),W163*$BI163),0)</f>
        <v>4.0384615384615383</v>
      </c>
      <c r="CA163" s="5">
        <f ca="1">IF($BI163&lt;&gt;"",IF('Capacity summary'!$C$14="Yes",IF(COUNTBLANK('Capacity summary'!$H75:$BG75)&lt;52,IF('Capacity summary'!X75&lt;&gt;"",IF(LOWER('Capacity summary'!X75)="x",$BI163*X163,VALUE('Capacity summary'!X75)),0),X163*$BI163),X163*$BI163),0)</f>
        <v>4.0384615384615383</v>
      </c>
      <c r="CB163" s="5">
        <f ca="1">IF($BI163&lt;&gt;"",IF('Capacity summary'!$C$14="Yes",IF(COUNTBLANK('Capacity summary'!$H75:$BG75)&lt;52,IF('Capacity summary'!Y75&lt;&gt;"",IF(LOWER('Capacity summary'!Y75)="x",$BI163*Y163,VALUE('Capacity summary'!Y75)),0),Y163*$BI163),Y163*$BI163),0)</f>
        <v>4.0384615384615383</v>
      </c>
      <c r="CC163" s="5">
        <f ca="1">IF($BI163&lt;&gt;"",IF('Capacity summary'!$C$14="Yes",IF(COUNTBLANK('Capacity summary'!$H75:$BG75)&lt;52,IF('Capacity summary'!Z75&lt;&gt;"",IF(LOWER('Capacity summary'!Z75)="x",$BI163*Z163,VALUE('Capacity summary'!Z75)),0),Z163*$BI163),Z163*$BI163),0)</f>
        <v>4.0384615384615383</v>
      </c>
      <c r="CD163" s="5">
        <f ca="1">IF($BI163&lt;&gt;"",IF('Capacity summary'!$C$14="Yes",IF(COUNTBLANK('Capacity summary'!$H75:$BG75)&lt;52,IF('Capacity summary'!AA75&lt;&gt;"",IF(LOWER('Capacity summary'!AA75)="x",$BI163*AA163,VALUE('Capacity summary'!AA75)),0),AA163*$BI163),AA163*$BI163),0)</f>
        <v>4.0384615384615383</v>
      </c>
      <c r="CE163" s="5">
        <f ca="1">IF($BI163&lt;&gt;"",IF('Capacity summary'!$C$14="Yes",IF(COUNTBLANK('Capacity summary'!$H75:$BG75)&lt;52,IF('Capacity summary'!AB75&lt;&gt;"",IF(LOWER('Capacity summary'!AB75)="x",$BI163*AB163,VALUE('Capacity summary'!AB75)),0),AB163*$BI163),AB163*$BI163),0)</f>
        <v>4.0384615384615383</v>
      </c>
      <c r="CF163" s="5">
        <f ca="1">IF($BI163&lt;&gt;"",IF('Capacity summary'!$C$14="Yes",IF(COUNTBLANK('Capacity summary'!$H75:$BG75)&lt;52,IF('Capacity summary'!AC75&lt;&gt;"",IF(LOWER('Capacity summary'!AC75)="x",$BI163*AC163,VALUE('Capacity summary'!AC75)),0),AC163*$BI163),AC163*$BI163),0)</f>
        <v>4.0384615384615383</v>
      </c>
      <c r="CG163" s="5">
        <f ca="1">IF($BI163&lt;&gt;"",IF('Capacity summary'!$C$14="Yes",IF(COUNTBLANK('Capacity summary'!$H75:$BG75)&lt;52,IF('Capacity summary'!AD75&lt;&gt;"",IF(LOWER('Capacity summary'!AD75)="x",$BI163*AD163,VALUE('Capacity summary'!AD75)),0),AD163*$BI163),AD163*$BI163),0)</f>
        <v>4.0384615384615383</v>
      </c>
      <c r="CH163" s="5">
        <f ca="1">IF($BI163&lt;&gt;"",IF('Capacity summary'!$C$14="Yes",IF(COUNTBLANK('Capacity summary'!$H75:$BG75)&lt;52,IF('Capacity summary'!AE75&lt;&gt;"",IF(LOWER('Capacity summary'!AE75)="x",$BI163*AE163,VALUE('Capacity summary'!AE75)),0),AE163*$BI163),AE163*$BI163),0)</f>
        <v>4.0384615384615383</v>
      </c>
      <c r="CI163" s="5">
        <f ca="1">IF($BI163&lt;&gt;"",IF('Capacity summary'!$C$14="Yes",IF(COUNTBLANK('Capacity summary'!$H75:$BG75)&lt;52,IF('Capacity summary'!AF75&lt;&gt;"",IF(LOWER('Capacity summary'!AF75)="x",$BI163*AF163,VALUE('Capacity summary'!AF75)),0),AF163*$BI163),AF163*$BI163),0)</f>
        <v>4.0384615384615383</v>
      </c>
      <c r="CJ163" s="5">
        <f ca="1">IF($BI163&lt;&gt;"",IF('Capacity summary'!$C$14="Yes",IF(COUNTBLANK('Capacity summary'!$H75:$BG75)&lt;52,IF('Capacity summary'!AG75&lt;&gt;"",IF(LOWER('Capacity summary'!AG75)="x",$BI163*AG163,VALUE('Capacity summary'!AG75)),0),AG163*$BI163),AG163*$BI163),0)</f>
        <v>4.0384615384615383</v>
      </c>
      <c r="CK163" s="5">
        <f ca="1">IF($BI163&lt;&gt;"",IF('Capacity summary'!$C$14="Yes",IF(COUNTBLANK('Capacity summary'!$H75:$BG75)&lt;52,IF('Capacity summary'!AH75&lt;&gt;"",IF(LOWER('Capacity summary'!AH75)="x",$BI163*AH163,VALUE('Capacity summary'!AH75)),0),AH163*$BI163),AH163*$BI163),0)</f>
        <v>4.0384615384615383</v>
      </c>
      <c r="CL163" s="5">
        <f ca="1">IF($BI163&lt;&gt;"",IF('Capacity summary'!$C$14="Yes",IF(COUNTBLANK('Capacity summary'!$H75:$BG75)&lt;52,IF('Capacity summary'!AI75&lt;&gt;"",IF(LOWER('Capacity summary'!AI75)="x",$BI163*AI163,VALUE('Capacity summary'!AI75)),0),AI163*$BI163),AI163*$BI163),0)</f>
        <v>4.0384615384615383</v>
      </c>
      <c r="CM163" s="5">
        <f ca="1">IF($BI163&lt;&gt;"",IF('Capacity summary'!$C$14="Yes",IF(COUNTBLANK('Capacity summary'!$H75:$BG75)&lt;52,IF('Capacity summary'!AJ75&lt;&gt;"",IF(LOWER('Capacity summary'!AJ75)="x",$BI163*AJ163,VALUE('Capacity summary'!AJ75)),0),AJ163*$BI163),AJ163*$BI163),0)</f>
        <v>4.0384615384615383</v>
      </c>
      <c r="CN163" s="5">
        <f ca="1">IF($BI163&lt;&gt;"",IF('Capacity summary'!$C$14="Yes",IF(COUNTBLANK('Capacity summary'!$H75:$BG75)&lt;52,IF('Capacity summary'!AK75&lt;&gt;"",IF(LOWER('Capacity summary'!AK75)="x",$BI163*AK163,VALUE('Capacity summary'!AK75)),0),AK163*$BI163),AK163*$BI163),0)</f>
        <v>4.0384615384615383</v>
      </c>
      <c r="CO163" s="5">
        <f ca="1">IF($BI163&lt;&gt;"",IF('Capacity summary'!$C$14="Yes",IF(COUNTBLANK('Capacity summary'!$H75:$BG75)&lt;52,IF('Capacity summary'!AL75&lt;&gt;"",IF(LOWER('Capacity summary'!AL75)="x",$BI163*AL163,VALUE('Capacity summary'!AL75)),0),AL163*$BI163),AL163*$BI163),0)</f>
        <v>4.0384615384615383</v>
      </c>
      <c r="CP163" s="5">
        <f ca="1">IF($BI163&lt;&gt;"",IF('Capacity summary'!$C$14="Yes",IF(COUNTBLANK('Capacity summary'!$H75:$BG75)&lt;52,IF('Capacity summary'!AM75&lt;&gt;"",IF(LOWER('Capacity summary'!AM75)="x",$BI163*AM163,VALUE('Capacity summary'!AM75)),0),AM163*$BI163),AM163*$BI163),0)</f>
        <v>4.0384615384615383</v>
      </c>
      <c r="CQ163" s="5">
        <f ca="1">IF($BI163&lt;&gt;"",IF('Capacity summary'!$C$14="Yes",IF(COUNTBLANK('Capacity summary'!$H75:$BG75)&lt;52,IF('Capacity summary'!AN75&lt;&gt;"",IF(LOWER('Capacity summary'!AN75)="x",$BI163*AN163,VALUE('Capacity summary'!AN75)),0),AN163*$BI163),AN163*$BI163),0)</f>
        <v>4.0384615384615383</v>
      </c>
      <c r="CR163" s="5">
        <f ca="1">IF($BI163&lt;&gt;"",IF('Capacity summary'!$C$14="Yes",IF(COUNTBLANK('Capacity summary'!$H75:$BG75)&lt;52,IF('Capacity summary'!AO75&lt;&gt;"",IF(LOWER('Capacity summary'!AO75)="x",$BI163*AO163,VALUE('Capacity summary'!AO75)),0),AO163*$BI163),AO163*$BI163),0)</f>
        <v>4.0384615384615383</v>
      </c>
      <c r="CS163" s="5">
        <f ca="1">IF($BI163&lt;&gt;"",IF('Capacity summary'!$C$14="Yes",IF(COUNTBLANK('Capacity summary'!$H75:$BG75)&lt;52,IF('Capacity summary'!AP75&lt;&gt;"",IF(LOWER('Capacity summary'!AP75)="x",$BI163*AP163,VALUE('Capacity summary'!AP75)),0),AP163*$BI163),AP163*$BI163),0)</f>
        <v>4.0384615384615383</v>
      </c>
      <c r="CT163" s="5">
        <f ca="1">IF($BI163&lt;&gt;"",IF('Capacity summary'!$C$14="Yes",IF(COUNTBLANK('Capacity summary'!$H75:$BG75)&lt;52,IF('Capacity summary'!AQ75&lt;&gt;"",IF(LOWER('Capacity summary'!AQ75)="x",$BI163*AQ163,VALUE('Capacity summary'!AQ75)),0),AQ163*$BI163),AQ163*$BI163),0)</f>
        <v>4.0384615384615383</v>
      </c>
      <c r="CU163" s="5">
        <f ca="1">IF($BI163&lt;&gt;"",IF('Capacity summary'!$C$14="Yes",IF(COUNTBLANK('Capacity summary'!$H75:$BG75)&lt;52,IF('Capacity summary'!AR75&lt;&gt;"",IF(LOWER('Capacity summary'!AR75)="x",$BI163*AR163,VALUE('Capacity summary'!AR75)),0),AR163*$BI163),AR163*$BI163),0)</f>
        <v>4.0384615384615383</v>
      </c>
      <c r="CV163" s="5">
        <f ca="1">IF($BI163&lt;&gt;"",IF('Capacity summary'!$C$14="Yes",IF(COUNTBLANK('Capacity summary'!$H75:$BG75)&lt;52,IF('Capacity summary'!AS75&lt;&gt;"",IF(LOWER('Capacity summary'!AS75)="x",$BI163*AS163,VALUE('Capacity summary'!AS75)),0),AS163*$BI163),AS163*$BI163),0)</f>
        <v>4.0384615384615383</v>
      </c>
      <c r="CW163" s="5">
        <f ca="1">IF($BI163&lt;&gt;"",IF('Capacity summary'!$C$14="Yes",IF(COUNTBLANK('Capacity summary'!$H75:$BG75)&lt;52,IF('Capacity summary'!AT75&lt;&gt;"",IF(LOWER('Capacity summary'!AT75)="x",$BI163*AT163,VALUE('Capacity summary'!AT75)),0),AT163*$BI163),AT163*$BI163),0)</f>
        <v>4.0384615384615383</v>
      </c>
      <c r="CX163" s="5">
        <f ca="1">IF($BI163&lt;&gt;"",IF('Capacity summary'!$C$14="Yes",IF(COUNTBLANK('Capacity summary'!$H75:$BG75)&lt;52,IF('Capacity summary'!AU75&lt;&gt;"",IF(LOWER('Capacity summary'!AU75)="x",$BI163*AU163,VALUE('Capacity summary'!AU75)),0),AU163*$BI163),AU163*$BI163),0)</f>
        <v>4.0384615384615383</v>
      </c>
      <c r="CY163" s="5">
        <f ca="1">IF($BI163&lt;&gt;"",IF('Capacity summary'!$C$14="Yes",IF(COUNTBLANK('Capacity summary'!$H75:$BG75)&lt;52,IF('Capacity summary'!AV75&lt;&gt;"",IF(LOWER('Capacity summary'!AV75)="x",$BI163*AV163,VALUE('Capacity summary'!AV75)),0),AV163*$BI163),AV163*$BI163),0)</f>
        <v>4.0384615384615383</v>
      </c>
      <c r="CZ163" s="5">
        <f ca="1">IF($BI163&lt;&gt;"",IF('Capacity summary'!$C$14="Yes",IF(COUNTBLANK('Capacity summary'!$H75:$BG75)&lt;52,IF('Capacity summary'!AW75&lt;&gt;"",IF(LOWER('Capacity summary'!AW75)="x",$BI163*AW163,VALUE('Capacity summary'!AW75)),0),AW163*$BI163),AW163*$BI163),0)</f>
        <v>4.0384615384615383</v>
      </c>
      <c r="DA163" s="5">
        <f ca="1">IF($BI163&lt;&gt;"",IF('Capacity summary'!$C$14="Yes",IF(COUNTBLANK('Capacity summary'!$H75:$BG75)&lt;52,IF('Capacity summary'!AX75&lt;&gt;"",IF(LOWER('Capacity summary'!AX75)="x",$BI163*AX163,VALUE('Capacity summary'!AX75)),0),AX163*$BI163),AX163*$BI163),0)</f>
        <v>4.0384615384615383</v>
      </c>
      <c r="DB163" s="5">
        <f ca="1">IF($BI163&lt;&gt;"",IF('Capacity summary'!$C$14="Yes",IF(COUNTBLANK('Capacity summary'!$H75:$BG75)&lt;52,IF('Capacity summary'!AY75&lt;&gt;"",IF(LOWER('Capacity summary'!AY75)="x",$BI163*AY163,VALUE('Capacity summary'!AY75)),0),AY163*$BI163),AY163*$BI163),0)</f>
        <v>4.0384615384615383</v>
      </c>
      <c r="DC163" s="5">
        <f ca="1">IF($BI163&lt;&gt;"",IF('Capacity summary'!$C$14="Yes",IF(COUNTBLANK('Capacity summary'!$H75:$BG75)&lt;52,IF('Capacity summary'!AZ75&lt;&gt;"",IF(LOWER('Capacity summary'!AZ75)="x",$BI163*AZ163,VALUE('Capacity summary'!AZ75)),0),AZ163*$BI163),AZ163*$BI163),0)</f>
        <v>4.0384615384615383</v>
      </c>
      <c r="DD163" s="5">
        <f ca="1">IF($BI163&lt;&gt;"",IF('Capacity summary'!$C$14="Yes",IF(COUNTBLANK('Capacity summary'!$H75:$BG75)&lt;52,IF('Capacity summary'!BA75&lt;&gt;"",IF(LOWER('Capacity summary'!BA75)="x",$BI163*BA163,VALUE('Capacity summary'!BA75)),0),BA163*$BI163),BA163*$BI163),0)</f>
        <v>4.0384615384615383</v>
      </c>
      <c r="DE163" s="5">
        <f ca="1">IF($BI163&lt;&gt;"",IF('Capacity summary'!$C$14="Yes",IF(COUNTBLANK('Capacity summary'!$H75:$BG75)&lt;52,IF('Capacity summary'!BB75&lt;&gt;"",IF(LOWER('Capacity summary'!BB75)="x",$BI163*BB163,VALUE('Capacity summary'!BB75)),0),BB163*$BI163),BB163*$BI163),0)</f>
        <v>4.0384615384615383</v>
      </c>
      <c r="DF163" s="5">
        <f ca="1">IF($BI163&lt;&gt;"",IF('Capacity summary'!$C$14="Yes",IF(COUNTBLANK('Capacity summary'!$H75:$BG75)&lt;52,IF('Capacity summary'!BC75&lt;&gt;"",IF(LOWER('Capacity summary'!BC75)="x",$BI163*BC163,VALUE('Capacity summary'!BC75)),0),BC163*$BI163),BC163*$BI163),0)</f>
        <v>4.0384615384615383</v>
      </c>
      <c r="DG163" s="5">
        <f ca="1">IF($BI163&lt;&gt;"",IF('Capacity summary'!$C$14="Yes",IF(COUNTBLANK('Capacity summary'!$H75:$BG75)&lt;52,IF('Capacity summary'!BD75&lt;&gt;"",IF(LOWER('Capacity summary'!BD75)="x",$BI163*BD163,VALUE('Capacity summary'!BD75)),0),BD163*$BI163),BD163*$BI163),0)</f>
        <v>4.0384615384615383</v>
      </c>
      <c r="DH163" s="5">
        <f ca="1">IF($BI163&lt;&gt;"",IF('Capacity summary'!$C$14="Yes",IF(COUNTBLANK('Capacity summary'!$H75:$BG75)&lt;52,IF('Capacity summary'!BE75&lt;&gt;"",IF(LOWER('Capacity summary'!BE75)="x",$BI163*BE163,VALUE('Capacity summary'!BE75)),0),BE163*$BI163),BE163*$BI163),0)</f>
        <v>4.0384615384615383</v>
      </c>
      <c r="DI163" s="5">
        <f ca="1">IF($BI163&lt;&gt;"",IF('Capacity summary'!$C$14="Yes",IF(COUNTBLANK('Capacity summary'!$H75:$BG75)&lt;52,IF('Capacity summary'!BF75&lt;&gt;"",IF(LOWER('Capacity summary'!BF75)="x",$BI163*BF163,VALUE('Capacity summary'!BF75)),0),BF163*$BI163),BF163*$BI163),0)</f>
        <v>4.0384615384615383</v>
      </c>
      <c r="DJ163" s="5">
        <f ca="1">IF($BI163&lt;&gt;"",IF('Capacity summary'!$C$14="Yes",IF(COUNTBLANK('Capacity summary'!$H75:$BG75)&lt;52,IF('Capacity summary'!BG75&lt;&gt;"",IF(LOWER('Capacity summary'!BG75)="x",$BI163*BG163,VALUE('Capacity summary'!BG75)),0),BG163*$BI163),BG163*$BI163),0)</f>
        <v>4.0384615384615383</v>
      </c>
      <c r="DK163" s="388">
        <f t="shared" ca="1" si="8"/>
        <v>4.0384615384615383</v>
      </c>
      <c r="DL163" s="5">
        <f t="shared" ca="1" si="9"/>
        <v>210.00000000000011</v>
      </c>
    </row>
    <row r="164" spans="3:116" x14ac:dyDescent="0.2">
      <c r="C164" s="67" t="str">
        <f>ROW(A53)&amp;". "&amp;Capacity!N69</f>
        <v>53. 44430</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 ca="1">IF(ROW(A53)&lt;=Capacity!$M$16,IF('Capacity summary'!$C$14="No",SUM(H164:BG164),'Capacity summary'!$E76),0)</f>
        <v>52</v>
      </c>
      <c r="BI164" s="67">
        <f ca="1">IF(BH164&gt;0,IF(BH164&lt;Capacity!Q69,Capacity!R69,Capacity!T69/'Capacity calculation (hide)'!BH164),"")</f>
        <v>13.846153846153847</v>
      </c>
      <c r="BJ164" s="5"/>
      <c r="BK164" s="5">
        <f ca="1">IF($BI164&lt;&gt;"",IF('Capacity summary'!$C$14="Yes",IF(COUNTBLANK('Capacity summary'!$H76:$BG76)&lt;52,IF('Capacity summary'!H76&lt;&gt;"",IF(LOWER('Capacity summary'!H76)="x",$BI164*H164,VALUE('Capacity summary'!H76)),0),H164*$BI164),H164*$BI164),0)</f>
        <v>13.846153846153847</v>
      </c>
      <c r="BL164" s="5">
        <f ca="1">IF($BI164&lt;&gt;"",IF('Capacity summary'!$C$14="Yes",IF(COUNTBLANK('Capacity summary'!$H76:$BG76)&lt;52,IF('Capacity summary'!I76&lt;&gt;"",IF(LOWER('Capacity summary'!I76)="x",$BI164*I164,VALUE('Capacity summary'!I76)),0),I164*$BI164),I164*$BI164),0)</f>
        <v>13.846153846153847</v>
      </c>
      <c r="BM164" s="5">
        <f ca="1">IF($BI164&lt;&gt;"",IF('Capacity summary'!$C$14="Yes",IF(COUNTBLANK('Capacity summary'!$H76:$BG76)&lt;52,IF('Capacity summary'!J76&lt;&gt;"",IF(LOWER('Capacity summary'!J76)="x",$BI164*J164,VALUE('Capacity summary'!J76)),0),J164*$BI164),J164*$BI164),0)</f>
        <v>13.846153846153847</v>
      </c>
      <c r="BN164" s="5">
        <f ca="1">IF($BI164&lt;&gt;"",IF('Capacity summary'!$C$14="Yes",IF(COUNTBLANK('Capacity summary'!$H76:$BG76)&lt;52,IF('Capacity summary'!K76&lt;&gt;"",IF(LOWER('Capacity summary'!K76)="x",$BI164*K164,VALUE('Capacity summary'!K76)),0),K164*$BI164),K164*$BI164),0)</f>
        <v>13.846153846153847</v>
      </c>
      <c r="BO164" s="5">
        <f ca="1">IF($BI164&lt;&gt;"",IF('Capacity summary'!$C$14="Yes",IF(COUNTBLANK('Capacity summary'!$H76:$BG76)&lt;52,IF('Capacity summary'!L76&lt;&gt;"",IF(LOWER('Capacity summary'!L76)="x",$BI164*L164,VALUE('Capacity summary'!L76)),0),L164*$BI164),L164*$BI164),0)</f>
        <v>13.846153846153847</v>
      </c>
      <c r="BP164" s="5">
        <f ca="1">IF($BI164&lt;&gt;"",IF('Capacity summary'!$C$14="Yes",IF(COUNTBLANK('Capacity summary'!$H76:$BG76)&lt;52,IF('Capacity summary'!M76&lt;&gt;"",IF(LOWER('Capacity summary'!M76)="x",$BI164*M164,VALUE('Capacity summary'!M76)),0),M164*$BI164),M164*$BI164),0)</f>
        <v>13.846153846153847</v>
      </c>
      <c r="BQ164" s="5">
        <f ca="1">IF($BI164&lt;&gt;"",IF('Capacity summary'!$C$14="Yes",IF(COUNTBLANK('Capacity summary'!$H76:$BG76)&lt;52,IF('Capacity summary'!N76&lt;&gt;"",IF(LOWER('Capacity summary'!N76)="x",$BI164*N164,VALUE('Capacity summary'!N76)),0),N164*$BI164),N164*$BI164),0)</f>
        <v>13.846153846153847</v>
      </c>
      <c r="BR164" s="5">
        <f ca="1">IF($BI164&lt;&gt;"",IF('Capacity summary'!$C$14="Yes",IF(COUNTBLANK('Capacity summary'!$H76:$BG76)&lt;52,IF('Capacity summary'!O76&lt;&gt;"",IF(LOWER('Capacity summary'!O76)="x",$BI164*O164,VALUE('Capacity summary'!O76)),0),O164*$BI164),O164*$BI164),0)</f>
        <v>13.846153846153847</v>
      </c>
      <c r="BS164" s="5">
        <f ca="1">IF($BI164&lt;&gt;"",IF('Capacity summary'!$C$14="Yes",IF(COUNTBLANK('Capacity summary'!$H76:$BG76)&lt;52,IF('Capacity summary'!P76&lt;&gt;"",IF(LOWER('Capacity summary'!P76)="x",$BI164*P164,VALUE('Capacity summary'!P76)),0),P164*$BI164),P164*$BI164),0)</f>
        <v>13.846153846153847</v>
      </c>
      <c r="BT164" s="5">
        <f ca="1">IF($BI164&lt;&gt;"",IF('Capacity summary'!$C$14="Yes",IF(COUNTBLANK('Capacity summary'!$H76:$BG76)&lt;52,IF('Capacity summary'!Q76&lt;&gt;"",IF(LOWER('Capacity summary'!Q76)="x",$BI164*Q164,VALUE('Capacity summary'!Q76)),0),Q164*$BI164),Q164*$BI164),0)</f>
        <v>13.846153846153847</v>
      </c>
      <c r="BU164" s="5">
        <f ca="1">IF($BI164&lt;&gt;"",IF('Capacity summary'!$C$14="Yes",IF(COUNTBLANK('Capacity summary'!$H76:$BG76)&lt;52,IF('Capacity summary'!R76&lt;&gt;"",IF(LOWER('Capacity summary'!R76)="x",$BI164*R164,VALUE('Capacity summary'!R76)),0),R164*$BI164),R164*$BI164),0)</f>
        <v>13.846153846153847</v>
      </c>
      <c r="BV164" s="5">
        <f ca="1">IF($BI164&lt;&gt;"",IF('Capacity summary'!$C$14="Yes",IF(COUNTBLANK('Capacity summary'!$H76:$BG76)&lt;52,IF('Capacity summary'!S76&lt;&gt;"",IF(LOWER('Capacity summary'!S76)="x",$BI164*S164,VALUE('Capacity summary'!S76)),0),S164*$BI164),S164*$BI164),0)</f>
        <v>13.846153846153847</v>
      </c>
      <c r="BW164" s="5">
        <f ca="1">IF($BI164&lt;&gt;"",IF('Capacity summary'!$C$14="Yes",IF(COUNTBLANK('Capacity summary'!$H76:$BG76)&lt;52,IF('Capacity summary'!T76&lt;&gt;"",IF(LOWER('Capacity summary'!T76)="x",$BI164*T164,VALUE('Capacity summary'!T76)),0),T164*$BI164),T164*$BI164),0)</f>
        <v>13.846153846153847</v>
      </c>
      <c r="BX164" s="5">
        <f ca="1">IF($BI164&lt;&gt;"",IF('Capacity summary'!$C$14="Yes",IF(COUNTBLANK('Capacity summary'!$H76:$BG76)&lt;52,IF('Capacity summary'!U76&lt;&gt;"",IF(LOWER('Capacity summary'!U76)="x",$BI164*U164,VALUE('Capacity summary'!U76)),0),U164*$BI164),U164*$BI164),0)</f>
        <v>13.846153846153847</v>
      </c>
      <c r="BY164" s="5">
        <f ca="1">IF($BI164&lt;&gt;"",IF('Capacity summary'!$C$14="Yes",IF(COUNTBLANK('Capacity summary'!$H76:$BG76)&lt;52,IF('Capacity summary'!V76&lt;&gt;"",IF(LOWER('Capacity summary'!V76)="x",$BI164*V164,VALUE('Capacity summary'!V76)),0),V164*$BI164),V164*$BI164),0)</f>
        <v>13.846153846153847</v>
      </c>
      <c r="BZ164" s="5">
        <f ca="1">IF($BI164&lt;&gt;"",IF('Capacity summary'!$C$14="Yes",IF(COUNTBLANK('Capacity summary'!$H76:$BG76)&lt;52,IF('Capacity summary'!W76&lt;&gt;"",IF(LOWER('Capacity summary'!W76)="x",$BI164*W164,VALUE('Capacity summary'!W76)),0),W164*$BI164),W164*$BI164),0)</f>
        <v>13.846153846153847</v>
      </c>
      <c r="CA164" s="5">
        <f ca="1">IF($BI164&lt;&gt;"",IF('Capacity summary'!$C$14="Yes",IF(COUNTBLANK('Capacity summary'!$H76:$BG76)&lt;52,IF('Capacity summary'!X76&lt;&gt;"",IF(LOWER('Capacity summary'!X76)="x",$BI164*X164,VALUE('Capacity summary'!X76)),0),X164*$BI164),X164*$BI164),0)</f>
        <v>13.846153846153847</v>
      </c>
      <c r="CB164" s="5">
        <f ca="1">IF($BI164&lt;&gt;"",IF('Capacity summary'!$C$14="Yes",IF(COUNTBLANK('Capacity summary'!$H76:$BG76)&lt;52,IF('Capacity summary'!Y76&lt;&gt;"",IF(LOWER('Capacity summary'!Y76)="x",$BI164*Y164,VALUE('Capacity summary'!Y76)),0),Y164*$BI164),Y164*$BI164),0)</f>
        <v>13.846153846153847</v>
      </c>
      <c r="CC164" s="5">
        <f ca="1">IF($BI164&lt;&gt;"",IF('Capacity summary'!$C$14="Yes",IF(COUNTBLANK('Capacity summary'!$H76:$BG76)&lt;52,IF('Capacity summary'!Z76&lt;&gt;"",IF(LOWER('Capacity summary'!Z76)="x",$BI164*Z164,VALUE('Capacity summary'!Z76)),0),Z164*$BI164),Z164*$BI164),0)</f>
        <v>13.846153846153847</v>
      </c>
      <c r="CD164" s="5">
        <f ca="1">IF($BI164&lt;&gt;"",IF('Capacity summary'!$C$14="Yes",IF(COUNTBLANK('Capacity summary'!$H76:$BG76)&lt;52,IF('Capacity summary'!AA76&lt;&gt;"",IF(LOWER('Capacity summary'!AA76)="x",$BI164*AA164,VALUE('Capacity summary'!AA76)),0),AA164*$BI164),AA164*$BI164),0)</f>
        <v>13.846153846153847</v>
      </c>
      <c r="CE164" s="5">
        <f ca="1">IF($BI164&lt;&gt;"",IF('Capacity summary'!$C$14="Yes",IF(COUNTBLANK('Capacity summary'!$H76:$BG76)&lt;52,IF('Capacity summary'!AB76&lt;&gt;"",IF(LOWER('Capacity summary'!AB76)="x",$BI164*AB164,VALUE('Capacity summary'!AB76)),0),AB164*$BI164),AB164*$BI164),0)</f>
        <v>13.846153846153847</v>
      </c>
      <c r="CF164" s="5">
        <f ca="1">IF($BI164&lt;&gt;"",IF('Capacity summary'!$C$14="Yes",IF(COUNTBLANK('Capacity summary'!$H76:$BG76)&lt;52,IF('Capacity summary'!AC76&lt;&gt;"",IF(LOWER('Capacity summary'!AC76)="x",$BI164*AC164,VALUE('Capacity summary'!AC76)),0),AC164*$BI164),AC164*$BI164),0)</f>
        <v>13.846153846153847</v>
      </c>
      <c r="CG164" s="5">
        <f ca="1">IF($BI164&lt;&gt;"",IF('Capacity summary'!$C$14="Yes",IF(COUNTBLANK('Capacity summary'!$H76:$BG76)&lt;52,IF('Capacity summary'!AD76&lt;&gt;"",IF(LOWER('Capacity summary'!AD76)="x",$BI164*AD164,VALUE('Capacity summary'!AD76)),0),AD164*$BI164),AD164*$BI164),0)</f>
        <v>13.846153846153847</v>
      </c>
      <c r="CH164" s="5">
        <f ca="1">IF($BI164&lt;&gt;"",IF('Capacity summary'!$C$14="Yes",IF(COUNTBLANK('Capacity summary'!$H76:$BG76)&lt;52,IF('Capacity summary'!AE76&lt;&gt;"",IF(LOWER('Capacity summary'!AE76)="x",$BI164*AE164,VALUE('Capacity summary'!AE76)),0),AE164*$BI164),AE164*$BI164),0)</f>
        <v>13.846153846153847</v>
      </c>
      <c r="CI164" s="5">
        <f ca="1">IF($BI164&lt;&gt;"",IF('Capacity summary'!$C$14="Yes",IF(COUNTBLANK('Capacity summary'!$H76:$BG76)&lt;52,IF('Capacity summary'!AF76&lt;&gt;"",IF(LOWER('Capacity summary'!AF76)="x",$BI164*AF164,VALUE('Capacity summary'!AF76)),0),AF164*$BI164),AF164*$BI164),0)</f>
        <v>13.846153846153847</v>
      </c>
      <c r="CJ164" s="5">
        <f ca="1">IF($BI164&lt;&gt;"",IF('Capacity summary'!$C$14="Yes",IF(COUNTBLANK('Capacity summary'!$H76:$BG76)&lt;52,IF('Capacity summary'!AG76&lt;&gt;"",IF(LOWER('Capacity summary'!AG76)="x",$BI164*AG164,VALUE('Capacity summary'!AG76)),0),AG164*$BI164),AG164*$BI164),0)</f>
        <v>13.846153846153847</v>
      </c>
      <c r="CK164" s="5">
        <f ca="1">IF($BI164&lt;&gt;"",IF('Capacity summary'!$C$14="Yes",IF(COUNTBLANK('Capacity summary'!$H76:$BG76)&lt;52,IF('Capacity summary'!AH76&lt;&gt;"",IF(LOWER('Capacity summary'!AH76)="x",$BI164*AH164,VALUE('Capacity summary'!AH76)),0),AH164*$BI164),AH164*$BI164),0)</f>
        <v>13.846153846153847</v>
      </c>
      <c r="CL164" s="5">
        <f ca="1">IF($BI164&lt;&gt;"",IF('Capacity summary'!$C$14="Yes",IF(COUNTBLANK('Capacity summary'!$H76:$BG76)&lt;52,IF('Capacity summary'!AI76&lt;&gt;"",IF(LOWER('Capacity summary'!AI76)="x",$BI164*AI164,VALUE('Capacity summary'!AI76)),0),AI164*$BI164),AI164*$BI164),0)</f>
        <v>13.846153846153847</v>
      </c>
      <c r="CM164" s="5">
        <f ca="1">IF($BI164&lt;&gt;"",IF('Capacity summary'!$C$14="Yes",IF(COUNTBLANK('Capacity summary'!$H76:$BG76)&lt;52,IF('Capacity summary'!AJ76&lt;&gt;"",IF(LOWER('Capacity summary'!AJ76)="x",$BI164*AJ164,VALUE('Capacity summary'!AJ76)),0),AJ164*$BI164),AJ164*$BI164),0)</f>
        <v>13.846153846153847</v>
      </c>
      <c r="CN164" s="5">
        <f ca="1">IF($BI164&lt;&gt;"",IF('Capacity summary'!$C$14="Yes",IF(COUNTBLANK('Capacity summary'!$H76:$BG76)&lt;52,IF('Capacity summary'!AK76&lt;&gt;"",IF(LOWER('Capacity summary'!AK76)="x",$BI164*AK164,VALUE('Capacity summary'!AK76)),0),AK164*$BI164),AK164*$BI164),0)</f>
        <v>13.846153846153847</v>
      </c>
      <c r="CO164" s="5">
        <f ca="1">IF($BI164&lt;&gt;"",IF('Capacity summary'!$C$14="Yes",IF(COUNTBLANK('Capacity summary'!$H76:$BG76)&lt;52,IF('Capacity summary'!AL76&lt;&gt;"",IF(LOWER('Capacity summary'!AL76)="x",$BI164*AL164,VALUE('Capacity summary'!AL76)),0),AL164*$BI164),AL164*$BI164),0)</f>
        <v>13.846153846153847</v>
      </c>
      <c r="CP164" s="5">
        <f ca="1">IF($BI164&lt;&gt;"",IF('Capacity summary'!$C$14="Yes",IF(COUNTBLANK('Capacity summary'!$H76:$BG76)&lt;52,IF('Capacity summary'!AM76&lt;&gt;"",IF(LOWER('Capacity summary'!AM76)="x",$BI164*AM164,VALUE('Capacity summary'!AM76)),0),AM164*$BI164),AM164*$BI164),0)</f>
        <v>13.846153846153847</v>
      </c>
      <c r="CQ164" s="5">
        <f ca="1">IF($BI164&lt;&gt;"",IF('Capacity summary'!$C$14="Yes",IF(COUNTBLANK('Capacity summary'!$H76:$BG76)&lt;52,IF('Capacity summary'!AN76&lt;&gt;"",IF(LOWER('Capacity summary'!AN76)="x",$BI164*AN164,VALUE('Capacity summary'!AN76)),0),AN164*$BI164),AN164*$BI164),0)</f>
        <v>13.846153846153847</v>
      </c>
      <c r="CR164" s="5">
        <f ca="1">IF($BI164&lt;&gt;"",IF('Capacity summary'!$C$14="Yes",IF(COUNTBLANK('Capacity summary'!$H76:$BG76)&lt;52,IF('Capacity summary'!AO76&lt;&gt;"",IF(LOWER('Capacity summary'!AO76)="x",$BI164*AO164,VALUE('Capacity summary'!AO76)),0),AO164*$BI164),AO164*$BI164),0)</f>
        <v>13.846153846153847</v>
      </c>
      <c r="CS164" s="5">
        <f ca="1">IF($BI164&lt;&gt;"",IF('Capacity summary'!$C$14="Yes",IF(COUNTBLANK('Capacity summary'!$H76:$BG76)&lt;52,IF('Capacity summary'!AP76&lt;&gt;"",IF(LOWER('Capacity summary'!AP76)="x",$BI164*AP164,VALUE('Capacity summary'!AP76)),0),AP164*$BI164),AP164*$BI164),0)</f>
        <v>13.846153846153847</v>
      </c>
      <c r="CT164" s="5">
        <f ca="1">IF($BI164&lt;&gt;"",IF('Capacity summary'!$C$14="Yes",IF(COUNTBLANK('Capacity summary'!$H76:$BG76)&lt;52,IF('Capacity summary'!AQ76&lt;&gt;"",IF(LOWER('Capacity summary'!AQ76)="x",$BI164*AQ164,VALUE('Capacity summary'!AQ76)),0),AQ164*$BI164),AQ164*$BI164),0)</f>
        <v>13.846153846153847</v>
      </c>
      <c r="CU164" s="5">
        <f ca="1">IF($BI164&lt;&gt;"",IF('Capacity summary'!$C$14="Yes",IF(COUNTBLANK('Capacity summary'!$H76:$BG76)&lt;52,IF('Capacity summary'!AR76&lt;&gt;"",IF(LOWER('Capacity summary'!AR76)="x",$BI164*AR164,VALUE('Capacity summary'!AR76)),0),AR164*$BI164),AR164*$BI164),0)</f>
        <v>13.846153846153847</v>
      </c>
      <c r="CV164" s="5">
        <f ca="1">IF($BI164&lt;&gt;"",IF('Capacity summary'!$C$14="Yes",IF(COUNTBLANK('Capacity summary'!$H76:$BG76)&lt;52,IF('Capacity summary'!AS76&lt;&gt;"",IF(LOWER('Capacity summary'!AS76)="x",$BI164*AS164,VALUE('Capacity summary'!AS76)),0),AS164*$BI164),AS164*$BI164),0)</f>
        <v>13.846153846153847</v>
      </c>
      <c r="CW164" s="5">
        <f ca="1">IF($BI164&lt;&gt;"",IF('Capacity summary'!$C$14="Yes",IF(COUNTBLANK('Capacity summary'!$H76:$BG76)&lt;52,IF('Capacity summary'!AT76&lt;&gt;"",IF(LOWER('Capacity summary'!AT76)="x",$BI164*AT164,VALUE('Capacity summary'!AT76)),0),AT164*$BI164),AT164*$BI164),0)</f>
        <v>13.846153846153847</v>
      </c>
      <c r="CX164" s="5">
        <f ca="1">IF($BI164&lt;&gt;"",IF('Capacity summary'!$C$14="Yes",IF(COUNTBLANK('Capacity summary'!$H76:$BG76)&lt;52,IF('Capacity summary'!AU76&lt;&gt;"",IF(LOWER('Capacity summary'!AU76)="x",$BI164*AU164,VALUE('Capacity summary'!AU76)),0),AU164*$BI164),AU164*$BI164),0)</f>
        <v>13.846153846153847</v>
      </c>
      <c r="CY164" s="5">
        <f ca="1">IF($BI164&lt;&gt;"",IF('Capacity summary'!$C$14="Yes",IF(COUNTBLANK('Capacity summary'!$H76:$BG76)&lt;52,IF('Capacity summary'!AV76&lt;&gt;"",IF(LOWER('Capacity summary'!AV76)="x",$BI164*AV164,VALUE('Capacity summary'!AV76)),0),AV164*$BI164),AV164*$BI164),0)</f>
        <v>13.846153846153847</v>
      </c>
      <c r="CZ164" s="5">
        <f ca="1">IF($BI164&lt;&gt;"",IF('Capacity summary'!$C$14="Yes",IF(COUNTBLANK('Capacity summary'!$H76:$BG76)&lt;52,IF('Capacity summary'!AW76&lt;&gt;"",IF(LOWER('Capacity summary'!AW76)="x",$BI164*AW164,VALUE('Capacity summary'!AW76)),0),AW164*$BI164),AW164*$BI164),0)</f>
        <v>13.846153846153847</v>
      </c>
      <c r="DA164" s="5">
        <f ca="1">IF($BI164&lt;&gt;"",IF('Capacity summary'!$C$14="Yes",IF(COUNTBLANK('Capacity summary'!$H76:$BG76)&lt;52,IF('Capacity summary'!AX76&lt;&gt;"",IF(LOWER('Capacity summary'!AX76)="x",$BI164*AX164,VALUE('Capacity summary'!AX76)),0),AX164*$BI164),AX164*$BI164),0)</f>
        <v>13.846153846153847</v>
      </c>
      <c r="DB164" s="5">
        <f ca="1">IF($BI164&lt;&gt;"",IF('Capacity summary'!$C$14="Yes",IF(COUNTBLANK('Capacity summary'!$H76:$BG76)&lt;52,IF('Capacity summary'!AY76&lt;&gt;"",IF(LOWER('Capacity summary'!AY76)="x",$BI164*AY164,VALUE('Capacity summary'!AY76)),0),AY164*$BI164),AY164*$BI164),0)</f>
        <v>13.846153846153847</v>
      </c>
      <c r="DC164" s="5">
        <f ca="1">IF($BI164&lt;&gt;"",IF('Capacity summary'!$C$14="Yes",IF(COUNTBLANK('Capacity summary'!$H76:$BG76)&lt;52,IF('Capacity summary'!AZ76&lt;&gt;"",IF(LOWER('Capacity summary'!AZ76)="x",$BI164*AZ164,VALUE('Capacity summary'!AZ76)),0),AZ164*$BI164),AZ164*$BI164),0)</f>
        <v>13.846153846153847</v>
      </c>
      <c r="DD164" s="5">
        <f ca="1">IF($BI164&lt;&gt;"",IF('Capacity summary'!$C$14="Yes",IF(COUNTBLANK('Capacity summary'!$H76:$BG76)&lt;52,IF('Capacity summary'!BA76&lt;&gt;"",IF(LOWER('Capacity summary'!BA76)="x",$BI164*BA164,VALUE('Capacity summary'!BA76)),0),BA164*$BI164),BA164*$BI164),0)</f>
        <v>13.846153846153847</v>
      </c>
      <c r="DE164" s="5">
        <f ca="1">IF($BI164&lt;&gt;"",IF('Capacity summary'!$C$14="Yes",IF(COUNTBLANK('Capacity summary'!$H76:$BG76)&lt;52,IF('Capacity summary'!BB76&lt;&gt;"",IF(LOWER('Capacity summary'!BB76)="x",$BI164*BB164,VALUE('Capacity summary'!BB76)),0),BB164*$BI164),BB164*$BI164),0)</f>
        <v>13.846153846153847</v>
      </c>
      <c r="DF164" s="5">
        <f ca="1">IF($BI164&lt;&gt;"",IF('Capacity summary'!$C$14="Yes",IF(COUNTBLANK('Capacity summary'!$H76:$BG76)&lt;52,IF('Capacity summary'!BC76&lt;&gt;"",IF(LOWER('Capacity summary'!BC76)="x",$BI164*BC164,VALUE('Capacity summary'!BC76)),0),BC164*$BI164),BC164*$BI164),0)</f>
        <v>13.846153846153847</v>
      </c>
      <c r="DG164" s="5">
        <f ca="1">IF($BI164&lt;&gt;"",IF('Capacity summary'!$C$14="Yes",IF(COUNTBLANK('Capacity summary'!$H76:$BG76)&lt;52,IF('Capacity summary'!BD76&lt;&gt;"",IF(LOWER('Capacity summary'!BD76)="x",$BI164*BD164,VALUE('Capacity summary'!BD76)),0),BD164*$BI164),BD164*$BI164),0)</f>
        <v>13.846153846153847</v>
      </c>
      <c r="DH164" s="5">
        <f ca="1">IF($BI164&lt;&gt;"",IF('Capacity summary'!$C$14="Yes",IF(COUNTBLANK('Capacity summary'!$H76:$BG76)&lt;52,IF('Capacity summary'!BE76&lt;&gt;"",IF(LOWER('Capacity summary'!BE76)="x",$BI164*BE164,VALUE('Capacity summary'!BE76)),0),BE164*$BI164),BE164*$BI164),0)</f>
        <v>13.846153846153847</v>
      </c>
      <c r="DI164" s="5">
        <f ca="1">IF($BI164&lt;&gt;"",IF('Capacity summary'!$C$14="Yes",IF(COUNTBLANK('Capacity summary'!$H76:$BG76)&lt;52,IF('Capacity summary'!BF76&lt;&gt;"",IF(LOWER('Capacity summary'!BF76)="x",$BI164*BF164,VALUE('Capacity summary'!BF76)),0),BF164*$BI164),BF164*$BI164),0)</f>
        <v>13.846153846153847</v>
      </c>
      <c r="DJ164" s="5">
        <f ca="1">IF($BI164&lt;&gt;"",IF('Capacity summary'!$C$14="Yes",IF(COUNTBLANK('Capacity summary'!$H76:$BG76)&lt;52,IF('Capacity summary'!BG76&lt;&gt;"",IF(LOWER('Capacity summary'!BG76)="x",$BI164*BG164,VALUE('Capacity summary'!BG76)),0),BG164*$BI164),BG164*$BI164),0)</f>
        <v>13.846153846153847</v>
      </c>
      <c r="DK164" s="388">
        <f t="shared" ca="1" si="8"/>
        <v>13.846153846153847</v>
      </c>
      <c r="DL164" s="5">
        <f t="shared" ca="1" si="9"/>
        <v>719.99999999999977</v>
      </c>
    </row>
    <row r="165" spans="3:116" x14ac:dyDescent="0.2">
      <c r="C165" s="67" t="str">
        <f>ROW(A54)&amp;". "&amp;Capacity!N70</f>
        <v>54. 44431</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 ca="1">IF(ROW(A54)&lt;=Capacity!$M$16,IF('Capacity summary'!$C$14="No",SUM(H165:BG165),'Capacity summary'!$E77),0)</f>
        <v>52</v>
      </c>
      <c r="BI165" s="67">
        <f ca="1">IF(BH165&gt;0,IF(BH165&lt;Capacity!Q70,Capacity!R70,Capacity!T70/'Capacity calculation (hide)'!BH165),"")</f>
        <v>4.0384615384615383</v>
      </c>
      <c r="BJ165" s="5"/>
      <c r="BK165" s="5">
        <f ca="1">IF($BI165&lt;&gt;"",IF('Capacity summary'!$C$14="Yes",IF(COUNTBLANK('Capacity summary'!$H77:$BG77)&lt;52,IF('Capacity summary'!H77&lt;&gt;"",IF(LOWER('Capacity summary'!H77)="x",$BI165*H165,VALUE('Capacity summary'!H77)),0),H165*$BI165),H165*$BI165),0)</f>
        <v>4.0384615384615383</v>
      </c>
      <c r="BL165" s="5">
        <f ca="1">IF($BI165&lt;&gt;"",IF('Capacity summary'!$C$14="Yes",IF(COUNTBLANK('Capacity summary'!$H77:$BG77)&lt;52,IF('Capacity summary'!I77&lt;&gt;"",IF(LOWER('Capacity summary'!I77)="x",$BI165*I165,VALUE('Capacity summary'!I77)),0),I165*$BI165),I165*$BI165),0)</f>
        <v>4.0384615384615383</v>
      </c>
      <c r="BM165" s="5">
        <f ca="1">IF($BI165&lt;&gt;"",IF('Capacity summary'!$C$14="Yes",IF(COUNTBLANK('Capacity summary'!$H77:$BG77)&lt;52,IF('Capacity summary'!J77&lt;&gt;"",IF(LOWER('Capacity summary'!J77)="x",$BI165*J165,VALUE('Capacity summary'!J77)),0),J165*$BI165),J165*$BI165),0)</f>
        <v>4.0384615384615383</v>
      </c>
      <c r="BN165" s="5">
        <f ca="1">IF($BI165&lt;&gt;"",IF('Capacity summary'!$C$14="Yes",IF(COUNTBLANK('Capacity summary'!$H77:$BG77)&lt;52,IF('Capacity summary'!K77&lt;&gt;"",IF(LOWER('Capacity summary'!K77)="x",$BI165*K165,VALUE('Capacity summary'!K77)),0),K165*$BI165),K165*$BI165),0)</f>
        <v>4.0384615384615383</v>
      </c>
      <c r="BO165" s="5">
        <f ca="1">IF($BI165&lt;&gt;"",IF('Capacity summary'!$C$14="Yes",IF(COUNTBLANK('Capacity summary'!$H77:$BG77)&lt;52,IF('Capacity summary'!L77&lt;&gt;"",IF(LOWER('Capacity summary'!L77)="x",$BI165*L165,VALUE('Capacity summary'!L77)),0),L165*$BI165),L165*$BI165),0)</f>
        <v>4.0384615384615383</v>
      </c>
      <c r="BP165" s="5">
        <f ca="1">IF($BI165&lt;&gt;"",IF('Capacity summary'!$C$14="Yes",IF(COUNTBLANK('Capacity summary'!$H77:$BG77)&lt;52,IF('Capacity summary'!M77&lt;&gt;"",IF(LOWER('Capacity summary'!M77)="x",$BI165*M165,VALUE('Capacity summary'!M77)),0),M165*$BI165),M165*$BI165),0)</f>
        <v>4.0384615384615383</v>
      </c>
      <c r="BQ165" s="5">
        <f ca="1">IF($BI165&lt;&gt;"",IF('Capacity summary'!$C$14="Yes",IF(COUNTBLANK('Capacity summary'!$H77:$BG77)&lt;52,IF('Capacity summary'!N77&lt;&gt;"",IF(LOWER('Capacity summary'!N77)="x",$BI165*N165,VALUE('Capacity summary'!N77)),0),N165*$BI165),N165*$BI165),0)</f>
        <v>4.0384615384615383</v>
      </c>
      <c r="BR165" s="5">
        <f ca="1">IF($BI165&lt;&gt;"",IF('Capacity summary'!$C$14="Yes",IF(COUNTBLANK('Capacity summary'!$H77:$BG77)&lt;52,IF('Capacity summary'!O77&lt;&gt;"",IF(LOWER('Capacity summary'!O77)="x",$BI165*O165,VALUE('Capacity summary'!O77)),0),O165*$BI165),O165*$BI165),0)</f>
        <v>4.0384615384615383</v>
      </c>
      <c r="BS165" s="5">
        <f ca="1">IF($BI165&lt;&gt;"",IF('Capacity summary'!$C$14="Yes",IF(COUNTBLANK('Capacity summary'!$H77:$BG77)&lt;52,IF('Capacity summary'!P77&lt;&gt;"",IF(LOWER('Capacity summary'!P77)="x",$BI165*P165,VALUE('Capacity summary'!P77)),0),P165*$BI165),P165*$BI165),0)</f>
        <v>4.0384615384615383</v>
      </c>
      <c r="BT165" s="5">
        <f ca="1">IF($BI165&lt;&gt;"",IF('Capacity summary'!$C$14="Yes",IF(COUNTBLANK('Capacity summary'!$H77:$BG77)&lt;52,IF('Capacity summary'!Q77&lt;&gt;"",IF(LOWER('Capacity summary'!Q77)="x",$BI165*Q165,VALUE('Capacity summary'!Q77)),0),Q165*$BI165),Q165*$BI165),0)</f>
        <v>4.0384615384615383</v>
      </c>
      <c r="BU165" s="5">
        <f ca="1">IF($BI165&lt;&gt;"",IF('Capacity summary'!$C$14="Yes",IF(COUNTBLANK('Capacity summary'!$H77:$BG77)&lt;52,IF('Capacity summary'!R77&lt;&gt;"",IF(LOWER('Capacity summary'!R77)="x",$BI165*R165,VALUE('Capacity summary'!R77)),0),R165*$BI165),R165*$BI165),0)</f>
        <v>4.0384615384615383</v>
      </c>
      <c r="BV165" s="5">
        <f ca="1">IF($BI165&lt;&gt;"",IF('Capacity summary'!$C$14="Yes",IF(COUNTBLANK('Capacity summary'!$H77:$BG77)&lt;52,IF('Capacity summary'!S77&lt;&gt;"",IF(LOWER('Capacity summary'!S77)="x",$BI165*S165,VALUE('Capacity summary'!S77)),0),S165*$BI165),S165*$BI165),0)</f>
        <v>4.0384615384615383</v>
      </c>
      <c r="BW165" s="5">
        <f ca="1">IF($BI165&lt;&gt;"",IF('Capacity summary'!$C$14="Yes",IF(COUNTBLANK('Capacity summary'!$H77:$BG77)&lt;52,IF('Capacity summary'!T77&lt;&gt;"",IF(LOWER('Capacity summary'!T77)="x",$BI165*T165,VALUE('Capacity summary'!T77)),0),T165*$BI165),T165*$BI165),0)</f>
        <v>4.0384615384615383</v>
      </c>
      <c r="BX165" s="5">
        <f ca="1">IF($BI165&lt;&gt;"",IF('Capacity summary'!$C$14="Yes",IF(COUNTBLANK('Capacity summary'!$H77:$BG77)&lt;52,IF('Capacity summary'!U77&lt;&gt;"",IF(LOWER('Capacity summary'!U77)="x",$BI165*U165,VALUE('Capacity summary'!U77)),0),U165*$BI165),U165*$BI165),0)</f>
        <v>4.0384615384615383</v>
      </c>
      <c r="BY165" s="5">
        <f ca="1">IF($BI165&lt;&gt;"",IF('Capacity summary'!$C$14="Yes",IF(COUNTBLANK('Capacity summary'!$H77:$BG77)&lt;52,IF('Capacity summary'!V77&lt;&gt;"",IF(LOWER('Capacity summary'!V77)="x",$BI165*V165,VALUE('Capacity summary'!V77)),0),V165*$BI165),V165*$BI165),0)</f>
        <v>4.0384615384615383</v>
      </c>
      <c r="BZ165" s="5">
        <f ca="1">IF($BI165&lt;&gt;"",IF('Capacity summary'!$C$14="Yes",IF(COUNTBLANK('Capacity summary'!$H77:$BG77)&lt;52,IF('Capacity summary'!W77&lt;&gt;"",IF(LOWER('Capacity summary'!W77)="x",$BI165*W165,VALUE('Capacity summary'!W77)),0),W165*$BI165),W165*$BI165),0)</f>
        <v>4.0384615384615383</v>
      </c>
      <c r="CA165" s="5">
        <f ca="1">IF($BI165&lt;&gt;"",IF('Capacity summary'!$C$14="Yes",IF(COUNTBLANK('Capacity summary'!$H77:$BG77)&lt;52,IF('Capacity summary'!X77&lt;&gt;"",IF(LOWER('Capacity summary'!X77)="x",$BI165*X165,VALUE('Capacity summary'!X77)),0),X165*$BI165),X165*$BI165),0)</f>
        <v>4.0384615384615383</v>
      </c>
      <c r="CB165" s="5">
        <f ca="1">IF($BI165&lt;&gt;"",IF('Capacity summary'!$C$14="Yes",IF(COUNTBLANK('Capacity summary'!$H77:$BG77)&lt;52,IF('Capacity summary'!Y77&lt;&gt;"",IF(LOWER('Capacity summary'!Y77)="x",$BI165*Y165,VALUE('Capacity summary'!Y77)),0),Y165*$BI165),Y165*$BI165),0)</f>
        <v>4.0384615384615383</v>
      </c>
      <c r="CC165" s="5">
        <f ca="1">IF($BI165&lt;&gt;"",IF('Capacity summary'!$C$14="Yes",IF(COUNTBLANK('Capacity summary'!$H77:$BG77)&lt;52,IF('Capacity summary'!Z77&lt;&gt;"",IF(LOWER('Capacity summary'!Z77)="x",$BI165*Z165,VALUE('Capacity summary'!Z77)),0),Z165*$BI165),Z165*$BI165),0)</f>
        <v>4.0384615384615383</v>
      </c>
      <c r="CD165" s="5">
        <f ca="1">IF($BI165&lt;&gt;"",IF('Capacity summary'!$C$14="Yes",IF(COUNTBLANK('Capacity summary'!$H77:$BG77)&lt;52,IF('Capacity summary'!AA77&lt;&gt;"",IF(LOWER('Capacity summary'!AA77)="x",$BI165*AA165,VALUE('Capacity summary'!AA77)),0),AA165*$BI165),AA165*$BI165),0)</f>
        <v>4.0384615384615383</v>
      </c>
      <c r="CE165" s="5">
        <f ca="1">IF($BI165&lt;&gt;"",IF('Capacity summary'!$C$14="Yes",IF(COUNTBLANK('Capacity summary'!$H77:$BG77)&lt;52,IF('Capacity summary'!AB77&lt;&gt;"",IF(LOWER('Capacity summary'!AB77)="x",$BI165*AB165,VALUE('Capacity summary'!AB77)),0),AB165*$BI165),AB165*$BI165),0)</f>
        <v>4.0384615384615383</v>
      </c>
      <c r="CF165" s="5">
        <f ca="1">IF($BI165&lt;&gt;"",IF('Capacity summary'!$C$14="Yes",IF(COUNTBLANK('Capacity summary'!$H77:$BG77)&lt;52,IF('Capacity summary'!AC77&lt;&gt;"",IF(LOWER('Capacity summary'!AC77)="x",$BI165*AC165,VALUE('Capacity summary'!AC77)),0),AC165*$BI165),AC165*$BI165),0)</f>
        <v>4.0384615384615383</v>
      </c>
      <c r="CG165" s="5">
        <f ca="1">IF($BI165&lt;&gt;"",IF('Capacity summary'!$C$14="Yes",IF(COUNTBLANK('Capacity summary'!$H77:$BG77)&lt;52,IF('Capacity summary'!AD77&lt;&gt;"",IF(LOWER('Capacity summary'!AD77)="x",$BI165*AD165,VALUE('Capacity summary'!AD77)),0),AD165*$BI165),AD165*$BI165),0)</f>
        <v>4.0384615384615383</v>
      </c>
      <c r="CH165" s="5">
        <f ca="1">IF($BI165&lt;&gt;"",IF('Capacity summary'!$C$14="Yes",IF(COUNTBLANK('Capacity summary'!$H77:$BG77)&lt;52,IF('Capacity summary'!AE77&lt;&gt;"",IF(LOWER('Capacity summary'!AE77)="x",$BI165*AE165,VALUE('Capacity summary'!AE77)),0),AE165*$BI165),AE165*$BI165),0)</f>
        <v>4.0384615384615383</v>
      </c>
      <c r="CI165" s="5">
        <f ca="1">IF($BI165&lt;&gt;"",IF('Capacity summary'!$C$14="Yes",IF(COUNTBLANK('Capacity summary'!$H77:$BG77)&lt;52,IF('Capacity summary'!AF77&lt;&gt;"",IF(LOWER('Capacity summary'!AF77)="x",$BI165*AF165,VALUE('Capacity summary'!AF77)),0),AF165*$BI165),AF165*$BI165),0)</f>
        <v>4.0384615384615383</v>
      </c>
      <c r="CJ165" s="5">
        <f ca="1">IF($BI165&lt;&gt;"",IF('Capacity summary'!$C$14="Yes",IF(COUNTBLANK('Capacity summary'!$H77:$BG77)&lt;52,IF('Capacity summary'!AG77&lt;&gt;"",IF(LOWER('Capacity summary'!AG77)="x",$BI165*AG165,VALUE('Capacity summary'!AG77)),0),AG165*$BI165),AG165*$BI165),0)</f>
        <v>4.0384615384615383</v>
      </c>
      <c r="CK165" s="5">
        <f ca="1">IF($BI165&lt;&gt;"",IF('Capacity summary'!$C$14="Yes",IF(COUNTBLANK('Capacity summary'!$H77:$BG77)&lt;52,IF('Capacity summary'!AH77&lt;&gt;"",IF(LOWER('Capacity summary'!AH77)="x",$BI165*AH165,VALUE('Capacity summary'!AH77)),0),AH165*$BI165),AH165*$BI165),0)</f>
        <v>4.0384615384615383</v>
      </c>
      <c r="CL165" s="5">
        <f ca="1">IF($BI165&lt;&gt;"",IF('Capacity summary'!$C$14="Yes",IF(COUNTBLANK('Capacity summary'!$H77:$BG77)&lt;52,IF('Capacity summary'!AI77&lt;&gt;"",IF(LOWER('Capacity summary'!AI77)="x",$BI165*AI165,VALUE('Capacity summary'!AI77)),0),AI165*$BI165),AI165*$BI165),0)</f>
        <v>4.0384615384615383</v>
      </c>
      <c r="CM165" s="5">
        <f ca="1">IF($BI165&lt;&gt;"",IF('Capacity summary'!$C$14="Yes",IF(COUNTBLANK('Capacity summary'!$H77:$BG77)&lt;52,IF('Capacity summary'!AJ77&lt;&gt;"",IF(LOWER('Capacity summary'!AJ77)="x",$BI165*AJ165,VALUE('Capacity summary'!AJ77)),0),AJ165*$BI165),AJ165*$BI165),0)</f>
        <v>4.0384615384615383</v>
      </c>
      <c r="CN165" s="5">
        <f ca="1">IF($BI165&lt;&gt;"",IF('Capacity summary'!$C$14="Yes",IF(COUNTBLANK('Capacity summary'!$H77:$BG77)&lt;52,IF('Capacity summary'!AK77&lt;&gt;"",IF(LOWER('Capacity summary'!AK77)="x",$BI165*AK165,VALUE('Capacity summary'!AK77)),0),AK165*$BI165),AK165*$BI165),0)</f>
        <v>4.0384615384615383</v>
      </c>
      <c r="CO165" s="5">
        <f ca="1">IF($BI165&lt;&gt;"",IF('Capacity summary'!$C$14="Yes",IF(COUNTBLANK('Capacity summary'!$H77:$BG77)&lt;52,IF('Capacity summary'!AL77&lt;&gt;"",IF(LOWER('Capacity summary'!AL77)="x",$BI165*AL165,VALUE('Capacity summary'!AL77)),0),AL165*$BI165),AL165*$BI165),0)</f>
        <v>4.0384615384615383</v>
      </c>
      <c r="CP165" s="5">
        <f ca="1">IF($BI165&lt;&gt;"",IF('Capacity summary'!$C$14="Yes",IF(COUNTBLANK('Capacity summary'!$H77:$BG77)&lt;52,IF('Capacity summary'!AM77&lt;&gt;"",IF(LOWER('Capacity summary'!AM77)="x",$BI165*AM165,VALUE('Capacity summary'!AM77)),0),AM165*$BI165),AM165*$BI165),0)</f>
        <v>4.0384615384615383</v>
      </c>
      <c r="CQ165" s="5">
        <f ca="1">IF($BI165&lt;&gt;"",IF('Capacity summary'!$C$14="Yes",IF(COUNTBLANK('Capacity summary'!$H77:$BG77)&lt;52,IF('Capacity summary'!AN77&lt;&gt;"",IF(LOWER('Capacity summary'!AN77)="x",$BI165*AN165,VALUE('Capacity summary'!AN77)),0),AN165*$BI165),AN165*$BI165),0)</f>
        <v>4.0384615384615383</v>
      </c>
      <c r="CR165" s="5">
        <f ca="1">IF($BI165&lt;&gt;"",IF('Capacity summary'!$C$14="Yes",IF(COUNTBLANK('Capacity summary'!$H77:$BG77)&lt;52,IF('Capacity summary'!AO77&lt;&gt;"",IF(LOWER('Capacity summary'!AO77)="x",$BI165*AO165,VALUE('Capacity summary'!AO77)),0),AO165*$BI165),AO165*$BI165),0)</f>
        <v>4.0384615384615383</v>
      </c>
      <c r="CS165" s="5">
        <f ca="1">IF($BI165&lt;&gt;"",IF('Capacity summary'!$C$14="Yes",IF(COUNTBLANK('Capacity summary'!$H77:$BG77)&lt;52,IF('Capacity summary'!AP77&lt;&gt;"",IF(LOWER('Capacity summary'!AP77)="x",$BI165*AP165,VALUE('Capacity summary'!AP77)),0),AP165*$BI165),AP165*$BI165),0)</f>
        <v>4.0384615384615383</v>
      </c>
      <c r="CT165" s="5">
        <f ca="1">IF($BI165&lt;&gt;"",IF('Capacity summary'!$C$14="Yes",IF(COUNTBLANK('Capacity summary'!$H77:$BG77)&lt;52,IF('Capacity summary'!AQ77&lt;&gt;"",IF(LOWER('Capacity summary'!AQ77)="x",$BI165*AQ165,VALUE('Capacity summary'!AQ77)),0),AQ165*$BI165),AQ165*$BI165),0)</f>
        <v>4.0384615384615383</v>
      </c>
      <c r="CU165" s="5">
        <f ca="1">IF($BI165&lt;&gt;"",IF('Capacity summary'!$C$14="Yes",IF(COUNTBLANK('Capacity summary'!$H77:$BG77)&lt;52,IF('Capacity summary'!AR77&lt;&gt;"",IF(LOWER('Capacity summary'!AR77)="x",$BI165*AR165,VALUE('Capacity summary'!AR77)),0),AR165*$BI165),AR165*$BI165),0)</f>
        <v>4.0384615384615383</v>
      </c>
      <c r="CV165" s="5">
        <f ca="1">IF($BI165&lt;&gt;"",IF('Capacity summary'!$C$14="Yes",IF(COUNTBLANK('Capacity summary'!$H77:$BG77)&lt;52,IF('Capacity summary'!AS77&lt;&gt;"",IF(LOWER('Capacity summary'!AS77)="x",$BI165*AS165,VALUE('Capacity summary'!AS77)),0),AS165*$BI165),AS165*$BI165),0)</f>
        <v>4.0384615384615383</v>
      </c>
      <c r="CW165" s="5">
        <f ca="1">IF($BI165&lt;&gt;"",IF('Capacity summary'!$C$14="Yes",IF(COUNTBLANK('Capacity summary'!$H77:$BG77)&lt;52,IF('Capacity summary'!AT77&lt;&gt;"",IF(LOWER('Capacity summary'!AT77)="x",$BI165*AT165,VALUE('Capacity summary'!AT77)),0),AT165*$BI165),AT165*$BI165),0)</f>
        <v>4.0384615384615383</v>
      </c>
      <c r="CX165" s="5">
        <f ca="1">IF($BI165&lt;&gt;"",IF('Capacity summary'!$C$14="Yes",IF(COUNTBLANK('Capacity summary'!$H77:$BG77)&lt;52,IF('Capacity summary'!AU77&lt;&gt;"",IF(LOWER('Capacity summary'!AU77)="x",$BI165*AU165,VALUE('Capacity summary'!AU77)),0),AU165*$BI165),AU165*$BI165),0)</f>
        <v>4.0384615384615383</v>
      </c>
      <c r="CY165" s="5">
        <f ca="1">IF($BI165&lt;&gt;"",IF('Capacity summary'!$C$14="Yes",IF(COUNTBLANK('Capacity summary'!$H77:$BG77)&lt;52,IF('Capacity summary'!AV77&lt;&gt;"",IF(LOWER('Capacity summary'!AV77)="x",$BI165*AV165,VALUE('Capacity summary'!AV77)),0),AV165*$BI165),AV165*$BI165),0)</f>
        <v>4.0384615384615383</v>
      </c>
      <c r="CZ165" s="5">
        <f ca="1">IF($BI165&lt;&gt;"",IF('Capacity summary'!$C$14="Yes",IF(COUNTBLANK('Capacity summary'!$H77:$BG77)&lt;52,IF('Capacity summary'!AW77&lt;&gt;"",IF(LOWER('Capacity summary'!AW77)="x",$BI165*AW165,VALUE('Capacity summary'!AW77)),0),AW165*$BI165),AW165*$BI165),0)</f>
        <v>4.0384615384615383</v>
      </c>
      <c r="DA165" s="5">
        <f ca="1">IF($BI165&lt;&gt;"",IF('Capacity summary'!$C$14="Yes",IF(COUNTBLANK('Capacity summary'!$H77:$BG77)&lt;52,IF('Capacity summary'!AX77&lt;&gt;"",IF(LOWER('Capacity summary'!AX77)="x",$BI165*AX165,VALUE('Capacity summary'!AX77)),0),AX165*$BI165),AX165*$BI165),0)</f>
        <v>4.0384615384615383</v>
      </c>
      <c r="DB165" s="5">
        <f ca="1">IF($BI165&lt;&gt;"",IF('Capacity summary'!$C$14="Yes",IF(COUNTBLANK('Capacity summary'!$H77:$BG77)&lt;52,IF('Capacity summary'!AY77&lt;&gt;"",IF(LOWER('Capacity summary'!AY77)="x",$BI165*AY165,VALUE('Capacity summary'!AY77)),0),AY165*$BI165),AY165*$BI165),0)</f>
        <v>4.0384615384615383</v>
      </c>
      <c r="DC165" s="5">
        <f ca="1">IF($BI165&lt;&gt;"",IF('Capacity summary'!$C$14="Yes",IF(COUNTBLANK('Capacity summary'!$H77:$BG77)&lt;52,IF('Capacity summary'!AZ77&lt;&gt;"",IF(LOWER('Capacity summary'!AZ77)="x",$BI165*AZ165,VALUE('Capacity summary'!AZ77)),0),AZ165*$BI165),AZ165*$BI165),0)</f>
        <v>4.0384615384615383</v>
      </c>
      <c r="DD165" s="5">
        <f ca="1">IF($BI165&lt;&gt;"",IF('Capacity summary'!$C$14="Yes",IF(COUNTBLANK('Capacity summary'!$H77:$BG77)&lt;52,IF('Capacity summary'!BA77&lt;&gt;"",IF(LOWER('Capacity summary'!BA77)="x",$BI165*BA165,VALUE('Capacity summary'!BA77)),0),BA165*$BI165),BA165*$BI165),0)</f>
        <v>4.0384615384615383</v>
      </c>
      <c r="DE165" s="5">
        <f ca="1">IF($BI165&lt;&gt;"",IF('Capacity summary'!$C$14="Yes",IF(COUNTBLANK('Capacity summary'!$H77:$BG77)&lt;52,IF('Capacity summary'!BB77&lt;&gt;"",IF(LOWER('Capacity summary'!BB77)="x",$BI165*BB165,VALUE('Capacity summary'!BB77)),0),BB165*$BI165),BB165*$BI165),0)</f>
        <v>4.0384615384615383</v>
      </c>
      <c r="DF165" s="5">
        <f ca="1">IF($BI165&lt;&gt;"",IF('Capacity summary'!$C$14="Yes",IF(COUNTBLANK('Capacity summary'!$H77:$BG77)&lt;52,IF('Capacity summary'!BC77&lt;&gt;"",IF(LOWER('Capacity summary'!BC77)="x",$BI165*BC165,VALUE('Capacity summary'!BC77)),0),BC165*$BI165),BC165*$BI165),0)</f>
        <v>4.0384615384615383</v>
      </c>
      <c r="DG165" s="5">
        <f ca="1">IF($BI165&lt;&gt;"",IF('Capacity summary'!$C$14="Yes",IF(COUNTBLANK('Capacity summary'!$H77:$BG77)&lt;52,IF('Capacity summary'!BD77&lt;&gt;"",IF(LOWER('Capacity summary'!BD77)="x",$BI165*BD165,VALUE('Capacity summary'!BD77)),0),BD165*$BI165),BD165*$BI165),0)</f>
        <v>4.0384615384615383</v>
      </c>
      <c r="DH165" s="5">
        <f ca="1">IF($BI165&lt;&gt;"",IF('Capacity summary'!$C$14="Yes",IF(COUNTBLANK('Capacity summary'!$H77:$BG77)&lt;52,IF('Capacity summary'!BE77&lt;&gt;"",IF(LOWER('Capacity summary'!BE77)="x",$BI165*BE165,VALUE('Capacity summary'!BE77)),0),BE165*$BI165),BE165*$BI165),0)</f>
        <v>4.0384615384615383</v>
      </c>
      <c r="DI165" s="5">
        <f ca="1">IF($BI165&lt;&gt;"",IF('Capacity summary'!$C$14="Yes",IF(COUNTBLANK('Capacity summary'!$H77:$BG77)&lt;52,IF('Capacity summary'!BF77&lt;&gt;"",IF(LOWER('Capacity summary'!BF77)="x",$BI165*BF165,VALUE('Capacity summary'!BF77)),0),BF165*$BI165),BF165*$BI165),0)</f>
        <v>4.0384615384615383</v>
      </c>
      <c r="DJ165" s="5">
        <f ca="1">IF($BI165&lt;&gt;"",IF('Capacity summary'!$C$14="Yes",IF(COUNTBLANK('Capacity summary'!$H77:$BG77)&lt;52,IF('Capacity summary'!BG77&lt;&gt;"",IF(LOWER('Capacity summary'!BG77)="x",$BI165*BG165,VALUE('Capacity summary'!BG77)),0),BG165*$BI165),BG165*$BI165),0)</f>
        <v>4.0384615384615383</v>
      </c>
      <c r="DK165" s="388">
        <f t="shared" ca="1" si="8"/>
        <v>4.0384615384615383</v>
      </c>
      <c r="DL165" s="5">
        <f t="shared" ca="1" si="9"/>
        <v>210.00000000000011</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88">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88">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88">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88">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88">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88">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88">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88">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88">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88">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88">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88">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88">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88">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88">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88">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88">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88">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88">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88">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88">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88">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88">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88">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88">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88">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88">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88">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88">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88">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88">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88">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88">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88">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88">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88">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88">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88">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88">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88">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88">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88">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88">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88">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88">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88">
        <f t="shared" si="10"/>
        <v>0</v>
      </c>
      <c r="DL211" s="5">
        <f t="shared" si="11"/>
        <v>0</v>
      </c>
    </row>
    <row r="212" spans="2:116" x14ac:dyDescent="0.2">
      <c r="B212" s="67"/>
    </row>
    <row r="213" spans="2:116" x14ac:dyDescent="0.2">
      <c r="B213" s="67"/>
    </row>
    <row r="214" spans="2:116" ht="15" x14ac:dyDescent="0.25">
      <c r="B214" s="67"/>
      <c r="BI214" s="305" t="s">
        <v>1111</v>
      </c>
      <c r="BK214">
        <f ca="1">SUMIFS(BK$112:BK$211,Capacity!$V$17:$V$116,"X")</f>
        <v>402.11538461538464</v>
      </c>
      <c r="BL214" s="67">
        <f ca="1">SUMIFS(BL$112:BL$211,Capacity!$V$17:$V$116,"X")</f>
        <v>402.11538461538464</v>
      </c>
      <c r="BM214" s="67">
        <f ca="1">SUMIFS(BM$112:BM$211,Capacity!$V$17:$V$116,"X")</f>
        <v>402.11538461538464</v>
      </c>
      <c r="BN214" s="67">
        <f ca="1">SUMIFS(BN$112:BN$211,Capacity!$V$17:$V$116,"X")</f>
        <v>402.11538461538464</v>
      </c>
      <c r="BO214" s="67">
        <f ca="1">SUMIFS(BO$112:BO$211,Capacity!$V$17:$V$116,"X")</f>
        <v>402.11538461538464</v>
      </c>
      <c r="BP214" s="67">
        <f ca="1">SUMIFS(BP$112:BP$211,Capacity!$V$17:$V$116,"X")</f>
        <v>402.11538461538464</v>
      </c>
      <c r="BQ214" s="67">
        <f ca="1">SUMIFS(BQ$112:BQ$211,Capacity!$V$17:$V$116,"X")</f>
        <v>402.11538461538464</v>
      </c>
      <c r="BR214" s="67">
        <f ca="1">SUMIFS(BR$112:BR$211,Capacity!$V$17:$V$116,"X")</f>
        <v>402.11538461538464</v>
      </c>
      <c r="BS214" s="67">
        <f ca="1">SUMIFS(BS$112:BS$211,Capacity!$V$17:$V$116,"X")</f>
        <v>402.11538461538464</v>
      </c>
      <c r="BT214" s="67">
        <f ca="1">SUMIFS(BT$112:BT$211,Capacity!$V$17:$V$116,"X")</f>
        <v>402.11538461538464</v>
      </c>
      <c r="BU214" s="67">
        <f ca="1">SUMIFS(BU$112:BU$211,Capacity!$V$17:$V$116,"X")</f>
        <v>402.11538461538464</v>
      </c>
      <c r="BV214" s="67">
        <f ca="1">SUMIFS(BV$112:BV$211,Capacity!$V$17:$V$116,"X")</f>
        <v>402.11538461538464</v>
      </c>
      <c r="BW214" s="67">
        <f ca="1">SUMIFS(BW$112:BW$211,Capacity!$V$17:$V$116,"X")</f>
        <v>402.11538461538464</v>
      </c>
      <c r="BX214" s="67">
        <f ca="1">SUMIFS(BX$112:BX$211,Capacity!$V$17:$V$116,"X")</f>
        <v>402.11538461538464</v>
      </c>
      <c r="BY214" s="67">
        <f ca="1">SUMIFS(BY$112:BY$211,Capacity!$V$17:$V$116,"X")</f>
        <v>402.11538461538464</v>
      </c>
      <c r="BZ214" s="67">
        <f ca="1">SUMIFS(BZ$112:BZ$211,Capacity!$V$17:$V$116,"X")</f>
        <v>402.11538461538464</v>
      </c>
      <c r="CA214" s="67">
        <f ca="1">SUMIFS(CA$112:CA$211,Capacity!$V$17:$V$116,"X")</f>
        <v>402.11538461538464</v>
      </c>
      <c r="CB214" s="67">
        <f ca="1">SUMIFS(CB$112:CB$211,Capacity!$V$17:$V$116,"X")</f>
        <v>402.11538461538464</v>
      </c>
      <c r="CC214" s="67">
        <f ca="1">SUMIFS(CC$112:CC$211,Capacity!$V$17:$V$116,"X")</f>
        <v>402.11538461538464</v>
      </c>
      <c r="CD214" s="67">
        <f ca="1">SUMIFS(CD$112:CD$211,Capacity!$V$17:$V$116,"X")</f>
        <v>402.11538461538464</v>
      </c>
      <c r="CE214" s="67">
        <f ca="1">SUMIFS(CE$112:CE$211,Capacity!$V$17:$V$116,"X")</f>
        <v>402.11538461538464</v>
      </c>
      <c r="CF214" s="67">
        <f ca="1">SUMIFS(CF$112:CF$211,Capacity!$V$17:$V$116,"X")</f>
        <v>402.11538461538464</v>
      </c>
      <c r="CG214" s="67">
        <f ca="1">SUMIFS(CG$112:CG$211,Capacity!$V$17:$V$116,"X")</f>
        <v>402.11538461538464</v>
      </c>
      <c r="CH214" s="67">
        <f ca="1">SUMIFS(CH$112:CH$211,Capacity!$V$17:$V$116,"X")</f>
        <v>402.11538461538464</v>
      </c>
      <c r="CI214" s="67">
        <f ca="1">SUMIFS(CI$112:CI$211,Capacity!$V$17:$V$116,"X")</f>
        <v>402.11538461538464</v>
      </c>
      <c r="CJ214" s="67">
        <f ca="1">SUMIFS(CJ$112:CJ$211,Capacity!$V$17:$V$116,"X")</f>
        <v>402.11538461538464</v>
      </c>
      <c r="CK214" s="67">
        <f ca="1">SUMIFS(CK$112:CK$211,Capacity!$V$17:$V$116,"X")</f>
        <v>402.11538461538464</v>
      </c>
      <c r="CL214" s="67">
        <f ca="1">SUMIFS(CL$112:CL$211,Capacity!$V$17:$V$116,"X")</f>
        <v>402.11538461538464</v>
      </c>
      <c r="CM214" s="67">
        <f ca="1">SUMIFS(CM$112:CM$211,Capacity!$V$17:$V$116,"X")</f>
        <v>402.11538461538464</v>
      </c>
      <c r="CN214" s="67">
        <f ca="1">SUMIFS(CN$112:CN$211,Capacity!$V$17:$V$116,"X")</f>
        <v>402.11538461538464</v>
      </c>
      <c r="CO214" s="67">
        <f ca="1">SUMIFS(CO$112:CO$211,Capacity!$V$17:$V$116,"X")</f>
        <v>402.11538461538464</v>
      </c>
      <c r="CP214" s="67">
        <f ca="1">SUMIFS(CP$112:CP$211,Capacity!$V$17:$V$116,"X")</f>
        <v>402.11538461538464</v>
      </c>
      <c r="CQ214" s="67">
        <f ca="1">SUMIFS(CQ$112:CQ$211,Capacity!$V$17:$V$116,"X")</f>
        <v>402.11538461538464</v>
      </c>
      <c r="CR214" s="67">
        <f ca="1">SUMIFS(CR$112:CR$211,Capacity!$V$17:$V$116,"X")</f>
        <v>402.11538461538464</v>
      </c>
      <c r="CS214" s="67">
        <f ca="1">SUMIFS(CS$112:CS$211,Capacity!$V$17:$V$116,"X")</f>
        <v>402.11538461538464</v>
      </c>
      <c r="CT214" s="67">
        <f ca="1">SUMIFS(CT$112:CT$211,Capacity!$V$17:$V$116,"X")</f>
        <v>402.11538461538464</v>
      </c>
      <c r="CU214" s="67">
        <f ca="1">SUMIFS(CU$112:CU$211,Capacity!$V$17:$V$116,"X")</f>
        <v>402.11538461538464</v>
      </c>
      <c r="CV214" s="67">
        <f ca="1">SUMIFS(CV$112:CV$211,Capacity!$V$17:$V$116,"X")</f>
        <v>402.11538461538464</v>
      </c>
      <c r="CW214" s="67">
        <f ca="1">SUMIFS(CW$112:CW$211,Capacity!$V$17:$V$116,"X")</f>
        <v>402.11538461538464</v>
      </c>
      <c r="CX214" s="67">
        <f ca="1">SUMIFS(CX$112:CX$211,Capacity!$V$17:$V$116,"X")</f>
        <v>402.11538461538464</v>
      </c>
      <c r="CY214" s="67">
        <f ca="1">SUMIFS(CY$112:CY$211,Capacity!$V$17:$V$116,"X")</f>
        <v>402.11538461538464</v>
      </c>
      <c r="CZ214" s="67">
        <f ca="1">SUMIFS(CZ$112:CZ$211,Capacity!$V$17:$V$116,"X")</f>
        <v>402.11538461538464</v>
      </c>
      <c r="DA214" s="67">
        <f ca="1">SUMIFS(DA$112:DA$211,Capacity!$V$17:$V$116,"X")</f>
        <v>402.11538461538464</v>
      </c>
      <c r="DB214" s="67">
        <f ca="1">SUMIFS(DB$112:DB$211,Capacity!$V$17:$V$116,"X")</f>
        <v>402.11538461538464</v>
      </c>
      <c r="DC214" s="67">
        <f ca="1">SUMIFS(DC$112:DC$211,Capacity!$V$17:$V$116,"X")</f>
        <v>402.11538461538464</v>
      </c>
      <c r="DD214" s="67">
        <f ca="1">SUMIFS(DD$112:DD$211,Capacity!$V$17:$V$116,"X")</f>
        <v>402.11538461538464</v>
      </c>
      <c r="DE214" s="67">
        <f ca="1">SUMIFS(DE$112:DE$211,Capacity!$V$17:$V$116,"X")</f>
        <v>402.11538461538464</v>
      </c>
      <c r="DF214" s="67">
        <f ca="1">SUMIFS(DF$112:DF$211,Capacity!$V$17:$V$116,"X")</f>
        <v>402.11538461538464</v>
      </c>
      <c r="DG214" s="67">
        <f ca="1">SUMIFS(DG$112:DG$211,Capacity!$V$17:$V$116,"X")</f>
        <v>402.11538461538464</v>
      </c>
      <c r="DH214" s="67">
        <f ca="1">SUMIFS(DH$112:DH$211,Capacity!$V$17:$V$116,"X")</f>
        <v>402.11538461538464</v>
      </c>
      <c r="DI214" s="67">
        <f ca="1">SUMIFS(DI$112:DI$211,Capacity!$V$17:$V$116,"X")</f>
        <v>402.11538461538464</v>
      </c>
      <c r="DJ214" s="67">
        <f ca="1">SUMIFS(DJ$112:DJ$211,Capacity!$V$17:$V$116,"X")</f>
        <v>402.11538461538464</v>
      </c>
      <c r="DK214" s="67">
        <f ca="1">SUMIFS(DK$112:DK$211,Capacity!$V$17:$V$116,"X")</f>
        <v>402.11538461538464</v>
      </c>
      <c r="DL214" s="67">
        <f ca="1">SUMIFS(DL$112:DL$211,Capacity!$V$17:$V$116,"X")</f>
        <v>20910</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395" t="s">
        <v>87</v>
      </c>
      <c r="D2" s="397"/>
      <c r="F2" s="240" t="str">
        <f ca="1">"On aggregate, 1 patient = "&amp;TEXT('Demand background (hide)'!$BN$16,"#.#")&amp;" "&amp;Setup!$I$17</f>
        <v>On aggregate, 1 patient = 15.9 Minutes</v>
      </c>
    </row>
    <row r="3" spans="1:15" x14ac:dyDescent="0.2">
      <c r="A3" t="s">
        <v>328</v>
      </c>
      <c r="C3" s="452">
        <v>52</v>
      </c>
      <c r="D3" s="453"/>
      <c r="F3" s="346" t="s">
        <v>326</v>
      </c>
    </row>
    <row r="4" spans="1:15" x14ac:dyDescent="0.2">
      <c r="A4" t="s">
        <v>14</v>
      </c>
      <c r="C4" s="395" t="s">
        <v>19</v>
      </c>
      <c r="D4" s="397"/>
    </row>
    <row r="5" spans="1:15" x14ac:dyDescent="0.2">
      <c r="K5" s="72"/>
    </row>
    <row r="6" spans="1:15" ht="14.65" customHeight="1" thickBot="1" x14ac:dyDescent="0.3">
      <c r="A6" s="102" t="s">
        <v>309</v>
      </c>
      <c r="B6" s="103"/>
      <c r="C6" s="103"/>
      <c r="D6" s="9"/>
      <c r="E6" s="466" t="s">
        <v>346</v>
      </c>
      <c r="F6" s="466"/>
      <c r="G6" s="63" t="s">
        <v>87</v>
      </c>
      <c r="H6" s="9" t="s">
        <v>88</v>
      </c>
      <c r="I6" s="9"/>
      <c r="K6" s="72"/>
    </row>
    <row r="7" spans="1:15" ht="15" thickBot="1" x14ac:dyDescent="0.25">
      <c r="A7" s="10"/>
      <c r="B7" s="11"/>
      <c r="C7" s="11"/>
      <c r="D7" s="9"/>
      <c r="E7" s="467" t="s">
        <v>214</v>
      </c>
      <c r="F7" s="461"/>
      <c r="G7" s="449"/>
      <c r="H7" s="436">
        <f ca="1">'Parameters calculator (hide)'!B25</f>
        <v>0</v>
      </c>
      <c r="I7" s="9"/>
    </row>
    <row r="8" spans="1:15" ht="15" thickBot="1" x14ac:dyDescent="0.25">
      <c r="A8" s="11"/>
      <c r="B8" s="11"/>
      <c r="C8" s="11"/>
      <c r="D8" s="12"/>
      <c r="E8" s="13"/>
      <c r="F8" s="14"/>
      <c r="G8" s="450"/>
      <c r="H8" s="437"/>
      <c r="I8" s="9"/>
    </row>
    <row r="9" spans="1:15" ht="15" thickBot="1" x14ac:dyDescent="0.25">
      <c r="A9" s="85" t="s">
        <v>338</v>
      </c>
      <c r="B9" s="456" t="str">
        <f ca="1">TEXT('Parameters calculator (hide)'!B19,"#,#")</f>
        <v>47,451</v>
      </c>
      <c r="C9" s="11"/>
      <c r="D9" s="12"/>
      <c r="E9" s="9"/>
      <c r="F9" s="9"/>
      <c r="G9" s="9"/>
      <c r="H9" s="9"/>
      <c r="I9" s="9"/>
    </row>
    <row r="10" spans="1:15" ht="15" thickBot="1" x14ac:dyDescent="0.25">
      <c r="A10" s="242" t="str">
        <f>"("&amp;$C$4&amp;")"</f>
        <v>(Patients)</v>
      </c>
      <c r="B10" s="457"/>
      <c r="C10" s="15"/>
      <c r="D10" s="16"/>
      <c r="E10" s="458" t="s">
        <v>348</v>
      </c>
      <c r="F10" s="459"/>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60" t="s">
        <v>89</v>
      </c>
      <c r="F11" s="461"/>
      <c r="G11" s="462"/>
      <c r="H11" s="436">
        <f ca="1">'Parameters calculator (hide)'!C25</f>
        <v>0</v>
      </c>
      <c r="I11" s="9"/>
      <c r="O11" s="369"/>
    </row>
    <row r="12" spans="1:15" ht="15" thickBot="1" x14ac:dyDescent="0.25">
      <c r="A12" s="91" t="str">
        <f ca="1">"normalised to "&amp;TEXT('Parameters calculator (hide)'!$B$18,"#")&amp;" wks"</f>
        <v>normalised to 52 wks</v>
      </c>
      <c r="B12" s="11"/>
      <c r="C12" s="17"/>
      <c r="D12" s="9"/>
      <c r="E12" s="18"/>
      <c r="F12" s="14"/>
      <c r="G12" s="463"/>
      <c r="H12" s="437"/>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64" t="s">
        <v>373</v>
      </c>
      <c r="D15" s="465"/>
      <c r="E15" s="20"/>
      <c r="F15" s="435" t="s">
        <v>399</v>
      </c>
      <c r="G15" s="435"/>
      <c r="H15" s="20"/>
      <c r="I15" s="64" t="s">
        <v>87</v>
      </c>
      <c r="J15" s="20" t="s">
        <v>88</v>
      </c>
      <c r="K15" s="20"/>
      <c r="L15" s="20"/>
    </row>
    <row r="16" spans="1:15" ht="15" thickBot="1" x14ac:dyDescent="0.25">
      <c r="B16" s="20"/>
      <c r="C16" s="438">
        <f ca="1">IF(B9-H7-H11+J16&lt;0, 0, B9-H7-H11+J16)</f>
        <v>47451</v>
      </c>
      <c r="D16" s="439"/>
      <c r="E16" s="20"/>
      <c r="F16" s="20" t="s">
        <v>92</v>
      </c>
      <c r="G16" s="20"/>
      <c r="H16" s="20"/>
      <c r="I16" s="442">
        <f>'Parameters calculator (hide)'!$H$24</f>
        <v>1</v>
      </c>
      <c r="J16" s="444">
        <f ca="1">'Parameters calculator (hide)'!H25</f>
        <v>0</v>
      </c>
      <c r="K16" s="20"/>
      <c r="L16" s="20"/>
    </row>
    <row r="17" spans="1:13" ht="15" thickBot="1" x14ac:dyDescent="0.25">
      <c r="B17" s="20"/>
      <c r="C17" s="440"/>
      <c r="D17" s="441"/>
      <c r="E17" s="22"/>
      <c r="F17" s="23"/>
      <c r="G17" s="23"/>
      <c r="H17" s="23"/>
      <c r="I17" s="443"/>
      <c r="J17" s="445"/>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46" t="s">
        <v>347</v>
      </c>
      <c r="F20" s="446"/>
      <c r="G20" s="64" t="s">
        <v>87</v>
      </c>
      <c r="H20" s="25" t="s">
        <v>88</v>
      </c>
      <c r="I20" s="25"/>
      <c r="J20" s="25"/>
      <c r="K20" s="26"/>
      <c r="L20" s="20"/>
    </row>
    <row r="21" spans="1:13" ht="15" thickBot="1" x14ac:dyDescent="0.25">
      <c r="B21" s="20"/>
      <c r="C21" s="20"/>
      <c r="D21" s="28"/>
      <c r="E21" s="447" t="s">
        <v>93</v>
      </c>
      <c r="F21" s="448"/>
      <c r="G21" s="449"/>
      <c r="H21" s="436">
        <f ca="1">'Parameters calculator (hide)'!E25</f>
        <v>0</v>
      </c>
      <c r="I21" s="29"/>
      <c r="J21" s="29"/>
      <c r="K21" s="21"/>
      <c r="L21" s="20"/>
    </row>
    <row r="22" spans="1:13" ht="15" thickBot="1" x14ac:dyDescent="0.25">
      <c r="B22" s="90"/>
      <c r="C22" s="26"/>
      <c r="D22" s="23"/>
      <c r="E22" s="23"/>
      <c r="F22" s="24"/>
      <c r="G22" s="450"/>
      <c r="H22" s="437"/>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51" t="s">
        <v>372</v>
      </c>
      <c r="B25" s="31"/>
      <c r="C25" s="32"/>
      <c r="D25" s="31"/>
      <c r="E25" s="31"/>
      <c r="F25" s="31"/>
      <c r="G25" s="31"/>
      <c r="H25" s="31"/>
      <c r="I25" s="32"/>
      <c r="J25" s="31"/>
      <c r="K25" s="31"/>
    </row>
    <row r="26" spans="1:13" ht="15" thickBot="1" x14ac:dyDescent="0.25">
      <c r="A26" s="451"/>
      <c r="B26" s="454">
        <f ca="1">'Parameters calculator (hide)'!B27</f>
        <v>47451</v>
      </c>
      <c r="C26" s="33"/>
      <c r="D26" s="31"/>
      <c r="E26" s="31"/>
      <c r="F26" s="31"/>
      <c r="G26" s="92"/>
      <c r="H26" s="31"/>
      <c r="I26" s="32" t="s">
        <v>87</v>
      </c>
      <c r="J26" s="31" t="s">
        <v>88</v>
      </c>
      <c r="K26" s="31"/>
    </row>
    <row r="27" spans="1:13" ht="15" thickBot="1" x14ac:dyDescent="0.25">
      <c r="A27" s="243" t="str">
        <f>"("&amp;$C$4&amp;")"</f>
        <v>(Patients)</v>
      </c>
      <c r="B27" s="455"/>
      <c r="C27" s="31"/>
      <c r="D27" s="31"/>
      <c r="E27" s="31"/>
      <c r="F27" s="83" t="s">
        <v>400</v>
      </c>
      <c r="G27" s="92"/>
      <c r="H27" s="31"/>
      <c r="I27" s="449"/>
      <c r="J27" s="436">
        <f ca="1">'Parameters calculator (hide)'!F25</f>
        <v>0</v>
      </c>
      <c r="K27" s="31"/>
    </row>
    <row r="28" spans="1:13" ht="15" thickBot="1" x14ac:dyDescent="0.25">
      <c r="A28" s="83"/>
      <c r="B28" s="31"/>
      <c r="C28" s="31"/>
      <c r="D28" s="31"/>
      <c r="E28" s="31"/>
      <c r="F28" s="31" t="s">
        <v>95</v>
      </c>
      <c r="G28" s="31"/>
      <c r="H28" s="31"/>
      <c r="I28" s="450"/>
      <c r="J28" s="437"/>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Slot A</v>
      </c>
      <c r="B9" s="214"/>
      <c r="C9" s="214"/>
      <c r="E9" s="214"/>
      <c r="G9" s="214"/>
    </row>
    <row r="10" spans="1:7" x14ac:dyDescent="0.2">
      <c r="A10" s="86" t="str">
        <f>IF(Setup!C28&lt;&gt;"",Setup!C28,"Modality "&amp;ROW(A2))</f>
        <v>Slot B</v>
      </c>
      <c r="B10" s="214"/>
      <c r="C10" s="214"/>
      <c r="E10" s="214"/>
      <c r="G10" s="214"/>
    </row>
    <row r="11" spans="1:7" x14ac:dyDescent="0.2">
      <c r="A11" s="86" t="str">
        <f>IF(Setup!C29&lt;&gt;"",Setup!C29,"Modality "&amp;ROW(A3))</f>
        <v>Cacrys</v>
      </c>
      <c r="B11" s="214"/>
      <c r="C11" s="214"/>
      <c r="E11" s="214"/>
      <c r="G11" s="214"/>
    </row>
    <row r="12" spans="1:7" x14ac:dyDescent="0.2">
      <c r="A12" s="86" t="str">
        <f>IF(Setup!C30&lt;&gt;"",Setup!C30,"Modality "&amp;ROW(A8))</f>
        <v>CT Colon</v>
      </c>
      <c r="B12" s="214"/>
      <c r="C12" s="214"/>
      <c r="E12" s="214"/>
      <c r="G12" s="214"/>
    </row>
    <row r="13" spans="1:7" x14ac:dyDescent="0.2">
      <c r="A13" s="86" t="str">
        <f>IF(Setup!C31&lt;&gt;"",Setup!C31,"Modality "&amp;ROW(A9))</f>
        <v>CT Biopsy</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1</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47451</v>
      </c>
      <c r="C21" s="95">
        <f ca="1">'Parameters calculator (hide)'!B19*'Parameters calculator (hide)'!E18</f>
        <v>753318</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dFHqV96Q1NdEgfPcBdGc/YEs5FyWFaS5zFqrLOSHxXMhcf5Q+CJH3nnX2tEvJIqq61TKKpdiNvwR/QM/kYj1lw==" saltValue="vTU2QDY/yeGKKOHCoGEj7w=="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f ca="1">C15/'Parameters calculator'!$C$21</f>
        <v>0</v>
      </c>
      <c r="E16" s="84">
        <f ca="1">E15/('Parameters calculator'!$C$21-C15)</f>
        <v>0</v>
      </c>
      <c r="G16" s="84">
        <f ca="1">G15/('Parameters calculator'!$C$21-C15)</f>
        <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15.875703357147373</v>
      </c>
      <c r="G18" s="67" t="s">
        <v>394</v>
      </c>
      <c r="H18" s="51" t="s">
        <v>501</v>
      </c>
    </row>
    <row r="19" spans="1:13" x14ac:dyDescent="0.2">
      <c r="A19" t="s">
        <v>329</v>
      </c>
      <c r="B19">
        <f ca="1">'Demand background (hide)'!$BM$18*'Parameters calculator (hide)'!$B$18*IF(OR(Parameters!C4="Patients",B34=1),1/E18,1)</f>
        <v>47451</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f ca="1">IF($B$34=2,IFERROR(B22/B19,NA()),C16)</f>
        <v>0</v>
      </c>
      <c r="C24" s="84">
        <f ca="1">IF($B$34=2,IFERROR(C22/(B19-B22),NA()),E16)</f>
        <v>0</v>
      </c>
      <c r="D24" s="47"/>
      <c r="E24" s="84">
        <f ca="1">IF($B$34=2,IFERROR(E22/(B19-B22),NA()),G16)</f>
        <v>0</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47451</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f ca="1">IF(B34=1,C16,B24)</f>
        <v>0</v>
      </c>
      <c r="C43" s="146">
        <f ca="1">(1-B43)</f>
        <v>1</v>
      </c>
      <c r="E43" s="148"/>
      <c r="G43" s="146"/>
    </row>
    <row r="44" spans="1:13" x14ac:dyDescent="0.2">
      <c r="A44" t="s">
        <v>336</v>
      </c>
      <c r="B44" s="100">
        <f ca="1">IF(B34=1,E16,C24)</f>
        <v>0</v>
      </c>
      <c r="C44" s="146">
        <f ca="1">B44</f>
        <v>0</v>
      </c>
      <c r="E44" s="146" t="s">
        <v>508</v>
      </c>
      <c r="G44" s="146"/>
      <c r="H44" s="67"/>
    </row>
    <row r="45" spans="1:13" x14ac:dyDescent="0.2">
      <c r="A45" t="s">
        <v>99</v>
      </c>
      <c r="B45" s="100">
        <f ca="1">IF(B34=1,G16,E24)</f>
        <v>0</v>
      </c>
      <c r="C45" s="146"/>
      <c r="E45" s="146" t="str">
        <f>IF(E42&gt;0,E42/(1-C44-(B45*B46))/C43,"")</f>
        <v/>
      </c>
      <c r="G45" s="146"/>
      <c r="H45" s="67"/>
    </row>
    <row r="46" spans="1:13" x14ac:dyDescent="0.2">
      <c r="A46" t="s">
        <v>337</v>
      </c>
      <c r="B46" s="100">
        <f ca="1">IF(B34=1,I16,F24)</f>
        <v>0</v>
      </c>
      <c r="C46" s="146">
        <f ca="1">B46*B45</f>
        <v>0</v>
      </c>
      <c r="E46" s="146"/>
      <c r="G46" s="146"/>
      <c r="H46" s="67"/>
    </row>
    <row r="47" spans="1:13" x14ac:dyDescent="0.2">
      <c r="A47" t="s">
        <v>406</v>
      </c>
      <c r="B47" s="100">
        <f ca="1">IF(B34=1,1-I16,1-F24)</f>
        <v>1</v>
      </c>
      <c r="C47" s="146">
        <f ca="1">B47*B45</f>
        <v>0</v>
      </c>
      <c r="D47" s="36"/>
      <c r="E47" s="146"/>
      <c r="F47" s="146"/>
      <c r="G47" s="146"/>
      <c r="H47" s="67"/>
    </row>
    <row r="51" spans="1:14" x14ac:dyDescent="0.2">
      <c r="A51" t="s">
        <v>407</v>
      </c>
      <c r="E51" t="s">
        <v>876</v>
      </c>
      <c r="F51" t="s">
        <v>413</v>
      </c>
      <c r="L51" t="s">
        <v>420</v>
      </c>
    </row>
    <row r="53" spans="1:14" x14ac:dyDescent="0.2">
      <c r="A53" t="s">
        <v>408</v>
      </c>
      <c r="B53" t="s">
        <v>148</v>
      </c>
      <c r="C53" t="s">
        <v>149</v>
      </c>
      <c r="D53" t="s">
        <v>882</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3</v>
      </c>
      <c r="C55" s="67">
        <f>Pathway!C8/IF(Pathway!$E8="Weeks",1,7)</f>
        <v>5</v>
      </c>
      <c r="D55" s="67">
        <f>Pathway!D8/IF(Pathway!$E8="Weeks",1,7)</f>
        <v>1</v>
      </c>
      <c r="E55" s="67">
        <f ca="1">IF(AND(Pathway!$H$5="Override",Pathway!$I$6=""),Pathway!H8,Pathway!G8)</f>
        <v>0.18299708755133956</v>
      </c>
      <c r="F55" s="5">
        <f ca="1">('Demand background (hide)'!$BM$18*E55*(B55+((C55-B55)/2)))</f>
        <v>10604.23076923077</v>
      </c>
      <c r="G55" s="67">
        <f ca="1">$C$47*E55*D55*'Demand background (hide)'!$BM$18</f>
        <v>0</v>
      </c>
      <c r="L55" s="67">
        <f t="shared" ref="L55:L57" si="0">B55</f>
        <v>3</v>
      </c>
      <c r="M55" s="67">
        <f t="shared" ref="M55:M57" si="1">C55-B55</f>
        <v>2</v>
      </c>
      <c r="N55" s="67">
        <f>D55</f>
        <v>1</v>
      </c>
    </row>
    <row r="56" spans="1:14" s="67" customFormat="1" x14ac:dyDescent="0.2">
      <c r="A56" s="67" t="str">
        <f>Setup!B23</f>
        <v>Urgent</v>
      </c>
      <c r="B56" s="67">
        <f>Pathway!B7/IF(Pathway!$E7="Weeks",1,7)</f>
        <v>2</v>
      </c>
      <c r="C56" s="67">
        <f>Pathway!C7/IF(Pathway!$E7="Weeks",1,7)</f>
        <v>3</v>
      </c>
      <c r="D56" s="67">
        <f>Pathway!D7/IF(Pathway!$E7="Weeks",1,7)</f>
        <v>1</v>
      </c>
      <c r="E56" s="67">
        <f ca="1">IF(AND(Pathway!$H$5="Override",Pathway!$I$6=""),Pathway!H7,Pathway!G7)</f>
        <v>0.67126233542806624</v>
      </c>
      <c r="F56" s="5">
        <f ca="1">('Demand background (hide)'!$BM$18*E56*(B56+((C56-B56)/2)))</f>
        <v>24311.25</v>
      </c>
      <c r="G56" s="67">
        <f ca="1">$C$47*E56*D56* 'Demand background (hide)'!$BM$18</f>
        <v>0</v>
      </c>
      <c r="L56" s="67">
        <f t="shared" si="0"/>
        <v>2</v>
      </c>
      <c r="M56" s="67">
        <f t="shared" si="1"/>
        <v>1</v>
      </c>
      <c r="N56" s="67">
        <f t="shared" ref="N56:N57" si="2">D56</f>
        <v>1</v>
      </c>
    </row>
    <row r="57" spans="1:14" x14ac:dyDescent="0.2">
      <c r="A57" t="str">
        <f>Setup!B22</f>
        <v>2WW</v>
      </c>
      <c r="B57">
        <f>Pathway!B6/IF(Pathway!$E6="Weeks",1,7)</f>
        <v>0</v>
      </c>
      <c r="C57" s="67">
        <f>Pathway!C6/IF(Pathway!$E6="Weeks",1,7)</f>
        <v>1</v>
      </c>
      <c r="D57" s="67">
        <f>Pathway!D6/IF(Pathway!$E6="Weeks",1,7)</f>
        <v>1</v>
      </c>
      <c r="E57" s="67">
        <f ca="1">IF(AND(Pathway!$H$5="Override",Pathway!$I$6=""),Pathway!H6,Pathway!G6)</f>
        <v>0.1457405770205942</v>
      </c>
      <c r="F57" s="5">
        <f ca="1">('Demand background (hide)'!$BM$18*E57*(B57+((C57-B57)/2)))</f>
        <v>1055.6634615384614</v>
      </c>
      <c r="G57" s="67">
        <f ca="1">$C$47*E57*D57*'Demand background (hide)'!$BM$18</f>
        <v>0</v>
      </c>
      <c r="L57" s="67">
        <f t="shared" si="0"/>
        <v>0</v>
      </c>
      <c r="M57" s="67">
        <f t="shared" si="1"/>
        <v>1</v>
      </c>
      <c r="N57" s="67">
        <f t="shared" si="2"/>
        <v>1</v>
      </c>
    </row>
    <row r="61" spans="1:14" x14ac:dyDescent="0.2">
      <c r="F61" s="5"/>
      <c r="H61" t="s">
        <v>165</v>
      </c>
      <c r="I61" t="s">
        <v>166</v>
      </c>
    </row>
    <row r="62" spans="1:14" x14ac:dyDescent="0.2">
      <c r="A62" t="s">
        <v>415</v>
      </c>
      <c r="F62" s="5">
        <f ca="1">SUM(F55:G57)</f>
        <v>35971.144230769227</v>
      </c>
      <c r="H62" s="5">
        <f ca="1">F62*0.95</f>
        <v>34172.587019230763</v>
      </c>
      <c r="I62" s="5">
        <f ca="1">F62*1.05</f>
        <v>37769.701442307691</v>
      </c>
    </row>
    <row r="63" spans="1:14" x14ac:dyDescent="0.2">
      <c r="A63" t="s">
        <v>416</v>
      </c>
      <c r="F63" s="5">
        <f ca="1">F62/E18</f>
        <v>2265.7984608017205</v>
      </c>
      <c r="H63" s="5">
        <f ca="1">F63*0.95</f>
        <v>2152.5085377616342</v>
      </c>
      <c r="I63" s="5">
        <f ca="1">F63*1.05</f>
        <v>2379.0883838418067</v>
      </c>
    </row>
    <row r="65" spans="1:10" x14ac:dyDescent="0.2">
      <c r="G65" t="str">
        <f>"Waiting list position ("&amp;LOWER(Summary!$C$8)&amp;")"</f>
        <v>Waiting list position (minutes)</v>
      </c>
    </row>
    <row r="66" spans="1:10" x14ac:dyDescent="0.2">
      <c r="A66" t="s">
        <v>417</v>
      </c>
      <c r="G66" t="s">
        <v>430</v>
      </c>
      <c r="H66" s="5">
        <f ca="1">IF(Summary!$C$8&lt;&gt;"Patients",H62,H63)</f>
        <v>34172.587019230763</v>
      </c>
      <c r="I66" s="5">
        <f ca="1">IF(Summary!$C$8&lt;&gt;"Patients",I62,I63)</f>
        <v>37769.701442307691</v>
      </c>
      <c r="J66" s="5">
        <f ca="1">I66-H66</f>
        <v>3597.1144230769278</v>
      </c>
    </row>
    <row r="67" spans="1:10" x14ac:dyDescent="0.2">
      <c r="B67" t="s">
        <v>429</v>
      </c>
      <c r="C67" t="s">
        <v>313</v>
      </c>
      <c r="G67" t="s">
        <v>431</v>
      </c>
      <c r="H67" s="5">
        <f ca="1">IF(Summary!$C$8&lt;&gt;"Patients",C79,B79)</f>
        <v>49770</v>
      </c>
    </row>
    <row r="68" spans="1:10" x14ac:dyDescent="0.2">
      <c r="A68" t="str">
        <f>Setup!C27</f>
        <v>Slot A</v>
      </c>
      <c r="B68" s="5">
        <f>IF(ROW(A1)&lt;=Num_Modalities,Setup!G27,0)</f>
        <v>1305</v>
      </c>
      <c r="C68" s="5">
        <f ca="1">Setup!G27*'Demand background (hide)'!BN6</f>
        <v>19575</v>
      </c>
      <c r="D68" s="67"/>
      <c r="I68" s="5"/>
    </row>
    <row r="69" spans="1:10" x14ac:dyDescent="0.2">
      <c r="A69" s="67" t="str">
        <f>Setup!C28</f>
        <v>Slot B</v>
      </c>
      <c r="B69" s="5">
        <f>IF(ROW(A2)&lt;=Num_Modalities,Setup!G28,0)</f>
        <v>1445</v>
      </c>
      <c r="C69" s="5">
        <f ca="1">Setup!G28*'Demand background (hide)'!BN7</f>
        <v>21675</v>
      </c>
      <c r="D69" s="67"/>
      <c r="G69" t="s">
        <v>307</v>
      </c>
      <c r="H69" t="str">
        <f ca="1">IF(H67&gt;I66,ROUND(H67-I66,0),0)&amp;" - "&amp;IF(H67&gt;H66,ROUND(H67-H66,0),0)</f>
        <v>12000 - 15597</v>
      </c>
    </row>
    <row r="70" spans="1:10" x14ac:dyDescent="0.2">
      <c r="A70" s="67" t="str">
        <f>Setup!C29</f>
        <v>Cacrys</v>
      </c>
      <c r="B70" s="5">
        <f>IF(ROW(A3)&lt;=Num_Modalities,Setup!G29,0)</f>
        <v>120</v>
      </c>
      <c r="C70" s="5">
        <f ca="1">Setup!G29*'Demand background (hide)'!BN8</f>
        <v>3600</v>
      </c>
      <c r="D70" s="67"/>
    </row>
    <row r="71" spans="1:10" x14ac:dyDescent="0.2">
      <c r="A71" s="67" t="str">
        <f>Setup!C30</f>
        <v>CT Colon</v>
      </c>
      <c r="B71" s="5">
        <f>IF(ROW(A4)&lt;=Num_Modalities,Setup!G30,0)</f>
        <v>164</v>
      </c>
      <c r="C71" s="5">
        <f ca="1">B71*'Demand background (hide)'!BN9</f>
        <v>4920</v>
      </c>
      <c r="D71" s="67"/>
      <c r="H71" s="5">
        <f ca="1">H67-H66</f>
        <v>15597.412980769237</v>
      </c>
      <c r="I71" s="5">
        <f ca="1">H67-I66</f>
        <v>12000.298557692309</v>
      </c>
    </row>
    <row r="72" spans="1:10" x14ac:dyDescent="0.2">
      <c r="A72" s="67" t="str">
        <f>Setup!C31</f>
        <v>CT Biopsy</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1</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3034</v>
      </c>
      <c r="C79" s="5">
        <f ca="1">SUM(OFFSET($C$68,0,0,Num_Modalities,1))</f>
        <v>49770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25" x14ac:dyDescent="0.2"/>
  <cols>
    <col min="7" max="7" width="8.75" style="67"/>
    <col min="13" max="13" width="8.75" style="67"/>
    <col min="65" max="65" width="8.75" style="67"/>
  </cols>
  <sheetData>
    <row r="1" spans="1:131" x14ac:dyDescent="0.2">
      <c r="A1">
        <v>0</v>
      </c>
      <c r="B1" t="s">
        <v>1247</v>
      </c>
      <c r="G1" s="67" t="s">
        <v>1249</v>
      </c>
      <c r="H1" t="s">
        <v>1248</v>
      </c>
      <c r="M1" s="67" t="s">
        <v>1249</v>
      </c>
      <c r="N1" t="s">
        <v>1247</v>
      </c>
      <c r="BN1" t="s">
        <v>1248</v>
      </c>
      <c r="EA1" t="s">
        <v>1293</v>
      </c>
    </row>
    <row r="2" spans="1:131" x14ac:dyDescent="0.2">
      <c r="G2"/>
      <c r="M2"/>
      <c r="BM2"/>
    </row>
    <row r="3" spans="1:131" x14ac:dyDescent="0.2">
      <c r="G3"/>
      <c r="M3"/>
      <c r="BM3"/>
    </row>
    <row r="4" spans="1:131" x14ac:dyDescent="0.2">
      <c r="G4"/>
      <c r="M4"/>
      <c r="BM4"/>
    </row>
    <row r="5" spans="1:131" x14ac:dyDescent="0.2">
      <c r="G5"/>
      <c r="M5"/>
      <c r="BM5"/>
    </row>
    <row r="6" spans="1:131" x14ac:dyDescent="0.2">
      <c r="G6"/>
      <c r="M6"/>
      <c r="BM6"/>
    </row>
    <row r="7" spans="1:131" x14ac:dyDescent="0.2">
      <c r="G7"/>
      <c r="M7"/>
      <c r="BM7"/>
    </row>
    <row r="8" spans="1:131" x14ac:dyDescent="0.2">
      <c r="G8"/>
      <c r="M8"/>
      <c r="BM8"/>
    </row>
    <row r="9" spans="1:131" x14ac:dyDescent="0.2">
      <c r="G9"/>
      <c r="M9"/>
      <c r="BM9"/>
    </row>
    <row r="10" spans="1:131" x14ac:dyDescent="0.2">
      <c r="G10"/>
      <c r="M10"/>
      <c r="BM10"/>
    </row>
    <row r="11" spans="1:131" x14ac:dyDescent="0.2">
      <c r="G11"/>
      <c r="M11"/>
      <c r="BM11"/>
    </row>
    <row r="12" spans="1:131" x14ac:dyDescent="0.2">
      <c r="G12"/>
      <c r="M12"/>
      <c r="BM12"/>
    </row>
    <row r="13" spans="1:131" x14ac:dyDescent="0.2">
      <c r="G13"/>
      <c r="M13"/>
      <c r="BM13"/>
    </row>
    <row r="14" spans="1:131" x14ac:dyDescent="0.2">
      <c r="G14"/>
      <c r="M14"/>
      <c r="BM14"/>
    </row>
    <row r="15" spans="1:131" x14ac:dyDescent="0.2">
      <c r="G15"/>
      <c r="M15"/>
      <c r="BM15"/>
    </row>
    <row r="16" spans="1:131" x14ac:dyDescent="0.2">
      <c r="G16"/>
      <c r="M16"/>
      <c r="BM16"/>
    </row>
    <row r="17" spans="7:65" x14ac:dyDescent="0.2">
      <c r="G17"/>
      <c r="M17"/>
      <c r="BM17"/>
    </row>
    <row r="18" spans="7:65" x14ac:dyDescent="0.2">
      <c r="G18"/>
      <c r="M18"/>
      <c r="BM18"/>
    </row>
    <row r="19" spans="7:65" x14ac:dyDescent="0.2">
      <c r="G19"/>
      <c r="M19"/>
      <c r="BM19"/>
    </row>
    <row r="20" spans="7:65" x14ac:dyDescent="0.2">
      <c r="G20"/>
      <c r="M20"/>
      <c r="BM20"/>
    </row>
    <row r="21" spans="7:65" x14ac:dyDescent="0.2">
      <c r="G21"/>
      <c r="M21"/>
      <c r="BM21"/>
    </row>
    <row r="22" spans="7:65" x14ac:dyDescent="0.2">
      <c r="G22"/>
      <c r="M22"/>
      <c r="BM22"/>
    </row>
    <row r="23" spans="7:65" x14ac:dyDescent="0.2">
      <c r="G23"/>
      <c r="M23"/>
      <c r="BM23"/>
    </row>
    <row r="24" spans="7:65" x14ac:dyDescent="0.2">
      <c r="G24"/>
      <c r="M24"/>
      <c r="BM24"/>
    </row>
    <row r="25" spans="7:65" x14ac:dyDescent="0.2">
      <c r="G25"/>
      <c r="M25"/>
      <c r="BM25"/>
    </row>
    <row r="26" spans="7:65" x14ac:dyDescent="0.2">
      <c r="G26"/>
      <c r="M26"/>
      <c r="BM26"/>
    </row>
    <row r="27" spans="7:65" x14ac:dyDescent="0.2">
      <c r="G27"/>
      <c r="M27"/>
      <c r="BM27"/>
    </row>
    <row r="28" spans="7:65" x14ac:dyDescent="0.2">
      <c r="G28"/>
      <c r="M28"/>
      <c r="BM28"/>
    </row>
    <row r="29" spans="7:65" x14ac:dyDescent="0.2">
      <c r="G29"/>
      <c r="M29"/>
      <c r="BM29"/>
    </row>
    <row r="30" spans="7:65" x14ac:dyDescent="0.2">
      <c r="G30"/>
      <c r="M30"/>
      <c r="BM30"/>
    </row>
    <row r="31" spans="7:65" x14ac:dyDescent="0.2">
      <c r="G31"/>
      <c r="M31"/>
      <c r="BM31"/>
    </row>
    <row r="32" spans="7:65" x14ac:dyDescent="0.2">
      <c r="G32"/>
      <c r="M32"/>
      <c r="BM32"/>
    </row>
    <row r="33" spans="7:65" x14ac:dyDescent="0.2">
      <c r="G33"/>
      <c r="M33"/>
      <c r="BM33"/>
    </row>
    <row r="34" spans="7:65" x14ac:dyDescent="0.2">
      <c r="G34"/>
      <c r="M34"/>
      <c r="BM34"/>
    </row>
    <row r="35" spans="7:65" x14ac:dyDescent="0.2">
      <c r="G35"/>
      <c r="M35"/>
      <c r="BM35"/>
    </row>
    <row r="36" spans="7:65" x14ac:dyDescent="0.2">
      <c r="G36"/>
      <c r="M36"/>
      <c r="BM36"/>
    </row>
    <row r="37" spans="7:65" x14ac:dyDescent="0.2">
      <c r="G37"/>
      <c r="M37"/>
      <c r="BM37"/>
    </row>
    <row r="38" spans="7:65" x14ac:dyDescent="0.2">
      <c r="G38"/>
      <c r="M38"/>
      <c r="BM38"/>
    </row>
    <row r="39" spans="7:65" x14ac:dyDescent="0.2">
      <c r="G39"/>
      <c r="M39"/>
      <c r="BM39"/>
    </row>
    <row r="40" spans="7:65" x14ac:dyDescent="0.2">
      <c r="G40"/>
      <c r="M40"/>
      <c r="BM40"/>
    </row>
    <row r="41" spans="7:65" x14ac:dyDescent="0.2">
      <c r="G41"/>
      <c r="M41"/>
      <c r="BM41"/>
    </row>
    <row r="42" spans="7:65" x14ac:dyDescent="0.2">
      <c r="G42"/>
      <c r="M42"/>
      <c r="BM42"/>
    </row>
    <row r="43" spans="7:65" x14ac:dyDescent="0.2">
      <c r="G43"/>
      <c r="M43"/>
      <c r="BM43"/>
    </row>
    <row r="44" spans="7:65" x14ac:dyDescent="0.2">
      <c r="G44"/>
      <c r="M44"/>
      <c r="BM44"/>
    </row>
    <row r="45" spans="7:65" x14ac:dyDescent="0.2">
      <c r="G45"/>
      <c r="M45"/>
      <c r="BM45"/>
    </row>
    <row r="46" spans="7:65" x14ac:dyDescent="0.2">
      <c r="G46"/>
      <c r="M46"/>
      <c r="BM46"/>
    </row>
    <row r="47" spans="7:65" x14ac:dyDescent="0.2">
      <c r="G47"/>
      <c r="M47"/>
      <c r="BM47"/>
    </row>
    <row r="48" spans="7:65" x14ac:dyDescent="0.2">
      <c r="G48"/>
      <c r="M48"/>
      <c r="BM48"/>
    </row>
    <row r="49" spans="7:65" x14ac:dyDescent="0.2">
      <c r="G49"/>
      <c r="M49"/>
      <c r="BM49"/>
    </row>
    <row r="50" spans="7:65" x14ac:dyDescent="0.2">
      <c r="G50"/>
      <c r="M50"/>
      <c r="BM50"/>
    </row>
    <row r="51" spans="7:65" x14ac:dyDescent="0.2">
      <c r="G51"/>
      <c r="M51"/>
      <c r="BM51"/>
    </row>
    <row r="52" spans="7:65" x14ac:dyDescent="0.2">
      <c r="G52"/>
      <c r="M52"/>
      <c r="BM52"/>
    </row>
    <row r="53" spans="7:65" x14ac:dyDescent="0.2">
      <c r="G53"/>
      <c r="M53"/>
      <c r="BM53"/>
    </row>
    <row r="54" spans="7:65" x14ac:dyDescent="0.2">
      <c r="G54"/>
      <c r="M54"/>
      <c r="BM54"/>
    </row>
    <row r="55" spans="7:65" x14ac:dyDescent="0.2">
      <c r="G55"/>
      <c r="M55"/>
      <c r="BM55"/>
    </row>
    <row r="56" spans="7:65" x14ac:dyDescent="0.2">
      <c r="G56"/>
      <c r="M56"/>
      <c r="BM56"/>
    </row>
    <row r="57" spans="7:65" x14ac:dyDescent="0.2">
      <c r="G57"/>
      <c r="M57"/>
      <c r="BM57"/>
    </row>
    <row r="58" spans="7:65" x14ac:dyDescent="0.2">
      <c r="G58"/>
      <c r="M58"/>
      <c r="BM58"/>
    </row>
    <row r="59" spans="7:65" x14ac:dyDescent="0.2">
      <c r="G59"/>
      <c r="M59"/>
      <c r="BM59"/>
    </row>
    <row r="60" spans="7:65" x14ac:dyDescent="0.2">
      <c r="G60"/>
      <c r="M60"/>
      <c r="BM60"/>
    </row>
    <row r="61" spans="7:65" x14ac:dyDescent="0.2">
      <c r="G61"/>
      <c r="M61"/>
      <c r="BM61"/>
    </row>
    <row r="62" spans="7:65" x14ac:dyDescent="0.2">
      <c r="G62"/>
      <c r="M62"/>
      <c r="BM62"/>
    </row>
    <row r="63" spans="7:65" x14ac:dyDescent="0.2">
      <c r="G63"/>
      <c r="M63"/>
      <c r="BM63"/>
    </row>
    <row r="64" spans="7:65" x14ac:dyDescent="0.2">
      <c r="G64"/>
      <c r="M64"/>
      <c r="BM64"/>
    </row>
    <row r="65" spans="7:65" x14ac:dyDescent="0.2">
      <c r="G65"/>
      <c r="M65"/>
      <c r="BM65"/>
    </row>
    <row r="66" spans="7:65" x14ac:dyDescent="0.2">
      <c r="G66"/>
      <c r="M66"/>
      <c r="BM66"/>
    </row>
    <row r="67" spans="7:65" x14ac:dyDescent="0.2">
      <c r="G67"/>
      <c r="M67"/>
      <c r="BM67"/>
    </row>
    <row r="68" spans="7:65" x14ac:dyDescent="0.2">
      <c r="G68"/>
      <c r="M68"/>
      <c r="BM68"/>
    </row>
    <row r="69" spans="7:65" x14ac:dyDescent="0.2">
      <c r="G69"/>
      <c r="M69"/>
      <c r="BM69"/>
    </row>
    <row r="70" spans="7:65" x14ac:dyDescent="0.2">
      <c r="G70"/>
      <c r="M70"/>
      <c r="BM70"/>
    </row>
    <row r="71" spans="7:65" x14ac:dyDescent="0.2">
      <c r="G71"/>
      <c r="M71"/>
      <c r="BM71"/>
    </row>
    <row r="72" spans="7:65" x14ac:dyDescent="0.2">
      <c r="G72"/>
      <c r="M72"/>
      <c r="BM72"/>
    </row>
    <row r="73" spans="7:65" x14ac:dyDescent="0.2">
      <c r="G73"/>
      <c r="M73"/>
      <c r="BM73"/>
    </row>
    <row r="74" spans="7:65" x14ac:dyDescent="0.2">
      <c r="G74"/>
      <c r="M74"/>
      <c r="BM74"/>
    </row>
    <row r="75" spans="7:65" x14ac:dyDescent="0.2">
      <c r="G75"/>
      <c r="M75"/>
      <c r="BM75"/>
    </row>
    <row r="76" spans="7:65" x14ac:dyDescent="0.2">
      <c r="G76"/>
      <c r="M76"/>
      <c r="BM76"/>
    </row>
    <row r="77" spans="7:65" x14ac:dyDescent="0.2">
      <c r="G77"/>
      <c r="M77"/>
      <c r="BM77"/>
    </row>
    <row r="78" spans="7:65" x14ac:dyDescent="0.2">
      <c r="G78"/>
      <c r="M78"/>
      <c r="BM78"/>
    </row>
    <row r="79" spans="7:65" x14ac:dyDescent="0.2">
      <c r="G79"/>
      <c r="M79"/>
      <c r="BM79"/>
    </row>
    <row r="80" spans="7:65" x14ac:dyDescent="0.2">
      <c r="G80"/>
      <c r="M80"/>
      <c r="BM80"/>
    </row>
    <row r="81" spans="7:65" x14ac:dyDescent="0.2">
      <c r="G81"/>
      <c r="M81"/>
      <c r="BM81"/>
    </row>
    <row r="82" spans="7:65" x14ac:dyDescent="0.2">
      <c r="G82"/>
      <c r="M82"/>
      <c r="BM82"/>
    </row>
    <row r="83" spans="7:65" x14ac:dyDescent="0.2">
      <c r="G83"/>
      <c r="M83"/>
      <c r="BM83"/>
    </row>
    <row r="84" spans="7:65" x14ac:dyDescent="0.2">
      <c r="G84"/>
      <c r="M84"/>
      <c r="BM84"/>
    </row>
    <row r="85" spans="7:65" x14ac:dyDescent="0.2">
      <c r="G85"/>
      <c r="M85"/>
      <c r="BM85"/>
    </row>
    <row r="86" spans="7:65" x14ac:dyDescent="0.2">
      <c r="G86"/>
      <c r="M86"/>
      <c r="BM86"/>
    </row>
    <row r="87" spans="7:65" x14ac:dyDescent="0.2">
      <c r="G87"/>
      <c r="M87"/>
      <c r="BM87"/>
    </row>
    <row r="88" spans="7:65" x14ac:dyDescent="0.2">
      <c r="G88"/>
      <c r="M88"/>
      <c r="BM88"/>
    </row>
    <row r="89" spans="7:65" x14ac:dyDescent="0.2">
      <c r="G89"/>
      <c r="M89"/>
      <c r="BM89"/>
    </row>
    <row r="90" spans="7:65" x14ac:dyDescent="0.2">
      <c r="G90"/>
      <c r="M90"/>
      <c r="BM90"/>
    </row>
    <row r="91" spans="7:65" x14ac:dyDescent="0.2">
      <c r="G91"/>
      <c r="M91"/>
      <c r="BM91"/>
    </row>
    <row r="92" spans="7:65" x14ac:dyDescent="0.2">
      <c r="G92"/>
      <c r="M92"/>
      <c r="BM92"/>
    </row>
    <row r="93" spans="7:65" x14ac:dyDescent="0.2">
      <c r="G93"/>
      <c r="M93"/>
      <c r="BM93"/>
    </row>
    <row r="94" spans="7:65" x14ac:dyDescent="0.2">
      <c r="G94"/>
      <c r="M94"/>
      <c r="BM94"/>
    </row>
    <row r="95" spans="7:65" x14ac:dyDescent="0.2">
      <c r="G95"/>
      <c r="M95"/>
      <c r="BM95"/>
    </row>
    <row r="96" spans="7:65" x14ac:dyDescent="0.2">
      <c r="G96"/>
      <c r="M96"/>
      <c r="BM96"/>
    </row>
    <row r="97" spans="7:65" x14ac:dyDescent="0.2">
      <c r="G97"/>
      <c r="M97"/>
      <c r="BM97"/>
    </row>
    <row r="98" spans="7:65" x14ac:dyDescent="0.2">
      <c r="G98"/>
      <c r="M98"/>
      <c r="BM98"/>
    </row>
    <row r="99" spans="7:65" x14ac:dyDescent="0.2">
      <c r="G99"/>
      <c r="M99"/>
      <c r="BM99"/>
    </row>
    <row r="100" spans="7:65" x14ac:dyDescent="0.2">
      <c r="G100"/>
      <c r="M100"/>
      <c r="BM100"/>
    </row>
    <row r="101" spans="7:65" x14ac:dyDescent="0.2">
      <c r="G101"/>
      <c r="M101"/>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spans="7:65" x14ac:dyDescent="0.2">
      <c r="G113"/>
      <c r="M113"/>
      <c r="BM113"/>
    </row>
    <row r="114" spans="7:65" x14ac:dyDescent="0.2">
      <c r="G114"/>
      <c r="M114"/>
      <c r="BM114"/>
    </row>
    <row r="115" spans="7:65" x14ac:dyDescent="0.2">
      <c r="G115"/>
      <c r="M115"/>
      <c r="BM115"/>
    </row>
    <row r="116" spans="7:65" x14ac:dyDescent="0.2">
      <c r="G116"/>
      <c r="M116"/>
      <c r="BM116"/>
    </row>
    <row r="117" spans="7:65" x14ac:dyDescent="0.2">
      <c r="G117"/>
      <c r="M117"/>
      <c r="BM117"/>
    </row>
    <row r="118" spans="7:65" x14ac:dyDescent="0.2">
      <c r="G118"/>
      <c r="M118"/>
      <c r="BM118"/>
    </row>
    <row r="119" spans="7:65" x14ac:dyDescent="0.2">
      <c r="G119"/>
      <c r="M119"/>
      <c r="BM119"/>
    </row>
    <row r="120" spans="7:65" x14ac:dyDescent="0.2">
      <c r="G120"/>
      <c r="M120"/>
      <c r="BM120"/>
    </row>
    <row r="121" spans="7:65" x14ac:dyDescent="0.2">
      <c r="G121"/>
      <c r="M121"/>
      <c r="BM121"/>
    </row>
    <row r="122" spans="7:65" x14ac:dyDescent="0.2">
      <c r="G122"/>
      <c r="M122"/>
      <c r="BM122"/>
    </row>
    <row r="123" spans="7:65" x14ac:dyDescent="0.2">
      <c r="G123"/>
      <c r="M123"/>
      <c r="BM123"/>
    </row>
    <row r="124" spans="7:65" x14ac:dyDescent="0.2">
      <c r="G124"/>
      <c r="M124"/>
      <c r="BM124"/>
    </row>
    <row r="125" spans="7:65" x14ac:dyDescent="0.2">
      <c r="G125"/>
      <c r="M125"/>
      <c r="BM125"/>
    </row>
    <row r="126" spans="7:65" x14ac:dyDescent="0.2">
      <c r="G126"/>
      <c r="M126"/>
      <c r="BM126"/>
    </row>
    <row r="127" spans="7:65" x14ac:dyDescent="0.2">
      <c r="G127"/>
      <c r="M127"/>
      <c r="BM127"/>
    </row>
    <row r="128" spans="7:65" x14ac:dyDescent="0.2">
      <c r="G128"/>
      <c r="M128"/>
      <c r="BM128"/>
    </row>
    <row r="129" spans="7:65" x14ac:dyDescent="0.2">
      <c r="G129"/>
      <c r="M129"/>
      <c r="BM129"/>
    </row>
    <row r="130" spans="7:65" x14ac:dyDescent="0.2">
      <c r="G130"/>
      <c r="M130"/>
      <c r="BM130"/>
    </row>
    <row r="131" spans="7:65" x14ac:dyDescent="0.2">
      <c r="G131"/>
      <c r="M131"/>
      <c r="BM131"/>
    </row>
    <row r="132" spans="7:65" x14ac:dyDescent="0.2">
      <c r="G132"/>
      <c r="M132"/>
      <c r="BM132"/>
    </row>
    <row r="133" spans="7:65" x14ac:dyDescent="0.2">
      <c r="G133"/>
      <c r="M133"/>
      <c r="BM133"/>
    </row>
    <row r="134" spans="7:65" x14ac:dyDescent="0.2">
      <c r="G134"/>
      <c r="M134"/>
      <c r="BM134"/>
    </row>
    <row r="135" spans="7:65" x14ac:dyDescent="0.2">
      <c r="G135"/>
      <c r="M135"/>
      <c r="BM135"/>
    </row>
    <row r="136" spans="7:65" x14ac:dyDescent="0.2">
      <c r="G136"/>
      <c r="M136"/>
      <c r="BM136"/>
    </row>
    <row r="137" spans="7:65" x14ac:dyDescent="0.2">
      <c r="G137"/>
      <c r="M137"/>
      <c r="BM137"/>
    </row>
    <row r="138" spans="7:65" x14ac:dyDescent="0.2">
      <c r="G138"/>
      <c r="M138"/>
      <c r="BM138"/>
    </row>
    <row r="139" spans="7:65" x14ac:dyDescent="0.2">
      <c r="G139"/>
      <c r="M139"/>
      <c r="BM139"/>
    </row>
    <row r="140" spans="7:65" x14ac:dyDescent="0.2">
      <c r="G140"/>
      <c r="M140"/>
      <c r="BM140"/>
    </row>
    <row r="141" spans="7:65" x14ac:dyDescent="0.2">
      <c r="G141"/>
      <c r="M141"/>
      <c r="BM141"/>
    </row>
    <row r="142" spans="7:65" x14ac:dyDescent="0.2">
      <c r="G142"/>
      <c r="M142"/>
      <c r="BM142"/>
    </row>
    <row r="143" spans="7:65" x14ac:dyDescent="0.2">
      <c r="G143"/>
      <c r="M143"/>
      <c r="BM143"/>
    </row>
    <row r="144" spans="7:65" x14ac:dyDescent="0.2">
      <c r="G144"/>
      <c r="M144"/>
      <c r="BM144"/>
    </row>
    <row r="145" spans="7:65" x14ac:dyDescent="0.2">
      <c r="G145"/>
      <c r="M145"/>
      <c r="BM145"/>
    </row>
    <row r="146" spans="7:65" x14ac:dyDescent="0.2">
      <c r="G146"/>
      <c r="M146"/>
      <c r="BM146"/>
    </row>
    <row r="147" spans="7:65" x14ac:dyDescent="0.2">
      <c r="G147"/>
      <c r="M147"/>
      <c r="BM147"/>
    </row>
    <row r="148" spans="7:65" x14ac:dyDescent="0.2">
      <c r="G148"/>
      <c r="M148"/>
      <c r="BM148"/>
    </row>
    <row r="149" spans="7:65" x14ac:dyDescent="0.2">
      <c r="G149"/>
      <c r="M149"/>
      <c r="BM149"/>
    </row>
    <row r="150" spans="7:65" x14ac:dyDescent="0.2">
      <c r="G150"/>
      <c r="M150"/>
      <c r="BM150"/>
    </row>
    <row r="151" spans="7:65" x14ac:dyDescent="0.2">
      <c r="G151"/>
      <c r="M151"/>
      <c r="BM151"/>
    </row>
    <row r="152" spans="7:65" x14ac:dyDescent="0.2">
      <c r="G152"/>
      <c r="M152"/>
      <c r="BM152"/>
    </row>
    <row r="153" spans="7:65" x14ac:dyDescent="0.2">
      <c r="G153"/>
      <c r="M153"/>
      <c r="BM153"/>
    </row>
    <row r="154" spans="7:65" x14ac:dyDescent="0.2">
      <c r="G154"/>
      <c r="M154"/>
      <c r="BM154"/>
    </row>
    <row r="155" spans="7:65" x14ac:dyDescent="0.2">
      <c r="G155"/>
      <c r="M155"/>
      <c r="BM155"/>
    </row>
    <row r="156" spans="7:65" x14ac:dyDescent="0.2">
      <c r="G156"/>
      <c r="M156"/>
      <c r="BM156"/>
    </row>
    <row r="157" spans="7:65" x14ac:dyDescent="0.2">
      <c r="G157"/>
      <c r="M157"/>
      <c r="BM157"/>
    </row>
    <row r="158" spans="7:65" x14ac:dyDescent="0.2">
      <c r="G158"/>
      <c r="M158"/>
      <c r="BM158"/>
    </row>
    <row r="159" spans="7:65" x14ac:dyDescent="0.2">
      <c r="G159"/>
      <c r="M159"/>
      <c r="BM159"/>
    </row>
    <row r="160" spans="7:65" x14ac:dyDescent="0.2">
      <c r="G160"/>
      <c r="M160"/>
      <c r="BM160"/>
    </row>
    <row r="161" spans="7:65" x14ac:dyDescent="0.2">
      <c r="G161"/>
      <c r="M161"/>
      <c r="BM161"/>
    </row>
    <row r="162" spans="7:65" x14ac:dyDescent="0.2">
      <c r="G162"/>
      <c r="M162"/>
      <c r="BM162"/>
    </row>
    <row r="163" spans="7:65" x14ac:dyDescent="0.2">
      <c r="G163"/>
      <c r="M163"/>
      <c r="BM163"/>
    </row>
    <row r="164" spans="7:65" x14ac:dyDescent="0.2">
      <c r="G164"/>
      <c r="M164"/>
      <c r="BM164"/>
    </row>
    <row r="165" spans="7:65" x14ac:dyDescent="0.2">
      <c r="G165"/>
      <c r="M165"/>
      <c r="BM165"/>
    </row>
    <row r="166" spans="7:65" x14ac:dyDescent="0.2">
      <c r="G166"/>
      <c r="M166"/>
      <c r="BM166"/>
    </row>
    <row r="167" spans="7:65" x14ac:dyDescent="0.2">
      <c r="G167"/>
      <c r="M167"/>
      <c r="BM167"/>
    </row>
    <row r="168" spans="7:65" x14ac:dyDescent="0.2">
      <c r="G168"/>
      <c r="M168"/>
      <c r="BM168"/>
    </row>
    <row r="169" spans="7:65" x14ac:dyDescent="0.2">
      <c r="G169"/>
      <c r="M169"/>
      <c r="BM169"/>
    </row>
    <row r="170" spans="7:65" x14ac:dyDescent="0.2">
      <c r="G170"/>
      <c r="M170"/>
      <c r="BM170"/>
    </row>
    <row r="171" spans="7:65" x14ac:dyDescent="0.2">
      <c r="G171"/>
      <c r="M171"/>
      <c r="BM171"/>
    </row>
    <row r="172" spans="7:65" x14ac:dyDescent="0.2">
      <c r="G172"/>
      <c r="M172"/>
      <c r="BM172"/>
    </row>
    <row r="173" spans="7:65" x14ac:dyDescent="0.2">
      <c r="G173"/>
      <c r="M173"/>
      <c r="BM173"/>
    </row>
    <row r="174" spans="7:65" x14ac:dyDescent="0.2">
      <c r="G174"/>
      <c r="M174"/>
      <c r="BM174"/>
    </row>
    <row r="175" spans="7:65" x14ac:dyDescent="0.2">
      <c r="G175"/>
      <c r="M175"/>
      <c r="BM175"/>
    </row>
    <row r="176" spans="7:65" x14ac:dyDescent="0.2">
      <c r="G176"/>
      <c r="M176"/>
      <c r="BM176"/>
    </row>
    <row r="177" spans="7:65" x14ac:dyDescent="0.2">
      <c r="G177"/>
      <c r="M177"/>
      <c r="BM177"/>
    </row>
    <row r="178" spans="7:65" x14ac:dyDescent="0.2">
      <c r="G178"/>
      <c r="M178"/>
      <c r="BM178"/>
    </row>
    <row r="179" spans="7:65" x14ac:dyDescent="0.2">
      <c r="G179"/>
      <c r="M179"/>
      <c r="BM179"/>
    </row>
    <row r="180" spans="7:65" x14ac:dyDescent="0.2">
      <c r="G180"/>
      <c r="M180"/>
      <c r="BM180"/>
    </row>
    <row r="181" spans="7:65" x14ac:dyDescent="0.2">
      <c r="G181"/>
      <c r="M181"/>
      <c r="BM181"/>
    </row>
    <row r="182" spans="7:65" x14ac:dyDescent="0.2">
      <c r="G182"/>
      <c r="M182"/>
      <c r="BM182"/>
    </row>
    <row r="183" spans="7:65" x14ac:dyDescent="0.2">
      <c r="G183"/>
      <c r="M183"/>
      <c r="BM183"/>
    </row>
    <row r="184" spans="7:65" x14ac:dyDescent="0.2">
      <c r="G184"/>
      <c r="M184"/>
      <c r="BM184"/>
    </row>
    <row r="185" spans="7:65" x14ac:dyDescent="0.2">
      <c r="G185"/>
      <c r="M185"/>
      <c r="BM185"/>
    </row>
    <row r="186" spans="7:65" x14ac:dyDescent="0.2">
      <c r="G186"/>
      <c r="M186"/>
      <c r="BM186"/>
    </row>
    <row r="187" spans="7:65" x14ac:dyDescent="0.2">
      <c r="G187"/>
      <c r="M187"/>
      <c r="BM187"/>
    </row>
    <row r="188" spans="7:65" x14ac:dyDescent="0.2">
      <c r="G188"/>
      <c r="M188"/>
      <c r="BM188"/>
    </row>
    <row r="189" spans="7:65" x14ac:dyDescent="0.2">
      <c r="G189"/>
      <c r="M189"/>
      <c r="BM189"/>
    </row>
    <row r="190" spans="7:65" x14ac:dyDescent="0.2">
      <c r="G190"/>
      <c r="M190"/>
      <c r="BM190"/>
    </row>
    <row r="191" spans="7:65" x14ac:dyDescent="0.2">
      <c r="G191"/>
      <c r="M191"/>
      <c r="BM191"/>
    </row>
    <row r="192" spans="7:65" x14ac:dyDescent="0.2">
      <c r="G192"/>
      <c r="M192"/>
      <c r="BM192"/>
    </row>
    <row r="193" spans="7:65" x14ac:dyDescent="0.2">
      <c r="G193"/>
      <c r="M193"/>
      <c r="BM193"/>
    </row>
    <row r="194" spans="7:65" x14ac:dyDescent="0.2">
      <c r="G194"/>
      <c r="M194"/>
      <c r="BM194"/>
    </row>
    <row r="195" spans="7:65" x14ac:dyDescent="0.2">
      <c r="G195"/>
      <c r="M195"/>
      <c r="BM195"/>
    </row>
    <row r="196" spans="7:65" x14ac:dyDescent="0.2">
      <c r="G196"/>
      <c r="M196"/>
      <c r="BM196"/>
    </row>
    <row r="197" spans="7:65" x14ac:dyDescent="0.2">
      <c r="G197"/>
      <c r="M197"/>
      <c r="BM197"/>
    </row>
    <row r="198" spans="7:65" x14ac:dyDescent="0.2">
      <c r="G198"/>
      <c r="M198"/>
      <c r="BM198"/>
    </row>
    <row r="199" spans="7:65" x14ac:dyDescent="0.2">
      <c r="G199"/>
      <c r="M199"/>
      <c r="BM199"/>
    </row>
    <row r="200" spans="7:65" x14ac:dyDescent="0.2">
      <c r="G200"/>
      <c r="M200"/>
      <c r="BM200"/>
    </row>
    <row r="201" spans="7:65" x14ac:dyDescent="0.2">
      <c r="G201"/>
      <c r="M201"/>
      <c r="BM201"/>
    </row>
    <row r="202" spans="7:65" x14ac:dyDescent="0.2">
      <c r="G202"/>
      <c r="M202"/>
      <c r="BM202"/>
    </row>
    <row r="203" spans="7:65" x14ac:dyDescent="0.2">
      <c r="G203"/>
      <c r="M203"/>
      <c r="BM203"/>
    </row>
    <row r="204" spans="7:65" x14ac:dyDescent="0.2">
      <c r="G204"/>
      <c r="M204"/>
      <c r="BM204"/>
    </row>
    <row r="205" spans="7:65" x14ac:dyDescent="0.2">
      <c r="G205"/>
      <c r="M205"/>
      <c r="BM205"/>
    </row>
    <row r="206" spans="7:65" x14ac:dyDescent="0.2">
      <c r="G206"/>
      <c r="M206"/>
      <c r="BM206"/>
    </row>
    <row r="207" spans="7:65" x14ac:dyDescent="0.2">
      <c r="G207"/>
      <c r="M207"/>
      <c r="BM207"/>
    </row>
    <row r="208" spans="7:65" x14ac:dyDescent="0.2">
      <c r="G208"/>
      <c r="M208"/>
      <c r="BM208"/>
    </row>
    <row r="209" spans="7:65" x14ac:dyDescent="0.2">
      <c r="G209"/>
      <c r="M209"/>
      <c r="BM209"/>
    </row>
    <row r="210" spans="7:65" x14ac:dyDescent="0.2">
      <c r="G210"/>
      <c r="M210"/>
      <c r="BM210"/>
    </row>
    <row r="211" spans="7:65" x14ac:dyDescent="0.2">
      <c r="G211"/>
      <c r="M211"/>
      <c r="BM211"/>
    </row>
    <row r="212" spans="7:65" x14ac:dyDescent="0.2">
      <c r="G212"/>
      <c r="M212"/>
      <c r="BM212"/>
    </row>
    <row r="213" spans="7:65" x14ac:dyDescent="0.2">
      <c r="G213"/>
      <c r="M213"/>
      <c r="BM213"/>
    </row>
    <row r="214" spans="7:65" x14ac:dyDescent="0.2">
      <c r="G214"/>
      <c r="M214"/>
      <c r="BM214"/>
    </row>
    <row r="215" spans="7:65" x14ac:dyDescent="0.2">
      <c r="G215"/>
      <c r="M215"/>
      <c r="BM215"/>
    </row>
    <row r="216" spans="7:65" x14ac:dyDescent="0.2">
      <c r="G216"/>
      <c r="M216"/>
      <c r="BM216"/>
    </row>
    <row r="217" spans="7:65" x14ac:dyDescent="0.2">
      <c r="G217"/>
      <c r="M217"/>
      <c r="BM217"/>
    </row>
    <row r="218" spans="7:65" x14ac:dyDescent="0.2">
      <c r="G218"/>
      <c r="M218"/>
      <c r="BM218"/>
    </row>
    <row r="219" spans="7:65" x14ac:dyDescent="0.2">
      <c r="G219"/>
      <c r="M219"/>
      <c r="BM219"/>
    </row>
    <row r="220" spans="7:65" x14ac:dyDescent="0.2">
      <c r="G220"/>
      <c r="M220"/>
      <c r="BM220"/>
    </row>
    <row r="221" spans="7:65" x14ac:dyDescent="0.2">
      <c r="G221"/>
      <c r="M221"/>
      <c r="BM221"/>
    </row>
    <row r="222" spans="7:65" x14ac:dyDescent="0.2">
      <c r="G222"/>
      <c r="M222"/>
      <c r="BM222"/>
    </row>
    <row r="223" spans="7:65" x14ac:dyDescent="0.2">
      <c r="G223"/>
      <c r="M223"/>
      <c r="BM223"/>
    </row>
    <row r="224" spans="7:65" x14ac:dyDescent="0.2">
      <c r="G224"/>
      <c r="M224"/>
      <c r="BM224"/>
    </row>
    <row r="225" spans="7:65" x14ac:dyDescent="0.2">
      <c r="G225"/>
      <c r="M225"/>
      <c r="BM225"/>
    </row>
    <row r="226" spans="7:65" x14ac:dyDescent="0.2">
      <c r="G226"/>
      <c r="M226"/>
      <c r="BM226"/>
    </row>
    <row r="227" spans="7:65" x14ac:dyDescent="0.2">
      <c r="G227"/>
      <c r="M227"/>
      <c r="BM227"/>
    </row>
    <row r="228" spans="7:65" x14ac:dyDescent="0.2">
      <c r="G228"/>
      <c r="M228"/>
      <c r="BM228"/>
    </row>
    <row r="229" spans="7:65" x14ac:dyDescent="0.2">
      <c r="G229"/>
      <c r="M229"/>
      <c r="BM229"/>
    </row>
    <row r="230" spans="7:65" x14ac:dyDescent="0.2">
      <c r="G230"/>
      <c r="M230"/>
      <c r="BM230"/>
    </row>
    <row r="231" spans="7:65" x14ac:dyDescent="0.2">
      <c r="G231"/>
      <c r="M231"/>
      <c r="BM231"/>
    </row>
    <row r="232" spans="7:65" x14ac:dyDescent="0.2">
      <c r="G232"/>
      <c r="M232"/>
      <c r="BM232"/>
    </row>
    <row r="233" spans="7:65" x14ac:dyDescent="0.2">
      <c r="G233"/>
      <c r="M233"/>
      <c r="BM233"/>
    </row>
    <row r="234" spans="7:65" x14ac:dyDescent="0.2">
      <c r="G234"/>
      <c r="M234"/>
      <c r="BM234"/>
    </row>
    <row r="235" spans="7:65" x14ac:dyDescent="0.2">
      <c r="G235"/>
      <c r="M235"/>
      <c r="BM235"/>
    </row>
    <row r="236" spans="7:65" x14ac:dyDescent="0.2">
      <c r="G236"/>
      <c r="M236"/>
      <c r="BM236"/>
    </row>
    <row r="237" spans="7:65" x14ac:dyDescent="0.2">
      <c r="G237"/>
      <c r="M237"/>
      <c r="BM237"/>
    </row>
    <row r="238" spans="7:65" x14ac:dyDescent="0.2">
      <c r="G238"/>
      <c r="M238"/>
      <c r="BM238"/>
    </row>
    <row r="239" spans="7:65" x14ac:dyDescent="0.2">
      <c r="G239"/>
      <c r="M239"/>
      <c r="BM239"/>
    </row>
    <row r="240" spans="7:65" x14ac:dyDescent="0.2">
      <c r="G240"/>
      <c r="M240"/>
      <c r="BM240"/>
    </row>
    <row r="241" spans="7:65" x14ac:dyDescent="0.2">
      <c r="G241"/>
      <c r="M241"/>
      <c r="BM241"/>
    </row>
    <row r="242" spans="7:65" x14ac:dyDescent="0.2">
      <c r="G242"/>
      <c r="M242"/>
      <c r="BM242"/>
    </row>
    <row r="243" spans="7:65" x14ac:dyDescent="0.2">
      <c r="G243"/>
      <c r="M243"/>
      <c r="BM243"/>
    </row>
    <row r="244" spans="7:65" x14ac:dyDescent="0.2">
      <c r="G244"/>
      <c r="M244"/>
      <c r="BM244"/>
    </row>
    <row r="245" spans="7:65" x14ac:dyDescent="0.2">
      <c r="G245"/>
      <c r="M245"/>
      <c r="BM245"/>
    </row>
    <row r="246" spans="7:65" x14ac:dyDescent="0.2">
      <c r="G246"/>
      <c r="M246"/>
      <c r="BM246"/>
    </row>
    <row r="247" spans="7:65" x14ac:dyDescent="0.2">
      <c r="G247"/>
      <c r="M247"/>
      <c r="BM247"/>
    </row>
    <row r="248" spans="7:65" x14ac:dyDescent="0.2">
      <c r="G248"/>
      <c r="M248"/>
      <c r="BM248"/>
    </row>
    <row r="249" spans="7:65" x14ac:dyDescent="0.2">
      <c r="G249"/>
      <c r="M249"/>
      <c r="BM249"/>
    </row>
    <row r="250" spans="7:65" x14ac:dyDescent="0.2">
      <c r="G250"/>
      <c r="M250"/>
      <c r="BM250"/>
    </row>
    <row r="251" spans="7:65" x14ac:dyDescent="0.2">
      <c r="G251"/>
      <c r="M251"/>
      <c r="BM251"/>
    </row>
    <row r="252" spans="7:65" x14ac:dyDescent="0.2">
      <c r="G252"/>
      <c r="M252"/>
      <c r="BM252"/>
    </row>
    <row r="253" spans="7:65" x14ac:dyDescent="0.2">
      <c r="G253"/>
      <c r="M253"/>
      <c r="BM253"/>
    </row>
    <row r="254" spans="7:65" x14ac:dyDescent="0.2">
      <c r="G254"/>
      <c r="M254"/>
      <c r="BM254"/>
    </row>
    <row r="255" spans="7:65" x14ac:dyDescent="0.2">
      <c r="G255"/>
      <c r="M255"/>
      <c r="BM255"/>
    </row>
    <row r="256" spans="7:65" x14ac:dyDescent="0.2">
      <c r="G256"/>
      <c r="M256"/>
      <c r="BM256"/>
    </row>
    <row r="257" spans="7:65" x14ac:dyDescent="0.2">
      <c r="G257"/>
      <c r="M257"/>
      <c r="BM257"/>
    </row>
    <row r="258" spans="7:65" x14ac:dyDescent="0.2">
      <c r="G258"/>
      <c r="M258"/>
      <c r="BM258"/>
    </row>
    <row r="259" spans="7:65" x14ac:dyDescent="0.2">
      <c r="G259"/>
      <c r="M259"/>
      <c r="BM259"/>
    </row>
    <row r="260" spans="7:65" x14ac:dyDescent="0.2">
      <c r="G260"/>
      <c r="M260"/>
      <c r="BM260"/>
    </row>
    <row r="261" spans="7:65" x14ac:dyDescent="0.2">
      <c r="G261"/>
      <c r="M261"/>
      <c r="BM261"/>
    </row>
    <row r="262" spans="7:65" x14ac:dyDescent="0.2">
      <c r="G262"/>
      <c r="M262"/>
      <c r="BM262"/>
    </row>
    <row r="263" spans="7:65" x14ac:dyDescent="0.2">
      <c r="G263"/>
      <c r="M263"/>
      <c r="BM263"/>
    </row>
    <row r="264" spans="7:65" x14ac:dyDescent="0.2">
      <c r="G264"/>
      <c r="M264"/>
      <c r="BM264"/>
    </row>
    <row r="265" spans="7:65" x14ac:dyDescent="0.2">
      <c r="G265"/>
      <c r="M265"/>
      <c r="BM265"/>
    </row>
    <row r="266" spans="7:65" x14ac:dyDescent="0.2">
      <c r="G266"/>
      <c r="M266"/>
      <c r="BM266"/>
    </row>
    <row r="267" spans="7:65" x14ac:dyDescent="0.2">
      <c r="G267"/>
      <c r="M267"/>
      <c r="BM267"/>
    </row>
    <row r="268" spans="7:65" x14ac:dyDescent="0.2">
      <c r="G268"/>
      <c r="M268"/>
      <c r="BM268"/>
    </row>
    <row r="269" spans="7:65" x14ac:dyDescent="0.2">
      <c r="G269"/>
      <c r="M269"/>
      <c r="BM269"/>
    </row>
    <row r="270" spans="7:65" x14ac:dyDescent="0.2">
      <c r="G270"/>
      <c r="M270"/>
      <c r="BM270"/>
    </row>
    <row r="271" spans="7:65" x14ac:dyDescent="0.2">
      <c r="G271"/>
      <c r="M271"/>
      <c r="BM271"/>
    </row>
    <row r="272" spans="7:65" x14ac:dyDescent="0.2">
      <c r="G272"/>
      <c r="M272"/>
      <c r="BM272"/>
    </row>
    <row r="273" spans="7:65" x14ac:dyDescent="0.2">
      <c r="G273"/>
      <c r="M273"/>
      <c r="BM273"/>
    </row>
    <row r="274" spans="7:65" x14ac:dyDescent="0.2">
      <c r="G274"/>
      <c r="M274"/>
      <c r="BM274"/>
    </row>
    <row r="275" spans="7:65" x14ac:dyDescent="0.2">
      <c r="G275"/>
      <c r="M275"/>
      <c r="BM275"/>
    </row>
    <row r="276" spans="7:65" x14ac:dyDescent="0.2">
      <c r="G276"/>
      <c r="M276"/>
      <c r="BM276"/>
    </row>
    <row r="277" spans="7:65" x14ac:dyDescent="0.2">
      <c r="G277"/>
      <c r="M277"/>
      <c r="BM277"/>
    </row>
    <row r="278" spans="7:65" x14ac:dyDescent="0.2">
      <c r="G278"/>
      <c r="M278"/>
      <c r="BM278"/>
    </row>
    <row r="279" spans="7:65" x14ac:dyDescent="0.2">
      <c r="G279"/>
      <c r="M279"/>
      <c r="BM279"/>
    </row>
    <row r="280" spans="7:65" x14ac:dyDescent="0.2">
      <c r="G280"/>
      <c r="M280"/>
      <c r="BM280"/>
    </row>
    <row r="281" spans="7:65" x14ac:dyDescent="0.2">
      <c r="G281"/>
      <c r="M281"/>
      <c r="BM281"/>
    </row>
    <row r="282" spans="7:65" x14ac:dyDescent="0.2">
      <c r="G282"/>
      <c r="M282"/>
      <c r="BM282"/>
    </row>
    <row r="283" spans="7:65" x14ac:dyDescent="0.2">
      <c r="G283"/>
      <c r="M283"/>
      <c r="BM283"/>
    </row>
    <row r="284" spans="7:65" x14ac:dyDescent="0.2">
      <c r="G284"/>
      <c r="M284"/>
      <c r="BM284"/>
    </row>
    <row r="285" spans="7:65" x14ac:dyDescent="0.2">
      <c r="G285"/>
      <c r="M285"/>
      <c r="BM285"/>
    </row>
    <row r="286" spans="7:65" x14ac:dyDescent="0.2">
      <c r="G286"/>
      <c r="M286"/>
      <c r="BM286"/>
    </row>
    <row r="287" spans="7:65" x14ac:dyDescent="0.2">
      <c r="G287"/>
      <c r="M287"/>
      <c r="BM287"/>
    </row>
    <row r="288" spans="7:65" x14ac:dyDescent="0.2">
      <c r="G288"/>
      <c r="M288"/>
      <c r="BM288"/>
    </row>
    <row r="289" spans="7:65" x14ac:dyDescent="0.2">
      <c r="G289"/>
      <c r="M289"/>
      <c r="BM289"/>
    </row>
    <row r="290" spans="7:65" x14ac:dyDescent="0.2">
      <c r="G290"/>
      <c r="M290"/>
      <c r="BM290"/>
    </row>
    <row r="291" spans="7:65" x14ac:dyDescent="0.2">
      <c r="G291"/>
      <c r="M291"/>
      <c r="BM291"/>
    </row>
    <row r="292" spans="7:65" x14ac:dyDescent="0.2">
      <c r="G292"/>
      <c r="M292"/>
      <c r="BM292"/>
    </row>
    <row r="293" spans="7:65" x14ac:dyDescent="0.2">
      <c r="G293"/>
      <c r="M293"/>
      <c r="BM293"/>
    </row>
    <row r="294" spans="7:65" x14ac:dyDescent="0.2">
      <c r="G294"/>
      <c r="M294"/>
      <c r="BM294"/>
    </row>
    <row r="295" spans="7:65" x14ac:dyDescent="0.2">
      <c r="G295"/>
      <c r="M295"/>
      <c r="BM295"/>
    </row>
    <row r="296" spans="7:65" x14ac:dyDescent="0.2">
      <c r="G296"/>
      <c r="M296"/>
      <c r="BM296"/>
    </row>
    <row r="297" spans="7:65" x14ac:dyDescent="0.2">
      <c r="G297"/>
      <c r="M297"/>
      <c r="BM297"/>
    </row>
    <row r="298" spans="7:65" x14ac:dyDescent="0.2">
      <c r="G298"/>
      <c r="M298"/>
      <c r="BM298"/>
    </row>
    <row r="299" spans="7:65" x14ac:dyDescent="0.2">
      <c r="G299"/>
      <c r="M299"/>
      <c r="BM299"/>
    </row>
    <row r="300" spans="7:65" x14ac:dyDescent="0.2">
      <c r="G300"/>
      <c r="M300"/>
      <c r="BM300"/>
    </row>
    <row r="301" spans="7:65" x14ac:dyDescent="0.2">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881</v>
      </c>
      <c r="E5" s="279" t="s">
        <v>14</v>
      </c>
      <c r="F5" s="147"/>
      <c r="G5" s="237" t="s">
        <v>504</v>
      </c>
      <c r="H5" s="265" t="s">
        <v>874</v>
      </c>
      <c r="J5" s="67"/>
    </row>
    <row r="6" spans="1:13" x14ac:dyDescent="0.2">
      <c r="A6" s="232" t="str">
        <f>Setup!B22</f>
        <v>2WW</v>
      </c>
      <c r="B6" s="154">
        <v>0</v>
      </c>
      <c r="C6" s="154">
        <v>7</v>
      </c>
      <c r="D6" s="277">
        <v>7</v>
      </c>
      <c r="E6" s="160" t="s">
        <v>401</v>
      </c>
      <c r="G6" s="227">
        <f ca="1">IFERROR('Demand background (hide)'!BJ20,"")</f>
        <v>0.1457405770205942</v>
      </c>
      <c r="H6" s="229"/>
      <c r="I6" s="228" t="str">
        <f>IF(AND(H5="Override",SUM(H6:H8)&lt;&gt;1),"Total values must equal 100%, defaulting to calculated value","")</f>
        <v/>
      </c>
      <c r="J6" s="67"/>
    </row>
    <row r="7" spans="1:13" x14ac:dyDescent="0.2">
      <c r="A7" s="233" t="str">
        <f>Setup!B23</f>
        <v>Urgent</v>
      </c>
      <c r="B7" s="154">
        <v>2</v>
      </c>
      <c r="C7" s="154">
        <v>3</v>
      </c>
      <c r="D7" s="277">
        <v>1</v>
      </c>
      <c r="E7" s="160" t="s">
        <v>402</v>
      </c>
      <c r="G7" s="227">
        <f ca="1">IFERROR('Demand background (hide)'!BK20,"")</f>
        <v>0.67126233542806624</v>
      </c>
      <c r="H7" s="230"/>
      <c r="J7" s="67"/>
    </row>
    <row r="8" spans="1:13" x14ac:dyDescent="0.2">
      <c r="A8" s="234" t="str">
        <f>Setup!B24</f>
        <v>Routine</v>
      </c>
      <c r="B8" s="154">
        <v>3</v>
      </c>
      <c r="C8" s="154">
        <v>5</v>
      </c>
      <c r="D8" s="277">
        <v>1</v>
      </c>
      <c r="E8" s="160" t="s">
        <v>402</v>
      </c>
      <c r="G8" s="227">
        <f ca="1">IFERROR('Demand background (hide)'!BL20,"")</f>
        <v>0.18299708755133956</v>
      </c>
      <c r="H8" s="230"/>
      <c r="J8" s="67"/>
    </row>
    <row r="10" spans="1:13" x14ac:dyDescent="0.2">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78" t="s">
        <v>1277</v>
      </c>
      <c r="G2" s="372" t="s">
        <v>1278</v>
      </c>
    </row>
    <row r="3" spans="2:21" ht="15" x14ac:dyDescent="0.25">
      <c r="E3" s="378" t="s">
        <v>1260</v>
      </c>
      <c r="G3" s="372" t="s">
        <v>1260</v>
      </c>
      <c r="H3" s="372" t="s">
        <v>1261</v>
      </c>
      <c r="I3" s="372"/>
      <c r="J3" s="372" t="s">
        <v>1262</v>
      </c>
      <c r="K3" s="372"/>
      <c r="L3" s="372" t="s">
        <v>1265</v>
      </c>
      <c r="M3" s="372"/>
      <c r="N3" s="372" t="s">
        <v>1264</v>
      </c>
      <c r="O3" s="372"/>
      <c r="P3" s="372" t="s">
        <v>1266</v>
      </c>
      <c r="R3" s="378"/>
    </row>
    <row r="4" spans="2:21" ht="15" x14ac:dyDescent="0.2">
      <c r="B4" s="474" t="s">
        <v>883</v>
      </c>
      <c r="C4" s="474"/>
      <c r="D4" s="474"/>
      <c r="E4" s="381" t="str">
        <f>Capacity!C12</f>
        <v>[Not Saved]</v>
      </c>
      <c r="F4" s="67"/>
      <c r="G4" s="373" t="str">
        <f>C15</f>
        <v>5% Increase</v>
      </c>
      <c r="H4" s="374">
        <f>Planning!C11</f>
        <v>0.05</v>
      </c>
      <c r="I4" s="373"/>
      <c r="J4" s="375">
        <f>Planning!C15</f>
        <v>0</v>
      </c>
      <c r="K4" s="373"/>
      <c r="L4" s="375">
        <f>Planning!C16</f>
        <v>0</v>
      </c>
      <c r="M4" s="373"/>
      <c r="N4" s="375">
        <f>Planning!C17</f>
        <v>0</v>
      </c>
      <c r="O4" s="373"/>
      <c r="P4" s="375">
        <f>Planning!C18</f>
        <v>0</v>
      </c>
      <c r="Q4" s="373"/>
    </row>
    <row r="6" spans="2:21" ht="15" x14ac:dyDescent="0.25">
      <c r="B6" s="2" t="s">
        <v>304</v>
      </c>
    </row>
    <row r="7" spans="2:21" x14ac:dyDescent="0.2">
      <c r="B7" t="s">
        <v>489</v>
      </c>
      <c r="C7" s="153" t="s">
        <v>24</v>
      </c>
    </row>
    <row r="8" spans="2:21" x14ac:dyDescent="0.2">
      <c r="B8" t="s">
        <v>490</v>
      </c>
      <c r="C8" s="153" t="s">
        <v>21</v>
      </c>
    </row>
    <row r="12" spans="2:21" ht="15" x14ac:dyDescent="0.25">
      <c r="B12" s="324" t="s">
        <v>426</v>
      </c>
      <c r="C12" s="67"/>
    </row>
    <row r="13" spans="2:21" x14ac:dyDescent="0.2">
      <c r="B13" s="384">
        <v>43892</v>
      </c>
    </row>
    <row r="14" spans="2:21" ht="15" x14ac:dyDescent="0.25">
      <c r="B14" s="368" t="s">
        <v>1250</v>
      </c>
    </row>
    <row r="15" spans="2:21" s="67" customFormat="1" ht="40.9" customHeight="1" x14ac:dyDescent="0.2">
      <c r="B15" s="371">
        <v>0</v>
      </c>
      <c r="C15" s="371" t="s">
        <v>1275</v>
      </c>
    </row>
    <row r="16" spans="2:21" s="67" customFormat="1" ht="51" customHeight="1" x14ac:dyDescent="0.2">
      <c r="B16" s="370" t="s">
        <v>1259</v>
      </c>
      <c r="C16" s="367"/>
    </row>
    <row r="17" spans="2:16" ht="15" x14ac:dyDescent="0.25">
      <c r="B17" s="486" t="s">
        <v>943</v>
      </c>
    </row>
    <row r="18" spans="2:16" ht="17.649999999999999" customHeight="1" x14ac:dyDescent="0.2">
      <c r="B18" s="487"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5" t="str">
        <f ca="1">"On aggregate, 1 patient = "&amp;TEXT('Demand background (hide)'!$BN$16,"#.#")&amp;" "&amp;Setup!$I$17</f>
        <v>On aggregate, 1 patient = 15.9 Minutes</v>
      </c>
      <c r="E24" s="475"/>
      <c r="F24" s="475"/>
      <c r="G24" s="475"/>
      <c r="H24" s="475"/>
      <c r="I24" s="475"/>
      <c r="J24" s="475"/>
      <c r="K24" s="475"/>
      <c r="P24" s="170" t="s">
        <v>500</v>
      </c>
    </row>
    <row r="26" spans="2:16" s="67" customFormat="1" x14ac:dyDescent="0.2"/>
    <row r="27" spans="2:16" s="67" customFormat="1" ht="15" x14ac:dyDescent="0.25">
      <c r="B27" s="477" t="s">
        <v>1269</v>
      </c>
      <c r="C27" s="477"/>
      <c r="D27" s="280" t="s">
        <v>497</v>
      </c>
      <c r="E27" s="280" t="s">
        <v>128</v>
      </c>
    </row>
    <row r="28" spans="2:16" s="67" customFormat="1" x14ac:dyDescent="0.2">
      <c r="B28" s="478" t="s">
        <v>1281</v>
      </c>
      <c r="C28" s="479"/>
      <c r="D28" s="380">
        <f ca="1">IFERROR('Summary Calculations (hide)'!N70,"")</f>
        <v>15657.949999999988</v>
      </c>
      <c r="E28" s="3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10272 minutes to meet the 85th percentile of demand. It may be advisable to review your capacity if you have an urgent, or very variable service.</v>
      </c>
    </row>
    <row r="29" spans="2:16" s="67" customFormat="1" x14ac:dyDescent="0.2">
      <c r="B29" s="478" t="s">
        <v>1282</v>
      </c>
      <c r="C29" s="479"/>
      <c r="D29" s="275">
        <f ca="1">IFERROR('Summary Calculations (hide)'!M70,"")</f>
        <v>14765</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9379 minutes to meet the 65th percentile of demand. Your waiting list size is likely to increase over time.</v>
      </c>
    </row>
    <row r="30" spans="2:16" s="67" customFormat="1" x14ac:dyDescent="0.2">
      <c r="B30" s="480" t="s">
        <v>503</v>
      </c>
      <c r="C30" s="481"/>
      <c r="D30" s="385">
        <f ca="1">IFERROR('Summary Calculations (hide)'!X70,"")</f>
        <v>14486.884615384623</v>
      </c>
      <c r="E30" s="386">
        <f ca="1">IFERROR('Summary Calculations (hide)'!X71,"")</f>
        <v>753318.00000000035</v>
      </c>
    </row>
    <row r="31" spans="2:16" s="67" customFormat="1" ht="15" x14ac:dyDescent="0.25">
      <c r="B31" s="144" t="s">
        <v>303</v>
      </c>
      <c r="C31" s="142"/>
    </row>
    <row r="32" spans="2:16" s="67" customFormat="1" x14ac:dyDescent="0.2">
      <c r="B32" s="478" t="s">
        <v>495</v>
      </c>
      <c r="C32" s="479"/>
      <c r="D32" s="275">
        <f ca="1">IFERROR('Summary Calculations (hide)'!R70,"")</f>
        <v>4984.4800195505359</v>
      </c>
      <c r="E32" s="275">
        <f ca="1">IFERROR('Summary Calculations (hide)'!R71,"")</f>
        <v>259192.96101662787</v>
      </c>
      <c r="H32" s="5"/>
    </row>
    <row r="33" spans="2:21" s="67" customFormat="1" x14ac:dyDescent="0.2">
      <c r="B33" s="478" t="s">
        <v>496</v>
      </c>
      <c r="C33" s="479"/>
      <c r="D33" s="275">
        <f ca="1">IFERROR('Summary Calculations (hide)'!S70,"")</f>
        <v>402.1153846153843</v>
      </c>
      <c r="E33" s="275">
        <f ca="1">IFERROR('Summary Calculations (hide)'!S71,"")</f>
        <v>20909.999999999985</v>
      </c>
    </row>
    <row r="34" spans="2:21" s="67" customFormat="1" ht="15" x14ac:dyDescent="0.25">
      <c r="B34" s="144" t="s">
        <v>926</v>
      </c>
    </row>
    <row r="35" spans="2:21" s="67" customFormat="1" x14ac:dyDescent="0.2">
      <c r="B35" s="478" t="s">
        <v>925</v>
      </c>
      <c r="C35" s="479"/>
      <c r="D35" s="275">
        <f ca="1">IFERROR('Summary Calculations (hide)'!V70,"")</f>
        <v>60.32767275716003</v>
      </c>
      <c r="E35" s="275">
        <f ca="1">IFERROR('Summary Calculations (hide)'!V71,"")</f>
        <v>3197.3666561294817</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73" t="str">
        <f>"Current waiting list vs Estimated sustainable waiting list ("&amp;C8&amp;")"</f>
        <v>Current waiting list vs Estimated sustainable waiting list (Minutes)</v>
      </c>
      <c r="C38" s="473"/>
      <c r="D38" s="473"/>
      <c r="E38" s="473"/>
      <c r="F38" s="473"/>
      <c r="G38" s="473"/>
      <c r="H38" s="473"/>
    </row>
    <row r="40" spans="2:21" ht="15" x14ac:dyDescent="0.25">
      <c r="B40" s="471" t="s">
        <v>489</v>
      </c>
      <c r="C40" s="472"/>
      <c r="D40" s="395" t="s">
        <v>249</v>
      </c>
      <c r="E40" s="397"/>
    </row>
    <row r="41" spans="2:21" x14ac:dyDescent="0.2">
      <c r="B41" s="344" t="str">
        <f>IF(AND(LEFT(Demand!C8,1)="H",'Demand adjustments for Covid'!F9="No"),"","WL predictions are disabled when forecast demand or Covid adjustments are enabled.")</f>
        <v/>
      </c>
    </row>
    <row r="42" spans="2:21" x14ac:dyDescent="0.2">
      <c r="B42" s="469" t="s">
        <v>1137</v>
      </c>
      <c r="C42" s="470"/>
      <c r="D42" s="329">
        <v>0</v>
      </c>
    </row>
    <row r="43" spans="2:21" x14ac:dyDescent="0.2">
      <c r="B43" s="469" t="s">
        <v>1138</v>
      </c>
      <c r="C43" s="470"/>
      <c r="D43" s="329">
        <v>0</v>
      </c>
    </row>
    <row r="49" spans="2:4" x14ac:dyDescent="0.2">
      <c r="B49" s="137" t="s">
        <v>305</v>
      </c>
      <c r="C49" s="476">
        <f ca="1">'Parameters calculator (hide)'!H67</f>
        <v>49770</v>
      </c>
      <c r="D49" s="476"/>
    </row>
    <row r="50" spans="2:4" x14ac:dyDescent="0.2">
      <c r="B50" s="138" t="s">
        <v>306</v>
      </c>
      <c r="C50" s="468" t="str">
        <f ca="1">IFERROR(TEXT('Parameters calculator (hide)'!H66,"#,#")&amp;" - "&amp;TEXT('Parameters calculator (hide)'!I66,"#,#"),"")</f>
        <v>34,173 - 37,770</v>
      </c>
      <c r="D50" s="468"/>
    </row>
    <row r="53" spans="2:4" x14ac:dyDescent="0.2">
      <c r="B53" s="20" t="s">
        <v>307</v>
      </c>
      <c r="C53" s="468" t="str">
        <f ca="1">IFERROR('Parameters calculator (hide)'!H69,"")</f>
        <v>12000 - 15597</v>
      </c>
      <c r="D53" s="468"/>
    </row>
    <row r="55" spans="2:4" x14ac:dyDescent="0.2">
      <c r="B55" t="s">
        <v>927</v>
      </c>
    </row>
    <row r="57" spans="2:4" x14ac:dyDescent="0.2">
      <c r="B57" t="s">
        <v>928</v>
      </c>
    </row>
    <row r="58" spans="2:4" x14ac:dyDescent="0.2">
      <c r="B58" s="283">
        <v>10</v>
      </c>
      <c r="C58" t="s">
        <v>402</v>
      </c>
    </row>
    <row r="60" spans="2:4" x14ac:dyDescent="0.2">
      <c r="B60" t="s">
        <v>929</v>
      </c>
    </row>
    <row r="61" spans="2:4" x14ac:dyDescent="0.2">
      <c r="B61" s="281" t="str">
        <f ca="1">IF(OR(C53=0,B58=0,C53=""),"--",TEXT('Parameters calculator (hide)'!I71/B58,"#")&amp;" - "&amp;TEXT('Parameters calculator (hide)'!H71/B58,"#"))</f>
        <v>1200 - 1560</v>
      </c>
      <c r="C61" t="str">
        <f>LOWER(C8)&amp;" per week to clear in the time specified"</f>
        <v>minutes per week to clear in the time specified</v>
      </c>
    </row>
  </sheetData>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884</v>
      </c>
      <c r="J28" t="s">
        <v>936</v>
      </c>
    </row>
    <row r="30" spans="1:12" x14ac:dyDescent="0.2">
      <c r="A30" t="s">
        <v>392</v>
      </c>
      <c r="B30" t="s">
        <v>885</v>
      </c>
      <c r="J30" t="s">
        <v>937</v>
      </c>
      <c r="K30" t="s">
        <v>392</v>
      </c>
      <c r="L30" t="s">
        <v>885</v>
      </c>
    </row>
    <row r="31" spans="1:12" x14ac:dyDescent="0.2">
      <c r="A31" t="s">
        <v>11</v>
      </c>
      <c r="B31" t="s">
        <v>922</v>
      </c>
      <c r="J31" t="s">
        <v>938</v>
      </c>
      <c r="K31" t="s">
        <v>97</v>
      </c>
      <c r="L31" t="s">
        <v>932</v>
      </c>
    </row>
    <row r="32" spans="1:12" x14ac:dyDescent="0.2">
      <c r="A32" t="s">
        <v>51</v>
      </c>
      <c r="B32" t="s">
        <v>886</v>
      </c>
      <c r="J32" t="s">
        <v>940</v>
      </c>
      <c r="K32" t="s">
        <v>389</v>
      </c>
      <c r="L32" t="s">
        <v>933</v>
      </c>
    </row>
    <row r="33" spans="1:12" x14ac:dyDescent="0.2">
      <c r="A33" s="67" t="s">
        <v>51</v>
      </c>
      <c r="B33" t="s">
        <v>887</v>
      </c>
      <c r="J33" t="s">
        <v>939</v>
      </c>
      <c r="K33" t="s">
        <v>391</v>
      </c>
      <c r="L33" t="s">
        <v>934</v>
      </c>
    </row>
    <row r="34" spans="1:12" x14ac:dyDescent="0.2">
      <c r="A34" s="67" t="s">
        <v>51</v>
      </c>
      <c r="B34" t="s">
        <v>888</v>
      </c>
      <c r="J34" t="s">
        <v>941</v>
      </c>
      <c r="K34" t="s">
        <v>391</v>
      </c>
      <c r="L34" t="s">
        <v>935</v>
      </c>
    </row>
    <row r="35" spans="1:12" x14ac:dyDescent="0.2">
      <c r="A35" s="67" t="s">
        <v>51</v>
      </c>
      <c r="B35" t="s">
        <v>889</v>
      </c>
    </row>
    <row r="36" spans="1:12" x14ac:dyDescent="0.2">
      <c r="A36" s="67" t="s">
        <v>51</v>
      </c>
      <c r="B36" t="s">
        <v>890</v>
      </c>
    </row>
    <row r="37" spans="1:12" x14ac:dyDescent="0.2">
      <c r="A37" s="67" t="s">
        <v>51</v>
      </c>
      <c r="B37" t="s">
        <v>891</v>
      </c>
    </row>
    <row r="38" spans="1:12" x14ac:dyDescent="0.2">
      <c r="A38" s="67" t="s">
        <v>51</v>
      </c>
      <c r="B38" t="s">
        <v>892</v>
      </c>
    </row>
    <row r="39" spans="1:12" x14ac:dyDescent="0.2">
      <c r="A39" s="67" t="s">
        <v>51</v>
      </c>
      <c r="B39" t="s">
        <v>893</v>
      </c>
    </row>
    <row r="40" spans="1:12" x14ac:dyDescent="0.2">
      <c r="A40" t="s">
        <v>51</v>
      </c>
      <c r="B40" t="s">
        <v>894</v>
      </c>
    </row>
    <row r="41" spans="1:12" x14ac:dyDescent="0.2">
      <c r="A41" t="s">
        <v>51</v>
      </c>
      <c r="B41" t="s">
        <v>895</v>
      </c>
    </row>
    <row r="42" spans="1:12" x14ac:dyDescent="0.2">
      <c r="A42" t="s">
        <v>97</v>
      </c>
      <c r="B42" t="s">
        <v>896</v>
      </c>
    </row>
    <row r="43" spans="1:12" x14ac:dyDescent="0.2">
      <c r="A43" t="s">
        <v>897</v>
      </c>
      <c r="B43" t="s">
        <v>1170</v>
      </c>
    </row>
    <row r="44" spans="1:12" x14ac:dyDescent="0.2">
      <c r="A44" t="s">
        <v>388</v>
      </c>
      <c r="B44" t="s">
        <v>898</v>
      </c>
    </row>
    <row r="45" spans="1:12" x14ac:dyDescent="0.2">
      <c r="A45" t="s">
        <v>388</v>
      </c>
      <c r="B45" t="s">
        <v>899</v>
      </c>
    </row>
    <row r="46" spans="1:12" x14ac:dyDescent="0.2">
      <c r="A46" t="s">
        <v>388</v>
      </c>
      <c r="B46" t="s">
        <v>385</v>
      </c>
    </row>
    <row r="47" spans="1:12" x14ac:dyDescent="0.2">
      <c r="A47" t="s">
        <v>388</v>
      </c>
      <c r="B47" t="s">
        <v>900</v>
      </c>
    </row>
    <row r="48" spans="1:12" x14ac:dyDescent="0.2">
      <c r="A48" t="s">
        <v>388</v>
      </c>
      <c r="B48" t="s">
        <v>901</v>
      </c>
    </row>
    <row r="49" spans="1:2" x14ac:dyDescent="0.2">
      <c r="A49" t="s">
        <v>389</v>
      </c>
      <c r="B49" t="s">
        <v>896</v>
      </c>
    </row>
    <row r="50" spans="1:2" x14ac:dyDescent="0.2">
      <c r="A50" t="s">
        <v>389</v>
      </c>
      <c r="B50" t="s">
        <v>902</v>
      </c>
    </row>
    <row r="51" spans="1:2" x14ac:dyDescent="0.2">
      <c r="A51" t="s">
        <v>390</v>
      </c>
      <c r="B51" t="s">
        <v>903</v>
      </c>
    </row>
    <row r="52" spans="1:2" x14ac:dyDescent="0.2">
      <c r="A52" t="s">
        <v>390</v>
      </c>
      <c r="B52" t="s">
        <v>904</v>
      </c>
    </row>
    <row r="53" spans="1:2" x14ac:dyDescent="0.2">
      <c r="A53" t="s">
        <v>905</v>
      </c>
      <c r="B53" t="s">
        <v>906</v>
      </c>
    </row>
    <row r="54" spans="1:2" x14ac:dyDescent="0.2">
      <c r="A54" t="s">
        <v>907</v>
      </c>
      <c r="B54" t="s">
        <v>908</v>
      </c>
    </row>
    <row r="55" spans="1:2" x14ac:dyDescent="0.2">
      <c r="A55" t="s">
        <v>391</v>
      </c>
      <c r="B55" t="s">
        <v>909</v>
      </c>
    </row>
    <row r="56" spans="1:2" x14ac:dyDescent="0.2">
      <c r="A56" t="s">
        <v>477</v>
      </c>
      <c r="B56" t="s">
        <v>903</v>
      </c>
    </row>
    <row r="57" spans="1:2" x14ac:dyDescent="0.2">
      <c r="A57" s="67" t="s">
        <v>477</v>
      </c>
      <c r="B57" t="s">
        <v>909</v>
      </c>
    </row>
    <row r="58" spans="1:2" x14ac:dyDescent="0.2">
      <c r="A58" s="67" t="s">
        <v>477</v>
      </c>
      <c r="B58" t="s">
        <v>910</v>
      </c>
    </row>
    <row r="59" spans="1:2" x14ac:dyDescent="0.2">
      <c r="A59" s="67" t="s">
        <v>477</v>
      </c>
      <c r="B59" t="s">
        <v>911</v>
      </c>
    </row>
    <row r="60" spans="1:2" x14ac:dyDescent="0.2">
      <c r="A60" t="s">
        <v>477</v>
      </c>
      <c r="B60" t="s">
        <v>1234</v>
      </c>
    </row>
    <row r="61" spans="1:2" x14ac:dyDescent="0.2">
      <c r="A61" t="s">
        <v>912</v>
      </c>
      <c r="B61" t="s">
        <v>913</v>
      </c>
    </row>
    <row r="62" spans="1:2" x14ac:dyDescent="0.2">
      <c r="A62" t="s">
        <v>912</v>
      </c>
      <c r="B62" t="s">
        <v>914</v>
      </c>
    </row>
    <row r="63" spans="1:2" x14ac:dyDescent="0.2">
      <c r="A63" t="s">
        <v>912</v>
      </c>
      <c r="B63" t="s">
        <v>915</v>
      </c>
    </row>
    <row r="64" spans="1:2" x14ac:dyDescent="0.2">
      <c r="A64" t="s">
        <v>249</v>
      </c>
      <c r="B64" t="s">
        <v>916</v>
      </c>
    </row>
    <row r="65" spans="1:8" x14ac:dyDescent="0.2">
      <c r="A65" t="s">
        <v>510</v>
      </c>
      <c r="B65" t="s">
        <v>920</v>
      </c>
    </row>
    <row r="66" spans="1:8" x14ac:dyDescent="0.2">
      <c r="A66" t="s">
        <v>510</v>
      </c>
      <c r="B66" t="s">
        <v>921</v>
      </c>
    </row>
    <row r="67" spans="1:8" x14ac:dyDescent="0.2">
      <c r="A67" t="s">
        <v>510</v>
      </c>
      <c r="B67" t="s">
        <v>917</v>
      </c>
    </row>
    <row r="68" spans="1:8" x14ac:dyDescent="0.2">
      <c r="A68" t="s">
        <v>510</v>
      </c>
      <c r="B68" t="s">
        <v>918</v>
      </c>
    </row>
    <row r="69" spans="1:8" x14ac:dyDescent="0.2">
      <c r="A69" s="67" t="s">
        <v>510</v>
      </c>
      <c r="B69" t="s">
        <v>919</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52" workbookViewId="0">
      <selection activeCell="J58" sqref="J58"/>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(Minutes)</v>
      </c>
    </row>
    <row r="3" spans="1:24" x14ac:dyDescent="0.2">
      <c r="E3" t="s">
        <v>244</v>
      </c>
      <c r="F3" t="s">
        <v>245</v>
      </c>
      <c r="H3" t="s">
        <v>250</v>
      </c>
      <c r="J3" t="s">
        <v>875</v>
      </c>
      <c r="L3" s="67" t="s">
        <v>1153</v>
      </c>
    </row>
    <row r="4" spans="1:24" x14ac:dyDescent="0.2">
      <c r="D4" t="s">
        <v>239</v>
      </c>
      <c r="E4">
        <f>IFERROR('SPC background (hide)'!C4,"")</f>
        <v>45</v>
      </c>
      <c r="F4">
        <f ca="1">'SPC background (hide)'!G5+'Summary Calculations (hide)'!E4-1</f>
        <v>96</v>
      </c>
      <c r="H4" t="s">
        <v>75</v>
      </c>
      <c r="I4" s="100">
        <f ca="1">'Parameters calculator (hide)'!B43</f>
        <v>0</v>
      </c>
      <c r="J4">
        <f ca="1">IF(Planning!C15="",'Summary Calculations (hide)'!I4,Planning!C15)</f>
        <v>0</v>
      </c>
      <c r="L4" s="67">
        <f ca="1">(1-J4)*(1-J5+(J6*J7))</f>
        <v>1</v>
      </c>
    </row>
    <row r="5" spans="1:24" x14ac:dyDescent="0.2">
      <c r="D5" t="s">
        <v>240</v>
      </c>
      <c r="E5" t="str">
        <f ca="1">IFERROR('SPC background (hide)'!D6,"")</f>
        <v/>
      </c>
      <c r="F5" t="e">
        <f ca="1">'SPC background (hide)'!H7+'Summary Calculations (hide)'!E5-1</f>
        <v>#VALUE!</v>
      </c>
      <c r="H5" t="s">
        <v>251</v>
      </c>
      <c r="I5" s="100">
        <f ca="1">'Parameters calculator (hide)'!B44</f>
        <v>0</v>
      </c>
      <c r="J5" s="67">
        <f ca="1">IF(Planning!C16="",'Summary Calculations (hide)'!I5,Planning!C16)</f>
        <v>0</v>
      </c>
    </row>
    <row r="6" spans="1:24" x14ac:dyDescent="0.2">
      <c r="D6" t="s">
        <v>241</v>
      </c>
      <c r="E6" t="str">
        <f ca="1">IFERROR('SPC background (hide)'!D8,"")</f>
        <v/>
      </c>
      <c r="F6" t="str">
        <f ca="1">IFERROR('SPC background (hide)'!H9-'Summary Calculations (hide)'!E6-1,"")</f>
        <v/>
      </c>
      <c r="H6" t="s">
        <v>99</v>
      </c>
      <c r="I6" s="100">
        <f ca="1">'Parameters calculator (hide)'!B45</f>
        <v>0</v>
      </c>
      <c r="J6" s="67">
        <f ca="1">IF(Planning!C17="",'Summary Calculations (hide)'!I6,Planning!C17)</f>
        <v>0</v>
      </c>
    </row>
    <row r="7" spans="1:24" x14ac:dyDescent="0.2">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15.875703357147373</v>
      </c>
    </row>
    <row r="11" spans="1:24" x14ac:dyDescent="0.2">
      <c r="D11" t="s">
        <v>243</v>
      </c>
      <c r="E11" s="87">
        <f>IF(Summary!$B$13="",'Critical resources (hide)'!B6,Summary!$B$13)</f>
        <v>43892</v>
      </c>
    </row>
    <row r="12" spans="1:24" x14ac:dyDescent="0.2">
      <c r="E12" s="317"/>
      <c r="P12" t="s">
        <v>411</v>
      </c>
      <c r="R12" t="str">
        <f>"Required vs available capacity ("&amp;LOWER(Summary!$C$8)&amp;")"</f>
        <v>Required vs available capacity (minutes)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E11-WEEKDAY(E11,3)</f>
        <v>43892</v>
      </c>
      <c r="B15">
        <f>YEAR(A15)</f>
        <v>2020</v>
      </c>
      <c r="C15" s="67" t="str">
        <f>TEXT(A15,"MMM")</f>
        <v>Mar</v>
      </c>
      <c r="D15">
        <f t="shared" ref="D15:D46" si="0">WEEKNUM(A15,21)</f>
        <v>10</v>
      </c>
      <c r="E15" s="5">
        <f ca="1">IF(LEFT(Demand!$C$8,1)="H",VLOOKUP($D15,'SPC background (hide)'!$AG$2:$AS$54,12,0),'Demand background (hide)'!X4)</f>
        <v>14765</v>
      </c>
      <c r="F15" s="5">
        <f ca="1">IF(LEFT(Demand!$C$8,1)="H",VLOOKUP($D15,'SPC background (hide)'!$AG$2:$AS$54,13,0),E15*1.1)</f>
        <v>15657.95</v>
      </c>
      <c r="G15" s="5" t="str">
        <f>IF(Setup!$I$15="Yes",VLOOKUP(D15,'SPC background (hide)'!$AG$2:$AT$54,14,0)/IF(Summary!$C$8="Patients",'Summary Calculations (hide)'!$I$9,1),"")</f>
        <v/>
      </c>
      <c r="H15">
        <f ca="1">IF(Setup!$I$13="Yes",'Planned background (hide)'!$V$23/IF(Summary!$C$8="Patients",'Summary Calculations (hide)'!$I$9,1),"")</f>
        <v>60.327672757160009</v>
      </c>
      <c r="I15" s="5">
        <f ca="1">IFERROR(HLOOKUP(A15,'Capacity calculation (hide)'!$BK$1:$DK$4,4,0),Capacity!$I$15)</f>
        <v>5044.8076923076924</v>
      </c>
      <c r="J15" s="5">
        <f ca="1">HLOOKUP(D15,'Capacity calculation (hide)'!$BK$110:$DK$111,2,0)</f>
        <v>402.11538461538464</v>
      </c>
      <c r="K15" s="5">
        <f ca="1">IF(I15-IF(AND(Setup!$I$15="Yes",OR('Demand adjustments for Covid'!$F$9="No",'Demand adjustments for Covid'!$F$20="No")),$G15,0)-IF(Setup!$I$13="Yes",$H15,0)&lt;0,0,I15-IF(AND(Setup!$I$15="Yes",OR('Demand adjustments for Covid'!$F$9="No",'Demand adjustments for Covid'!$F$20="No")),$G15,0)-IF(Setup!$I$13="Yes",$H15,0))</f>
        <v>4984.4800195505322</v>
      </c>
      <c r="L15" s="5">
        <f ca="1">J15</f>
        <v>402.11538461538464</v>
      </c>
      <c r="M15" s="5">
        <f ca="1">(IF('Demand adjustments for Covid'!$F$9="No",E15,SUM('Demand background (hide)'!DS4,'Demand background (hide)'!DV4:DW4))*(1-'Parameters calculator (hide)'!$B$43))*(1-'Parameters calculator (hide)'!$B$44+('Parameters calculator (hide)'!$B$45*'Parameters calculator (hide)'!$B$47))</f>
        <v>14765</v>
      </c>
      <c r="N15" s="5">
        <f ca="1">(IF('Demand adjustments for Covid'!$F$9="No",F15,SUM('Demand background (hide)'!DT4,'Demand background (hide)'!DV4:DW4))*(1-'Parameters calculator (hide)'!$B$43))*(1-'Parameters calculator (hide)'!$B$44+('Parameters calculator (hide)'!$B$45*'Parameters calculator (hide)'!$B$47))</f>
        <v>15657.95</v>
      </c>
      <c r="P15" s="5">
        <f ca="1">I15</f>
        <v>5044.8076923076924</v>
      </c>
      <c r="Q15" s="5">
        <f ca="1">J15</f>
        <v>402.11538461538464</v>
      </c>
      <c r="R15" s="5">
        <f ca="1">IF(P15-V15&lt;0,0,P15-V15)</f>
        <v>4984.4800195505322</v>
      </c>
      <c r="S15" s="5">
        <f ca="1">IF(R15=0,IF(P15+Q15-V15&lt;0,0,P15+Q15-V15),Q15)</f>
        <v>402.11538461538464</v>
      </c>
      <c r="T15" s="5">
        <f ca="1">M15/IF(Summary!$C$8&lt;&gt;"Patients",1,$I$9)</f>
        <v>14765</v>
      </c>
      <c r="U15" s="5">
        <f ca="1">((N15-M15)/IF(Summary!$C$8&lt;&gt;"Patients",1,$I$9))</f>
        <v>892.95000000000073</v>
      </c>
      <c r="V15" s="5">
        <f ca="1">SUM(G15:H15)</f>
        <v>60.327672757160009</v>
      </c>
      <c r="X15" s="5">
        <f ca="1">(VLOOKUP(D15,'SPC background (hide)'!$AG$2:$AN$54,8,0)/IF(Summary!$C$8&lt;&gt;"Patients",1,$I$9))*(1-$I$4)*(1-$I$5+($I$6*$I$7))</f>
        <v>14486.884615384615</v>
      </c>
    </row>
    <row r="16" spans="1:24" x14ac:dyDescent="0.2">
      <c r="A16" s="87">
        <f>A15+7</f>
        <v>43899</v>
      </c>
      <c r="B16" s="67" t="str">
        <f t="shared" ref="B16:B47" si="1">IF(YEAR(A16)&lt;&gt;YEAR(A15),YEAR(A16),"")</f>
        <v/>
      </c>
      <c r="C16" s="67" t="str">
        <f t="shared" ref="C16:C47" si="2">IF(TEXT(A16,"MMM")&lt;&gt;TEXT(A15,"MMM"),TEXT(A16,"MMM"),"")</f>
        <v/>
      </c>
      <c r="D16" s="67">
        <f t="shared" si="0"/>
        <v>11</v>
      </c>
      <c r="E16" s="5">
        <f ca="1">IF(LEFT(Demand!$C$8,1)="H",VLOOKUP($D16,'SPC background (hide)'!$AG$2:$AS$54,12,0),'Demand background (hide)'!X5)</f>
        <v>14765</v>
      </c>
      <c r="F16" s="5">
        <f ca="1">IF(LEFT(Demand!$C$8,1)="H",VLOOKUP($D16,'SPC background (hide)'!$AG$2:$AS$54,13,0),E16*1.1)</f>
        <v>15657.95</v>
      </c>
      <c r="G16" s="5" t="str">
        <f>IF(Setup!$I$15="Yes",VLOOKUP(D16,'SPC background (hide)'!$AG$2:$AT$54,14,0)/IF(Summary!$C$8="Patients",'Summary Calculations (hide)'!$I$9,1),"")</f>
        <v/>
      </c>
      <c r="H16" s="67">
        <f ca="1">IF(Setup!$I$13="Yes",'Planned background (hide)'!$V$23/IF(Summary!$C$8="Patients",'Summary Calculations (hide)'!$I$9,1),"")</f>
        <v>60.327672757160009</v>
      </c>
      <c r="I16" s="5">
        <f ca="1">IFERROR(HLOOKUP(A16,'Capacity calculation (hide)'!$BK$1:$DK$4,4,0),Capacity!$I$15)</f>
        <v>5044.8076923076924</v>
      </c>
      <c r="J16" s="5">
        <f ca="1">HLOOKUP(D16,'Capacity calculation (hide)'!$BK$110:$DK$111,2,0)</f>
        <v>402.11538461538464</v>
      </c>
      <c r="K16" s="5">
        <f ca="1">IF(I16-IF(Setup!$I$15="Yes",$G16,0)-IF(Setup!$I$13="Yes",$H16,0)&lt;0,0,I16-IF(Setup!$I$15="Yes",$G16,0)-IF(Setup!$I$13="Yes",$H16,0))</f>
        <v>4984.4800195505322</v>
      </c>
      <c r="L16" s="5">
        <f t="shared" ref="L16:L66" ca="1" si="3">J16</f>
        <v>402.11538461538464</v>
      </c>
      <c r="M16" s="5">
        <f ca="1">(IF('Demand adjustments for Covid'!$F$9="No",E16,SUM('Demand background (hide)'!DS5,'Demand background (hide)'!DV5:DW5))*(1-'Parameters calculator (hide)'!$B$43))*(1-'Parameters calculator (hide)'!$B$44+('Parameters calculator (hide)'!$B$45*'Parameters calculator (hide)'!$B$47))</f>
        <v>14765</v>
      </c>
      <c r="N16" s="5">
        <f ca="1">(IF('Demand adjustments for Covid'!$F$9="No",F16,SUM('Demand background (hide)'!DT5,'Demand background (hide)'!DV5:DW5))*(1-'Parameters calculator (hide)'!$B$43))*(1-'Parameters calculator (hide)'!$B$44+('Parameters calculator (hide)'!$B$45*'Parameters calculator (hide)'!$B$47))</f>
        <v>15657.95</v>
      </c>
      <c r="P16" s="5">
        <f t="shared" ref="P16:P66" ca="1" si="4">I16</f>
        <v>5044.8076923076924</v>
      </c>
      <c r="Q16" s="5">
        <f t="shared" ref="Q16:Q66" ca="1" si="5">J16</f>
        <v>402.11538461538464</v>
      </c>
      <c r="R16" s="5">
        <f t="shared" ref="R16:R66" ca="1" si="6">IF(P16-V16&lt;0,0,P16-V16)</f>
        <v>4984.4800195505322</v>
      </c>
      <c r="S16" s="5">
        <f t="shared" ref="S16:S66" ca="1" si="7">IF(R16=0,IF(P16+Q16-V16&lt;0,0,P16+Q16-V16),Q16)</f>
        <v>402.11538461538464</v>
      </c>
      <c r="T16" s="5">
        <f ca="1">M16/IF(Summary!$C$8&lt;&gt;"Patients",1,$I$9)</f>
        <v>14765</v>
      </c>
      <c r="U16" s="5">
        <f ca="1">((N16-M16)/IF(Summary!$C$8&lt;&gt;"Patients",1,$I$9))</f>
        <v>892.95000000000073</v>
      </c>
      <c r="V16" s="5">
        <f t="shared" ref="V16:V66" ca="1" si="8">SUM(G16:H16)</f>
        <v>60.327672757160009</v>
      </c>
      <c r="X16" s="5">
        <f ca="1">(VLOOKUP(D16,'SPC background (hide)'!$AG$2:$AN$54,8,0)/IF(Summary!$C$8&lt;&gt;"Patients",1,$I$9))*(1-$I$4)*(1-$I$5+($I$6*$I$7))</f>
        <v>14486.884615384615</v>
      </c>
    </row>
    <row r="17" spans="1:24" x14ac:dyDescent="0.2">
      <c r="A17" s="87">
        <f t="shared" ref="A17:A67" si="9">A16+7</f>
        <v>43906</v>
      </c>
      <c r="B17" s="67" t="str">
        <f t="shared" si="1"/>
        <v/>
      </c>
      <c r="C17" s="67" t="str">
        <f t="shared" si="2"/>
        <v/>
      </c>
      <c r="D17" s="67">
        <f t="shared" si="0"/>
        <v>12</v>
      </c>
      <c r="E17" s="5">
        <f ca="1">IF(LEFT(Demand!$C$8,1)="H",VLOOKUP($D17,'SPC background (hide)'!$AG$2:$AS$54,12,0),'Demand background (hide)'!X6)</f>
        <v>14765</v>
      </c>
      <c r="F17" s="5">
        <f ca="1">IF(LEFT(Demand!$C$8,1)="H",VLOOKUP($D17,'SPC background (hide)'!$AG$2:$AS$54,13,0),E17*1.1)</f>
        <v>15657.95</v>
      </c>
      <c r="G17" s="5" t="str">
        <f>IF(Setup!$I$15="Yes",VLOOKUP(D17,'SPC background (hide)'!$AG$2:$AT$54,14,0)/IF(Summary!$C$8="Patients",'Summary Calculations (hide)'!$I$9,1),"")</f>
        <v/>
      </c>
      <c r="H17" s="67">
        <f ca="1">IF(Setup!$I$13="Yes",'Planned background (hide)'!$V$23/IF(Summary!$C$8="Patients",'Summary Calculations (hide)'!$I$9,1),"")</f>
        <v>60.327672757160009</v>
      </c>
      <c r="I17" s="5">
        <f ca="1">IFERROR(HLOOKUP(A17,'Capacity calculation (hide)'!$BK$1:$DK$4,4,0),Capacity!$I$15)</f>
        <v>5044.8076923076924</v>
      </c>
      <c r="J17" s="5">
        <f ca="1">HLOOKUP(D17,'Capacity calculation (hide)'!$BK$110:$DK$111,2,0)</f>
        <v>402.11538461538464</v>
      </c>
      <c r="K17" s="5">
        <f ca="1">IF(I17-IF(Setup!$I$15="Yes",$G17,0)-IF(Setup!$I$13="Yes",$H17,0)&lt;0,0,I17-IF(Setup!$I$15="Yes",$G17,0)-IF(Setup!$I$13="Yes",$H17,0))</f>
        <v>4984.4800195505322</v>
      </c>
      <c r="L17" s="5">
        <f t="shared" ca="1" si="3"/>
        <v>402.11538461538464</v>
      </c>
      <c r="M17" s="5">
        <f ca="1">(IF('Demand adjustments for Covid'!$F$9="No",E17,SUM('Demand background (hide)'!DS6,'Demand background (hide)'!DV6:DW6))*(1-'Parameters calculator (hide)'!$B$43))*(1-'Parameters calculator (hide)'!$B$44+('Parameters calculator (hide)'!$B$45*'Parameters calculator (hide)'!$B$47))</f>
        <v>14765</v>
      </c>
      <c r="N17" s="5">
        <f ca="1">(IF('Demand adjustments for Covid'!$F$9="No",F17,SUM('Demand background (hide)'!DT6,'Demand background (hide)'!DV6:DW6))*(1-'Parameters calculator (hide)'!$B$43))*(1-'Parameters calculator (hide)'!$B$44+('Parameters calculator (hide)'!$B$45*'Parameters calculator (hide)'!$B$47))</f>
        <v>15657.95</v>
      </c>
      <c r="P17" s="5">
        <f t="shared" ca="1" si="4"/>
        <v>5044.8076923076924</v>
      </c>
      <c r="Q17" s="5">
        <f t="shared" ca="1" si="5"/>
        <v>402.11538461538464</v>
      </c>
      <c r="R17" s="5">
        <f t="shared" ca="1" si="6"/>
        <v>4984.4800195505322</v>
      </c>
      <c r="S17" s="5">
        <f t="shared" ca="1" si="7"/>
        <v>402.11538461538464</v>
      </c>
      <c r="T17" s="5">
        <f ca="1">M17/IF(Summary!$C$8&lt;&gt;"Patients",1,$I$9)</f>
        <v>14765</v>
      </c>
      <c r="U17" s="5">
        <f ca="1">((N17-M17)/IF(Summary!$C$8&lt;&gt;"Patients",1,$I$9))</f>
        <v>892.95000000000073</v>
      </c>
      <c r="V17" s="5">
        <f t="shared" ca="1" si="8"/>
        <v>60.327672757160009</v>
      </c>
      <c r="X17" s="5">
        <f ca="1">(VLOOKUP(D17,'SPC background (hide)'!$AG$2:$AN$54,8,0)/IF(Summary!$C$8&lt;&gt;"Patients",1,$I$9))*(1-$I$4)*(1-$I$5+($I$6*$I$7))</f>
        <v>14486.884615384615</v>
      </c>
    </row>
    <row r="18" spans="1:24" x14ac:dyDescent="0.2">
      <c r="A18" s="87">
        <f t="shared" si="9"/>
        <v>43913</v>
      </c>
      <c r="B18" s="67" t="str">
        <f t="shared" si="1"/>
        <v/>
      </c>
      <c r="C18" s="67" t="str">
        <f t="shared" si="2"/>
        <v/>
      </c>
      <c r="D18" s="67">
        <f t="shared" si="0"/>
        <v>13</v>
      </c>
      <c r="E18" s="5">
        <f ca="1">IF(LEFT(Demand!$C$8,1)="H",VLOOKUP($D18,'SPC background (hide)'!$AG$2:$AS$54,12,0),'Demand background (hide)'!X7)</f>
        <v>14765</v>
      </c>
      <c r="F18" s="5">
        <f ca="1">IF(LEFT(Demand!$C$8,1)="H",VLOOKUP($D18,'SPC background (hide)'!$AG$2:$AS$54,13,0),E18*1.1)</f>
        <v>15657.95</v>
      </c>
      <c r="G18" s="5" t="str">
        <f>IF(Setup!$I$15="Yes",VLOOKUP(D18,'SPC background (hide)'!$AG$2:$AT$54,14,0)/IF(Summary!$C$8="Patients",'Summary Calculations (hide)'!$I$9,1),"")</f>
        <v/>
      </c>
      <c r="H18" s="67">
        <f ca="1">IF(Setup!$I$13="Yes",'Planned background (hide)'!$V$23/IF(Summary!$C$8="Patients",'Summary Calculations (hide)'!$I$9,1),"")</f>
        <v>60.327672757160009</v>
      </c>
      <c r="I18" s="5">
        <f ca="1">IFERROR(HLOOKUP(A18,'Capacity calculation (hide)'!$BK$1:$DK$4,4,0),Capacity!$I$15)</f>
        <v>5044.8076923076924</v>
      </c>
      <c r="J18" s="5">
        <f ca="1">HLOOKUP(D18,'Capacity calculation (hide)'!$BK$110:$DK$111,2,0)</f>
        <v>402.11538461538464</v>
      </c>
      <c r="K18" s="5">
        <f ca="1">IF(I18-IF(Setup!$I$15="Yes",$G18,0)-IF(Setup!$I$13="Yes",$H18,0)&lt;0,0,I18-IF(Setup!$I$15="Yes",$G18,0)-IF(Setup!$I$13="Yes",$H18,0))</f>
        <v>4984.4800195505322</v>
      </c>
      <c r="L18" s="5">
        <f t="shared" ca="1" si="3"/>
        <v>402.11538461538464</v>
      </c>
      <c r="M18" s="5">
        <f ca="1">(IF('Demand adjustments for Covid'!$F$9="No",E18,SUM('Demand background (hide)'!DS7,'Demand background (hide)'!DV7:DW7))*(1-'Parameters calculator (hide)'!$B$43))*(1-'Parameters calculator (hide)'!$B$44+('Parameters calculator (hide)'!$B$45*'Parameters calculator (hide)'!$B$47))</f>
        <v>14765</v>
      </c>
      <c r="N18" s="5">
        <f ca="1">(IF('Demand adjustments for Covid'!$F$9="No",F18,SUM('Demand background (hide)'!DT7,'Demand background (hide)'!DV7:DW7))*(1-'Parameters calculator (hide)'!$B$43))*(1-'Parameters calculator (hide)'!$B$44+('Parameters calculator (hide)'!$B$45*'Parameters calculator (hide)'!$B$47))</f>
        <v>15657.95</v>
      </c>
      <c r="P18" s="5">
        <f t="shared" ca="1" si="4"/>
        <v>5044.8076923076924</v>
      </c>
      <c r="Q18" s="5">
        <f t="shared" ca="1" si="5"/>
        <v>402.11538461538464</v>
      </c>
      <c r="R18" s="5">
        <f t="shared" ca="1" si="6"/>
        <v>4984.4800195505322</v>
      </c>
      <c r="S18" s="5">
        <f t="shared" ca="1" si="7"/>
        <v>402.11538461538464</v>
      </c>
      <c r="T18" s="5">
        <f ca="1">M18/IF(Summary!$C$8&lt;&gt;"Patients",1,$I$9)</f>
        <v>14765</v>
      </c>
      <c r="U18" s="5">
        <f ca="1">((N18-M18)/IF(Summary!$C$8&lt;&gt;"Patients",1,$I$9))</f>
        <v>892.95000000000073</v>
      </c>
      <c r="V18" s="5">
        <f t="shared" ca="1" si="8"/>
        <v>60.327672757160009</v>
      </c>
      <c r="X18" s="5">
        <f ca="1">(VLOOKUP(D18,'SPC background (hide)'!$AG$2:$AN$54,8,0)/IF(Summary!$C$8&lt;&gt;"Patients",1,$I$9))*(1-$I$4)*(1-$I$5+($I$6*$I$7))</f>
        <v>14486.884615384615</v>
      </c>
    </row>
    <row r="19" spans="1:24" x14ac:dyDescent="0.2">
      <c r="A19" s="87">
        <f t="shared" si="9"/>
        <v>43920</v>
      </c>
      <c r="B19" s="67" t="str">
        <f t="shared" si="1"/>
        <v/>
      </c>
      <c r="C19" s="67" t="str">
        <f t="shared" si="2"/>
        <v/>
      </c>
      <c r="D19" s="67">
        <f t="shared" si="0"/>
        <v>14</v>
      </c>
      <c r="E19" s="5">
        <f ca="1">IF(LEFT(Demand!$C$8,1)="H",VLOOKUP($D19,'SPC background (hide)'!$AG$2:$AS$54,12,0),'Demand background (hide)'!X8)</f>
        <v>14765</v>
      </c>
      <c r="F19" s="5">
        <f ca="1">IF(LEFT(Demand!$C$8,1)="H",VLOOKUP($D19,'SPC background (hide)'!$AG$2:$AS$54,13,0),E19*1.1)</f>
        <v>15657.95</v>
      </c>
      <c r="G19" s="5" t="str">
        <f>IF(Setup!$I$15="Yes",VLOOKUP(D19,'SPC background (hide)'!$AG$2:$AT$54,14,0)/IF(Summary!$C$8="Patients",'Summary Calculations (hide)'!$I$9,1),"")</f>
        <v/>
      </c>
      <c r="H19" s="67">
        <f ca="1">IF(Setup!$I$13="Yes",'Planned background (hide)'!$V$23/IF(Summary!$C$8="Patients",'Summary Calculations (hide)'!$I$9,1),"")</f>
        <v>60.327672757160009</v>
      </c>
      <c r="I19" s="5">
        <f ca="1">IFERROR(HLOOKUP(A19,'Capacity calculation (hide)'!$BK$1:$DK$4,4,0),Capacity!$I$15)</f>
        <v>5044.8076923076924</v>
      </c>
      <c r="J19" s="5">
        <f ca="1">HLOOKUP(D19,'Capacity calculation (hide)'!$BK$110:$DK$111,2,0)</f>
        <v>402.11538461538464</v>
      </c>
      <c r="K19" s="5">
        <f ca="1">IF(I19-IF(Setup!$I$15="Yes",$G19,0)-IF(Setup!$I$13="Yes",$H19,0)&lt;0,0,I19-IF(Setup!$I$15="Yes",$G19,0)-IF(Setup!$I$13="Yes",$H19,0))</f>
        <v>4984.4800195505322</v>
      </c>
      <c r="L19" s="5">
        <f t="shared" ca="1" si="3"/>
        <v>402.11538461538464</v>
      </c>
      <c r="M19" s="5">
        <f ca="1">(IF('Demand adjustments for Covid'!$F$9="No",E19,SUM('Demand background (hide)'!DS8,'Demand background (hide)'!DV8:DW8))*(1-'Parameters calculator (hide)'!$B$43))*(1-'Parameters calculator (hide)'!$B$44+('Parameters calculator (hide)'!$B$45*'Parameters calculator (hide)'!$B$47))</f>
        <v>14765</v>
      </c>
      <c r="N19" s="5">
        <f ca="1">(IF('Demand adjustments for Covid'!$F$9="No",F19,SUM('Demand background (hide)'!DT8,'Demand background (hide)'!DV8:DW8))*(1-'Parameters calculator (hide)'!$B$43))*(1-'Parameters calculator (hide)'!$B$44+('Parameters calculator (hide)'!$B$45*'Parameters calculator (hide)'!$B$47))</f>
        <v>15657.95</v>
      </c>
      <c r="P19" s="5">
        <f t="shared" ca="1" si="4"/>
        <v>5044.8076923076924</v>
      </c>
      <c r="Q19" s="5">
        <f t="shared" ca="1" si="5"/>
        <v>402.11538461538464</v>
      </c>
      <c r="R19" s="5">
        <f t="shared" ca="1" si="6"/>
        <v>4984.4800195505322</v>
      </c>
      <c r="S19" s="5">
        <f t="shared" ca="1" si="7"/>
        <v>402.11538461538464</v>
      </c>
      <c r="T19" s="5">
        <f ca="1">M19/IF(Summary!$C$8&lt;&gt;"Patients",1,$I$9)</f>
        <v>14765</v>
      </c>
      <c r="U19" s="5">
        <f ca="1">((N19-M19)/IF(Summary!$C$8&lt;&gt;"Patients",1,$I$9))</f>
        <v>892.95000000000073</v>
      </c>
      <c r="V19" s="5">
        <f t="shared" ca="1" si="8"/>
        <v>60.327672757160009</v>
      </c>
      <c r="X19" s="5">
        <f ca="1">(VLOOKUP(D19,'SPC background (hide)'!$AG$2:$AN$54,8,0)/IF(Summary!$C$8&lt;&gt;"Patients",1,$I$9))*(1-$I$4)*(1-$I$5+($I$6*$I$7))</f>
        <v>14486.884615384615</v>
      </c>
    </row>
    <row r="20" spans="1:24" x14ac:dyDescent="0.2">
      <c r="A20" s="87">
        <f t="shared" si="9"/>
        <v>43927</v>
      </c>
      <c r="B20" s="67" t="str">
        <f t="shared" si="1"/>
        <v/>
      </c>
      <c r="C20" s="67" t="str">
        <f t="shared" si="2"/>
        <v>Apr</v>
      </c>
      <c r="D20" s="67">
        <f t="shared" si="0"/>
        <v>15</v>
      </c>
      <c r="E20" s="5">
        <f ca="1">IF(LEFT(Demand!$C$8,1)="H",VLOOKUP($D20,'SPC background (hide)'!$AG$2:$AS$54,12,0),'Demand background (hide)'!X9)</f>
        <v>14765</v>
      </c>
      <c r="F20" s="5">
        <f ca="1">IF(LEFT(Demand!$C$8,1)="H",VLOOKUP($D20,'SPC background (hide)'!$AG$2:$AS$54,13,0),E20*1.1)</f>
        <v>15657.95</v>
      </c>
      <c r="G20" s="5" t="str">
        <f>IF(Setup!$I$15="Yes",VLOOKUP(D20,'SPC background (hide)'!$AG$2:$AT$54,14,0)/IF(Summary!$C$8="Patients",'Summary Calculations (hide)'!$I$9,1),"")</f>
        <v/>
      </c>
      <c r="H20" s="67">
        <f ca="1">IF(Setup!$I$13="Yes",'Planned background (hide)'!$V$23/IF(Summary!$C$8="Patients",'Summary Calculations (hide)'!$I$9,1),"")</f>
        <v>60.327672757160009</v>
      </c>
      <c r="I20" s="5">
        <f ca="1">IFERROR(HLOOKUP(A20,'Capacity calculation (hide)'!$BK$1:$DK$4,4,0),Capacity!$I$15)</f>
        <v>5044.8076923076924</v>
      </c>
      <c r="J20" s="5">
        <f ca="1">HLOOKUP(D20,'Capacity calculation (hide)'!$BK$110:$DK$111,2,0)</f>
        <v>402.11538461538464</v>
      </c>
      <c r="K20" s="5">
        <f ca="1">IF(I20-IF(Setup!$I$15="Yes",$G20,0)-IF(Setup!$I$13="Yes",$H20,0)&lt;0,0,I20-IF(Setup!$I$15="Yes",$G20,0)-IF(Setup!$I$13="Yes",$H20,0))</f>
        <v>4984.4800195505322</v>
      </c>
      <c r="L20" s="5">
        <f t="shared" ca="1" si="3"/>
        <v>402.11538461538464</v>
      </c>
      <c r="M20" s="5">
        <f ca="1">(IF('Demand adjustments for Covid'!$F$9="No",E20,SUM('Demand background (hide)'!DS9,'Demand background (hide)'!DV9:DW9))*(1-'Parameters calculator (hide)'!$B$43))*(1-'Parameters calculator (hide)'!$B$44+('Parameters calculator (hide)'!$B$45*'Parameters calculator (hide)'!$B$47))</f>
        <v>14765</v>
      </c>
      <c r="N20" s="5">
        <f ca="1">(IF('Demand adjustments for Covid'!$F$9="No",F20,SUM('Demand background (hide)'!DT9,'Demand background (hide)'!DV9:DW9))*(1-'Parameters calculator (hide)'!$B$43))*(1-'Parameters calculator (hide)'!$B$44+('Parameters calculator (hide)'!$B$45*'Parameters calculator (hide)'!$B$47))</f>
        <v>15657.95</v>
      </c>
      <c r="P20" s="5">
        <f t="shared" ca="1" si="4"/>
        <v>5044.8076923076924</v>
      </c>
      <c r="Q20" s="5">
        <f t="shared" ca="1" si="5"/>
        <v>402.11538461538464</v>
      </c>
      <c r="R20" s="5">
        <f t="shared" ca="1" si="6"/>
        <v>4984.4800195505322</v>
      </c>
      <c r="S20" s="5">
        <f t="shared" ca="1" si="7"/>
        <v>402.11538461538464</v>
      </c>
      <c r="T20" s="5">
        <f ca="1">M20/IF(Summary!$C$8&lt;&gt;"Patients",1,$I$9)</f>
        <v>14765</v>
      </c>
      <c r="U20" s="5">
        <f ca="1">((N20-M20)/IF(Summary!$C$8&lt;&gt;"Patients",1,$I$9))</f>
        <v>892.95000000000073</v>
      </c>
      <c r="V20" s="5">
        <f t="shared" ca="1" si="8"/>
        <v>60.327672757160009</v>
      </c>
      <c r="X20" s="5">
        <f ca="1">(VLOOKUP(D20,'SPC background (hide)'!$AG$2:$AN$54,8,0)/IF(Summary!$C$8&lt;&gt;"Patients",1,$I$9))*(1-$I$4)*(1-$I$5+($I$6*$I$7))</f>
        <v>14486.884615384615</v>
      </c>
    </row>
    <row r="21" spans="1:24" x14ac:dyDescent="0.2">
      <c r="A21" s="87">
        <f t="shared" si="9"/>
        <v>43934</v>
      </c>
      <c r="B21" s="67" t="str">
        <f t="shared" si="1"/>
        <v/>
      </c>
      <c r="C21" s="67" t="str">
        <f t="shared" si="2"/>
        <v/>
      </c>
      <c r="D21" s="67">
        <f t="shared" si="0"/>
        <v>16</v>
      </c>
      <c r="E21" s="5">
        <f ca="1">IF(LEFT(Demand!$C$8,1)="H",VLOOKUP($D21,'SPC background (hide)'!$AG$2:$AS$54,12,0),'Demand background (hide)'!X10)</f>
        <v>14765</v>
      </c>
      <c r="F21" s="5">
        <f ca="1">IF(LEFT(Demand!$C$8,1)="H",VLOOKUP($D21,'SPC background (hide)'!$AG$2:$AS$54,13,0),E21*1.1)</f>
        <v>15657.95</v>
      </c>
      <c r="G21" s="5" t="str">
        <f>IF(Setup!$I$15="Yes",VLOOKUP(D21,'SPC background (hide)'!$AG$2:$AT$54,14,0)/IF(Summary!$C$8="Patients",'Summary Calculations (hide)'!$I$9,1),"")</f>
        <v/>
      </c>
      <c r="H21" s="67">
        <f ca="1">IF(Setup!$I$13="Yes",'Planned background (hide)'!$V$23/IF(Summary!$C$8="Patients",'Summary Calculations (hide)'!$I$9,1),"")</f>
        <v>60.327672757160009</v>
      </c>
      <c r="I21" s="5">
        <f ca="1">IFERROR(HLOOKUP(A21,'Capacity calculation (hide)'!$BK$1:$DK$4,4,0),Capacity!$I$15)</f>
        <v>5044.8076923076924</v>
      </c>
      <c r="J21" s="5">
        <f ca="1">HLOOKUP(D21,'Capacity calculation (hide)'!$BK$110:$DK$111,2,0)</f>
        <v>402.11538461538464</v>
      </c>
      <c r="K21" s="5">
        <f ca="1">IF(I21-IF(Setup!$I$15="Yes",$G21,0)-IF(Setup!$I$13="Yes",$H21,0)&lt;0,0,I21-IF(Setup!$I$15="Yes",$G21,0)-IF(Setup!$I$13="Yes",$H21,0))</f>
        <v>4984.4800195505322</v>
      </c>
      <c r="L21" s="5">
        <f t="shared" ca="1" si="3"/>
        <v>402.11538461538464</v>
      </c>
      <c r="M21" s="5">
        <f ca="1">(IF('Demand adjustments for Covid'!$F$9="No",E21,SUM('Demand background (hide)'!DS10,'Demand background (hide)'!DV10:DW10))*(1-'Parameters calculator (hide)'!$B$43))*(1-'Parameters calculator (hide)'!$B$44+('Parameters calculator (hide)'!$B$45*'Parameters calculator (hide)'!$B$47))</f>
        <v>14765</v>
      </c>
      <c r="N21" s="5">
        <f ca="1">(IF('Demand adjustments for Covid'!$F$9="No",F21,SUM('Demand background (hide)'!DT10,'Demand background (hide)'!DV10:DW10))*(1-'Parameters calculator (hide)'!$B$43))*(1-'Parameters calculator (hide)'!$B$44+('Parameters calculator (hide)'!$B$45*'Parameters calculator (hide)'!$B$47))</f>
        <v>15657.95</v>
      </c>
      <c r="P21" s="5">
        <f t="shared" ca="1" si="4"/>
        <v>5044.8076923076924</v>
      </c>
      <c r="Q21" s="5">
        <f t="shared" ca="1" si="5"/>
        <v>402.11538461538464</v>
      </c>
      <c r="R21" s="5">
        <f t="shared" ca="1" si="6"/>
        <v>4984.4800195505322</v>
      </c>
      <c r="S21" s="5">
        <f t="shared" ca="1" si="7"/>
        <v>402.11538461538464</v>
      </c>
      <c r="T21" s="5">
        <f ca="1">M21/IF(Summary!$C$8&lt;&gt;"Patients",1,$I$9)</f>
        <v>14765</v>
      </c>
      <c r="U21" s="5">
        <f ca="1">((N21-M21)/IF(Summary!$C$8&lt;&gt;"Patients",1,$I$9))</f>
        <v>892.95000000000073</v>
      </c>
      <c r="V21" s="5">
        <f t="shared" ca="1" si="8"/>
        <v>60.327672757160009</v>
      </c>
      <c r="X21" s="5">
        <f ca="1">(VLOOKUP(D21,'SPC background (hide)'!$AG$2:$AN$54,8,0)/IF(Summary!$C$8&lt;&gt;"Patients",1,$I$9))*(1-$I$4)*(1-$I$5+($I$6*$I$7))</f>
        <v>14486.884615384615</v>
      </c>
    </row>
    <row r="22" spans="1:24" x14ac:dyDescent="0.2">
      <c r="A22" s="87">
        <f t="shared" si="9"/>
        <v>43941</v>
      </c>
      <c r="B22" s="67" t="str">
        <f t="shared" si="1"/>
        <v/>
      </c>
      <c r="C22" s="67" t="str">
        <f t="shared" si="2"/>
        <v/>
      </c>
      <c r="D22" s="67">
        <f t="shared" si="0"/>
        <v>17</v>
      </c>
      <c r="E22" s="5">
        <f ca="1">IF(LEFT(Demand!$C$8,1)="H",VLOOKUP($D22,'SPC background (hide)'!$AG$2:$AS$54,12,0),'Demand background (hide)'!X11)</f>
        <v>14765</v>
      </c>
      <c r="F22" s="5">
        <f ca="1">IF(LEFT(Demand!$C$8,1)="H",VLOOKUP($D22,'SPC background (hide)'!$AG$2:$AS$54,13,0),E22*1.1)</f>
        <v>15657.95</v>
      </c>
      <c r="G22" s="5" t="str">
        <f>IF(Setup!$I$15="Yes",VLOOKUP(D22,'SPC background (hide)'!$AG$2:$AT$54,14,0)/IF(Summary!$C$8="Patients",'Summary Calculations (hide)'!$I$9,1),"")</f>
        <v/>
      </c>
      <c r="H22" s="67">
        <f ca="1">IF(Setup!$I$13="Yes",'Planned background (hide)'!$V$23/IF(Summary!$C$8="Patients",'Summary Calculations (hide)'!$I$9,1),"")</f>
        <v>60.327672757160009</v>
      </c>
      <c r="I22" s="5">
        <f ca="1">IFERROR(HLOOKUP(A22,'Capacity calculation (hide)'!$BK$1:$DK$4,4,0),Capacity!$I$15)</f>
        <v>5044.8076923076924</v>
      </c>
      <c r="J22" s="5">
        <f ca="1">HLOOKUP(D22,'Capacity calculation (hide)'!$BK$110:$DK$111,2,0)</f>
        <v>402.11538461538464</v>
      </c>
      <c r="K22" s="5">
        <f ca="1">IF(I22-IF(Setup!$I$15="Yes",$G22,0)-IF(Setup!$I$13="Yes",$H22,0)&lt;0,0,I22-IF(Setup!$I$15="Yes",$G22,0)-IF(Setup!$I$13="Yes",$H22,0))</f>
        <v>4984.4800195505322</v>
      </c>
      <c r="L22" s="5">
        <f t="shared" ca="1" si="3"/>
        <v>402.11538461538464</v>
      </c>
      <c r="M22" s="5">
        <f ca="1">(IF('Demand adjustments for Covid'!$F$9="No",E22,SUM('Demand background (hide)'!DS11,'Demand background (hide)'!DV11:DW11))*(1-'Parameters calculator (hide)'!$B$43))*(1-'Parameters calculator (hide)'!$B$44+('Parameters calculator (hide)'!$B$45*'Parameters calculator (hide)'!$B$47))</f>
        <v>14765</v>
      </c>
      <c r="N22" s="5">
        <f ca="1">(IF('Demand adjustments for Covid'!$F$9="No",F22,SUM('Demand background (hide)'!DT11,'Demand background (hide)'!DV11:DW11))*(1-'Parameters calculator (hide)'!$B$43))*(1-'Parameters calculator (hide)'!$B$44+('Parameters calculator (hide)'!$B$45*'Parameters calculator (hide)'!$B$47))</f>
        <v>15657.95</v>
      </c>
      <c r="P22" s="5">
        <f t="shared" ca="1" si="4"/>
        <v>5044.8076923076924</v>
      </c>
      <c r="Q22" s="5">
        <f t="shared" ca="1" si="5"/>
        <v>402.11538461538464</v>
      </c>
      <c r="R22" s="5">
        <f t="shared" ca="1" si="6"/>
        <v>4984.4800195505322</v>
      </c>
      <c r="S22" s="5">
        <f t="shared" ca="1" si="7"/>
        <v>402.11538461538464</v>
      </c>
      <c r="T22" s="5">
        <f ca="1">M22/IF(Summary!$C$8&lt;&gt;"Patients",1,$I$9)</f>
        <v>14765</v>
      </c>
      <c r="U22" s="5">
        <f ca="1">((N22-M22)/IF(Summary!$C$8&lt;&gt;"Patients",1,$I$9))</f>
        <v>892.95000000000073</v>
      </c>
      <c r="V22" s="5">
        <f t="shared" ca="1" si="8"/>
        <v>60.327672757160009</v>
      </c>
      <c r="X22" s="5">
        <f ca="1">(VLOOKUP(D22,'SPC background (hide)'!$AG$2:$AN$54,8,0)/IF(Summary!$C$8&lt;&gt;"Patients",1,$I$9))*(1-$I$4)*(1-$I$5+($I$6*$I$7))</f>
        <v>14486.884615384615</v>
      </c>
    </row>
    <row r="23" spans="1:24" x14ac:dyDescent="0.2">
      <c r="A23" s="87">
        <f t="shared" si="9"/>
        <v>43948</v>
      </c>
      <c r="B23" s="67" t="str">
        <f t="shared" si="1"/>
        <v/>
      </c>
      <c r="C23" s="67" t="str">
        <f t="shared" si="2"/>
        <v/>
      </c>
      <c r="D23" s="67">
        <f t="shared" si="0"/>
        <v>18</v>
      </c>
      <c r="E23" s="5">
        <f ca="1">IF(LEFT(Demand!$C$8,1)="H",VLOOKUP($D23,'SPC background (hide)'!$AG$2:$AS$54,12,0),'Demand background (hide)'!X12)</f>
        <v>14765</v>
      </c>
      <c r="F23" s="5">
        <f ca="1">IF(LEFT(Demand!$C$8,1)="H",VLOOKUP($D23,'SPC background (hide)'!$AG$2:$AS$54,13,0),E23*1.1)</f>
        <v>15657.95</v>
      </c>
      <c r="G23" s="5" t="str">
        <f>IF(Setup!$I$15="Yes",VLOOKUP(D23,'SPC background (hide)'!$AG$2:$AT$54,14,0)/IF(Summary!$C$8="Patients",'Summary Calculations (hide)'!$I$9,1),"")</f>
        <v/>
      </c>
      <c r="H23" s="67">
        <f ca="1">IF(Setup!$I$13="Yes",'Planned background (hide)'!$V$23/IF(Summary!$C$8="Patients",'Summary Calculations (hide)'!$I$9,1),"")</f>
        <v>60.327672757160009</v>
      </c>
      <c r="I23" s="5">
        <f ca="1">IFERROR(HLOOKUP(A23,'Capacity calculation (hide)'!$BK$1:$DK$4,4,0),Capacity!$I$15)</f>
        <v>5044.8076923076924</v>
      </c>
      <c r="J23" s="5">
        <f ca="1">HLOOKUP(D23,'Capacity calculation (hide)'!$BK$110:$DK$111,2,0)</f>
        <v>402.11538461538464</v>
      </c>
      <c r="K23" s="5">
        <f ca="1">IF(I23-IF(Setup!$I$15="Yes",$G23,0)-IF(Setup!$I$13="Yes",$H23,0)&lt;0,0,I23-IF(Setup!$I$15="Yes",$G23,0)-IF(Setup!$I$13="Yes",$H23,0))</f>
        <v>4984.4800195505322</v>
      </c>
      <c r="L23" s="5">
        <f t="shared" ca="1" si="3"/>
        <v>402.11538461538464</v>
      </c>
      <c r="M23" s="5">
        <f ca="1">(IF('Demand adjustments for Covid'!$F$9="No",E23,SUM('Demand background (hide)'!DS12,'Demand background (hide)'!DV12:DW12))*(1-'Parameters calculator (hide)'!$B$43))*(1-'Parameters calculator (hide)'!$B$44+('Parameters calculator (hide)'!$B$45*'Parameters calculator (hide)'!$B$47))</f>
        <v>14765</v>
      </c>
      <c r="N23" s="5">
        <f ca="1">(IF('Demand adjustments for Covid'!$F$9="No",F23,SUM('Demand background (hide)'!DT12,'Demand background (hide)'!DV12:DW12))*(1-'Parameters calculator (hide)'!$B$43))*(1-'Parameters calculator (hide)'!$B$44+('Parameters calculator (hide)'!$B$45*'Parameters calculator (hide)'!$B$47))</f>
        <v>15657.95</v>
      </c>
      <c r="P23" s="5">
        <f t="shared" ca="1" si="4"/>
        <v>5044.8076923076924</v>
      </c>
      <c r="Q23" s="5">
        <f t="shared" ca="1" si="5"/>
        <v>402.11538461538464</v>
      </c>
      <c r="R23" s="5">
        <f t="shared" ca="1" si="6"/>
        <v>4984.4800195505322</v>
      </c>
      <c r="S23" s="5">
        <f t="shared" ca="1" si="7"/>
        <v>402.11538461538464</v>
      </c>
      <c r="T23" s="5">
        <f ca="1">M23/IF(Summary!$C$8&lt;&gt;"Patients",1,$I$9)</f>
        <v>14765</v>
      </c>
      <c r="U23" s="5">
        <f ca="1">((N23-M23)/IF(Summary!$C$8&lt;&gt;"Patients",1,$I$9))</f>
        <v>892.95000000000073</v>
      </c>
      <c r="V23" s="5">
        <f t="shared" ca="1" si="8"/>
        <v>60.327672757160009</v>
      </c>
      <c r="X23" s="5">
        <f ca="1">(VLOOKUP(D23,'SPC background (hide)'!$AG$2:$AN$54,8,0)/IF(Summary!$C$8&lt;&gt;"Patients",1,$I$9))*(1-$I$4)*(1-$I$5+($I$6*$I$7))</f>
        <v>14486.884615384615</v>
      </c>
    </row>
    <row r="24" spans="1:24" x14ac:dyDescent="0.2">
      <c r="A24" s="87">
        <f t="shared" si="9"/>
        <v>43955</v>
      </c>
      <c r="B24" s="67" t="str">
        <f t="shared" si="1"/>
        <v/>
      </c>
      <c r="C24" s="67" t="str">
        <f t="shared" si="2"/>
        <v>May</v>
      </c>
      <c r="D24" s="67">
        <f t="shared" si="0"/>
        <v>19</v>
      </c>
      <c r="E24" s="5">
        <f ca="1">IF(LEFT(Demand!$C$8,1)="H",VLOOKUP($D24,'SPC background (hide)'!$AG$2:$AS$54,12,0),'Demand background (hide)'!X13)</f>
        <v>14765</v>
      </c>
      <c r="F24" s="5">
        <f ca="1">IF(LEFT(Demand!$C$8,1)="H",VLOOKUP($D24,'SPC background (hide)'!$AG$2:$AS$54,13,0),E24*1.1)</f>
        <v>15657.95</v>
      </c>
      <c r="G24" s="5" t="str">
        <f>IF(Setup!$I$15="Yes",VLOOKUP(D24,'SPC background (hide)'!$AG$2:$AT$54,14,0)/IF(Summary!$C$8="Patients",'Summary Calculations (hide)'!$I$9,1),"")</f>
        <v/>
      </c>
      <c r="H24" s="67">
        <f ca="1">IF(Setup!$I$13="Yes",'Planned background (hide)'!$V$23/IF(Summary!$C$8="Patients",'Summary Calculations (hide)'!$I$9,1),"")</f>
        <v>60.327672757160009</v>
      </c>
      <c r="I24" s="5">
        <f ca="1">IFERROR(HLOOKUP(A24,'Capacity calculation (hide)'!$BK$1:$DK$4,4,0),Capacity!$I$15)</f>
        <v>5044.8076923076924</v>
      </c>
      <c r="J24" s="5">
        <f ca="1">HLOOKUP(D24,'Capacity calculation (hide)'!$BK$110:$DK$111,2,0)</f>
        <v>402.11538461538464</v>
      </c>
      <c r="K24" s="5">
        <f ca="1">IF(I24-IF(Setup!$I$15="Yes",$G24,0)-IF(Setup!$I$13="Yes",$H24,0)&lt;0,0,I24-IF(Setup!$I$15="Yes",$G24,0)-IF(Setup!$I$13="Yes",$H24,0))</f>
        <v>4984.4800195505322</v>
      </c>
      <c r="L24" s="5">
        <f t="shared" ca="1" si="3"/>
        <v>402.11538461538464</v>
      </c>
      <c r="M24" s="5">
        <f ca="1">(IF('Demand adjustments for Covid'!$F$9="No",E24,SUM('Demand background (hide)'!DS13,'Demand background (hide)'!DV13:DW13))*(1-'Parameters calculator (hide)'!$B$43))*(1-'Parameters calculator (hide)'!$B$44+('Parameters calculator (hide)'!$B$45*'Parameters calculator (hide)'!$B$47))</f>
        <v>14765</v>
      </c>
      <c r="N24" s="5">
        <f ca="1">(IF('Demand adjustments for Covid'!$F$9="No",F24,SUM('Demand background (hide)'!DT13,'Demand background (hide)'!DV13:DW13))*(1-'Parameters calculator (hide)'!$B$43))*(1-'Parameters calculator (hide)'!$B$44+('Parameters calculator (hide)'!$B$45*'Parameters calculator (hide)'!$B$47))</f>
        <v>15657.95</v>
      </c>
      <c r="P24" s="5">
        <f t="shared" ca="1" si="4"/>
        <v>5044.8076923076924</v>
      </c>
      <c r="Q24" s="5">
        <f t="shared" ca="1" si="5"/>
        <v>402.11538461538464</v>
      </c>
      <c r="R24" s="5">
        <f t="shared" ca="1" si="6"/>
        <v>4984.4800195505322</v>
      </c>
      <c r="S24" s="5">
        <f t="shared" ca="1" si="7"/>
        <v>402.11538461538464</v>
      </c>
      <c r="T24" s="5">
        <f ca="1">M24/IF(Summary!$C$8&lt;&gt;"Patients",1,$I$9)</f>
        <v>14765</v>
      </c>
      <c r="U24" s="5">
        <f ca="1">((N24-M24)/IF(Summary!$C$8&lt;&gt;"Patients",1,$I$9))</f>
        <v>892.95000000000073</v>
      </c>
      <c r="V24" s="5">
        <f t="shared" ca="1" si="8"/>
        <v>60.327672757160009</v>
      </c>
      <c r="X24" s="5">
        <f ca="1">(VLOOKUP(D24,'SPC background (hide)'!$AG$2:$AN$54,8,0)/IF(Summary!$C$8&lt;&gt;"Patients",1,$I$9))*(1-$I$4)*(1-$I$5+($I$6*$I$7))</f>
        <v>14486.884615384615</v>
      </c>
    </row>
    <row r="25" spans="1:24" x14ac:dyDescent="0.2">
      <c r="A25" s="87">
        <f t="shared" si="9"/>
        <v>43962</v>
      </c>
      <c r="B25" s="67" t="str">
        <f t="shared" si="1"/>
        <v/>
      </c>
      <c r="C25" s="67" t="str">
        <f t="shared" si="2"/>
        <v/>
      </c>
      <c r="D25" s="67">
        <f t="shared" si="0"/>
        <v>20</v>
      </c>
      <c r="E25" s="5">
        <f ca="1">IF(LEFT(Demand!$C$8,1)="H",VLOOKUP($D25,'SPC background (hide)'!$AG$2:$AS$54,12,0),'Demand background (hide)'!X14)</f>
        <v>14765</v>
      </c>
      <c r="F25" s="5">
        <f ca="1">IF(LEFT(Demand!$C$8,1)="H",VLOOKUP($D25,'SPC background (hide)'!$AG$2:$AS$54,13,0),E25*1.1)</f>
        <v>15657.95</v>
      </c>
      <c r="G25" s="5" t="str">
        <f>IF(Setup!$I$15="Yes",VLOOKUP(D25,'SPC background (hide)'!$AG$2:$AT$54,14,0)/IF(Summary!$C$8="Patients",'Summary Calculations (hide)'!$I$9,1),"")</f>
        <v/>
      </c>
      <c r="H25" s="67">
        <f ca="1">IF(Setup!$I$13="Yes",'Planned background (hide)'!$V$23/IF(Summary!$C$8="Patients",'Summary Calculations (hide)'!$I$9,1),"")</f>
        <v>60.327672757160009</v>
      </c>
      <c r="I25" s="5">
        <f ca="1">IFERROR(HLOOKUP(A25,'Capacity calculation (hide)'!$BK$1:$DK$4,4,0),Capacity!$I$15)</f>
        <v>5044.8076923076924</v>
      </c>
      <c r="J25" s="5">
        <f ca="1">HLOOKUP(D25,'Capacity calculation (hide)'!$BK$110:$DK$111,2,0)</f>
        <v>402.11538461538464</v>
      </c>
      <c r="K25" s="5">
        <f ca="1">IF(I25-IF(Setup!$I$15="Yes",$G25,0)-IF(Setup!$I$13="Yes",$H25,0)&lt;0,0,I25-IF(Setup!$I$15="Yes",$G25,0)-IF(Setup!$I$13="Yes",$H25,0))</f>
        <v>4984.4800195505322</v>
      </c>
      <c r="L25" s="5">
        <f t="shared" ca="1" si="3"/>
        <v>402.11538461538464</v>
      </c>
      <c r="M25" s="5">
        <f ca="1">(IF('Demand adjustments for Covid'!$F$9="No",E25,SUM('Demand background (hide)'!DS14,'Demand background (hide)'!DV14:DW14))*(1-'Parameters calculator (hide)'!$B$43))*(1-'Parameters calculator (hide)'!$B$44+('Parameters calculator (hide)'!$B$45*'Parameters calculator (hide)'!$B$47))</f>
        <v>14765</v>
      </c>
      <c r="N25" s="5">
        <f ca="1">(IF('Demand adjustments for Covid'!$F$9="No",F25,SUM('Demand background (hide)'!DT14,'Demand background (hide)'!DV14:DW14))*(1-'Parameters calculator (hide)'!$B$43))*(1-'Parameters calculator (hide)'!$B$44+('Parameters calculator (hide)'!$B$45*'Parameters calculator (hide)'!$B$47))</f>
        <v>15657.95</v>
      </c>
      <c r="P25" s="5">
        <f t="shared" ca="1" si="4"/>
        <v>5044.8076923076924</v>
      </c>
      <c r="Q25" s="5">
        <f t="shared" ca="1" si="5"/>
        <v>402.11538461538464</v>
      </c>
      <c r="R25" s="5">
        <f t="shared" ca="1" si="6"/>
        <v>4984.4800195505322</v>
      </c>
      <c r="S25" s="5">
        <f t="shared" ca="1" si="7"/>
        <v>402.11538461538464</v>
      </c>
      <c r="T25" s="5">
        <f ca="1">M25/IF(Summary!$C$8&lt;&gt;"Patients",1,$I$9)</f>
        <v>14765</v>
      </c>
      <c r="U25" s="5">
        <f ca="1">((N25-M25)/IF(Summary!$C$8&lt;&gt;"Patients",1,$I$9))</f>
        <v>892.95000000000073</v>
      </c>
      <c r="V25" s="5">
        <f t="shared" ca="1" si="8"/>
        <v>60.327672757160009</v>
      </c>
      <c r="X25" s="5">
        <f ca="1">(VLOOKUP(D25,'SPC background (hide)'!$AG$2:$AN$54,8,0)/IF(Summary!$C$8&lt;&gt;"Patients",1,$I$9))*(1-$I$4)*(1-$I$5+($I$6*$I$7))</f>
        <v>14486.884615384615</v>
      </c>
    </row>
    <row r="26" spans="1:24" x14ac:dyDescent="0.2">
      <c r="A26" s="87">
        <f t="shared" si="9"/>
        <v>43969</v>
      </c>
      <c r="B26" s="67" t="str">
        <f t="shared" si="1"/>
        <v/>
      </c>
      <c r="C26" s="67" t="str">
        <f t="shared" si="2"/>
        <v/>
      </c>
      <c r="D26" s="67">
        <f t="shared" si="0"/>
        <v>21</v>
      </c>
      <c r="E26" s="5">
        <f ca="1">IF(LEFT(Demand!$C$8,1)="H",VLOOKUP($D26,'SPC background (hide)'!$AG$2:$AS$54,12,0),'Demand background (hide)'!X15)</f>
        <v>14765</v>
      </c>
      <c r="F26" s="5">
        <f ca="1">IF(LEFT(Demand!$C$8,1)="H",VLOOKUP($D26,'SPC background (hide)'!$AG$2:$AS$54,13,0),E26*1.1)</f>
        <v>15657.95</v>
      </c>
      <c r="G26" s="5" t="str">
        <f>IF(Setup!$I$15="Yes",VLOOKUP(D26,'SPC background (hide)'!$AG$2:$AT$54,14,0)/IF(Summary!$C$8="Patients",'Summary Calculations (hide)'!$I$9,1),"")</f>
        <v/>
      </c>
      <c r="H26" s="67">
        <f ca="1">IF(Setup!$I$13="Yes",'Planned background (hide)'!$V$23/IF(Summary!$C$8="Patients",'Summary Calculations (hide)'!$I$9,1),"")</f>
        <v>60.327672757160009</v>
      </c>
      <c r="I26" s="5">
        <f ca="1">IFERROR(HLOOKUP(A26,'Capacity calculation (hide)'!$BK$1:$DK$4,4,0),Capacity!$I$15)</f>
        <v>5044.8076923076924</v>
      </c>
      <c r="J26" s="5">
        <f ca="1">HLOOKUP(D26,'Capacity calculation (hide)'!$BK$110:$DK$111,2,0)</f>
        <v>402.11538461538464</v>
      </c>
      <c r="K26" s="5">
        <f ca="1">IF(I26-IF(Setup!$I$15="Yes",$G26,0)-IF(Setup!$I$13="Yes",$H26,0)&lt;0,0,I26-IF(Setup!$I$15="Yes",$G26,0)-IF(Setup!$I$13="Yes",$H26,0))</f>
        <v>4984.4800195505322</v>
      </c>
      <c r="L26" s="5">
        <f t="shared" ca="1" si="3"/>
        <v>402.11538461538464</v>
      </c>
      <c r="M26" s="5">
        <f ca="1">(IF('Demand adjustments for Covid'!$F$9="No",E26,SUM('Demand background (hide)'!DS15,'Demand background (hide)'!DV15:DW15))*(1-'Parameters calculator (hide)'!$B$43))*(1-'Parameters calculator (hide)'!$B$44+('Parameters calculator (hide)'!$B$45*'Parameters calculator (hide)'!$B$47))</f>
        <v>14765</v>
      </c>
      <c r="N26" s="5">
        <f ca="1">(IF('Demand adjustments for Covid'!$F$9="No",F26,SUM('Demand background (hide)'!DT15,'Demand background (hide)'!DV15:DW15))*(1-'Parameters calculator (hide)'!$B$43))*(1-'Parameters calculator (hide)'!$B$44+('Parameters calculator (hide)'!$B$45*'Parameters calculator (hide)'!$B$47))</f>
        <v>15657.95</v>
      </c>
      <c r="P26" s="5">
        <f t="shared" ca="1" si="4"/>
        <v>5044.8076923076924</v>
      </c>
      <c r="Q26" s="5">
        <f t="shared" ca="1" si="5"/>
        <v>402.11538461538464</v>
      </c>
      <c r="R26" s="5">
        <f t="shared" ca="1" si="6"/>
        <v>4984.4800195505322</v>
      </c>
      <c r="S26" s="5">
        <f t="shared" ca="1" si="7"/>
        <v>402.11538461538464</v>
      </c>
      <c r="T26" s="5">
        <f ca="1">M26/IF(Summary!$C$8&lt;&gt;"Patients",1,$I$9)</f>
        <v>14765</v>
      </c>
      <c r="U26" s="5">
        <f ca="1">((N26-M26)/IF(Summary!$C$8&lt;&gt;"Patients",1,$I$9))</f>
        <v>892.95000000000073</v>
      </c>
      <c r="V26" s="5">
        <f t="shared" ca="1" si="8"/>
        <v>60.327672757160009</v>
      </c>
      <c r="X26" s="5">
        <f ca="1">(VLOOKUP(D26,'SPC background (hide)'!$AG$2:$AN$54,8,0)/IF(Summary!$C$8&lt;&gt;"Patients",1,$I$9))*(1-$I$4)*(1-$I$5+($I$6*$I$7))</f>
        <v>14486.884615384615</v>
      </c>
    </row>
    <row r="27" spans="1:24" x14ac:dyDescent="0.2">
      <c r="A27" s="87">
        <f t="shared" si="9"/>
        <v>43976</v>
      </c>
      <c r="B27" s="67" t="str">
        <f t="shared" si="1"/>
        <v/>
      </c>
      <c r="C27" s="67" t="str">
        <f t="shared" si="2"/>
        <v/>
      </c>
      <c r="D27" s="67">
        <f t="shared" si="0"/>
        <v>22</v>
      </c>
      <c r="E27" s="5">
        <f ca="1">IF(LEFT(Demand!$C$8,1)="H",VLOOKUP($D27,'SPC background (hide)'!$AG$2:$AS$54,12,0),'Demand background (hide)'!X16)</f>
        <v>14765</v>
      </c>
      <c r="F27" s="5">
        <f ca="1">IF(LEFT(Demand!$C$8,1)="H",VLOOKUP($D27,'SPC background (hide)'!$AG$2:$AS$54,13,0),E27*1.1)</f>
        <v>15657.95</v>
      </c>
      <c r="G27" s="5" t="str">
        <f>IF(Setup!$I$15="Yes",VLOOKUP(D27,'SPC background (hide)'!$AG$2:$AT$54,14,0)/IF(Summary!$C$8="Patients",'Summary Calculations (hide)'!$I$9,1),"")</f>
        <v/>
      </c>
      <c r="H27" s="67">
        <f ca="1">IF(Setup!$I$13="Yes",'Planned background (hide)'!$V$23/IF(Summary!$C$8="Patients",'Summary Calculations (hide)'!$I$9,1),"")</f>
        <v>60.327672757160009</v>
      </c>
      <c r="I27" s="5">
        <f ca="1">IFERROR(HLOOKUP(A27,'Capacity calculation (hide)'!$BK$1:$DK$4,4,0),Capacity!$I$15)</f>
        <v>5044.8076923076924</v>
      </c>
      <c r="J27" s="5">
        <f ca="1">HLOOKUP(D27,'Capacity calculation (hide)'!$BK$110:$DK$111,2,0)</f>
        <v>402.11538461538464</v>
      </c>
      <c r="K27" s="5">
        <f ca="1">IF(I27-IF(Setup!$I$15="Yes",$G27,0)-IF(Setup!$I$13="Yes",$H27,0)&lt;0,0,I27-IF(Setup!$I$15="Yes",$G27,0)-IF(Setup!$I$13="Yes",$H27,0))</f>
        <v>4984.4800195505322</v>
      </c>
      <c r="L27" s="5">
        <f t="shared" ca="1" si="3"/>
        <v>402.11538461538464</v>
      </c>
      <c r="M27" s="5">
        <f ca="1">(IF('Demand adjustments for Covid'!$F$9="No",E27,SUM('Demand background (hide)'!DS16,'Demand background (hide)'!DV16:DW16))*(1-'Parameters calculator (hide)'!$B$43))*(1-'Parameters calculator (hide)'!$B$44+('Parameters calculator (hide)'!$B$45*'Parameters calculator (hide)'!$B$47))</f>
        <v>14765</v>
      </c>
      <c r="N27" s="5">
        <f ca="1">(IF('Demand adjustments for Covid'!$F$9="No",F27,SUM('Demand background (hide)'!DT16,'Demand background (hide)'!DV16:DW16))*(1-'Parameters calculator (hide)'!$B$43))*(1-'Parameters calculator (hide)'!$B$44+('Parameters calculator (hide)'!$B$45*'Parameters calculator (hide)'!$B$47))</f>
        <v>15657.95</v>
      </c>
      <c r="P27" s="5">
        <f t="shared" ca="1" si="4"/>
        <v>5044.8076923076924</v>
      </c>
      <c r="Q27" s="5">
        <f t="shared" ca="1" si="5"/>
        <v>402.11538461538464</v>
      </c>
      <c r="R27" s="5">
        <f t="shared" ca="1" si="6"/>
        <v>4984.4800195505322</v>
      </c>
      <c r="S27" s="5">
        <f t="shared" ca="1" si="7"/>
        <v>402.11538461538464</v>
      </c>
      <c r="T27" s="5">
        <f ca="1">M27/IF(Summary!$C$8&lt;&gt;"Patients",1,$I$9)</f>
        <v>14765</v>
      </c>
      <c r="U27" s="5">
        <f ca="1">((N27-M27)/IF(Summary!$C$8&lt;&gt;"Patients",1,$I$9))</f>
        <v>892.95000000000073</v>
      </c>
      <c r="V27" s="5">
        <f t="shared" ca="1" si="8"/>
        <v>60.327672757160009</v>
      </c>
      <c r="X27" s="5">
        <f ca="1">(VLOOKUP(D27,'SPC background (hide)'!$AG$2:$AN$54,8,0)/IF(Summary!$C$8&lt;&gt;"Patients",1,$I$9))*(1-$I$4)*(1-$I$5+($I$6*$I$7))</f>
        <v>14486.884615384615</v>
      </c>
    </row>
    <row r="28" spans="1:24" x14ac:dyDescent="0.2">
      <c r="A28" s="87">
        <f t="shared" si="9"/>
        <v>43983</v>
      </c>
      <c r="B28" s="67" t="str">
        <f t="shared" si="1"/>
        <v/>
      </c>
      <c r="C28" s="67" t="str">
        <f t="shared" si="2"/>
        <v>Jun</v>
      </c>
      <c r="D28" s="67">
        <f t="shared" si="0"/>
        <v>23</v>
      </c>
      <c r="E28" s="5">
        <f ca="1">IF(LEFT(Demand!$C$8,1)="H",VLOOKUP($D28,'SPC background (hide)'!$AG$2:$AS$54,12,0),'Demand background (hide)'!X17)</f>
        <v>14765</v>
      </c>
      <c r="F28" s="5">
        <f ca="1">IF(LEFT(Demand!$C$8,1)="H",VLOOKUP($D28,'SPC background (hide)'!$AG$2:$AS$54,13,0),E28*1.1)</f>
        <v>15657.95</v>
      </c>
      <c r="G28" s="5" t="str">
        <f>IF(Setup!$I$15="Yes",VLOOKUP(D28,'SPC background (hide)'!$AG$2:$AT$54,14,0)/IF(Summary!$C$8="Patients",'Summary Calculations (hide)'!$I$9,1),"")</f>
        <v/>
      </c>
      <c r="H28" s="67">
        <f ca="1">IF(Setup!$I$13="Yes",'Planned background (hide)'!$V$23/IF(Summary!$C$8="Patients",'Summary Calculations (hide)'!$I$9,1),"")</f>
        <v>60.327672757160009</v>
      </c>
      <c r="I28" s="5">
        <f ca="1">IFERROR(HLOOKUP(A28,'Capacity calculation (hide)'!$BK$1:$DK$4,4,0),Capacity!$I$15)</f>
        <v>5044.8076923076924</v>
      </c>
      <c r="J28" s="5">
        <f ca="1">HLOOKUP(D28,'Capacity calculation (hide)'!$BK$110:$DK$111,2,0)</f>
        <v>402.11538461538464</v>
      </c>
      <c r="K28" s="5">
        <f ca="1">IF(I28-IF(Setup!$I$15="Yes",$G28,0)-IF(Setup!$I$13="Yes",$H28,0)&lt;0,0,I28-IF(Setup!$I$15="Yes",$G28,0)-IF(Setup!$I$13="Yes",$H28,0))</f>
        <v>4984.4800195505322</v>
      </c>
      <c r="L28" s="5">
        <f t="shared" ca="1" si="3"/>
        <v>402.11538461538464</v>
      </c>
      <c r="M28" s="5">
        <f ca="1">(IF('Demand adjustments for Covid'!$F$9="No",E28,SUM('Demand background (hide)'!DS17,'Demand background (hide)'!DV17:DW17))*(1-'Parameters calculator (hide)'!$B$43))*(1-'Parameters calculator (hide)'!$B$44+('Parameters calculator (hide)'!$B$45*'Parameters calculator (hide)'!$B$47))</f>
        <v>14765</v>
      </c>
      <c r="N28" s="5">
        <f ca="1">(IF('Demand adjustments for Covid'!$F$9="No",F28,SUM('Demand background (hide)'!DT17,'Demand background (hide)'!DV17:DW17))*(1-'Parameters calculator (hide)'!$B$43))*(1-'Parameters calculator (hide)'!$B$44+('Parameters calculator (hide)'!$B$45*'Parameters calculator (hide)'!$B$47))</f>
        <v>15657.95</v>
      </c>
      <c r="P28" s="5">
        <f t="shared" ca="1" si="4"/>
        <v>5044.8076923076924</v>
      </c>
      <c r="Q28" s="5">
        <f t="shared" ca="1" si="5"/>
        <v>402.11538461538464</v>
      </c>
      <c r="R28" s="5">
        <f t="shared" ca="1" si="6"/>
        <v>4984.4800195505322</v>
      </c>
      <c r="S28" s="5">
        <f t="shared" ca="1" si="7"/>
        <v>402.11538461538464</v>
      </c>
      <c r="T28" s="5">
        <f ca="1">M28/IF(Summary!$C$8&lt;&gt;"Patients",1,$I$9)</f>
        <v>14765</v>
      </c>
      <c r="U28" s="5">
        <f ca="1">((N28-M28)/IF(Summary!$C$8&lt;&gt;"Patients",1,$I$9))</f>
        <v>892.95000000000073</v>
      </c>
      <c r="V28" s="5">
        <f t="shared" ca="1" si="8"/>
        <v>60.327672757160009</v>
      </c>
      <c r="X28" s="5">
        <f ca="1">(VLOOKUP(D28,'SPC background (hide)'!$AG$2:$AN$54,8,0)/IF(Summary!$C$8&lt;&gt;"Patients",1,$I$9))*(1-$I$4)*(1-$I$5+($I$6*$I$7))</f>
        <v>14486.884615384615</v>
      </c>
    </row>
    <row r="29" spans="1:24" x14ac:dyDescent="0.2">
      <c r="A29" s="87">
        <f t="shared" si="9"/>
        <v>43990</v>
      </c>
      <c r="B29" s="67" t="str">
        <f t="shared" si="1"/>
        <v/>
      </c>
      <c r="C29" s="67" t="str">
        <f t="shared" si="2"/>
        <v/>
      </c>
      <c r="D29" s="67">
        <f t="shared" si="0"/>
        <v>24</v>
      </c>
      <c r="E29" s="5">
        <f ca="1">IF(LEFT(Demand!$C$8,1)="H",VLOOKUP($D29,'SPC background (hide)'!$AG$2:$AS$54,12,0),'Demand background (hide)'!X18)</f>
        <v>14765</v>
      </c>
      <c r="F29" s="5">
        <f ca="1">IF(LEFT(Demand!$C$8,1)="H",VLOOKUP($D29,'SPC background (hide)'!$AG$2:$AS$54,13,0),E29*1.1)</f>
        <v>15657.95</v>
      </c>
      <c r="G29" s="5" t="str">
        <f>IF(Setup!$I$15="Yes",VLOOKUP(D29,'SPC background (hide)'!$AG$2:$AT$54,14,0)/IF(Summary!$C$8="Patients",'Summary Calculations (hide)'!$I$9,1),"")</f>
        <v/>
      </c>
      <c r="H29" s="67">
        <f ca="1">IF(Setup!$I$13="Yes",'Planned background (hide)'!$V$23/IF(Summary!$C$8="Patients",'Summary Calculations (hide)'!$I$9,1),"")</f>
        <v>60.327672757160009</v>
      </c>
      <c r="I29" s="5">
        <f ca="1">IFERROR(HLOOKUP(A29,'Capacity calculation (hide)'!$BK$1:$DK$4,4,0),Capacity!$I$15)</f>
        <v>5044.8076923076924</v>
      </c>
      <c r="J29" s="5">
        <f ca="1">HLOOKUP(D29,'Capacity calculation (hide)'!$BK$110:$DK$111,2,0)</f>
        <v>402.11538461538464</v>
      </c>
      <c r="K29" s="5">
        <f ca="1">IF(I29-IF(Setup!$I$15="Yes",$G29,0)-IF(Setup!$I$13="Yes",$H29,0)&lt;0,0,I29-IF(Setup!$I$15="Yes",$G29,0)-IF(Setup!$I$13="Yes",$H29,0))</f>
        <v>4984.4800195505322</v>
      </c>
      <c r="L29" s="5">
        <f t="shared" ca="1" si="3"/>
        <v>402.11538461538464</v>
      </c>
      <c r="M29" s="5">
        <f ca="1">(IF('Demand adjustments for Covid'!$F$9="No",E29,SUM('Demand background (hide)'!DS18,'Demand background (hide)'!DV18:DW18))*(1-'Parameters calculator (hide)'!$B$43))*(1-'Parameters calculator (hide)'!$B$44+('Parameters calculator (hide)'!$B$45*'Parameters calculator (hide)'!$B$47))</f>
        <v>14765</v>
      </c>
      <c r="N29" s="5">
        <f ca="1">(IF('Demand adjustments for Covid'!$F$9="No",F29,SUM('Demand background (hide)'!DT18,'Demand background (hide)'!DV18:DW18))*(1-'Parameters calculator (hide)'!$B$43))*(1-'Parameters calculator (hide)'!$B$44+('Parameters calculator (hide)'!$B$45*'Parameters calculator (hide)'!$B$47))</f>
        <v>15657.95</v>
      </c>
      <c r="P29" s="5">
        <f t="shared" ca="1" si="4"/>
        <v>5044.8076923076924</v>
      </c>
      <c r="Q29" s="5">
        <f t="shared" ca="1" si="5"/>
        <v>402.11538461538464</v>
      </c>
      <c r="R29" s="5">
        <f t="shared" ca="1" si="6"/>
        <v>4984.4800195505322</v>
      </c>
      <c r="S29" s="5">
        <f t="shared" ca="1" si="7"/>
        <v>402.11538461538464</v>
      </c>
      <c r="T29" s="5">
        <f ca="1">M29/IF(Summary!$C$8&lt;&gt;"Patients",1,$I$9)</f>
        <v>14765</v>
      </c>
      <c r="U29" s="5">
        <f ca="1">((N29-M29)/IF(Summary!$C$8&lt;&gt;"Patients",1,$I$9))</f>
        <v>892.95000000000073</v>
      </c>
      <c r="V29" s="5">
        <f t="shared" ca="1" si="8"/>
        <v>60.327672757160009</v>
      </c>
      <c r="X29" s="5">
        <f ca="1">(VLOOKUP(D29,'SPC background (hide)'!$AG$2:$AN$54,8,0)/IF(Summary!$C$8&lt;&gt;"Patients",1,$I$9))*(1-$I$4)*(1-$I$5+($I$6*$I$7))</f>
        <v>14486.884615384615</v>
      </c>
    </row>
    <row r="30" spans="1:24" x14ac:dyDescent="0.2">
      <c r="A30" s="87">
        <f t="shared" si="9"/>
        <v>43997</v>
      </c>
      <c r="B30" s="67" t="str">
        <f t="shared" si="1"/>
        <v/>
      </c>
      <c r="C30" s="67" t="str">
        <f t="shared" si="2"/>
        <v/>
      </c>
      <c r="D30" s="67">
        <f t="shared" si="0"/>
        <v>25</v>
      </c>
      <c r="E30" s="5">
        <f ca="1">IF(LEFT(Demand!$C$8,1)="H",VLOOKUP($D30,'SPC background (hide)'!$AG$2:$AS$54,12,0),'Demand background (hide)'!X19)</f>
        <v>14765</v>
      </c>
      <c r="F30" s="5">
        <f ca="1">IF(LEFT(Demand!$C$8,1)="H",VLOOKUP($D30,'SPC background (hide)'!$AG$2:$AS$54,13,0),E30*1.1)</f>
        <v>15657.95</v>
      </c>
      <c r="G30" s="5" t="str">
        <f>IF(Setup!$I$15="Yes",VLOOKUP(D30,'SPC background (hide)'!$AG$2:$AT$54,14,0)/IF(Summary!$C$8="Patients",'Summary Calculations (hide)'!$I$9,1),"")</f>
        <v/>
      </c>
      <c r="H30" s="67">
        <f ca="1">IF(Setup!$I$13="Yes",'Planned background (hide)'!$V$23/IF(Summary!$C$8="Patients",'Summary Calculations (hide)'!$I$9,1),"")</f>
        <v>60.327672757160009</v>
      </c>
      <c r="I30" s="5">
        <f ca="1">IFERROR(HLOOKUP(A30,'Capacity calculation (hide)'!$BK$1:$DK$4,4,0),Capacity!$I$15)</f>
        <v>5044.8076923076924</v>
      </c>
      <c r="J30" s="5">
        <f ca="1">HLOOKUP(D30,'Capacity calculation (hide)'!$BK$110:$DK$111,2,0)</f>
        <v>402.11538461538464</v>
      </c>
      <c r="K30" s="5">
        <f ca="1">IF(I30-IF(Setup!$I$15="Yes",$G30,0)-IF(Setup!$I$13="Yes",$H30,0)&lt;0,0,I30-IF(Setup!$I$15="Yes",$G30,0)-IF(Setup!$I$13="Yes",$H30,0))</f>
        <v>4984.4800195505322</v>
      </c>
      <c r="L30" s="5">
        <f t="shared" ca="1" si="3"/>
        <v>402.11538461538464</v>
      </c>
      <c r="M30" s="5">
        <f ca="1">(IF('Demand adjustments for Covid'!$F$9="No",E30,SUM('Demand background (hide)'!DS19,'Demand background (hide)'!DV19:DW19))*(1-'Parameters calculator (hide)'!$B$43))*(1-'Parameters calculator (hide)'!$B$44+('Parameters calculator (hide)'!$B$45*'Parameters calculator (hide)'!$B$47))</f>
        <v>14765</v>
      </c>
      <c r="N30" s="5">
        <f ca="1">(IF('Demand adjustments for Covid'!$F$9="No",F30,SUM('Demand background (hide)'!DT19,'Demand background (hide)'!DV19:DW19))*(1-'Parameters calculator (hide)'!$B$43))*(1-'Parameters calculator (hide)'!$B$44+('Parameters calculator (hide)'!$B$45*'Parameters calculator (hide)'!$B$47))</f>
        <v>15657.95</v>
      </c>
      <c r="P30" s="5">
        <f t="shared" ca="1" si="4"/>
        <v>5044.8076923076924</v>
      </c>
      <c r="Q30" s="5">
        <f t="shared" ca="1" si="5"/>
        <v>402.11538461538464</v>
      </c>
      <c r="R30" s="5">
        <f t="shared" ca="1" si="6"/>
        <v>4984.4800195505322</v>
      </c>
      <c r="S30" s="5">
        <f t="shared" ca="1" si="7"/>
        <v>402.11538461538464</v>
      </c>
      <c r="T30" s="5">
        <f ca="1">M30/IF(Summary!$C$8&lt;&gt;"Patients",1,$I$9)</f>
        <v>14765</v>
      </c>
      <c r="U30" s="5">
        <f ca="1">((N30-M30)/IF(Summary!$C$8&lt;&gt;"Patients",1,$I$9))</f>
        <v>892.95000000000073</v>
      </c>
      <c r="V30" s="5">
        <f t="shared" ca="1" si="8"/>
        <v>60.327672757160009</v>
      </c>
      <c r="X30" s="5">
        <f ca="1">(VLOOKUP(D30,'SPC background (hide)'!$AG$2:$AN$54,8,0)/IF(Summary!$C$8&lt;&gt;"Patients",1,$I$9))*(1-$I$4)*(1-$I$5+($I$6*$I$7))</f>
        <v>14486.884615384615</v>
      </c>
    </row>
    <row r="31" spans="1:24" x14ac:dyDescent="0.2">
      <c r="A31" s="87">
        <f t="shared" si="9"/>
        <v>44004</v>
      </c>
      <c r="B31" s="67" t="str">
        <f t="shared" si="1"/>
        <v/>
      </c>
      <c r="C31" s="67" t="str">
        <f t="shared" si="2"/>
        <v/>
      </c>
      <c r="D31" s="67">
        <f t="shared" si="0"/>
        <v>26</v>
      </c>
      <c r="E31" s="5">
        <f ca="1">IF(LEFT(Demand!$C$8,1)="H",VLOOKUP($D31,'SPC background (hide)'!$AG$2:$AS$54,12,0),'Demand background (hide)'!X20)</f>
        <v>14765</v>
      </c>
      <c r="F31" s="5">
        <f ca="1">IF(LEFT(Demand!$C$8,1)="H",VLOOKUP($D31,'SPC background (hide)'!$AG$2:$AS$54,13,0),E31*1.1)</f>
        <v>15657.95</v>
      </c>
      <c r="G31" s="5" t="str">
        <f>IF(Setup!$I$15="Yes",VLOOKUP(D31,'SPC background (hide)'!$AG$2:$AT$54,14,0)/IF(Summary!$C$8="Patients",'Summary Calculations (hide)'!$I$9,1),"")</f>
        <v/>
      </c>
      <c r="H31" s="67">
        <f ca="1">IF(Setup!$I$13="Yes",'Planned background (hide)'!$V$23/IF(Summary!$C$8="Patients",'Summary Calculations (hide)'!$I$9,1),"")</f>
        <v>60.327672757160009</v>
      </c>
      <c r="I31" s="5">
        <f ca="1">IFERROR(HLOOKUP(A31,'Capacity calculation (hide)'!$BK$1:$DK$4,4,0),Capacity!$I$15)</f>
        <v>5044.8076923076924</v>
      </c>
      <c r="J31" s="5">
        <f ca="1">HLOOKUP(D31,'Capacity calculation (hide)'!$BK$110:$DK$111,2,0)</f>
        <v>402.11538461538464</v>
      </c>
      <c r="K31" s="5">
        <f ca="1">IF(I31-IF(Setup!$I$15="Yes",$G31,0)-IF(Setup!$I$13="Yes",$H31,0)&lt;0,0,I31-IF(Setup!$I$15="Yes",$G31,0)-IF(Setup!$I$13="Yes",$H31,0))</f>
        <v>4984.4800195505322</v>
      </c>
      <c r="L31" s="5">
        <f t="shared" ca="1" si="3"/>
        <v>402.11538461538464</v>
      </c>
      <c r="M31" s="5">
        <f ca="1">(IF('Demand adjustments for Covid'!$F$9="No",E31,SUM('Demand background (hide)'!DS20,'Demand background (hide)'!DV20:DW20))*(1-'Parameters calculator (hide)'!$B$43))*(1-'Parameters calculator (hide)'!$B$44+('Parameters calculator (hide)'!$B$45*'Parameters calculator (hide)'!$B$47))</f>
        <v>14765</v>
      </c>
      <c r="N31" s="5">
        <f ca="1">(IF('Demand adjustments for Covid'!$F$9="No",F31,SUM('Demand background (hide)'!DT20,'Demand background (hide)'!DV20:DW20))*(1-'Parameters calculator (hide)'!$B$43))*(1-'Parameters calculator (hide)'!$B$44+('Parameters calculator (hide)'!$B$45*'Parameters calculator (hide)'!$B$47))</f>
        <v>15657.95</v>
      </c>
      <c r="P31" s="5">
        <f t="shared" ca="1" si="4"/>
        <v>5044.8076923076924</v>
      </c>
      <c r="Q31" s="5">
        <f t="shared" ca="1" si="5"/>
        <v>402.11538461538464</v>
      </c>
      <c r="R31" s="5">
        <f t="shared" ca="1" si="6"/>
        <v>4984.4800195505322</v>
      </c>
      <c r="S31" s="5">
        <f t="shared" ca="1" si="7"/>
        <v>402.11538461538464</v>
      </c>
      <c r="T31" s="5">
        <f ca="1">M31/IF(Summary!$C$8&lt;&gt;"Patients",1,$I$9)</f>
        <v>14765</v>
      </c>
      <c r="U31" s="5">
        <f ca="1">((N31-M31)/IF(Summary!$C$8&lt;&gt;"Patients",1,$I$9))</f>
        <v>892.95000000000073</v>
      </c>
      <c r="V31" s="5">
        <f t="shared" ca="1" si="8"/>
        <v>60.327672757160009</v>
      </c>
      <c r="X31" s="5">
        <f ca="1">(VLOOKUP(D31,'SPC background (hide)'!$AG$2:$AN$54,8,0)/IF(Summary!$C$8&lt;&gt;"Patients",1,$I$9))*(1-$I$4)*(1-$I$5+($I$6*$I$7))</f>
        <v>14486.884615384615</v>
      </c>
    </row>
    <row r="32" spans="1:24" x14ac:dyDescent="0.2">
      <c r="A32" s="87">
        <f t="shared" si="9"/>
        <v>44011</v>
      </c>
      <c r="B32" s="67" t="str">
        <f t="shared" si="1"/>
        <v/>
      </c>
      <c r="C32" s="67" t="str">
        <f t="shared" si="2"/>
        <v/>
      </c>
      <c r="D32" s="67">
        <f t="shared" si="0"/>
        <v>27</v>
      </c>
      <c r="E32" s="5">
        <f ca="1">IF(LEFT(Demand!$C$8,1)="H",VLOOKUP($D32,'SPC background (hide)'!$AG$2:$AS$54,12,0),'Demand background (hide)'!X21)</f>
        <v>14765</v>
      </c>
      <c r="F32" s="5">
        <f ca="1">IF(LEFT(Demand!$C$8,1)="H",VLOOKUP($D32,'SPC background (hide)'!$AG$2:$AS$54,13,0),E32*1.1)</f>
        <v>15657.95</v>
      </c>
      <c r="G32" s="5" t="str">
        <f>IF(Setup!$I$15="Yes",VLOOKUP(D32,'SPC background (hide)'!$AG$2:$AT$54,14,0)/IF(Summary!$C$8="Patients",'Summary Calculations (hide)'!$I$9,1),"")</f>
        <v/>
      </c>
      <c r="H32" s="67">
        <f ca="1">IF(Setup!$I$13="Yes",'Planned background (hide)'!$V$23/IF(Summary!$C$8="Patients",'Summary Calculations (hide)'!$I$9,1),"")</f>
        <v>60.327672757160009</v>
      </c>
      <c r="I32" s="5">
        <f ca="1">IFERROR(HLOOKUP(A32,'Capacity calculation (hide)'!$BK$1:$DK$4,4,0),Capacity!$I$15)</f>
        <v>5044.8076923076924</v>
      </c>
      <c r="J32" s="5">
        <f ca="1">HLOOKUP(D32,'Capacity calculation (hide)'!$BK$110:$DK$111,2,0)</f>
        <v>402.11538461538464</v>
      </c>
      <c r="K32" s="5">
        <f ca="1">IF(I32-IF(Setup!$I$15="Yes",$G32,0)-IF(Setup!$I$13="Yes",$H32,0)&lt;0,0,I32-IF(Setup!$I$15="Yes",$G32,0)-IF(Setup!$I$13="Yes",$H32,0))</f>
        <v>4984.4800195505322</v>
      </c>
      <c r="L32" s="5">
        <f t="shared" ca="1" si="3"/>
        <v>402.11538461538464</v>
      </c>
      <c r="M32" s="5">
        <f ca="1">(IF('Demand adjustments for Covid'!$F$9="No",E32,SUM('Demand background (hide)'!DS21,'Demand background (hide)'!DV21:DW21))*(1-'Parameters calculator (hide)'!$B$43))*(1-'Parameters calculator (hide)'!$B$44+('Parameters calculator (hide)'!$B$45*'Parameters calculator (hide)'!$B$47))</f>
        <v>14765</v>
      </c>
      <c r="N32" s="5">
        <f ca="1">(IF('Demand adjustments for Covid'!$F$9="No",F32,SUM('Demand background (hide)'!DT21,'Demand background (hide)'!DV21:DW21))*(1-'Parameters calculator (hide)'!$B$43))*(1-'Parameters calculator (hide)'!$B$44+('Parameters calculator (hide)'!$B$45*'Parameters calculator (hide)'!$B$47))</f>
        <v>15657.95</v>
      </c>
      <c r="P32" s="5">
        <f t="shared" ca="1" si="4"/>
        <v>5044.8076923076924</v>
      </c>
      <c r="Q32" s="5">
        <f t="shared" ca="1" si="5"/>
        <v>402.11538461538464</v>
      </c>
      <c r="R32" s="5">
        <f t="shared" ca="1" si="6"/>
        <v>4984.4800195505322</v>
      </c>
      <c r="S32" s="5">
        <f t="shared" ca="1" si="7"/>
        <v>402.11538461538464</v>
      </c>
      <c r="T32" s="5">
        <f ca="1">M32/IF(Summary!$C$8&lt;&gt;"Patients",1,$I$9)</f>
        <v>14765</v>
      </c>
      <c r="U32" s="5">
        <f ca="1">((N32-M32)/IF(Summary!$C$8&lt;&gt;"Patients",1,$I$9))</f>
        <v>892.95000000000073</v>
      </c>
      <c r="V32" s="5">
        <f t="shared" ca="1" si="8"/>
        <v>60.327672757160009</v>
      </c>
      <c r="X32" s="5">
        <f ca="1">(VLOOKUP(D32,'SPC background (hide)'!$AG$2:$AN$54,8,0)/IF(Summary!$C$8&lt;&gt;"Patients",1,$I$9))*(1-$I$4)*(1-$I$5+($I$6*$I$7))</f>
        <v>14486.884615384615</v>
      </c>
    </row>
    <row r="33" spans="1:24" x14ac:dyDescent="0.2">
      <c r="A33" s="87">
        <f t="shared" si="9"/>
        <v>44018</v>
      </c>
      <c r="B33" s="67" t="str">
        <f t="shared" si="1"/>
        <v/>
      </c>
      <c r="C33" s="67" t="str">
        <f t="shared" si="2"/>
        <v>Jul</v>
      </c>
      <c r="D33" s="67">
        <f t="shared" si="0"/>
        <v>28</v>
      </c>
      <c r="E33" s="5">
        <f ca="1">IF(LEFT(Demand!$C$8,1)="H",VLOOKUP($D33,'SPC background (hide)'!$AG$2:$AS$54,12,0),'Demand background (hide)'!X22)</f>
        <v>14765</v>
      </c>
      <c r="F33" s="5">
        <f ca="1">IF(LEFT(Demand!$C$8,1)="H",VLOOKUP($D33,'SPC background (hide)'!$AG$2:$AS$54,13,0),E33*1.1)</f>
        <v>15657.95</v>
      </c>
      <c r="G33" s="5" t="str">
        <f>IF(Setup!$I$15="Yes",VLOOKUP(D33,'SPC background (hide)'!$AG$2:$AT$54,14,0)/IF(Summary!$C$8="Patients",'Summary Calculations (hide)'!$I$9,1),"")</f>
        <v/>
      </c>
      <c r="H33" s="67">
        <f ca="1">IF(Setup!$I$13="Yes",'Planned background (hide)'!$V$23/IF(Summary!$C$8="Patients",'Summary Calculations (hide)'!$I$9,1),"")</f>
        <v>60.327672757160009</v>
      </c>
      <c r="I33" s="5">
        <f ca="1">IFERROR(HLOOKUP(A33,'Capacity calculation (hide)'!$BK$1:$DK$4,4,0),Capacity!$I$15)</f>
        <v>5044.8076923076924</v>
      </c>
      <c r="J33" s="5">
        <f ca="1">HLOOKUP(D33,'Capacity calculation (hide)'!$BK$110:$DK$111,2,0)</f>
        <v>402.11538461538464</v>
      </c>
      <c r="K33" s="5">
        <f ca="1">IF(I33-IF(Setup!$I$15="Yes",$G33,0)-IF(Setup!$I$13="Yes",$H33,0)&lt;0,0,I33-IF(Setup!$I$15="Yes",$G33,0)-IF(Setup!$I$13="Yes",$H33,0))</f>
        <v>4984.4800195505322</v>
      </c>
      <c r="L33" s="5">
        <f t="shared" ca="1" si="3"/>
        <v>402.11538461538464</v>
      </c>
      <c r="M33" s="5">
        <f ca="1">(IF('Demand adjustments for Covid'!$F$9="No",E33,SUM('Demand background (hide)'!DS22,'Demand background (hide)'!DV22:DW22))*(1-'Parameters calculator (hide)'!$B$43))*(1-'Parameters calculator (hide)'!$B$44+('Parameters calculator (hide)'!$B$45*'Parameters calculator (hide)'!$B$47))</f>
        <v>14765</v>
      </c>
      <c r="N33" s="5">
        <f ca="1">(IF('Demand adjustments for Covid'!$F$9="No",F33,SUM('Demand background (hide)'!DT22,'Demand background (hide)'!DV22:DW22))*(1-'Parameters calculator (hide)'!$B$43))*(1-'Parameters calculator (hide)'!$B$44+('Parameters calculator (hide)'!$B$45*'Parameters calculator (hide)'!$B$47))</f>
        <v>15657.95</v>
      </c>
      <c r="P33" s="5">
        <f t="shared" ca="1" si="4"/>
        <v>5044.8076923076924</v>
      </c>
      <c r="Q33" s="5">
        <f t="shared" ca="1" si="5"/>
        <v>402.11538461538464</v>
      </c>
      <c r="R33" s="5">
        <f t="shared" ca="1" si="6"/>
        <v>4984.4800195505322</v>
      </c>
      <c r="S33" s="5">
        <f t="shared" ca="1" si="7"/>
        <v>402.11538461538464</v>
      </c>
      <c r="T33" s="5">
        <f ca="1">M33/IF(Summary!$C$8&lt;&gt;"Patients",1,$I$9)</f>
        <v>14765</v>
      </c>
      <c r="U33" s="5">
        <f ca="1">((N33-M33)/IF(Summary!$C$8&lt;&gt;"Patients",1,$I$9))</f>
        <v>892.95000000000073</v>
      </c>
      <c r="V33" s="5">
        <f t="shared" ca="1" si="8"/>
        <v>60.327672757160009</v>
      </c>
      <c r="X33" s="5">
        <f ca="1">(VLOOKUP(D33,'SPC background (hide)'!$AG$2:$AN$54,8,0)/IF(Summary!$C$8&lt;&gt;"Patients",1,$I$9))*(1-$I$4)*(1-$I$5+($I$6*$I$7))</f>
        <v>14486.884615384615</v>
      </c>
    </row>
    <row r="34" spans="1:24" x14ac:dyDescent="0.2">
      <c r="A34" s="87">
        <f t="shared" si="9"/>
        <v>44025</v>
      </c>
      <c r="B34" s="67" t="str">
        <f t="shared" si="1"/>
        <v/>
      </c>
      <c r="C34" s="67" t="str">
        <f t="shared" si="2"/>
        <v/>
      </c>
      <c r="D34" s="67">
        <f t="shared" si="0"/>
        <v>29</v>
      </c>
      <c r="E34" s="5">
        <f ca="1">IF(LEFT(Demand!$C$8,1)="H",VLOOKUP($D34,'SPC background (hide)'!$AG$2:$AS$54,12,0),'Demand background (hide)'!X23)</f>
        <v>14765</v>
      </c>
      <c r="F34" s="5">
        <f ca="1">IF(LEFT(Demand!$C$8,1)="H",VLOOKUP($D34,'SPC background (hide)'!$AG$2:$AS$54,13,0),E34*1.1)</f>
        <v>15657.95</v>
      </c>
      <c r="G34" s="5" t="str">
        <f>IF(Setup!$I$15="Yes",VLOOKUP(D34,'SPC background (hide)'!$AG$2:$AT$54,14,0)/IF(Summary!$C$8="Patients",'Summary Calculations (hide)'!$I$9,1),"")</f>
        <v/>
      </c>
      <c r="H34" s="67">
        <f ca="1">IF(Setup!$I$13="Yes",'Planned background (hide)'!$V$23/IF(Summary!$C$8="Patients",'Summary Calculations (hide)'!$I$9,1),"")</f>
        <v>60.327672757160009</v>
      </c>
      <c r="I34" s="5">
        <f ca="1">IFERROR(HLOOKUP(A34,'Capacity calculation (hide)'!$BK$1:$DK$4,4,0),Capacity!$I$15)</f>
        <v>5044.8076923076924</v>
      </c>
      <c r="J34" s="5">
        <f ca="1">HLOOKUP(D34,'Capacity calculation (hide)'!$BK$110:$DK$111,2,0)</f>
        <v>402.11538461538464</v>
      </c>
      <c r="K34" s="5">
        <f ca="1">IF(I34-IF(Setup!$I$15="Yes",$G34,0)-IF(Setup!$I$13="Yes",$H34,0)&lt;0,0,I34-IF(Setup!$I$15="Yes",$G34,0)-IF(Setup!$I$13="Yes",$H34,0))</f>
        <v>4984.4800195505322</v>
      </c>
      <c r="L34" s="5">
        <f t="shared" ca="1" si="3"/>
        <v>402.11538461538464</v>
      </c>
      <c r="M34" s="5">
        <f ca="1">(IF('Demand adjustments for Covid'!$F$9="No",E34,SUM('Demand background (hide)'!DS23,'Demand background (hide)'!DV23:DW23))*(1-'Parameters calculator (hide)'!$B$43))*(1-'Parameters calculator (hide)'!$B$44+('Parameters calculator (hide)'!$B$45*'Parameters calculator (hide)'!$B$47))</f>
        <v>14765</v>
      </c>
      <c r="N34" s="5">
        <f ca="1">(IF('Demand adjustments for Covid'!$F$9="No",F34,SUM('Demand background (hide)'!DT23,'Demand background (hide)'!DV23:DW23))*(1-'Parameters calculator (hide)'!$B$43))*(1-'Parameters calculator (hide)'!$B$44+('Parameters calculator (hide)'!$B$45*'Parameters calculator (hide)'!$B$47))</f>
        <v>15657.95</v>
      </c>
      <c r="P34" s="5">
        <f t="shared" ca="1" si="4"/>
        <v>5044.8076923076924</v>
      </c>
      <c r="Q34" s="5">
        <f t="shared" ca="1" si="5"/>
        <v>402.11538461538464</v>
      </c>
      <c r="R34" s="5">
        <f t="shared" ca="1" si="6"/>
        <v>4984.4800195505322</v>
      </c>
      <c r="S34" s="5">
        <f t="shared" ca="1" si="7"/>
        <v>402.11538461538464</v>
      </c>
      <c r="T34" s="5">
        <f ca="1">M34/IF(Summary!$C$8&lt;&gt;"Patients",1,$I$9)</f>
        <v>14765</v>
      </c>
      <c r="U34" s="5">
        <f ca="1">((N34-M34)/IF(Summary!$C$8&lt;&gt;"Patients",1,$I$9))</f>
        <v>892.95000000000073</v>
      </c>
      <c r="V34" s="5">
        <f t="shared" ca="1" si="8"/>
        <v>60.327672757160009</v>
      </c>
      <c r="X34" s="5">
        <f ca="1">(VLOOKUP(D34,'SPC background (hide)'!$AG$2:$AN$54,8,0)/IF(Summary!$C$8&lt;&gt;"Patients",1,$I$9))*(1-$I$4)*(1-$I$5+($I$6*$I$7))</f>
        <v>14486.884615384615</v>
      </c>
    </row>
    <row r="35" spans="1:24" x14ac:dyDescent="0.2">
      <c r="A35" s="87">
        <f t="shared" si="9"/>
        <v>44032</v>
      </c>
      <c r="B35" s="67" t="str">
        <f t="shared" si="1"/>
        <v/>
      </c>
      <c r="C35" s="67" t="str">
        <f t="shared" si="2"/>
        <v/>
      </c>
      <c r="D35" s="67">
        <f t="shared" si="0"/>
        <v>30</v>
      </c>
      <c r="E35" s="5">
        <f ca="1">IF(LEFT(Demand!$C$8,1)="H",VLOOKUP($D35,'SPC background (hide)'!$AG$2:$AS$54,12,0),'Demand background (hide)'!X24)</f>
        <v>14765</v>
      </c>
      <c r="F35" s="5">
        <f ca="1">IF(LEFT(Demand!$C$8,1)="H",VLOOKUP($D35,'SPC background (hide)'!$AG$2:$AS$54,13,0),E35*1.1)</f>
        <v>15657.95</v>
      </c>
      <c r="G35" s="5" t="str">
        <f>IF(Setup!$I$15="Yes",VLOOKUP(D35,'SPC background (hide)'!$AG$2:$AT$54,14,0)/IF(Summary!$C$8="Patients",'Summary Calculations (hide)'!$I$9,1),"")</f>
        <v/>
      </c>
      <c r="H35" s="67">
        <f ca="1">IF(Setup!$I$13="Yes",'Planned background (hide)'!$V$23/IF(Summary!$C$8="Patients",'Summary Calculations (hide)'!$I$9,1),"")</f>
        <v>60.327672757160009</v>
      </c>
      <c r="I35" s="5">
        <f ca="1">IFERROR(HLOOKUP(A35,'Capacity calculation (hide)'!$BK$1:$DK$4,4,0),Capacity!$I$15)</f>
        <v>5044.8076923076924</v>
      </c>
      <c r="J35" s="5">
        <f ca="1">HLOOKUP(D35,'Capacity calculation (hide)'!$BK$110:$DK$111,2,0)</f>
        <v>402.11538461538464</v>
      </c>
      <c r="K35" s="5">
        <f ca="1">IF(I35-IF(Setup!$I$15="Yes",$G35,0)-IF(Setup!$I$13="Yes",$H35,0)&lt;0,0,I35-IF(Setup!$I$15="Yes",$G35,0)-IF(Setup!$I$13="Yes",$H35,0))</f>
        <v>4984.4800195505322</v>
      </c>
      <c r="L35" s="5">
        <f t="shared" ca="1" si="3"/>
        <v>402.11538461538464</v>
      </c>
      <c r="M35" s="5">
        <f ca="1">(IF('Demand adjustments for Covid'!$F$9="No",E35,SUM('Demand background (hide)'!DS24,'Demand background (hide)'!DV24:DW24))*(1-'Parameters calculator (hide)'!$B$43))*(1-'Parameters calculator (hide)'!$B$44+('Parameters calculator (hide)'!$B$45*'Parameters calculator (hide)'!$B$47))</f>
        <v>14765</v>
      </c>
      <c r="N35" s="5">
        <f ca="1">(IF('Demand adjustments for Covid'!$F$9="No",F35,SUM('Demand background (hide)'!DT24,'Demand background (hide)'!DV24:DW24))*(1-'Parameters calculator (hide)'!$B$43))*(1-'Parameters calculator (hide)'!$B$44+('Parameters calculator (hide)'!$B$45*'Parameters calculator (hide)'!$B$47))</f>
        <v>15657.95</v>
      </c>
      <c r="P35" s="5">
        <f t="shared" ca="1" si="4"/>
        <v>5044.8076923076924</v>
      </c>
      <c r="Q35" s="5">
        <f t="shared" ca="1" si="5"/>
        <v>402.11538461538464</v>
      </c>
      <c r="R35" s="5">
        <f t="shared" ca="1" si="6"/>
        <v>4984.4800195505322</v>
      </c>
      <c r="S35" s="5">
        <f t="shared" ca="1" si="7"/>
        <v>402.11538461538464</v>
      </c>
      <c r="T35" s="5">
        <f ca="1">M35/IF(Summary!$C$8&lt;&gt;"Patients",1,$I$9)</f>
        <v>14765</v>
      </c>
      <c r="U35" s="5">
        <f ca="1">((N35-M35)/IF(Summary!$C$8&lt;&gt;"Patients",1,$I$9))</f>
        <v>892.95000000000073</v>
      </c>
      <c r="V35" s="5">
        <f t="shared" ca="1" si="8"/>
        <v>60.327672757160009</v>
      </c>
      <c r="X35" s="5">
        <f ca="1">(VLOOKUP(D35,'SPC background (hide)'!$AG$2:$AN$54,8,0)/IF(Summary!$C$8&lt;&gt;"Patients",1,$I$9))*(1-$I$4)*(1-$I$5+($I$6*$I$7))</f>
        <v>14486.884615384615</v>
      </c>
    </row>
    <row r="36" spans="1:24" x14ac:dyDescent="0.2">
      <c r="A36" s="87">
        <f t="shared" si="9"/>
        <v>44039</v>
      </c>
      <c r="B36" s="67" t="str">
        <f t="shared" si="1"/>
        <v/>
      </c>
      <c r="C36" s="67" t="str">
        <f t="shared" si="2"/>
        <v/>
      </c>
      <c r="D36" s="67">
        <f t="shared" si="0"/>
        <v>31</v>
      </c>
      <c r="E36" s="5">
        <f ca="1">IF(LEFT(Demand!$C$8,1)="H",VLOOKUP($D36,'SPC background (hide)'!$AG$2:$AS$54,12,0),'Demand background (hide)'!X25)</f>
        <v>14765</v>
      </c>
      <c r="F36" s="5">
        <f ca="1">IF(LEFT(Demand!$C$8,1)="H",VLOOKUP($D36,'SPC background (hide)'!$AG$2:$AS$54,13,0),E36*1.1)</f>
        <v>15657.95</v>
      </c>
      <c r="G36" s="5" t="str">
        <f>IF(Setup!$I$15="Yes",VLOOKUP(D36,'SPC background (hide)'!$AG$2:$AT$54,14,0)/IF(Summary!$C$8="Patients",'Summary Calculations (hide)'!$I$9,1),"")</f>
        <v/>
      </c>
      <c r="H36" s="67">
        <f ca="1">IF(Setup!$I$13="Yes",'Planned background (hide)'!$V$23/IF(Summary!$C$8="Patients",'Summary Calculations (hide)'!$I$9,1),"")</f>
        <v>60.327672757160009</v>
      </c>
      <c r="I36" s="5">
        <f ca="1">IFERROR(HLOOKUP(A36,'Capacity calculation (hide)'!$BK$1:$DK$4,4,0),Capacity!$I$15)</f>
        <v>5044.8076923076924</v>
      </c>
      <c r="J36" s="5">
        <f ca="1">HLOOKUP(D36,'Capacity calculation (hide)'!$BK$110:$DK$111,2,0)</f>
        <v>402.11538461538464</v>
      </c>
      <c r="K36" s="5">
        <f ca="1">IF(I36-IF(Setup!$I$15="Yes",$G36,0)-IF(Setup!$I$13="Yes",$H36,0)&lt;0,0,I36-IF(Setup!$I$15="Yes",$G36,0)-IF(Setup!$I$13="Yes",$H36,0))</f>
        <v>4984.4800195505322</v>
      </c>
      <c r="L36" s="5">
        <f t="shared" ca="1" si="3"/>
        <v>402.11538461538464</v>
      </c>
      <c r="M36" s="5">
        <f ca="1">(IF('Demand adjustments for Covid'!$F$9="No",E36,SUM('Demand background (hide)'!DS25,'Demand background (hide)'!DV25:DW25))*(1-'Parameters calculator (hide)'!$B$43))*(1-'Parameters calculator (hide)'!$B$44+('Parameters calculator (hide)'!$B$45*'Parameters calculator (hide)'!$B$47))</f>
        <v>14765</v>
      </c>
      <c r="N36" s="5">
        <f ca="1">(IF('Demand adjustments for Covid'!$F$9="No",F36,SUM('Demand background (hide)'!DT25,'Demand background (hide)'!DV25:DW25))*(1-'Parameters calculator (hide)'!$B$43))*(1-'Parameters calculator (hide)'!$B$44+('Parameters calculator (hide)'!$B$45*'Parameters calculator (hide)'!$B$47))</f>
        <v>15657.95</v>
      </c>
      <c r="P36" s="5">
        <f t="shared" ca="1" si="4"/>
        <v>5044.8076923076924</v>
      </c>
      <c r="Q36" s="5">
        <f t="shared" ca="1" si="5"/>
        <v>402.11538461538464</v>
      </c>
      <c r="R36" s="5">
        <f t="shared" ca="1" si="6"/>
        <v>4984.4800195505322</v>
      </c>
      <c r="S36" s="5">
        <f t="shared" ca="1" si="7"/>
        <v>402.11538461538464</v>
      </c>
      <c r="T36" s="5">
        <f ca="1">M36/IF(Summary!$C$8&lt;&gt;"Patients",1,$I$9)</f>
        <v>14765</v>
      </c>
      <c r="U36" s="5">
        <f ca="1">((N36-M36)/IF(Summary!$C$8&lt;&gt;"Patients",1,$I$9))</f>
        <v>892.95000000000073</v>
      </c>
      <c r="V36" s="5">
        <f t="shared" ca="1" si="8"/>
        <v>60.327672757160009</v>
      </c>
      <c r="X36" s="5">
        <f ca="1">(VLOOKUP(D36,'SPC background (hide)'!$AG$2:$AN$54,8,0)/IF(Summary!$C$8&lt;&gt;"Patients",1,$I$9))*(1-$I$4)*(1-$I$5+($I$6*$I$7))</f>
        <v>14486.884615384615</v>
      </c>
    </row>
    <row r="37" spans="1:24" x14ac:dyDescent="0.2">
      <c r="A37" s="87">
        <f t="shared" si="9"/>
        <v>44046</v>
      </c>
      <c r="B37" s="67" t="str">
        <f t="shared" si="1"/>
        <v/>
      </c>
      <c r="C37" s="67" t="str">
        <f t="shared" si="2"/>
        <v>Aug</v>
      </c>
      <c r="D37" s="67">
        <f t="shared" si="0"/>
        <v>32</v>
      </c>
      <c r="E37" s="5">
        <f ca="1">IF(LEFT(Demand!$C$8,1)="H",VLOOKUP($D37,'SPC background (hide)'!$AG$2:$AS$54,12,0),'Demand background (hide)'!X26)</f>
        <v>14765</v>
      </c>
      <c r="F37" s="5">
        <f ca="1">IF(LEFT(Demand!$C$8,1)="H",VLOOKUP($D37,'SPC background (hide)'!$AG$2:$AS$54,13,0),E37*1.1)</f>
        <v>15657.95</v>
      </c>
      <c r="G37" s="5" t="str">
        <f>IF(Setup!$I$15="Yes",VLOOKUP(D37,'SPC background (hide)'!$AG$2:$AT$54,14,0)/IF(Summary!$C$8="Patients",'Summary Calculations (hide)'!$I$9,1),"")</f>
        <v/>
      </c>
      <c r="H37" s="67">
        <f ca="1">IF(Setup!$I$13="Yes",'Planned background (hide)'!$V$23/IF(Summary!$C$8="Patients",'Summary Calculations (hide)'!$I$9,1),"")</f>
        <v>60.327672757160009</v>
      </c>
      <c r="I37" s="5">
        <f ca="1">IFERROR(HLOOKUP(A37,'Capacity calculation (hide)'!$BK$1:$DK$4,4,0),Capacity!$I$15)</f>
        <v>5044.8076923076924</v>
      </c>
      <c r="J37" s="5">
        <f ca="1">HLOOKUP(D37,'Capacity calculation (hide)'!$BK$110:$DK$111,2,0)</f>
        <v>402.11538461538464</v>
      </c>
      <c r="K37" s="5">
        <f ca="1">IF(I37-IF(Setup!$I$15="Yes",$G37,0)-IF(Setup!$I$13="Yes",$H37,0)&lt;0,0,I37-IF(Setup!$I$15="Yes",$G37,0)-IF(Setup!$I$13="Yes",$H37,0))</f>
        <v>4984.4800195505322</v>
      </c>
      <c r="L37" s="5">
        <f t="shared" ca="1" si="3"/>
        <v>402.11538461538464</v>
      </c>
      <c r="M37" s="5">
        <f ca="1">(IF('Demand adjustments for Covid'!$F$9="No",E37,SUM('Demand background (hide)'!DS26,'Demand background (hide)'!DV26:DW26))*(1-'Parameters calculator (hide)'!$B$43))*(1-'Parameters calculator (hide)'!$B$44+('Parameters calculator (hide)'!$B$45*'Parameters calculator (hide)'!$B$47))</f>
        <v>14765</v>
      </c>
      <c r="N37" s="5">
        <f ca="1">(IF('Demand adjustments for Covid'!$F$9="No",F37,SUM('Demand background (hide)'!DT26,'Demand background (hide)'!DV26:DW26))*(1-'Parameters calculator (hide)'!$B$43))*(1-'Parameters calculator (hide)'!$B$44+('Parameters calculator (hide)'!$B$45*'Parameters calculator (hide)'!$B$47))</f>
        <v>15657.95</v>
      </c>
      <c r="P37" s="5">
        <f t="shared" ca="1" si="4"/>
        <v>5044.8076923076924</v>
      </c>
      <c r="Q37" s="5">
        <f t="shared" ca="1" si="5"/>
        <v>402.11538461538464</v>
      </c>
      <c r="R37" s="5">
        <f t="shared" ca="1" si="6"/>
        <v>4984.4800195505322</v>
      </c>
      <c r="S37" s="5">
        <f t="shared" ca="1" si="7"/>
        <v>402.11538461538464</v>
      </c>
      <c r="T37" s="5">
        <f ca="1">M37/IF(Summary!$C$8&lt;&gt;"Patients",1,$I$9)</f>
        <v>14765</v>
      </c>
      <c r="U37" s="5">
        <f ca="1">((N37-M37)/IF(Summary!$C$8&lt;&gt;"Patients",1,$I$9))</f>
        <v>892.95000000000073</v>
      </c>
      <c r="V37" s="5">
        <f t="shared" ca="1" si="8"/>
        <v>60.327672757160009</v>
      </c>
      <c r="X37" s="5">
        <f ca="1">(VLOOKUP(D37,'SPC background (hide)'!$AG$2:$AN$54,8,0)/IF(Summary!$C$8&lt;&gt;"Patients",1,$I$9))*(1-$I$4)*(1-$I$5+($I$6*$I$7))</f>
        <v>14486.884615384615</v>
      </c>
    </row>
    <row r="38" spans="1:24" x14ac:dyDescent="0.2">
      <c r="A38" s="87">
        <f t="shared" si="9"/>
        <v>44053</v>
      </c>
      <c r="B38" s="67" t="str">
        <f t="shared" si="1"/>
        <v/>
      </c>
      <c r="C38" s="67" t="str">
        <f t="shared" si="2"/>
        <v/>
      </c>
      <c r="D38" s="67">
        <f t="shared" si="0"/>
        <v>33</v>
      </c>
      <c r="E38" s="5">
        <f ca="1">IF(LEFT(Demand!$C$8,1)="H",VLOOKUP($D38,'SPC background (hide)'!$AG$2:$AS$54,12,0),'Demand background (hide)'!X27)</f>
        <v>14765</v>
      </c>
      <c r="F38" s="5">
        <f ca="1">IF(LEFT(Demand!$C$8,1)="H",VLOOKUP($D38,'SPC background (hide)'!$AG$2:$AS$54,13,0),E38*1.1)</f>
        <v>15657.95</v>
      </c>
      <c r="G38" s="5" t="str">
        <f>IF(Setup!$I$15="Yes",VLOOKUP(D38,'SPC background (hide)'!$AG$2:$AT$54,14,0)/IF(Summary!$C$8="Patients",'Summary Calculations (hide)'!$I$9,1),"")</f>
        <v/>
      </c>
      <c r="H38" s="67">
        <f ca="1">IF(Setup!$I$13="Yes",'Planned background (hide)'!$V$23/IF(Summary!$C$8="Patients",'Summary Calculations (hide)'!$I$9,1),"")</f>
        <v>60.327672757160009</v>
      </c>
      <c r="I38" s="5">
        <f ca="1">IFERROR(HLOOKUP(A38,'Capacity calculation (hide)'!$BK$1:$DK$4,4,0),Capacity!$I$15)</f>
        <v>5044.8076923076924</v>
      </c>
      <c r="J38" s="5">
        <f ca="1">HLOOKUP(D38,'Capacity calculation (hide)'!$BK$110:$DK$111,2,0)</f>
        <v>402.11538461538464</v>
      </c>
      <c r="K38" s="5">
        <f ca="1">IF(I38-IF(Setup!$I$15="Yes",$G38,0)-IF(Setup!$I$13="Yes",$H38,0)&lt;0,0,I38-IF(Setup!$I$15="Yes",$G38,0)-IF(Setup!$I$13="Yes",$H38,0))</f>
        <v>4984.4800195505322</v>
      </c>
      <c r="L38" s="5">
        <f t="shared" ca="1" si="3"/>
        <v>402.11538461538464</v>
      </c>
      <c r="M38" s="5">
        <f ca="1">(IF('Demand adjustments for Covid'!$F$9="No",E38,SUM('Demand background (hide)'!DS27,'Demand background (hide)'!DV27:DW27))*(1-'Parameters calculator (hide)'!$B$43))*(1-'Parameters calculator (hide)'!$B$44+('Parameters calculator (hide)'!$B$45*'Parameters calculator (hide)'!$B$47))</f>
        <v>14765</v>
      </c>
      <c r="N38" s="5">
        <f ca="1">(IF('Demand adjustments for Covid'!$F$9="No",F38,SUM('Demand background (hide)'!DT27,'Demand background (hide)'!DV27:DW27))*(1-'Parameters calculator (hide)'!$B$43))*(1-'Parameters calculator (hide)'!$B$44+('Parameters calculator (hide)'!$B$45*'Parameters calculator (hide)'!$B$47))</f>
        <v>15657.95</v>
      </c>
      <c r="P38" s="5">
        <f t="shared" ca="1" si="4"/>
        <v>5044.8076923076924</v>
      </c>
      <c r="Q38" s="5">
        <f t="shared" ca="1" si="5"/>
        <v>402.11538461538464</v>
      </c>
      <c r="R38" s="5">
        <f t="shared" ca="1" si="6"/>
        <v>4984.4800195505322</v>
      </c>
      <c r="S38" s="5">
        <f t="shared" ca="1" si="7"/>
        <v>402.11538461538464</v>
      </c>
      <c r="T38" s="5">
        <f ca="1">M38/IF(Summary!$C$8&lt;&gt;"Patients",1,$I$9)</f>
        <v>14765</v>
      </c>
      <c r="U38" s="5">
        <f ca="1">((N38-M38)/IF(Summary!$C$8&lt;&gt;"Patients",1,$I$9))</f>
        <v>892.95000000000073</v>
      </c>
      <c r="V38" s="5">
        <f t="shared" ca="1" si="8"/>
        <v>60.327672757160009</v>
      </c>
      <c r="X38" s="5">
        <f ca="1">(VLOOKUP(D38,'SPC background (hide)'!$AG$2:$AN$54,8,0)/IF(Summary!$C$8&lt;&gt;"Patients",1,$I$9))*(1-$I$4)*(1-$I$5+($I$6*$I$7))</f>
        <v>14486.884615384615</v>
      </c>
    </row>
    <row r="39" spans="1:24" x14ac:dyDescent="0.2">
      <c r="A39" s="87">
        <f t="shared" si="9"/>
        <v>44060</v>
      </c>
      <c r="B39" s="67" t="str">
        <f t="shared" si="1"/>
        <v/>
      </c>
      <c r="C39" s="67" t="str">
        <f t="shared" si="2"/>
        <v/>
      </c>
      <c r="D39" s="67">
        <f t="shared" si="0"/>
        <v>34</v>
      </c>
      <c r="E39" s="5">
        <f ca="1">IF(LEFT(Demand!$C$8,1)="H",VLOOKUP($D39,'SPC background (hide)'!$AG$2:$AS$54,12,0),'Demand background (hide)'!X28)</f>
        <v>14765</v>
      </c>
      <c r="F39" s="5">
        <f ca="1">IF(LEFT(Demand!$C$8,1)="H",VLOOKUP($D39,'SPC background (hide)'!$AG$2:$AS$54,13,0),E39*1.1)</f>
        <v>15657.95</v>
      </c>
      <c r="G39" s="5" t="str">
        <f>IF(Setup!$I$15="Yes",VLOOKUP(D39,'SPC background (hide)'!$AG$2:$AT$54,14,0)/IF(Summary!$C$8="Patients",'Summary Calculations (hide)'!$I$9,1),"")</f>
        <v/>
      </c>
      <c r="H39" s="67">
        <f ca="1">IF(Setup!$I$13="Yes",'Planned background (hide)'!$V$23/IF(Summary!$C$8="Patients",'Summary Calculations (hide)'!$I$9,1),"")</f>
        <v>60.327672757160009</v>
      </c>
      <c r="I39" s="5">
        <f ca="1">IFERROR(HLOOKUP(A39,'Capacity calculation (hide)'!$BK$1:$DK$4,4,0),Capacity!$I$15)</f>
        <v>5044.8076923076924</v>
      </c>
      <c r="J39" s="5">
        <f ca="1">HLOOKUP(D39,'Capacity calculation (hide)'!$BK$110:$DK$111,2,0)</f>
        <v>402.11538461538464</v>
      </c>
      <c r="K39" s="5">
        <f ca="1">IF(I39-IF(Setup!$I$15="Yes",$G39,0)-IF(Setup!$I$13="Yes",$H39,0)&lt;0,0,I39-IF(Setup!$I$15="Yes",$G39,0)-IF(Setup!$I$13="Yes",$H39,0))</f>
        <v>4984.4800195505322</v>
      </c>
      <c r="L39" s="5">
        <f t="shared" ca="1" si="3"/>
        <v>402.11538461538464</v>
      </c>
      <c r="M39" s="5">
        <f ca="1">(IF('Demand adjustments for Covid'!$F$9="No",E39,SUM('Demand background (hide)'!DS28,'Demand background (hide)'!DV28:DW28))*(1-'Parameters calculator (hide)'!$B$43))*(1-'Parameters calculator (hide)'!$B$44+('Parameters calculator (hide)'!$B$45*'Parameters calculator (hide)'!$B$47))</f>
        <v>14765</v>
      </c>
      <c r="N39" s="5">
        <f ca="1">(IF('Demand adjustments for Covid'!$F$9="No",F39,SUM('Demand background (hide)'!DT28,'Demand background (hide)'!DV28:DW28))*(1-'Parameters calculator (hide)'!$B$43))*(1-'Parameters calculator (hide)'!$B$44+('Parameters calculator (hide)'!$B$45*'Parameters calculator (hide)'!$B$47))</f>
        <v>15657.95</v>
      </c>
      <c r="P39" s="5">
        <f t="shared" ca="1" si="4"/>
        <v>5044.8076923076924</v>
      </c>
      <c r="Q39" s="5">
        <f t="shared" ca="1" si="5"/>
        <v>402.11538461538464</v>
      </c>
      <c r="R39" s="5">
        <f t="shared" ca="1" si="6"/>
        <v>4984.4800195505322</v>
      </c>
      <c r="S39" s="5">
        <f t="shared" ca="1" si="7"/>
        <v>402.11538461538464</v>
      </c>
      <c r="T39" s="5">
        <f ca="1">M39/IF(Summary!$C$8&lt;&gt;"Patients",1,$I$9)</f>
        <v>14765</v>
      </c>
      <c r="U39" s="5">
        <f ca="1">((N39-M39)/IF(Summary!$C$8&lt;&gt;"Patients",1,$I$9))</f>
        <v>892.95000000000073</v>
      </c>
      <c r="V39" s="5">
        <f t="shared" ca="1" si="8"/>
        <v>60.327672757160009</v>
      </c>
      <c r="X39" s="5">
        <f ca="1">(VLOOKUP(D39,'SPC background (hide)'!$AG$2:$AN$54,8,0)/IF(Summary!$C$8&lt;&gt;"Patients",1,$I$9))*(1-$I$4)*(1-$I$5+($I$6*$I$7))</f>
        <v>14486.884615384615</v>
      </c>
    </row>
    <row r="40" spans="1:24" x14ac:dyDescent="0.2">
      <c r="A40" s="87">
        <f t="shared" si="9"/>
        <v>44067</v>
      </c>
      <c r="B40" s="67" t="str">
        <f t="shared" si="1"/>
        <v/>
      </c>
      <c r="C40" s="67" t="str">
        <f t="shared" si="2"/>
        <v/>
      </c>
      <c r="D40" s="67">
        <f t="shared" si="0"/>
        <v>35</v>
      </c>
      <c r="E40" s="5">
        <f ca="1">IF(LEFT(Demand!$C$8,1)="H",VLOOKUP($D40,'SPC background (hide)'!$AG$2:$AS$54,12,0),'Demand background (hide)'!X29)</f>
        <v>14765</v>
      </c>
      <c r="F40" s="5">
        <f ca="1">IF(LEFT(Demand!$C$8,1)="H",VLOOKUP($D40,'SPC background (hide)'!$AG$2:$AS$54,13,0),E40*1.1)</f>
        <v>15657.95</v>
      </c>
      <c r="G40" s="5" t="str">
        <f>IF(Setup!$I$15="Yes",VLOOKUP(D40,'SPC background (hide)'!$AG$2:$AT$54,14,0)/IF(Summary!$C$8="Patients",'Summary Calculations (hide)'!$I$9,1),"")</f>
        <v/>
      </c>
      <c r="H40" s="67">
        <f ca="1">IF(Setup!$I$13="Yes",'Planned background (hide)'!$V$23/IF(Summary!$C$8="Patients",'Summary Calculations (hide)'!$I$9,1),"")</f>
        <v>60.327672757160009</v>
      </c>
      <c r="I40" s="5">
        <f ca="1">IFERROR(HLOOKUP(A40,'Capacity calculation (hide)'!$BK$1:$DK$4,4,0),Capacity!$I$15)</f>
        <v>5044.8076923076924</v>
      </c>
      <c r="J40" s="5">
        <f ca="1">HLOOKUP(D40,'Capacity calculation (hide)'!$BK$110:$DK$111,2,0)</f>
        <v>402.11538461538464</v>
      </c>
      <c r="K40" s="5">
        <f ca="1">IF(I40-IF(Setup!$I$15="Yes",$G40,0)-IF(Setup!$I$13="Yes",$H40,0)&lt;0,0,I40-IF(Setup!$I$15="Yes",$G40,0)-IF(Setup!$I$13="Yes",$H40,0))</f>
        <v>4984.4800195505322</v>
      </c>
      <c r="L40" s="5">
        <f t="shared" ca="1" si="3"/>
        <v>402.11538461538464</v>
      </c>
      <c r="M40" s="5">
        <f ca="1">(IF('Demand adjustments for Covid'!$F$9="No",E40,SUM('Demand background (hide)'!DS29,'Demand background (hide)'!DV29:DW29))*(1-'Parameters calculator (hide)'!$B$43))*(1-'Parameters calculator (hide)'!$B$44+('Parameters calculator (hide)'!$B$45*'Parameters calculator (hide)'!$B$47))</f>
        <v>14765</v>
      </c>
      <c r="N40" s="5">
        <f ca="1">(IF('Demand adjustments for Covid'!$F$9="No",F40,SUM('Demand background (hide)'!DT29,'Demand background (hide)'!DV29:DW29))*(1-'Parameters calculator (hide)'!$B$43))*(1-'Parameters calculator (hide)'!$B$44+('Parameters calculator (hide)'!$B$45*'Parameters calculator (hide)'!$B$47))</f>
        <v>15657.95</v>
      </c>
      <c r="P40" s="5">
        <f t="shared" ca="1" si="4"/>
        <v>5044.8076923076924</v>
      </c>
      <c r="Q40" s="5">
        <f t="shared" ca="1" si="5"/>
        <v>402.11538461538464</v>
      </c>
      <c r="R40" s="5">
        <f t="shared" ca="1" si="6"/>
        <v>4984.4800195505322</v>
      </c>
      <c r="S40" s="5">
        <f t="shared" ca="1" si="7"/>
        <v>402.11538461538464</v>
      </c>
      <c r="T40" s="5">
        <f ca="1">M40/IF(Summary!$C$8&lt;&gt;"Patients",1,$I$9)</f>
        <v>14765</v>
      </c>
      <c r="U40" s="5">
        <f ca="1">((N40-M40)/IF(Summary!$C$8&lt;&gt;"Patients",1,$I$9))</f>
        <v>892.95000000000073</v>
      </c>
      <c r="V40" s="5">
        <f t="shared" ca="1" si="8"/>
        <v>60.327672757160009</v>
      </c>
      <c r="X40" s="5">
        <f ca="1">(VLOOKUP(D40,'SPC background (hide)'!$AG$2:$AN$54,8,0)/IF(Summary!$C$8&lt;&gt;"Patients",1,$I$9))*(1-$I$4)*(1-$I$5+($I$6*$I$7))</f>
        <v>14486.884615384615</v>
      </c>
    </row>
    <row r="41" spans="1:24" x14ac:dyDescent="0.2">
      <c r="A41" s="87">
        <f t="shared" si="9"/>
        <v>44074</v>
      </c>
      <c r="B41" s="67" t="str">
        <f t="shared" si="1"/>
        <v/>
      </c>
      <c r="C41" s="67" t="str">
        <f t="shared" si="2"/>
        <v/>
      </c>
      <c r="D41" s="67">
        <f t="shared" si="0"/>
        <v>36</v>
      </c>
      <c r="E41" s="5">
        <f ca="1">IF(LEFT(Demand!$C$8,1)="H",VLOOKUP($D41,'SPC background (hide)'!$AG$2:$AS$54,12,0),'Demand background (hide)'!X30)</f>
        <v>14765</v>
      </c>
      <c r="F41" s="5">
        <f ca="1">IF(LEFT(Demand!$C$8,1)="H",VLOOKUP($D41,'SPC background (hide)'!$AG$2:$AS$54,13,0),E41*1.1)</f>
        <v>15657.95</v>
      </c>
      <c r="G41" s="5" t="str">
        <f>IF(Setup!$I$15="Yes",VLOOKUP(D41,'SPC background (hide)'!$AG$2:$AT$54,14,0)/IF(Summary!$C$8="Patients",'Summary Calculations (hide)'!$I$9,1),"")</f>
        <v/>
      </c>
      <c r="H41" s="67">
        <f ca="1">IF(Setup!$I$13="Yes",'Planned background (hide)'!$V$23/IF(Summary!$C$8="Patients",'Summary Calculations (hide)'!$I$9,1),"")</f>
        <v>60.327672757160009</v>
      </c>
      <c r="I41" s="5">
        <f ca="1">IFERROR(HLOOKUP(A41,'Capacity calculation (hide)'!$BK$1:$DK$4,4,0),Capacity!$I$15)</f>
        <v>5044.8076923076924</v>
      </c>
      <c r="J41" s="5">
        <f ca="1">HLOOKUP(D41,'Capacity calculation (hide)'!$BK$110:$DK$111,2,0)</f>
        <v>402.11538461538464</v>
      </c>
      <c r="K41" s="5">
        <f ca="1">IF(I41-IF(Setup!$I$15="Yes",$G41,0)-IF(Setup!$I$13="Yes",$H41,0)&lt;0,0,I41-IF(Setup!$I$15="Yes",$G41,0)-IF(Setup!$I$13="Yes",$H41,0))</f>
        <v>4984.4800195505322</v>
      </c>
      <c r="L41" s="5">
        <f t="shared" ca="1" si="3"/>
        <v>402.11538461538464</v>
      </c>
      <c r="M41" s="5">
        <f ca="1">(IF('Demand adjustments for Covid'!$F$9="No",E41,SUM('Demand background (hide)'!DS30,'Demand background (hide)'!DV30:DW30))*(1-'Parameters calculator (hide)'!$B$43))*(1-'Parameters calculator (hide)'!$B$44+('Parameters calculator (hide)'!$B$45*'Parameters calculator (hide)'!$B$47))</f>
        <v>14765</v>
      </c>
      <c r="N41" s="5">
        <f ca="1">(IF('Demand adjustments for Covid'!$F$9="No",F41,SUM('Demand background (hide)'!DT30,'Demand background (hide)'!DV30:DW30))*(1-'Parameters calculator (hide)'!$B$43))*(1-'Parameters calculator (hide)'!$B$44+('Parameters calculator (hide)'!$B$45*'Parameters calculator (hide)'!$B$47))</f>
        <v>15657.95</v>
      </c>
      <c r="P41" s="5">
        <f t="shared" ca="1" si="4"/>
        <v>5044.8076923076924</v>
      </c>
      <c r="Q41" s="5">
        <f t="shared" ca="1" si="5"/>
        <v>402.11538461538464</v>
      </c>
      <c r="R41" s="5">
        <f t="shared" ca="1" si="6"/>
        <v>4984.4800195505322</v>
      </c>
      <c r="S41" s="5">
        <f t="shared" ca="1" si="7"/>
        <v>402.11538461538464</v>
      </c>
      <c r="T41" s="5">
        <f ca="1">M41/IF(Summary!$C$8&lt;&gt;"Patients",1,$I$9)</f>
        <v>14765</v>
      </c>
      <c r="U41" s="5">
        <f ca="1">((N41-M41)/IF(Summary!$C$8&lt;&gt;"Patients",1,$I$9))</f>
        <v>892.95000000000073</v>
      </c>
      <c r="V41" s="5">
        <f t="shared" ca="1" si="8"/>
        <v>60.327672757160009</v>
      </c>
      <c r="X41" s="5">
        <f ca="1">(VLOOKUP(D41,'SPC background (hide)'!$AG$2:$AN$54,8,0)/IF(Summary!$C$8&lt;&gt;"Patients",1,$I$9))*(1-$I$4)*(1-$I$5+($I$6*$I$7))</f>
        <v>14486.884615384615</v>
      </c>
    </row>
    <row r="42" spans="1:24" x14ac:dyDescent="0.2">
      <c r="A42" s="87">
        <f t="shared" si="9"/>
        <v>44081</v>
      </c>
      <c r="B42" s="67" t="str">
        <f t="shared" si="1"/>
        <v/>
      </c>
      <c r="C42" s="67" t="str">
        <f t="shared" si="2"/>
        <v>Sep</v>
      </c>
      <c r="D42" s="67">
        <f t="shared" si="0"/>
        <v>37</v>
      </c>
      <c r="E42" s="5">
        <f ca="1">IF(LEFT(Demand!$C$8,1)="H",VLOOKUP($D42,'SPC background (hide)'!$AG$2:$AS$54,12,0),'Demand background (hide)'!X31)</f>
        <v>14765</v>
      </c>
      <c r="F42" s="5">
        <f ca="1">IF(LEFT(Demand!$C$8,1)="H",VLOOKUP($D42,'SPC background (hide)'!$AG$2:$AS$54,13,0),E42*1.1)</f>
        <v>15657.95</v>
      </c>
      <c r="G42" s="5" t="str">
        <f>IF(Setup!$I$15="Yes",VLOOKUP(D42,'SPC background (hide)'!$AG$2:$AT$54,14,0)/IF(Summary!$C$8="Patients",'Summary Calculations (hide)'!$I$9,1),"")</f>
        <v/>
      </c>
      <c r="H42" s="67">
        <f ca="1">IF(Setup!$I$13="Yes",'Planned background (hide)'!$V$23/IF(Summary!$C$8="Patients",'Summary Calculations (hide)'!$I$9,1),"")</f>
        <v>60.327672757160009</v>
      </c>
      <c r="I42" s="5">
        <f ca="1">IFERROR(HLOOKUP(A42,'Capacity calculation (hide)'!$BK$1:$DK$4,4,0),Capacity!$I$15)</f>
        <v>5044.8076923076924</v>
      </c>
      <c r="J42" s="5">
        <f ca="1">HLOOKUP(D42,'Capacity calculation (hide)'!$BK$110:$DK$111,2,0)</f>
        <v>402.11538461538464</v>
      </c>
      <c r="K42" s="5">
        <f ca="1">IF(I42-IF(Setup!$I$15="Yes",$G42,0)-IF(Setup!$I$13="Yes",$H42,0)&lt;0,0,I42-IF(Setup!$I$15="Yes",$G42,0)-IF(Setup!$I$13="Yes",$H42,0))</f>
        <v>4984.4800195505322</v>
      </c>
      <c r="L42" s="5">
        <f t="shared" ca="1" si="3"/>
        <v>402.11538461538464</v>
      </c>
      <c r="M42" s="5">
        <f ca="1">(IF('Demand adjustments for Covid'!$F$9="No",E42,SUM('Demand background (hide)'!DS31,'Demand background (hide)'!DV31:DW31))*(1-'Parameters calculator (hide)'!$B$43))*(1-'Parameters calculator (hide)'!$B$44+('Parameters calculator (hide)'!$B$45*'Parameters calculator (hide)'!$B$47))</f>
        <v>14765</v>
      </c>
      <c r="N42" s="5">
        <f ca="1">(IF('Demand adjustments for Covid'!$F$9="No",F42,SUM('Demand background (hide)'!DT31,'Demand background (hide)'!DV31:DW31))*(1-'Parameters calculator (hide)'!$B$43))*(1-'Parameters calculator (hide)'!$B$44+('Parameters calculator (hide)'!$B$45*'Parameters calculator (hide)'!$B$47))</f>
        <v>15657.95</v>
      </c>
      <c r="P42" s="5">
        <f t="shared" ca="1" si="4"/>
        <v>5044.8076923076924</v>
      </c>
      <c r="Q42" s="5">
        <f t="shared" ca="1" si="5"/>
        <v>402.11538461538464</v>
      </c>
      <c r="R42" s="5">
        <f t="shared" ca="1" si="6"/>
        <v>4984.4800195505322</v>
      </c>
      <c r="S42" s="5">
        <f t="shared" ca="1" si="7"/>
        <v>402.11538461538464</v>
      </c>
      <c r="T42" s="5">
        <f ca="1">M42/IF(Summary!$C$8&lt;&gt;"Patients",1,$I$9)</f>
        <v>14765</v>
      </c>
      <c r="U42" s="5">
        <f ca="1">((N42-M42)/IF(Summary!$C$8&lt;&gt;"Patients",1,$I$9))</f>
        <v>892.95000000000073</v>
      </c>
      <c r="V42" s="5">
        <f t="shared" ca="1" si="8"/>
        <v>60.327672757160009</v>
      </c>
      <c r="X42" s="5">
        <f ca="1">(VLOOKUP(D42,'SPC background (hide)'!$AG$2:$AN$54,8,0)/IF(Summary!$C$8&lt;&gt;"Patients",1,$I$9))*(1-$I$4)*(1-$I$5+($I$6*$I$7))</f>
        <v>14486.884615384615</v>
      </c>
    </row>
    <row r="43" spans="1:24" x14ac:dyDescent="0.2">
      <c r="A43" s="87">
        <f t="shared" si="9"/>
        <v>44088</v>
      </c>
      <c r="B43" s="67" t="str">
        <f t="shared" si="1"/>
        <v/>
      </c>
      <c r="C43" s="67" t="str">
        <f t="shared" si="2"/>
        <v/>
      </c>
      <c r="D43" s="67">
        <f t="shared" si="0"/>
        <v>38</v>
      </c>
      <c r="E43" s="5">
        <f ca="1">IF(LEFT(Demand!$C$8,1)="H",VLOOKUP($D43,'SPC background (hide)'!$AG$2:$AS$54,12,0),'Demand background (hide)'!X32)</f>
        <v>14765</v>
      </c>
      <c r="F43" s="5">
        <f ca="1">IF(LEFT(Demand!$C$8,1)="H",VLOOKUP($D43,'SPC background (hide)'!$AG$2:$AS$54,13,0),E43*1.1)</f>
        <v>15657.95</v>
      </c>
      <c r="G43" s="5" t="str">
        <f>IF(Setup!$I$15="Yes",VLOOKUP(D43,'SPC background (hide)'!$AG$2:$AT$54,14,0)/IF(Summary!$C$8="Patients",'Summary Calculations (hide)'!$I$9,1),"")</f>
        <v/>
      </c>
      <c r="H43" s="67">
        <f ca="1">IF(Setup!$I$13="Yes",'Planned background (hide)'!$V$23/IF(Summary!$C$8="Patients",'Summary Calculations (hide)'!$I$9,1),"")</f>
        <v>60.327672757160009</v>
      </c>
      <c r="I43" s="5">
        <f ca="1">IFERROR(HLOOKUP(A43,'Capacity calculation (hide)'!$BK$1:$DK$4,4,0),Capacity!$I$15)</f>
        <v>5044.8076923076924</v>
      </c>
      <c r="J43" s="5">
        <f ca="1">HLOOKUP(D43,'Capacity calculation (hide)'!$BK$110:$DK$111,2,0)</f>
        <v>402.11538461538464</v>
      </c>
      <c r="K43" s="5">
        <f ca="1">IF(I43-IF(Setup!$I$15="Yes",$G43,0)-IF(Setup!$I$13="Yes",$H43,0)&lt;0,0,I43-IF(Setup!$I$15="Yes",$G43,0)-IF(Setup!$I$13="Yes",$H43,0))</f>
        <v>4984.4800195505322</v>
      </c>
      <c r="L43" s="5">
        <f t="shared" ca="1" si="3"/>
        <v>402.11538461538464</v>
      </c>
      <c r="M43" s="5">
        <f ca="1">(IF('Demand adjustments for Covid'!$F$9="No",E43,SUM('Demand background (hide)'!DS32,'Demand background (hide)'!DV32:DW32))*(1-'Parameters calculator (hide)'!$B$43))*(1-'Parameters calculator (hide)'!$B$44+('Parameters calculator (hide)'!$B$45*'Parameters calculator (hide)'!$B$47))</f>
        <v>14765</v>
      </c>
      <c r="N43" s="5">
        <f ca="1">(IF('Demand adjustments for Covid'!$F$9="No",F43,SUM('Demand background (hide)'!DT32,'Demand background (hide)'!DV32:DW32))*(1-'Parameters calculator (hide)'!$B$43))*(1-'Parameters calculator (hide)'!$B$44+('Parameters calculator (hide)'!$B$45*'Parameters calculator (hide)'!$B$47))</f>
        <v>15657.95</v>
      </c>
      <c r="P43" s="5">
        <f t="shared" ca="1" si="4"/>
        <v>5044.8076923076924</v>
      </c>
      <c r="Q43" s="5">
        <f t="shared" ca="1" si="5"/>
        <v>402.11538461538464</v>
      </c>
      <c r="R43" s="5">
        <f t="shared" ca="1" si="6"/>
        <v>4984.4800195505322</v>
      </c>
      <c r="S43" s="5">
        <f t="shared" ca="1" si="7"/>
        <v>402.11538461538464</v>
      </c>
      <c r="T43" s="5">
        <f ca="1">M43/IF(Summary!$C$8&lt;&gt;"Patients",1,$I$9)</f>
        <v>14765</v>
      </c>
      <c r="U43" s="5">
        <f ca="1">((N43-M43)/IF(Summary!$C$8&lt;&gt;"Patients",1,$I$9))</f>
        <v>892.95000000000073</v>
      </c>
      <c r="V43" s="5">
        <f t="shared" ca="1" si="8"/>
        <v>60.327672757160009</v>
      </c>
      <c r="X43" s="5">
        <f ca="1">(VLOOKUP(D43,'SPC background (hide)'!$AG$2:$AN$54,8,0)/IF(Summary!$C$8&lt;&gt;"Patients",1,$I$9))*(1-$I$4)*(1-$I$5+($I$6*$I$7))</f>
        <v>14486.884615384615</v>
      </c>
    </row>
    <row r="44" spans="1:24" x14ac:dyDescent="0.2">
      <c r="A44" s="87">
        <f t="shared" si="9"/>
        <v>44095</v>
      </c>
      <c r="B44" s="67" t="str">
        <f t="shared" si="1"/>
        <v/>
      </c>
      <c r="C44" s="67" t="str">
        <f t="shared" si="2"/>
        <v/>
      </c>
      <c r="D44" s="67">
        <f t="shared" si="0"/>
        <v>39</v>
      </c>
      <c r="E44" s="5">
        <f ca="1">IF(LEFT(Demand!$C$8,1)="H",VLOOKUP($D44,'SPC background (hide)'!$AG$2:$AS$54,12,0),'Demand background (hide)'!X33)</f>
        <v>14765</v>
      </c>
      <c r="F44" s="5">
        <f ca="1">IF(LEFT(Demand!$C$8,1)="H",VLOOKUP($D44,'SPC background (hide)'!$AG$2:$AS$54,13,0),E44*1.1)</f>
        <v>15657.95</v>
      </c>
      <c r="G44" s="5" t="str">
        <f>IF(Setup!$I$15="Yes",VLOOKUP(D44,'SPC background (hide)'!$AG$2:$AT$54,14,0)/IF(Summary!$C$8="Patients",'Summary Calculations (hide)'!$I$9,1),"")</f>
        <v/>
      </c>
      <c r="H44" s="67">
        <f ca="1">IF(Setup!$I$13="Yes",'Planned background (hide)'!$V$23/IF(Summary!$C$8="Patients",'Summary Calculations (hide)'!$I$9,1),"")</f>
        <v>60.327672757160009</v>
      </c>
      <c r="I44" s="5">
        <f ca="1">IFERROR(HLOOKUP(A44,'Capacity calculation (hide)'!$BK$1:$DK$4,4,0),Capacity!$I$15)</f>
        <v>5044.8076923076924</v>
      </c>
      <c r="J44" s="5">
        <f ca="1">HLOOKUP(D44,'Capacity calculation (hide)'!$BK$110:$DK$111,2,0)</f>
        <v>402.11538461538464</v>
      </c>
      <c r="K44" s="5">
        <f ca="1">IF(I44-IF(Setup!$I$15="Yes",$G44,0)-IF(Setup!$I$13="Yes",$H44,0)&lt;0,0,I44-IF(Setup!$I$15="Yes",$G44,0)-IF(Setup!$I$13="Yes",$H44,0))</f>
        <v>4984.4800195505322</v>
      </c>
      <c r="L44" s="5">
        <f t="shared" ca="1" si="3"/>
        <v>402.11538461538464</v>
      </c>
      <c r="M44" s="5">
        <f ca="1">(IF('Demand adjustments for Covid'!$F$9="No",E44,SUM('Demand background (hide)'!DS33,'Demand background (hide)'!DV33:DW33))*(1-'Parameters calculator (hide)'!$B$43))*(1-'Parameters calculator (hide)'!$B$44+('Parameters calculator (hide)'!$B$45*'Parameters calculator (hide)'!$B$47))</f>
        <v>14765</v>
      </c>
      <c r="N44" s="5">
        <f ca="1">(IF('Demand adjustments for Covid'!$F$9="No",F44,SUM('Demand background (hide)'!DT33,'Demand background (hide)'!DV33:DW33))*(1-'Parameters calculator (hide)'!$B$43))*(1-'Parameters calculator (hide)'!$B$44+('Parameters calculator (hide)'!$B$45*'Parameters calculator (hide)'!$B$47))</f>
        <v>15657.95</v>
      </c>
      <c r="P44" s="5">
        <f t="shared" ca="1" si="4"/>
        <v>5044.8076923076924</v>
      </c>
      <c r="Q44" s="5">
        <f t="shared" ca="1" si="5"/>
        <v>402.11538461538464</v>
      </c>
      <c r="R44" s="5">
        <f t="shared" ca="1" si="6"/>
        <v>4984.4800195505322</v>
      </c>
      <c r="S44" s="5">
        <f t="shared" ca="1" si="7"/>
        <v>402.11538461538464</v>
      </c>
      <c r="T44" s="5">
        <f ca="1">M44/IF(Summary!$C$8&lt;&gt;"Patients",1,$I$9)</f>
        <v>14765</v>
      </c>
      <c r="U44" s="5">
        <f ca="1">((N44-M44)/IF(Summary!$C$8&lt;&gt;"Patients",1,$I$9))</f>
        <v>892.95000000000073</v>
      </c>
      <c r="V44" s="5">
        <f t="shared" ca="1" si="8"/>
        <v>60.327672757160009</v>
      </c>
      <c r="X44" s="5">
        <f ca="1">(VLOOKUP(D44,'SPC background (hide)'!$AG$2:$AN$54,8,0)/IF(Summary!$C$8&lt;&gt;"Patients",1,$I$9))*(1-$I$4)*(1-$I$5+($I$6*$I$7))</f>
        <v>14486.884615384615</v>
      </c>
    </row>
    <row r="45" spans="1:24" x14ac:dyDescent="0.2">
      <c r="A45" s="87">
        <f t="shared" si="9"/>
        <v>44102</v>
      </c>
      <c r="B45" s="67" t="str">
        <f t="shared" si="1"/>
        <v/>
      </c>
      <c r="C45" s="67" t="str">
        <f t="shared" si="2"/>
        <v/>
      </c>
      <c r="D45" s="67">
        <f t="shared" si="0"/>
        <v>40</v>
      </c>
      <c r="E45" s="5">
        <f ca="1">IF(LEFT(Demand!$C$8,1)="H",VLOOKUP($D45,'SPC background (hide)'!$AG$2:$AS$54,12,0),'Demand background (hide)'!X34)</f>
        <v>14765</v>
      </c>
      <c r="F45" s="5">
        <f ca="1">IF(LEFT(Demand!$C$8,1)="H",VLOOKUP($D45,'SPC background (hide)'!$AG$2:$AS$54,13,0),E45*1.1)</f>
        <v>15657.95</v>
      </c>
      <c r="G45" s="5" t="str">
        <f>IF(Setup!$I$15="Yes",VLOOKUP(D45,'SPC background (hide)'!$AG$2:$AT$54,14,0)/IF(Summary!$C$8="Patients",'Summary Calculations (hide)'!$I$9,1),"")</f>
        <v/>
      </c>
      <c r="H45" s="67">
        <f ca="1">IF(Setup!$I$13="Yes",'Planned background (hide)'!$V$23/IF(Summary!$C$8="Patients",'Summary Calculations (hide)'!$I$9,1),"")</f>
        <v>60.327672757160009</v>
      </c>
      <c r="I45" s="5">
        <f ca="1">IFERROR(HLOOKUP(A45,'Capacity calculation (hide)'!$BK$1:$DK$4,4,0),Capacity!$I$15)</f>
        <v>5044.8076923076924</v>
      </c>
      <c r="J45" s="5">
        <f ca="1">HLOOKUP(D45,'Capacity calculation (hide)'!$BK$110:$DK$111,2,0)</f>
        <v>402.11538461538464</v>
      </c>
      <c r="K45" s="5">
        <f ca="1">IF(I45-IF(Setup!$I$15="Yes",$G45,0)-IF(Setup!$I$13="Yes",$H45,0)&lt;0,0,I45-IF(Setup!$I$15="Yes",$G45,0)-IF(Setup!$I$13="Yes",$H45,0))</f>
        <v>4984.4800195505322</v>
      </c>
      <c r="L45" s="5">
        <f t="shared" ca="1" si="3"/>
        <v>402.11538461538464</v>
      </c>
      <c r="M45" s="5">
        <f ca="1">(IF('Demand adjustments for Covid'!$F$9="No",E45,SUM('Demand background (hide)'!DS34,'Demand background (hide)'!DV34:DW34))*(1-'Parameters calculator (hide)'!$B$43))*(1-'Parameters calculator (hide)'!$B$44+('Parameters calculator (hide)'!$B$45*'Parameters calculator (hide)'!$B$47))</f>
        <v>14765</v>
      </c>
      <c r="N45" s="5">
        <f ca="1">(IF('Demand adjustments for Covid'!$F$9="No",F45,SUM('Demand background (hide)'!DT34,'Demand background (hide)'!DV34:DW34))*(1-'Parameters calculator (hide)'!$B$43))*(1-'Parameters calculator (hide)'!$B$44+('Parameters calculator (hide)'!$B$45*'Parameters calculator (hide)'!$B$47))</f>
        <v>15657.95</v>
      </c>
      <c r="P45" s="5">
        <f t="shared" ca="1" si="4"/>
        <v>5044.8076923076924</v>
      </c>
      <c r="Q45" s="5">
        <f t="shared" ca="1" si="5"/>
        <v>402.11538461538464</v>
      </c>
      <c r="R45" s="5">
        <f t="shared" ca="1" si="6"/>
        <v>4984.4800195505322</v>
      </c>
      <c r="S45" s="5">
        <f t="shared" ca="1" si="7"/>
        <v>402.11538461538464</v>
      </c>
      <c r="T45" s="5">
        <f ca="1">M45/IF(Summary!$C$8&lt;&gt;"Patients",1,$I$9)</f>
        <v>14765</v>
      </c>
      <c r="U45" s="5">
        <f ca="1">((N45-M45)/IF(Summary!$C$8&lt;&gt;"Patients",1,$I$9))</f>
        <v>892.95000000000073</v>
      </c>
      <c r="V45" s="5">
        <f t="shared" ca="1" si="8"/>
        <v>60.327672757160009</v>
      </c>
      <c r="X45" s="5">
        <f ca="1">(VLOOKUP(D45,'SPC background (hide)'!$AG$2:$AN$54,8,0)/IF(Summary!$C$8&lt;&gt;"Patients",1,$I$9))*(1-$I$4)*(1-$I$5+($I$6*$I$7))</f>
        <v>14486.884615384615</v>
      </c>
    </row>
    <row r="46" spans="1:24" x14ac:dyDescent="0.2">
      <c r="A46" s="87">
        <f t="shared" si="9"/>
        <v>44109</v>
      </c>
      <c r="B46" s="67" t="str">
        <f t="shared" si="1"/>
        <v/>
      </c>
      <c r="C46" s="67" t="str">
        <f t="shared" si="2"/>
        <v>Oct</v>
      </c>
      <c r="D46" s="67">
        <f t="shared" si="0"/>
        <v>41</v>
      </c>
      <c r="E46" s="5">
        <f ca="1">IF(LEFT(Demand!$C$8,1)="H",VLOOKUP($D46,'SPC background (hide)'!$AG$2:$AS$54,12,0),'Demand background (hide)'!X35)</f>
        <v>14765</v>
      </c>
      <c r="F46" s="5">
        <f ca="1">IF(LEFT(Demand!$C$8,1)="H",VLOOKUP($D46,'SPC background (hide)'!$AG$2:$AS$54,13,0),E46*1.1)</f>
        <v>15657.95</v>
      </c>
      <c r="G46" s="5" t="str">
        <f>IF(Setup!$I$15="Yes",VLOOKUP(D46,'SPC background (hide)'!$AG$2:$AT$54,14,0)/IF(Summary!$C$8="Patients",'Summary Calculations (hide)'!$I$9,1),"")</f>
        <v/>
      </c>
      <c r="H46" s="67">
        <f ca="1">IF(Setup!$I$13="Yes",'Planned background (hide)'!$V$23/IF(Summary!$C$8="Patients",'Summary Calculations (hide)'!$I$9,1),"")</f>
        <v>60.327672757160009</v>
      </c>
      <c r="I46" s="5">
        <f ca="1">IFERROR(HLOOKUP(A46,'Capacity calculation (hide)'!$BK$1:$DK$4,4,0),Capacity!$I$15)</f>
        <v>5044.8076923076924</v>
      </c>
      <c r="J46" s="5">
        <f ca="1">HLOOKUP(D46,'Capacity calculation (hide)'!$BK$110:$DK$111,2,0)</f>
        <v>402.11538461538464</v>
      </c>
      <c r="K46" s="5">
        <f ca="1">IF(I46-IF(Setup!$I$15="Yes",$G46,0)-IF(Setup!$I$13="Yes",$H46,0)&lt;0,0,I46-IF(Setup!$I$15="Yes",$G46,0)-IF(Setup!$I$13="Yes",$H46,0))</f>
        <v>4984.4800195505322</v>
      </c>
      <c r="L46" s="5">
        <f t="shared" ca="1" si="3"/>
        <v>402.11538461538464</v>
      </c>
      <c r="M46" s="5">
        <f ca="1">(IF('Demand adjustments for Covid'!$F$9="No",E46,SUM('Demand background (hide)'!DS35,'Demand background (hide)'!DV35:DW35))*(1-'Parameters calculator (hide)'!$B$43))*(1-'Parameters calculator (hide)'!$B$44+('Parameters calculator (hide)'!$B$45*'Parameters calculator (hide)'!$B$47))</f>
        <v>14765</v>
      </c>
      <c r="N46" s="5">
        <f ca="1">(IF('Demand adjustments for Covid'!$F$9="No",F46,SUM('Demand background (hide)'!DT35,'Demand background (hide)'!DV35:DW35))*(1-'Parameters calculator (hide)'!$B$43))*(1-'Parameters calculator (hide)'!$B$44+('Parameters calculator (hide)'!$B$45*'Parameters calculator (hide)'!$B$47))</f>
        <v>15657.95</v>
      </c>
      <c r="P46" s="5">
        <f t="shared" ca="1" si="4"/>
        <v>5044.8076923076924</v>
      </c>
      <c r="Q46" s="5">
        <f t="shared" ca="1" si="5"/>
        <v>402.11538461538464</v>
      </c>
      <c r="R46" s="5">
        <f t="shared" ca="1" si="6"/>
        <v>4984.4800195505322</v>
      </c>
      <c r="S46" s="5">
        <f t="shared" ca="1" si="7"/>
        <v>402.11538461538464</v>
      </c>
      <c r="T46" s="5">
        <f ca="1">M46/IF(Summary!$C$8&lt;&gt;"Patients",1,$I$9)</f>
        <v>14765</v>
      </c>
      <c r="U46" s="5">
        <f ca="1">((N46-M46)/IF(Summary!$C$8&lt;&gt;"Patients",1,$I$9))</f>
        <v>892.95000000000073</v>
      </c>
      <c r="V46" s="5">
        <f t="shared" ca="1" si="8"/>
        <v>60.327672757160009</v>
      </c>
      <c r="X46" s="5">
        <f ca="1">(VLOOKUP(D46,'SPC background (hide)'!$AG$2:$AN$54,8,0)/IF(Summary!$C$8&lt;&gt;"Patients",1,$I$9))*(1-$I$4)*(1-$I$5+($I$6*$I$7))</f>
        <v>14486.884615384615</v>
      </c>
    </row>
    <row r="47" spans="1:24" x14ac:dyDescent="0.2">
      <c r="A47" s="87">
        <f t="shared" si="9"/>
        <v>44116</v>
      </c>
      <c r="B47" s="67" t="str">
        <f t="shared" si="1"/>
        <v/>
      </c>
      <c r="C47" s="67" t="str">
        <f t="shared" si="2"/>
        <v/>
      </c>
      <c r="D47" s="67">
        <f t="shared" ref="D47:D66" si="10">WEEKNUM(A47,21)</f>
        <v>42</v>
      </c>
      <c r="E47" s="5">
        <f ca="1">IF(LEFT(Demand!$C$8,1)="H",VLOOKUP($D47,'SPC background (hide)'!$AG$2:$AS$54,12,0),'Demand background (hide)'!X36)</f>
        <v>14765</v>
      </c>
      <c r="F47" s="5">
        <f ca="1">IF(LEFT(Demand!$C$8,1)="H",VLOOKUP($D47,'SPC background (hide)'!$AG$2:$AS$54,13,0),E47*1.1)</f>
        <v>15657.95</v>
      </c>
      <c r="G47" s="5" t="str">
        <f>IF(Setup!$I$15="Yes",VLOOKUP(D47,'SPC background (hide)'!$AG$2:$AT$54,14,0)/IF(Summary!$C$8="Patients",'Summary Calculations (hide)'!$I$9,1),"")</f>
        <v/>
      </c>
      <c r="H47" s="67">
        <f ca="1">IF(Setup!$I$13="Yes",'Planned background (hide)'!$V$23/IF(Summary!$C$8="Patients",'Summary Calculations (hide)'!$I$9,1),"")</f>
        <v>60.327672757160009</v>
      </c>
      <c r="I47" s="5">
        <f ca="1">IFERROR(HLOOKUP(A47,'Capacity calculation (hide)'!$BK$1:$DK$4,4,0),Capacity!$I$15)</f>
        <v>5044.8076923076924</v>
      </c>
      <c r="J47" s="5">
        <f ca="1">HLOOKUP(D47,'Capacity calculation (hide)'!$BK$110:$DK$111,2,0)</f>
        <v>402.11538461538464</v>
      </c>
      <c r="K47" s="5">
        <f ca="1">IF(I47-IF(Setup!$I$15="Yes",$G47,0)-IF(Setup!$I$13="Yes",$H47,0)&lt;0,0,I47-IF(Setup!$I$15="Yes",$G47,0)-IF(Setup!$I$13="Yes",$H47,0))</f>
        <v>4984.4800195505322</v>
      </c>
      <c r="L47" s="5">
        <f t="shared" ca="1" si="3"/>
        <v>402.11538461538464</v>
      </c>
      <c r="M47" s="5">
        <f ca="1">(IF('Demand adjustments for Covid'!$F$9="No",E47,SUM('Demand background (hide)'!DS36,'Demand background (hide)'!DV36:DW36))*(1-'Parameters calculator (hide)'!$B$43))*(1-'Parameters calculator (hide)'!$B$44+('Parameters calculator (hide)'!$B$45*'Parameters calculator (hide)'!$B$47))</f>
        <v>14765</v>
      </c>
      <c r="N47" s="5">
        <f ca="1">(IF('Demand adjustments for Covid'!$F$9="No",F47,SUM('Demand background (hide)'!DT36,'Demand background (hide)'!DV36:DW36))*(1-'Parameters calculator (hide)'!$B$43))*(1-'Parameters calculator (hide)'!$B$44+('Parameters calculator (hide)'!$B$45*'Parameters calculator (hide)'!$B$47))</f>
        <v>15657.95</v>
      </c>
      <c r="P47" s="5">
        <f t="shared" ca="1" si="4"/>
        <v>5044.8076923076924</v>
      </c>
      <c r="Q47" s="5">
        <f t="shared" ca="1" si="5"/>
        <v>402.11538461538464</v>
      </c>
      <c r="R47" s="5">
        <f t="shared" ca="1" si="6"/>
        <v>4984.4800195505322</v>
      </c>
      <c r="S47" s="5">
        <f t="shared" ca="1" si="7"/>
        <v>402.11538461538464</v>
      </c>
      <c r="T47" s="5">
        <f ca="1">M47/IF(Summary!$C$8&lt;&gt;"Patients",1,$I$9)</f>
        <v>14765</v>
      </c>
      <c r="U47" s="5">
        <f ca="1">((N47-M47)/IF(Summary!$C$8&lt;&gt;"Patients",1,$I$9))</f>
        <v>892.95000000000073</v>
      </c>
      <c r="V47" s="5">
        <f t="shared" ca="1" si="8"/>
        <v>60.327672757160009</v>
      </c>
      <c r="X47" s="5">
        <f ca="1">(VLOOKUP(D47,'SPC background (hide)'!$AG$2:$AN$54,8,0)/IF(Summary!$C$8&lt;&gt;"Patients",1,$I$9))*(1-$I$4)*(1-$I$5+($I$6*$I$7))</f>
        <v>14486.884615384615</v>
      </c>
    </row>
    <row r="48" spans="1:24" x14ac:dyDescent="0.2">
      <c r="A48" s="87">
        <f t="shared" si="9"/>
        <v>44123</v>
      </c>
      <c r="B48" s="67" t="str">
        <f t="shared" ref="B48:B67" si="11">IF(YEAR(A48)&lt;&gt;YEAR(A47),YEAR(A48),"")</f>
        <v/>
      </c>
      <c r="C48" s="67" t="str">
        <f t="shared" ref="C48:C67" si="12">IF(TEXT(A48,"MMM")&lt;&gt;TEXT(A47,"MMM"),TEXT(A48,"MMM"),"")</f>
        <v/>
      </c>
      <c r="D48" s="67">
        <f t="shared" si="10"/>
        <v>43</v>
      </c>
      <c r="E48" s="5">
        <f ca="1">IF(LEFT(Demand!$C$8,1)="H",VLOOKUP($D48,'SPC background (hide)'!$AG$2:$AS$54,12,0),'Demand background (hide)'!X37)</f>
        <v>14765</v>
      </c>
      <c r="F48" s="5">
        <f ca="1">IF(LEFT(Demand!$C$8,1)="H",VLOOKUP($D48,'SPC background (hide)'!$AG$2:$AS$54,13,0),E48*1.1)</f>
        <v>15657.95</v>
      </c>
      <c r="G48" s="5" t="str">
        <f>IF(Setup!$I$15="Yes",VLOOKUP(D48,'SPC background (hide)'!$AG$2:$AT$54,14,0)/IF(Summary!$C$8="Patients",'Summary Calculations (hide)'!$I$9,1),"")</f>
        <v/>
      </c>
      <c r="H48" s="67">
        <f ca="1">IF(Setup!$I$13="Yes",'Planned background (hide)'!$V$23/IF(Summary!$C$8="Patients",'Summary Calculations (hide)'!$I$9,1),"")</f>
        <v>60.327672757160009</v>
      </c>
      <c r="I48" s="5">
        <f ca="1">IFERROR(HLOOKUP(A48,'Capacity calculation (hide)'!$BK$1:$DK$4,4,0),Capacity!$I$15)</f>
        <v>5044.8076923076924</v>
      </c>
      <c r="J48" s="5">
        <f ca="1">HLOOKUP(D48,'Capacity calculation (hide)'!$BK$110:$DK$111,2,0)</f>
        <v>402.11538461538464</v>
      </c>
      <c r="K48" s="5">
        <f ca="1">IF(I48-IF(Setup!$I$15="Yes",$G48,0)-IF(Setup!$I$13="Yes",$H48,0)&lt;0,0,I48-IF(Setup!$I$15="Yes",$G48,0)-IF(Setup!$I$13="Yes",$H48,0))</f>
        <v>4984.4800195505322</v>
      </c>
      <c r="L48" s="5">
        <f t="shared" ca="1" si="3"/>
        <v>402.11538461538464</v>
      </c>
      <c r="M48" s="5">
        <f ca="1">(IF('Demand adjustments for Covid'!$F$9="No",E48,SUM('Demand background (hide)'!DS37,'Demand background (hide)'!DV37:DW37))*(1-'Parameters calculator (hide)'!$B$43))*(1-'Parameters calculator (hide)'!$B$44+('Parameters calculator (hide)'!$B$45*'Parameters calculator (hide)'!$B$47))</f>
        <v>14765</v>
      </c>
      <c r="N48" s="5">
        <f ca="1">(IF('Demand adjustments for Covid'!$F$9="No",F48,SUM('Demand background (hide)'!DT37,'Demand background (hide)'!DV37:DW37))*(1-'Parameters calculator (hide)'!$B$43))*(1-'Parameters calculator (hide)'!$B$44+('Parameters calculator (hide)'!$B$45*'Parameters calculator (hide)'!$B$47))</f>
        <v>15657.95</v>
      </c>
      <c r="P48" s="5">
        <f t="shared" ca="1" si="4"/>
        <v>5044.8076923076924</v>
      </c>
      <c r="Q48" s="5">
        <f t="shared" ca="1" si="5"/>
        <v>402.11538461538464</v>
      </c>
      <c r="R48" s="5">
        <f t="shared" ca="1" si="6"/>
        <v>4984.4800195505322</v>
      </c>
      <c r="S48" s="5">
        <f t="shared" ca="1" si="7"/>
        <v>402.11538461538464</v>
      </c>
      <c r="T48" s="5">
        <f ca="1">M48/IF(Summary!$C$8&lt;&gt;"Patients",1,$I$9)</f>
        <v>14765</v>
      </c>
      <c r="U48" s="5">
        <f ca="1">((N48-M48)/IF(Summary!$C$8&lt;&gt;"Patients",1,$I$9))</f>
        <v>892.95000000000073</v>
      </c>
      <c r="V48" s="5">
        <f t="shared" ca="1" si="8"/>
        <v>60.327672757160009</v>
      </c>
      <c r="X48" s="5">
        <f ca="1">(VLOOKUP(D48,'SPC background (hide)'!$AG$2:$AN$54,8,0)/IF(Summary!$C$8&lt;&gt;"Patients",1,$I$9))*(1-$I$4)*(1-$I$5+($I$6*$I$7))</f>
        <v>14486.884615384615</v>
      </c>
    </row>
    <row r="49" spans="1:24" x14ac:dyDescent="0.2">
      <c r="A49" s="87">
        <f t="shared" si="9"/>
        <v>44130</v>
      </c>
      <c r="B49" s="67" t="str">
        <f t="shared" si="11"/>
        <v/>
      </c>
      <c r="C49" s="67" t="str">
        <f t="shared" si="12"/>
        <v/>
      </c>
      <c r="D49" s="67">
        <f t="shared" si="10"/>
        <v>44</v>
      </c>
      <c r="E49" s="5">
        <f ca="1">IF(LEFT(Demand!$C$8,1)="H",VLOOKUP($D49,'SPC background (hide)'!$AG$2:$AS$54,12,0),'Demand background (hide)'!X38)</f>
        <v>14765</v>
      </c>
      <c r="F49" s="5">
        <f ca="1">IF(LEFT(Demand!$C$8,1)="H",VLOOKUP($D49,'SPC background (hide)'!$AG$2:$AS$54,13,0),E49*1.1)</f>
        <v>15657.95</v>
      </c>
      <c r="G49" s="5" t="str">
        <f>IF(Setup!$I$15="Yes",VLOOKUP(D49,'SPC background (hide)'!$AG$2:$AT$54,14,0)/IF(Summary!$C$8="Patients",'Summary Calculations (hide)'!$I$9,1),"")</f>
        <v/>
      </c>
      <c r="H49" s="67">
        <f ca="1">IF(Setup!$I$13="Yes",'Planned background (hide)'!$V$23/IF(Summary!$C$8="Patients",'Summary Calculations (hide)'!$I$9,1),"")</f>
        <v>60.327672757160009</v>
      </c>
      <c r="I49" s="5">
        <f ca="1">IFERROR(HLOOKUP(A49,'Capacity calculation (hide)'!$BK$1:$DK$4,4,0),Capacity!$I$15)</f>
        <v>5044.8076923076924</v>
      </c>
      <c r="J49" s="5">
        <f ca="1">HLOOKUP(D49,'Capacity calculation (hide)'!$BK$110:$DK$111,2,0)</f>
        <v>402.11538461538464</v>
      </c>
      <c r="K49" s="5">
        <f ca="1">IF(I49-IF(Setup!$I$15="Yes",$G49,0)-IF(Setup!$I$13="Yes",$H49,0)&lt;0,0,I49-IF(Setup!$I$15="Yes",$G49,0)-IF(Setup!$I$13="Yes",$H49,0))</f>
        <v>4984.4800195505322</v>
      </c>
      <c r="L49" s="5">
        <f t="shared" ca="1" si="3"/>
        <v>402.11538461538464</v>
      </c>
      <c r="M49" s="5">
        <f ca="1">(IF('Demand adjustments for Covid'!$F$9="No",E49,SUM('Demand background (hide)'!DS38,'Demand background (hide)'!DV38:DW38))*(1-'Parameters calculator (hide)'!$B$43))*(1-'Parameters calculator (hide)'!$B$44+('Parameters calculator (hide)'!$B$45*'Parameters calculator (hide)'!$B$47))</f>
        <v>14765</v>
      </c>
      <c r="N49" s="5">
        <f ca="1">(IF('Demand adjustments for Covid'!$F$9="No",F49,SUM('Demand background (hide)'!DT38,'Demand background (hide)'!DV38:DW38))*(1-'Parameters calculator (hide)'!$B$43))*(1-'Parameters calculator (hide)'!$B$44+('Parameters calculator (hide)'!$B$45*'Parameters calculator (hide)'!$B$47))</f>
        <v>15657.95</v>
      </c>
      <c r="P49" s="5">
        <f t="shared" ca="1" si="4"/>
        <v>5044.8076923076924</v>
      </c>
      <c r="Q49" s="5">
        <f t="shared" ca="1" si="5"/>
        <v>402.11538461538464</v>
      </c>
      <c r="R49" s="5">
        <f t="shared" ca="1" si="6"/>
        <v>4984.4800195505322</v>
      </c>
      <c r="S49" s="5">
        <f t="shared" ca="1" si="7"/>
        <v>402.11538461538464</v>
      </c>
      <c r="T49" s="5">
        <f ca="1">M49/IF(Summary!$C$8&lt;&gt;"Patients",1,$I$9)</f>
        <v>14765</v>
      </c>
      <c r="U49" s="5">
        <f ca="1">((N49-M49)/IF(Summary!$C$8&lt;&gt;"Patients",1,$I$9))</f>
        <v>892.95000000000073</v>
      </c>
      <c r="V49" s="5">
        <f t="shared" ca="1" si="8"/>
        <v>60.327672757160009</v>
      </c>
      <c r="X49" s="5">
        <f ca="1">(VLOOKUP(D49,'SPC background (hide)'!$AG$2:$AN$54,8,0)/IF(Summary!$C$8&lt;&gt;"Patients",1,$I$9))*(1-$I$4)*(1-$I$5+($I$6*$I$7))</f>
        <v>14486.884615384615</v>
      </c>
    </row>
    <row r="50" spans="1:24" x14ac:dyDescent="0.2">
      <c r="A50" s="87">
        <f t="shared" si="9"/>
        <v>44137</v>
      </c>
      <c r="B50" s="67" t="str">
        <f t="shared" si="11"/>
        <v/>
      </c>
      <c r="C50" s="67" t="str">
        <f t="shared" si="12"/>
        <v>Nov</v>
      </c>
      <c r="D50" s="67">
        <f t="shared" si="10"/>
        <v>45</v>
      </c>
      <c r="E50" s="5">
        <f ca="1">IF(LEFT(Demand!$C$8,1)="H",VLOOKUP($D50,'SPC background (hide)'!$AG$2:$AS$54,12,0),'Demand background (hide)'!X39)</f>
        <v>14765</v>
      </c>
      <c r="F50" s="5">
        <f ca="1">IF(LEFT(Demand!$C$8,1)="H",VLOOKUP($D50,'SPC background (hide)'!$AG$2:$AS$54,13,0),E50*1.1)</f>
        <v>15657.95</v>
      </c>
      <c r="G50" s="5" t="str">
        <f>IF(Setup!$I$15="Yes",VLOOKUP(D50,'SPC background (hide)'!$AG$2:$AT$54,14,0)/IF(Summary!$C$8="Patients",'Summary Calculations (hide)'!$I$9,1),"")</f>
        <v/>
      </c>
      <c r="H50" s="67">
        <f ca="1">IF(Setup!$I$13="Yes",'Planned background (hide)'!$V$23/IF(Summary!$C$8="Patients",'Summary Calculations (hide)'!$I$9,1),"")</f>
        <v>60.327672757160009</v>
      </c>
      <c r="I50" s="5">
        <f ca="1">IFERROR(HLOOKUP(A50,'Capacity calculation (hide)'!$BK$1:$DK$4,4,0),Capacity!$I$15)</f>
        <v>5044.8076923076924</v>
      </c>
      <c r="J50" s="5">
        <f ca="1">HLOOKUP(D50,'Capacity calculation (hide)'!$BK$110:$DK$111,2,0)</f>
        <v>402.11538461538464</v>
      </c>
      <c r="K50" s="5">
        <f ca="1">IF(I50-IF(Setup!$I$15="Yes",$G50,0)-IF(Setup!$I$13="Yes",$H50,0)&lt;0,0,I50-IF(Setup!$I$15="Yes",$G50,0)-IF(Setup!$I$13="Yes",$H50,0))</f>
        <v>4984.4800195505322</v>
      </c>
      <c r="L50" s="5">
        <f t="shared" ca="1" si="3"/>
        <v>402.11538461538464</v>
      </c>
      <c r="M50" s="5">
        <f ca="1">(IF('Demand adjustments for Covid'!$F$9="No",E50,SUM('Demand background (hide)'!DS39,'Demand background (hide)'!DV39:DW39))*(1-'Parameters calculator (hide)'!$B$43))*(1-'Parameters calculator (hide)'!$B$44+('Parameters calculator (hide)'!$B$45*'Parameters calculator (hide)'!$B$47))</f>
        <v>14765</v>
      </c>
      <c r="N50" s="5">
        <f ca="1">(IF('Demand adjustments for Covid'!$F$9="No",F50,SUM('Demand background (hide)'!DT39,'Demand background (hide)'!DV39:DW39))*(1-'Parameters calculator (hide)'!$B$43))*(1-'Parameters calculator (hide)'!$B$44+('Parameters calculator (hide)'!$B$45*'Parameters calculator (hide)'!$B$47))</f>
        <v>15657.95</v>
      </c>
      <c r="P50" s="5">
        <f t="shared" ca="1" si="4"/>
        <v>5044.8076923076924</v>
      </c>
      <c r="Q50" s="5">
        <f t="shared" ca="1" si="5"/>
        <v>402.11538461538464</v>
      </c>
      <c r="R50" s="5">
        <f t="shared" ca="1" si="6"/>
        <v>4984.4800195505322</v>
      </c>
      <c r="S50" s="5">
        <f t="shared" ca="1" si="7"/>
        <v>402.11538461538464</v>
      </c>
      <c r="T50" s="5">
        <f ca="1">M50/IF(Summary!$C$8&lt;&gt;"Patients",1,$I$9)</f>
        <v>14765</v>
      </c>
      <c r="U50" s="5">
        <f ca="1">((N50-M50)/IF(Summary!$C$8&lt;&gt;"Patients",1,$I$9))</f>
        <v>892.95000000000073</v>
      </c>
      <c r="V50" s="5">
        <f t="shared" ca="1" si="8"/>
        <v>60.327672757160009</v>
      </c>
      <c r="X50" s="5">
        <f ca="1">(VLOOKUP(D50,'SPC background (hide)'!$AG$2:$AN$54,8,0)/IF(Summary!$C$8&lt;&gt;"Patients",1,$I$9))*(1-$I$4)*(1-$I$5+($I$6*$I$7))</f>
        <v>14486.884615384615</v>
      </c>
    </row>
    <row r="51" spans="1:24" x14ac:dyDescent="0.2">
      <c r="A51" s="87">
        <f t="shared" si="9"/>
        <v>44144</v>
      </c>
      <c r="B51" s="67" t="str">
        <f t="shared" si="11"/>
        <v/>
      </c>
      <c r="C51" s="67" t="str">
        <f t="shared" si="12"/>
        <v/>
      </c>
      <c r="D51" s="67">
        <f t="shared" si="10"/>
        <v>46</v>
      </c>
      <c r="E51" s="5">
        <f ca="1">IF(LEFT(Demand!$C$8,1)="H",VLOOKUP($D51,'SPC background (hide)'!$AG$2:$AS$54,12,0),'Demand background (hide)'!X40)</f>
        <v>14765</v>
      </c>
      <c r="F51" s="5">
        <f ca="1">IF(LEFT(Demand!$C$8,1)="H",VLOOKUP($D51,'SPC background (hide)'!$AG$2:$AS$54,13,0),E51*1.1)</f>
        <v>15657.95</v>
      </c>
      <c r="G51" s="5" t="str">
        <f>IF(Setup!$I$15="Yes",VLOOKUP(D51,'SPC background (hide)'!$AG$2:$AT$54,14,0)/IF(Summary!$C$8="Patients",'Summary Calculations (hide)'!$I$9,1),"")</f>
        <v/>
      </c>
      <c r="H51" s="67">
        <f ca="1">IF(Setup!$I$13="Yes",'Planned background (hide)'!$V$23/IF(Summary!$C$8="Patients",'Summary Calculations (hide)'!$I$9,1),"")</f>
        <v>60.327672757160009</v>
      </c>
      <c r="I51" s="5">
        <f ca="1">IFERROR(HLOOKUP(A51,'Capacity calculation (hide)'!$BK$1:$DK$4,4,0),Capacity!$I$15)</f>
        <v>5044.8076923076924</v>
      </c>
      <c r="J51" s="5">
        <f ca="1">HLOOKUP(D51,'Capacity calculation (hide)'!$BK$110:$DK$111,2,0)</f>
        <v>402.11538461538464</v>
      </c>
      <c r="K51" s="5">
        <f ca="1">IF(I51-IF(Setup!$I$15="Yes",$G51,0)-IF(Setup!$I$13="Yes",$H51,0)&lt;0,0,I51-IF(Setup!$I$15="Yes",$G51,0)-IF(Setup!$I$13="Yes",$H51,0))</f>
        <v>4984.4800195505322</v>
      </c>
      <c r="L51" s="5">
        <f t="shared" ca="1" si="3"/>
        <v>402.11538461538464</v>
      </c>
      <c r="M51" s="5">
        <f ca="1">(IF('Demand adjustments for Covid'!$F$9="No",E51,SUM('Demand background (hide)'!DS40,'Demand background (hide)'!DV40:DW40))*(1-'Parameters calculator (hide)'!$B$43))*(1-'Parameters calculator (hide)'!$B$44+('Parameters calculator (hide)'!$B$45*'Parameters calculator (hide)'!$B$47))</f>
        <v>14765</v>
      </c>
      <c r="N51" s="5">
        <f ca="1">(IF('Demand adjustments for Covid'!$F$9="No",F51,SUM('Demand background (hide)'!DT40,'Demand background (hide)'!DV40:DW40))*(1-'Parameters calculator (hide)'!$B$43))*(1-'Parameters calculator (hide)'!$B$44+('Parameters calculator (hide)'!$B$45*'Parameters calculator (hide)'!$B$47))</f>
        <v>15657.95</v>
      </c>
      <c r="P51" s="5">
        <f t="shared" ca="1" si="4"/>
        <v>5044.8076923076924</v>
      </c>
      <c r="Q51" s="5">
        <f t="shared" ca="1" si="5"/>
        <v>402.11538461538464</v>
      </c>
      <c r="R51" s="5">
        <f t="shared" ca="1" si="6"/>
        <v>4984.4800195505322</v>
      </c>
      <c r="S51" s="5">
        <f t="shared" ca="1" si="7"/>
        <v>402.11538461538464</v>
      </c>
      <c r="T51" s="5">
        <f ca="1">M51/IF(Summary!$C$8&lt;&gt;"Patients",1,$I$9)</f>
        <v>14765</v>
      </c>
      <c r="U51" s="5">
        <f ca="1">((N51-M51)/IF(Summary!$C$8&lt;&gt;"Patients",1,$I$9))</f>
        <v>892.95000000000073</v>
      </c>
      <c r="V51" s="5">
        <f t="shared" ca="1" si="8"/>
        <v>60.327672757160009</v>
      </c>
      <c r="X51" s="5">
        <f ca="1">(VLOOKUP(D51,'SPC background (hide)'!$AG$2:$AN$54,8,0)/IF(Summary!$C$8&lt;&gt;"Patients",1,$I$9))*(1-$I$4)*(1-$I$5+($I$6*$I$7))</f>
        <v>14486.884615384615</v>
      </c>
    </row>
    <row r="52" spans="1:24" x14ac:dyDescent="0.2">
      <c r="A52" s="87">
        <f t="shared" si="9"/>
        <v>44151</v>
      </c>
      <c r="B52" s="67" t="str">
        <f t="shared" si="11"/>
        <v/>
      </c>
      <c r="C52" s="67" t="str">
        <f t="shared" si="12"/>
        <v/>
      </c>
      <c r="D52" s="67">
        <f t="shared" si="10"/>
        <v>47</v>
      </c>
      <c r="E52" s="5">
        <f ca="1">IF(LEFT(Demand!$C$8,1)="H",VLOOKUP($D52,'SPC background (hide)'!$AG$2:$AS$54,12,0),'Demand background (hide)'!X41)</f>
        <v>14765</v>
      </c>
      <c r="F52" s="5">
        <f ca="1">IF(LEFT(Demand!$C$8,1)="H",VLOOKUP($D52,'SPC background (hide)'!$AG$2:$AS$54,13,0),E52*1.1)</f>
        <v>15657.95</v>
      </c>
      <c r="G52" s="5" t="str">
        <f>IF(Setup!$I$15="Yes",VLOOKUP(D52,'SPC background (hide)'!$AG$2:$AT$54,14,0)/IF(Summary!$C$8="Patients",'Summary Calculations (hide)'!$I$9,1),"")</f>
        <v/>
      </c>
      <c r="H52" s="67">
        <f ca="1">IF(Setup!$I$13="Yes",'Planned background (hide)'!$V$23/IF(Summary!$C$8="Patients",'Summary Calculations (hide)'!$I$9,1),"")</f>
        <v>60.327672757160009</v>
      </c>
      <c r="I52" s="5">
        <f ca="1">IFERROR(HLOOKUP(A52,'Capacity calculation (hide)'!$BK$1:$DK$4,4,0),Capacity!$I$15)</f>
        <v>5044.8076923076924</v>
      </c>
      <c r="J52" s="5">
        <f ca="1">HLOOKUP(D52,'Capacity calculation (hide)'!$BK$110:$DK$111,2,0)</f>
        <v>402.11538461538464</v>
      </c>
      <c r="K52" s="5">
        <f ca="1">IF(I52-IF(Setup!$I$15="Yes",$G52,0)-IF(Setup!$I$13="Yes",$H52,0)&lt;0,0,I52-IF(Setup!$I$15="Yes",$G52,0)-IF(Setup!$I$13="Yes",$H52,0))</f>
        <v>4984.4800195505322</v>
      </c>
      <c r="L52" s="5">
        <f t="shared" ca="1" si="3"/>
        <v>402.11538461538464</v>
      </c>
      <c r="M52" s="5">
        <f ca="1">(IF('Demand adjustments for Covid'!$F$9="No",E52,SUM('Demand background (hide)'!DS41,'Demand background (hide)'!DV41:DW41))*(1-'Parameters calculator (hide)'!$B$43))*(1-'Parameters calculator (hide)'!$B$44+('Parameters calculator (hide)'!$B$45*'Parameters calculator (hide)'!$B$47))</f>
        <v>14765</v>
      </c>
      <c r="N52" s="5">
        <f ca="1">(IF('Demand adjustments for Covid'!$F$9="No",F52,SUM('Demand background (hide)'!DT41,'Demand background (hide)'!DV41:DW41))*(1-'Parameters calculator (hide)'!$B$43))*(1-'Parameters calculator (hide)'!$B$44+('Parameters calculator (hide)'!$B$45*'Parameters calculator (hide)'!$B$47))</f>
        <v>15657.95</v>
      </c>
      <c r="P52" s="5">
        <f t="shared" ca="1" si="4"/>
        <v>5044.8076923076924</v>
      </c>
      <c r="Q52" s="5">
        <f t="shared" ca="1" si="5"/>
        <v>402.11538461538464</v>
      </c>
      <c r="R52" s="5">
        <f t="shared" ca="1" si="6"/>
        <v>4984.4800195505322</v>
      </c>
      <c r="S52" s="5">
        <f t="shared" ca="1" si="7"/>
        <v>402.11538461538464</v>
      </c>
      <c r="T52" s="5">
        <f ca="1">M52/IF(Summary!$C$8&lt;&gt;"Patients",1,$I$9)</f>
        <v>14765</v>
      </c>
      <c r="U52" s="5">
        <f ca="1">((N52-M52)/IF(Summary!$C$8&lt;&gt;"Patients",1,$I$9))</f>
        <v>892.95000000000073</v>
      </c>
      <c r="V52" s="5">
        <f t="shared" ca="1" si="8"/>
        <v>60.327672757160009</v>
      </c>
      <c r="X52" s="5">
        <f ca="1">(VLOOKUP(D52,'SPC background (hide)'!$AG$2:$AN$54,8,0)/IF(Summary!$C$8&lt;&gt;"Patients",1,$I$9))*(1-$I$4)*(1-$I$5+($I$6*$I$7))</f>
        <v>14486.884615384615</v>
      </c>
    </row>
    <row r="53" spans="1:24" x14ac:dyDescent="0.2">
      <c r="A53" s="87">
        <f t="shared" si="9"/>
        <v>44158</v>
      </c>
      <c r="B53" s="67" t="str">
        <f t="shared" si="11"/>
        <v/>
      </c>
      <c r="C53" s="67" t="str">
        <f t="shared" si="12"/>
        <v/>
      </c>
      <c r="D53" s="67">
        <f t="shared" si="10"/>
        <v>48</v>
      </c>
      <c r="E53" s="5">
        <f ca="1">IF(LEFT(Demand!$C$8,1)="H",VLOOKUP($D53,'SPC background (hide)'!$AG$2:$AS$54,12,0),'Demand background (hide)'!X42)</f>
        <v>14765</v>
      </c>
      <c r="F53" s="5">
        <f ca="1">IF(LEFT(Demand!$C$8,1)="H",VLOOKUP($D53,'SPC background (hide)'!$AG$2:$AS$54,13,0),E53*1.1)</f>
        <v>15657.95</v>
      </c>
      <c r="G53" s="5" t="str">
        <f>IF(Setup!$I$15="Yes",VLOOKUP(D53,'SPC background (hide)'!$AG$2:$AT$54,14,0)/IF(Summary!$C$8="Patients",'Summary Calculations (hide)'!$I$9,1),"")</f>
        <v/>
      </c>
      <c r="H53" s="67">
        <f ca="1">IF(Setup!$I$13="Yes",'Planned background (hide)'!$V$23/IF(Summary!$C$8="Patients",'Summary Calculations (hide)'!$I$9,1),"")</f>
        <v>60.327672757160009</v>
      </c>
      <c r="I53" s="5">
        <f ca="1">IFERROR(HLOOKUP(A53,'Capacity calculation (hide)'!$BK$1:$DK$4,4,0),Capacity!$I$15)</f>
        <v>5044.8076923076924</v>
      </c>
      <c r="J53" s="5">
        <f ca="1">HLOOKUP(D53,'Capacity calculation (hide)'!$BK$110:$DK$111,2,0)</f>
        <v>402.11538461538464</v>
      </c>
      <c r="K53" s="5">
        <f ca="1">IF(I53-IF(Setup!$I$15="Yes",$G53,0)-IF(Setup!$I$13="Yes",$H53,0)&lt;0,0,I53-IF(Setup!$I$15="Yes",$G53,0)-IF(Setup!$I$13="Yes",$H53,0))</f>
        <v>4984.4800195505322</v>
      </c>
      <c r="L53" s="5">
        <f t="shared" ca="1" si="3"/>
        <v>402.11538461538464</v>
      </c>
      <c r="M53" s="5">
        <f ca="1">(IF('Demand adjustments for Covid'!$F$9="No",E53,SUM('Demand background (hide)'!DS42,'Demand background (hide)'!DV42:DW42))*(1-'Parameters calculator (hide)'!$B$43))*(1-'Parameters calculator (hide)'!$B$44+('Parameters calculator (hide)'!$B$45*'Parameters calculator (hide)'!$B$47))</f>
        <v>14765</v>
      </c>
      <c r="N53" s="5">
        <f ca="1">(IF('Demand adjustments for Covid'!$F$9="No",F53,SUM('Demand background (hide)'!DT42,'Demand background (hide)'!DV42:DW42))*(1-'Parameters calculator (hide)'!$B$43))*(1-'Parameters calculator (hide)'!$B$44+('Parameters calculator (hide)'!$B$45*'Parameters calculator (hide)'!$B$47))</f>
        <v>15657.95</v>
      </c>
      <c r="P53" s="5">
        <f t="shared" ca="1" si="4"/>
        <v>5044.8076923076924</v>
      </c>
      <c r="Q53" s="5">
        <f t="shared" ca="1" si="5"/>
        <v>402.11538461538464</v>
      </c>
      <c r="R53" s="5">
        <f t="shared" ca="1" si="6"/>
        <v>4984.4800195505322</v>
      </c>
      <c r="S53" s="5">
        <f t="shared" ca="1" si="7"/>
        <v>402.11538461538464</v>
      </c>
      <c r="T53" s="5">
        <f ca="1">M53/IF(Summary!$C$8&lt;&gt;"Patients",1,$I$9)</f>
        <v>14765</v>
      </c>
      <c r="U53" s="5">
        <f ca="1">((N53-M53)/IF(Summary!$C$8&lt;&gt;"Patients",1,$I$9))</f>
        <v>892.95000000000073</v>
      </c>
      <c r="V53" s="5">
        <f t="shared" ca="1" si="8"/>
        <v>60.327672757160009</v>
      </c>
      <c r="X53" s="5">
        <f ca="1">(VLOOKUP(D53,'SPC background (hide)'!$AG$2:$AN$54,8,0)/IF(Summary!$C$8&lt;&gt;"Patients",1,$I$9))*(1-$I$4)*(1-$I$5+($I$6*$I$7))</f>
        <v>14486.884615384615</v>
      </c>
    </row>
    <row r="54" spans="1:24" x14ac:dyDescent="0.2">
      <c r="A54" s="87">
        <f t="shared" si="9"/>
        <v>44165</v>
      </c>
      <c r="B54" s="67" t="str">
        <f t="shared" si="11"/>
        <v/>
      </c>
      <c r="C54" s="67" t="str">
        <f t="shared" si="12"/>
        <v/>
      </c>
      <c r="D54" s="67">
        <f t="shared" si="10"/>
        <v>49</v>
      </c>
      <c r="E54" s="5">
        <f ca="1">IF(LEFT(Demand!$C$8,1)="H",VLOOKUP($D54,'SPC background (hide)'!$AG$2:$AS$54,12,0),'Demand background (hide)'!X43)</f>
        <v>14765</v>
      </c>
      <c r="F54" s="5">
        <f ca="1">IF(LEFT(Demand!$C$8,1)="H",VLOOKUP($D54,'SPC background (hide)'!$AG$2:$AS$54,13,0),E54*1.1)</f>
        <v>15657.95</v>
      </c>
      <c r="G54" s="5" t="str">
        <f>IF(Setup!$I$15="Yes",VLOOKUP(D54,'SPC background (hide)'!$AG$2:$AT$54,14,0)/IF(Summary!$C$8="Patients",'Summary Calculations (hide)'!$I$9,1),"")</f>
        <v/>
      </c>
      <c r="H54" s="67">
        <f ca="1">IF(Setup!$I$13="Yes",'Planned background (hide)'!$V$23/IF(Summary!$C$8="Patients",'Summary Calculations (hide)'!$I$9,1),"")</f>
        <v>60.327672757160009</v>
      </c>
      <c r="I54" s="5">
        <f ca="1">IFERROR(HLOOKUP(A54,'Capacity calculation (hide)'!$BK$1:$DK$4,4,0),Capacity!$I$15)</f>
        <v>5044.8076923076924</v>
      </c>
      <c r="J54" s="5">
        <f ca="1">HLOOKUP(D54,'Capacity calculation (hide)'!$BK$110:$DK$111,2,0)</f>
        <v>402.11538461538464</v>
      </c>
      <c r="K54" s="5">
        <f ca="1">IF(I54-IF(Setup!$I$15="Yes",$G54,0)-IF(Setup!$I$13="Yes",$H54,0)&lt;0,0,I54-IF(Setup!$I$15="Yes",$G54,0)-IF(Setup!$I$13="Yes",$H54,0))</f>
        <v>4984.4800195505322</v>
      </c>
      <c r="L54" s="5">
        <f t="shared" ca="1" si="3"/>
        <v>402.11538461538464</v>
      </c>
      <c r="M54" s="5">
        <f ca="1">(IF('Demand adjustments for Covid'!$F$9="No",E54,SUM('Demand background (hide)'!DS43,'Demand background (hide)'!DV43:DW43))*(1-'Parameters calculator (hide)'!$B$43))*(1-'Parameters calculator (hide)'!$B$44+('Parameters calculator (hide)'!$B$45*'Parameters calculator (hide)'!$B$47))</f>
        <v>14765</v>
      </c>
      <c r="N54" s="5">
        <f ca="1">(IF('Demand adjustments for Covid'!$F$9="No",F54,SUM('Demand background (hide)'!DT43,'Demand background (hide)'!DV43:DW43))*(1-'Parameters calculator (hide)'!$B$43))*(1-'Parameters calculator (hide)'!$B$44+('Parameters calculator (hide)'!$B$45*'Parameters calculator (hide)'!$B$47))</f>
        <v>15657.95</v>
      </c>
      <c r="P54" s="5">
        <f t="shared" ca="1" si="4"/>
        <v>5044.8076923076924</v>
      </c>
      <c r="Q54" s="5">
        <f t="shared" ca="1" si="5"/>
        <v>402.11538461538464</v>
      </c>
      <c r="R54" s="5">
        <f t="shared" ca="1" si="6"/>
        <v>4984.4800195505322</v>
      </c>
      <c r="S54" s="5">
        <f t="shared" ca="1" si="7"/>
        <v>402.11538461538464</v>
      </c>
      <c r="T54" s="5">
        <f ca="1">M54/IF(Summary!$C$8&lt;&gt;"Patients",1,$I$9)</f>
        <v>14765</v>
      </c>
      <c r="U54" s="5">
        <f ca="1">((N54-M54)/IF(Summary!$C$8&lt;&gt;"Patients",1,$I$9))</f>
        <v>892.95000000000073</v>
      </c>
      <c r="V54" s="5">
        <f t="shared" ca="1" si="8"/>
        <v>60.327672757160009</v>
      </c>
      <c r="X54" s="5">
        <f ca="1">(VLOOKUP(D54,'SPC background (hide)'!$AG$2:$AN$54,8,0)/IF(Summary!$C$8&lt;&gt;"Patients",1,$I$9))*(1-$I$4)*(1-$I$5+($I$6*$I$7))</f>
        <v>14486.884615384615</v>
      </c>
    </row>
    <row r="55" spans="1:24" x14ac:dyDescent="0.2">
      <c r="A55" s="87">
        <f t="shared" si="9"/>
        <v>44172</v>
      </c>
      <c r="B55" s="67" t="str">
        <f t="shared" si="11"/>
        <v/>
      </c>
      <c r="C55" s="67" t="str">
        <f t="shared" si="12"/>
        <v>Dec</v>
      </c>
      <c r="D55" s="67">
        <f t="shared" si="10"/>
        <v>50</v>
      </c>
      <c r="E55" s="5">
        <f ca="1">IF(LEFT(Demand!$C$8,1)="H",VLOOKUP($D55,'SPC background (hide)'!$AG$2:$AS$54,12,0),'Demand background (hide)'!X44)</f>
        <v>14765</v>
      </c>
      <c r="F55" s="5">
        <f ca="1">IF(LEFT(Demand!$C$8,1)="H",VLOOKUP($D55,'SPC background (hide)'!$AG$2:$AS$54,13,0),E55*1.1)</f>
        <v>15657.95</v>
      </c>
      <c r="G55" s="5" t="str">
        <f>IF(Setup!$I$15="Yes",VLOOKUP(D55,'SPC background (hide)'!$AG$2:$AT$54,14,0)/IF(Summary!$C$8="Patients",'Summary Calculations (hide)'!$I$9,1),"")</f>
        <v/>
      </c>
      <c r="H55" s="67">
        <f ca="1">IF(Setup!$I$13="Yes",'Planned background (hide)'!$V$23/IF(Summary!$C$8="Patients",'Summary Calculations (hide)'!$I$9,1),"")</f>
        <v>60.327672757160009</v>
      </c>
      <c r="I55" s="5">
        <f ca="1">IFERROR(HLOOKUP(A55,'Capacity calculation (hide)'!$BK$1:$DK$4,4,0),Capacity!$I$15)</f>
        <v>5044.8076923076924</v>
      </c>
      <c r="J55" s="5">
        <f ca="1">HLOOKUP(D55,'Capacity calculation (hide)'!$BK$110:$DK$111,2,0)</f>
        <v>402.11538461538464</v>
      </c>
      <c r="K55" s="5">
        <f ca="1">IF(I55-IF(Setup!$I$15="Yes",$G55,0)-IF(Setup!$I$13="Yes",$H55,0)&lt;0,0,I55-IF(Setup!$I$15="Yes",$G55,0)-IF(Setup!$I$13="Yes",$H55,0))</f>
        <v>4984.4800195505322</v>
      </c>
      <c r="L55" s="5">
        <f t="shared" ca="1" si="3"/>
        <v>402.11538461538464</v>
      </c>
      <c r="M55" s="5">
        <f ca="1">(IF('Demand adjustments for Covid'!$F$9="No",E55,SUM('Demand background (hide)'!DS44,'Demand background (hide)'!DV44:DW44))*(1-'Parameters calculator (hide)'!$B$43))*(1-'Parameters calculator (hide)'!$B$44+('Parameters calculator (hide)'!$B$45*'Parameters calculator (hide)'!$B$47))</f>
        <v>14765</v>
      </c>
      <c r="N55" s="5">
        <f ca="1">(IF('Demand adjustments for Covid'!$F$9="No",F55,SUM('Demand background (hide)'!DT44,'Demand background (hide)'!DV44:DW44))*(1-'Parameters calculator (hide)'!$B$43))*(1-'Parameters calculator (hide)'!$B$44+('Parameters calculator (hide)'!$B$45*'Parameters calculator (hide)'!$B$47))</f>
        <v>15657.95</v>
      </c>
      <c r="P55" s="5">
        <f t="shared" ca="1" si="4"/>
        <v>5044.8076923076924</v>
      </c>
      <c r="Q55" s="5">
        <f t="shared" ca="1" si="5"/>
        <v>402.11538461538464</v>
      </c>
      <c r="R55" s="5">
        <f t="shared" ca="1" si="6"/>
        <v>4984.4800195505322</v>
      </c>
      <c r="S55" s="5">
        <f t="shared" ca="1" si="7"/>
        <v>402.11538461538464</v>
      </c>
      <c r="T55" s="5">
        <f ca="1">M55/IF(Summary!$C$8&lt;&gt;"Patients",1,$I$9)</f>
        <v>14765</v>
      </c>
      <c r="U55" s="5">
        <f ca="1">((N55-M55)/IF(Summary!$C$8&lt;&gt;"Patients",1,$I$9))</f>
        <v>892.95000000000073</v>
      </c>
      <c r="V55" s="5">
        <f t="shared" ca="1" si="8"/>
        <v>60.327672757160009</v>
      </c>
      <c r="X55" s="5">
        <f ca="1">(VLOOKUP(D55,'SPC background (hide)'!$AG$2:$AN$54,8,0)/IF(Summary!$C$8&lt;&gt;"Patients",1,$I$9))*(1-$I$4)*(1-$I$5+($I$6*$I$7))</f>
        <v>14486.884615384615</v>
      </c>
    </row>
    <row r="56" spans="1:24" x14ac:dyDescent="0.2">
      <c r="A56" s="87">
        <f t="shared" si="9"/>
        <v>44179</v>
      </c>
      <c r="B56" s="67" t="str">
        <f t="shared" si="11"/>
        <v/>
      </c>
      <c r="C56" s="67" t="str">
        <f t="shared" si="12"/>
        <v/>
      </c>
      <c r="D56" s="67">
        <f t="shared" si="10"/>
        <v>51</v>
      </c>
      <c r="E56" s="5">
        <f ca="1">IF(LEFT(Demand!$C$8,1)="H",VLOOKUP($D56,'SPC background (hide)'!$AG$2:$AS$54,12,0),'Demand background (hide)'!X45)</f>
        <v>14765</v>
      </c>
      <c r="F56" s="5">
        <f ca="1">IF(LEFT(Demand!$C$8,1)="H",VLOOKUP($D56,'SPC background (hide)'!$AG$2:$AS$54,13,0),E56*1.1)</f>
        <v>15657.95</v>
      </c>
      <c r="G56" s="5" t="str">
        <f>IF(Setup!$I$15="Yes",VLOOKUP(D56,'SPC background (hide)'!$AG$2:$AT$54,14,0)/IF(Summary!$C$8="Patients",'Summary Calculations (hide)'!$I$9,1),"")</f>
        <v/>
      </c>
      <c r="H56" s="67">
        <f ca="1">IF(Setup!$I$13="Yes",'Planned background (hide)'!$V$23/IF(Summary!$C$8="Patients",'Summary Calculations (hide)'!$I$9,1),"")</f>
        <v>60.327672757160009</v>
      </c>
      <c r="I56" s="5">
        <f ca="1">IFERROR(HLOOKUP(A56,'Capacity calculation (hide)'!$BK$1:$DK$4,4,0),Capacity!$I$15)</f>
        <v>5044.8076923076924</v>
      </c>
      <c r="J56" s="5">
        <f ca="1">HLOOKUP(D56,'Capacity calculation (hide)'!$BK$110:$DK$111,2,0)</f>
        <v>402.11538461538464</v>
      </c>
      <c r="K56" s="5">
        <f ca="1">IF(I56-IF(Setup!$I$15="Yes",$G56,0)-IF(Setup!$I$13="Yes",$H56,0)&lt;0,0,I56-IF(Setup!$I$15="Yes",$G56,0)-IF(Setup!$I$13="Yes",$H56,0))</f>
        <v>4984.4800195505322</v>
      </c>
      <c r="L56" s="5">
        <f t="shared" ca="1" si="3"/>
        <v>402.11538461538464</v>
      </c>
      <c r="M56" s="5">
        <f ca="1">(IF('Demand adjustments for Covid'!$F$9="No",E56,SUM('Demand background (hide)'!DS45,'Demand background (hide)'!DV45:DW45))*(1-'Parameters calculator (hide)'!$B$43))*(1-'Parameters calculator (hide)'!$B$44+('Parameters calculator (hide)'!$B$45*'Parameters calculator (hide)'!$B$47))</f>
        <v>14765</v>
      </c>
      <c r="N56" s="5">
        <f ca="1">(IF('Demand adjustments for Covid'!$F$9="No",F56,SUM('Demand background (hide)'!DT45,'Demand background (hide)'!DV45:DW45))*(1-'Parameters calculator (hide)'!$B$43))*(1-'Parameters calculator (hide)'!$B$44+('Parameters calculator (hide)'!$B$45*'Parameters calculator (hide)'!$B$47))</f>
        <v>15657.95</v>
      </c>
      <c r="P56" s="5">
        <f t="shared" ca="1" si="4"/>
        <v>5044.8076923076924</v>
      </c>
      <c r="Q56" s="5">
        <f t="shared" ca="1" si="5"/>
        <v>402.11538461538464</v>
      </c>
      <c r="R56" s="5">
        <f t="shared" ca="1" si="6"/>
        <v>4984.4800195505322</v>
      </c>
      <c r="S56" s="5">
        <f t="shared" ca="1" si="7"/>
        <v>402.11538461538464</v>
      </c>
      <c r="T56" s="5">
        <f ca="1">M56/IF(Summary!$C$8&lt;&gt;"Patients",1,$I$9)</f>
        <v>14765</v>
      </c>
      <c r="U56" s="5">
        <f ca="1">((N56-M56)/IF(Summary!$C$8&lt;&gt;"Patients",1,$I$9))</f>
        <v>892.95000000000073</v>
      </c>
      <c r="V56" s="5">
        <f t="shared" ca="1" si="8"/>
        <v>60.327672757160009</v>
      </c>
      <c r="X56" s="5">
        <f ca="1">(VLOOKUP(D56,'SPC background (hide)'!$AG$2:$AN$54,8,0)/IF(Summary!$C$8&lt;&gt;"Patients",1,$I$9))*(1-$I$4)*(1-$I$5+($I$6*$I$7))</f>
        <v>14486.884615384615</v>
      </c>
    </row>
    <row r="57" spans="1:24" x14ac:dyDescent="0.2">
      <c r="A57" s="87">
        <f t="shared" si="9"/>
        <v>44186</v>
      </c>
      <c r="B57" s="67" t="str">
        <f t="shared" si="11"/>
        <v/>
      </c>
      <c r="C57" s="67" t="str">
        <f t="shared" si="12"/>
        <v/>
      </c>
      <c r="D57" s="67">
        <f t="shared" si="10"/>
        <v>52</v>
      </c>
      <c r="E57" s="5">
        <f ca="1">IF(LEFT(Demand!$C$8,1)="H",VLOOKUP($D57,'SPC background (hide)'!$AG$2:$AS$54,12,0),'Demand background (hide)'!X46)</f>
        <v>14765</v>
      </c>
      <c r="F57" s="5">
        <f ca="1">IF(LEFT(Demand!$C$8,1)="H",VLOOKUP($D57,'SPC background (hide)'!$AG$2:$AS$54,13,0),E57*1.1)</f>
        <v>15657.95</v>
      </c>
      <c r="G57" s="5" t="str">
        <f>IF(Setup!$I$15="Yes",VLOOKUP(D57,'SPC background (hide)'!$AG$2:$AT$54,14,0)/IF(Summary!$C$8="Patients",'Summary Calculations (hide)'!$I$9,1),"")</f>
        <v/>
      </c>
      <c r="H57" s="67">
        <f ca="1">IF(Setup!$I$13="Yes",'Planned background (hide)'!$V$23/IF(Summary!$C$8="Patients",'Summary Calculations (hide)'!$I$9,1),"")</f>
        <v>60.327672757160009</v>
      </c>
      <c r="I57" s="5">
        <f ca="1">IFERROR(HLOOKUP(A57,'Capacity calculation (hide)'!$BK$1:$DK$4,4,0),Capacity!$I$15)</f>
        <v>5044.8076923076924</v>
      </c>
      <c r="J57" s="5">
        <f ca="1">HLOOKUP(D57,'Capacity calculation (hide)'!$BK$110:$DK$111,2,0)</f>
        <v>402.11538461538464</v>
      </c>
      <c r="K57" s="5">
        <f ca="1">IF(I57-IF(Setup!$I$15="Yes",$G57,0)-IF(Setup!$I$13="Yes",$H57,0)&lt;0,0,I57-IF(Setup!$I$15="Yes",$G57,0)-IF(Setup!$I$13="Yes",$H57,0))</f>
        <v>4984.4800195505322</v>
      </c>
      <c r="L57" s="5">
        <f t="shared" ca="1" si="3"/>
        <v>402.11538461538464</v>
      </c>
      <c r="M57" s="5">
        <f ca="1">(IF('Demand adjustments for Covid'!$F$9="No",E57,SUM('Demand background (hide)'!DS46,'Demand background (hide)'!DV46:DW46))*(1-'Parameters calculator (hide)'!$B$43))*(1-'Parameters calculator (hide)'!$B$44+('Parameters calculator (hide)'!$B$45*'Parameters calculator (hide)'!$B$47))</f>
        <v>14765</v>
      </c>
      <c r="N57" s="5">
        <f ca="1">(IF('Demand adjustments for Covid'!$F$9="No",F57,SUM('Demand background (hide)'!DT46,'Demand background (hide)'!DV46:DW46))*(1-'Parameters calculator (hide)'!$B$43))*(1-'Parameters calculator (hide)'!$B$44+('Parameters calculator (hide)'!$B$45*'Parameters calculator (hide)'!$B$47))</f>
        <v>15657.95</v>
      </c>
      <c r="P57" s="5">
        <f t="shared" ca="1" si="4"/>
        <v>5044.8076923076924</v>
      </c>
      <c r="Q57" s="5">
        <f t="shared" ca="1" si="5"/>
        <v>402.11538461538464</v>
      </c>
      <c r="R57" s="5">
        <f t="shared" ca="1" si="6"/>
        <v>4984.4800195505322</v>
      </c>
      <c r="S57" s="5">
        <f t="shared" ca="1" si="7"/>
        <v>402.11538461538464</v>
      </c>
      <c r="T57" s="5">
        <f ca="1">M57/IF(Summary!$C$8&lt;&gt;"Patients",1,$I$9)</f>
        <v>14765</v>
      </c>
      <c r="U57" s="5">
        <f ca="1">((N57-M57)/IF(Summary!$C$8&lt;&gt;"Patients",1,$I$9))</f>
        <v>892.95000000000073</v>
      </c>
      <c r="V57" s="5">
        <f t="shared" ca="1" si="8"/>
        <v>60.327672757160009</v>
      </c>
      <c r="X57" s="5">
        <f ca="1">(VLOOKUP(D57,'SPC background (hide)'!$AG$2:$AN$54,8,0)/IF(Summary!$C$8&lt;&gt;"Patients",1,$I$9))*(1-$I$4)*(1-$I$5+($I$6*$I$7))</f>
        <v>14486.884615384615</v>
      </c>
    </row>
    <row r="58" spans="1:24" x14ac:dyDescent="0.2">
      <c r="A58" s="87">
        <f t="shared" si="9"/>
        <v>44193</v>
      </c>
      <c r="B58" s="67" t="str">
        <f t="shared" si="11"/>
        <v/>
      </c>
      <c r="C58" s="67" t="str">
        <f t="shared" si="12"/>
        <v/>
      </c>
      <c r="D58" s="67">
        <f t="shared" si="10"/>
        <v>53</v>
      </c>
      <c r="E58" s="5">
        <f ca="1">IF(LEFT(Demand!$C$8,1)="H",VLOOKUP($D58,'SPC background (hide)'!$AG$2:$AS$54,12,0),'Demand background (hide)'!X47)</f>
        <v>14765</v>
      </c>
      <c r="F58" s="5">
        <f ca="1">IF(LEFT(Demand!$C$8,1)="H",VLOOKUP($D58,'SPC background (hide)'!$AG$2:$AS$54,13,0),E58*1.1)</f>
        <v>15657.95</v>
      </c>
      <c r="G58" s="5" t="str">
        <f>IF(Setup!$I$15="Yes",VLOOKUP(D58,'SPC background (hide)'!$AG$2:$AT$54,14,0)/IF(Summary!$C$8="Patients",'Summary Calculations (hide)'!$I$9,1),"")</f>
        <v/>
      </c>
      <c r="H58" s="67">
        <f ca="1">IF(Setup!$I$13="Yes",'Planned background (hide)'!$V$23/IF(Summary!$C$8="Patients",'Summary Calculations (hide)'!$I$9,1),"")</f>
        <v>60.327672757160009</v>
      </c>
      <c r="I58" s="5">
        <f ca="1">IFERROR(HLOOKUP(A58,'Capacity calculation (hide)'!$BK$1:$DK$4,4,0),Capacity!$I$15)</f>
        <v>5044.8076923076924</v>
      </c>
      <c r="J58" s="5">
        <f ca="1">HLOOKUP(D58,'Capacity calculation (hide)'!$BK$110:$DK$111,2,0)</f>
        <v>402.11538461538464</v>
      </c>
      <c r="K58" s="5">
        <f ca="1">IF(I58-IF(Setup!$I$15="Yes",$G58,0)-IF(Setup!$I$13="Yes",$H58,0)&lt;0,0,I58-IF(Setup!$I$15="Yes",$G58,0)-IF(Setup!$I$13="Yes",$H58,0))</f>
        <v>4984.4800195505322</v>
      </c>
      <c r="L58" s="5">
        <f t="shared" ca="1" si="3"/>
        <v>402.11538461538464</v>
      </c>
      <c r="M58" s="5">
        <f ca="1">(IF('Demand adjustments for Covid'!$F$9="No",E58,SUM('Demand background (hide)'!DS47,'Demand background (hide)'!DV47:DW47))*(1-'Parameters calculator (hide)'!$B$43))*(1-'Parameters calculator (hide)'!$B$44+('Parameters calculator (hide)'!$B$45*'Parameters calculator (hide)'!$B$47))</f>
        <v>14765</v>
      </c>
      <c r="N58" s="5">
        <f ca="1">(IF('Demand adjustments for Covid'!$F$9="No",F58,SUM('Demand background (hide)'!DT47,'Demand background (hide)'!DV47:DW47))*(1-'Parameters calculator (hide)'!$B$43))*(1-'Parameters calculator (hide)'!$B$44+('Parameters calculator (hide)'!$B$45*'Parameters calculator (hide)'!$B$47))</f>
        <v>15657.95</v>
      </c>
      <c r="P58" s="5">
        <f t="shared" ca="1" si="4"/>
        <v>5044.8076923076924</v>
      </c>
      <c r="Q58" s="5">
        <f t="shared" ca="1" si="5"/>
        <v>402.11538461538464</v>
      </c>
      <c r="R58" s="5">
        <f t="shared" ca="1" si="6"/>
        <v>4984.4800195505322</v>
      </c>
      <c r="S58" s="5">
        <f t="shared" ca="1" si="7"/>
        <v>402.11538461538464</v>
      </c>
      <c r="T58" s="5">
        <f ca="1">M58/IF(Summary!$C$8&lt;&gt;"Patients",1,$I$9)</f>
        <v>14765</v>
      </c>
      <c r="U58" s="5">
        <f ca="1">((N58-M58)/IF(Summary!$C$8&lt;&gt;"Patients",1,$I$9))</f>
        <v>892.95000000000073</v>
      </c>
      <c r="V58" s="5">
        <f t="shared" ca="1" si="8"/>
        <v>60.327672757160009</v>
      </c>
      <c r="X58" s="5">
        <f ca="1">(VLOOKUP(D58,'SPC background (hide)'!$AG$2:$AN$54,8,0)/IF(Summary!$C$8&lt;&gt;"Patients",1,$I$9))*(1-$I$4)*(1-$I$5+($I$6*$I$7))</f>
        <v>14486.884615384615</v>
      </c>
    </row>
    <row r="59" spans="1:24" x14ac:dyDescent="0.2">
      <c r="A59" s="87">
        <f t="shared" si="9"/>
        <v>44200</v>
      </c>
      <c r="B59" s="67">
        <f t="shared" si="11"/>
        <v>2021</v>
      </c>
      <c r="C59" s="67" t="str">
        <f t="shared" si="12"/>
        <v>Jan</v>
      </c>
      <c r="D59" s="67">
        <f t="shared" si="10"/>
        <v>1</v>
      </c>
      <c r="E59" s="5">
        <f ca="1">IF(LEFT(Demand!$C$8,1)="H",VLOOKUP($D59,'SPC background (hide)'!$AG$2:$AS$54,12,0),'Demand background (hide)'!X48)</f>
        <v>14765</v>
      </c>
      <c r="F59" s="5">
        <f ca="1">IF(LEFT(Demand!$C$8,1)="H",VLOOKUP($D59,'SPC background (hide)'!$AG$2:$AS$54,13,0),E59*1.1)</f>
        <v>15657.95</v>
      </c>
      <c r="G59" s="5" t="str">
        <f>IF(Setup!$I$15="Yes",VLOOKUP(D59,'SPC background (hide)'!$AG$2:$AT$54,14,0)/IF(Summary!$C$8="Patients",'Summary Calculations (hide)'!$I$9,1),"")</f>
        <v/>
      </c>
      <c r="H59" s="67">
        <f ca="1">IF(Setup!$I$13="Yes",'Planned background (hide)'!$V$23/IF(Summary!$C$8="Patients",'Summary Calculations (hide)'!$I$9,1),"")</f>
        <v>60.327672757160009</v>
      </c>
      <c r="I59" s="5">
        <f ca="1">IFERROR(HLOOKUP(A59,'Capacity calculation (hide)'!$BK$1:$DK$4,4,0),Capacity!$I$15)</f>
        <v>5044.8076923076924</v>
      </c>
      <c r="J59" s="5">
        <f ca="1">HLOOKUP(D59,'Capacity calculation (hide)'!$BK$110:$DK$111,2,0)</f>
        <v>402.11538461538464</v>
      </c>
      <c r="K59" s="5">
        <f ca="1">IF(I59-IF(Setup!$I$15="Yes",$G59,0)-IF(Setup!$I$13="Yes",$H59,0)&lt;0,0,I59-IF(Setup!$I$15="Yes",$G59,0)-IF(Setup!$I$13="Yes",$H59,0))</f>
        <v>4984.4800195505322</v>
      </c>
      <c r="L59" s="5">
        <f t="shared" ca="1" si="3"/>
        <v>402.11538461538464</v>
      </c>
      <c r="M59" s="5">
        <f ca="1">(IF('Demand adjustments for Covid'!$F$9="No",E59,SUM('Demand background (hide)'!DS48,'Demand background (hide)'!DV48:DW48))*(1-'Parameters calculator (hide)'!$B$43))*(1-'Parameters calculator (hide)'!$B$44+('Parameters calculator (hide)'!$B$45*'Parameters calculator (hide)'!$B$47))</f>
        <v>14765</v>
      </c>
      <c r="N59" s="5">
        <f ca="1">(IF('Demand adjustments for Covid'!$F$9="No",F59,SUM('Demand background (hide)'!DT48,'Demand background (hide)'!DV48:DW48))*(1-'Parameters calculator (hide)'!$B$43))*(1-'Parameters calculator (hide)'!$B$44+('Parameters calculator (hide)'!$B$45*'Parameters calculator (hide)'!$B$47))</f>
        <v>15657.95</v>
      </c>
      <c r="P59" s="5">
        <f t="shared" ca="1" si="4"/>
        <v>5044.8076923076924</v>
      </c>
      <c r="Q59" s="5">
        <f t="shared" ca="1" si="5"/>
        <v>402.11538461538464</v>
      </c>
      <c r="R59" s="5">
        <f t="shared" ca="1" si="6"/>
        <v>4984.4800195505322</v>
      </c>
      <c r="S59" s="5">
        <f t="shared" ca="1" si="7"/>
        <v>402.11538461538464</v>
      </c>
      <c r="T59" s="5">
        <f ca="1">M59/IF(Summary!$C$8&lt;&gt;"Patients",1,$I$9)</f>
        <v>14765</v>
      </c>
      <c r="U59" s="5">
        <f ca="1">((N59-M59)/IF(Summary!$C$8&lt;&gt;"Patients",1,$I$9))</f>
        <v>892.95000000000073</v>
      </c>
      <c r="V59" s="5">
        <f t="shared" ca="1" si="8"/>
        <v>60.327672757160009</v>
      </c>
      <c r="X59" s="5">
        <f ca="1">(VLOOKUP(D59,'SPC background (hide)'!$AG$2:$AN$54,8,0)/IF(Summary!$C$8&lt;&gt;"Patients",1,$I$9))*(1-$I$4)*(1-$I$5+($I$6*$I$7))</f>
        <v>14486.884615384615</v>
      </c>
    </row>
    <row r="60" spans="1:24" x14ac:dyDescent="0.2">
      <c r="A60" s="87">
        <f t="shared" si="9"/>
        <v>44207</v>
      </c>
      <c r="B60" s="67" t="str">
        <f t="shared" si="11"/>
        <v/>
      </c>
      <c r="C60" s="67" t="str">
        <f t="shared" si="12"/>
        <v/>
      </c>
      <c r="D60" s="67">
        <f t="shared" si="10"/>
        <v>2</v>
      </c>
      <c r="E60" s="5">
        <f ca="1">IF(LEFT(Demand!$C$8,1)="H",VLOOKUP($D60,'SPC background (hide)'!$AG$2:$AS$54,12,0),'Demand background (hide)'!X49)</f>
        <v>14765</v>
      </c>
      <c r="F60" s="5">
        <f ca="1">IF(LEFT(Demand!$C$8,1)="H",VLOOKUP($D60,'SPC background (hide)'!$AG$2:$AS$54,13,0),E60*1.1)</f>
        <v>15657.95</v>
      </c>
      <c r="G60" s="5" t="str">
        <f>IF(Setup!$I$15="Yes",VLOOKUP(D60,'SPC background (hide)'!$AG$2:$AT$54,14,0)/IF(Summary!$C$8="Patients",'Summary Calculations (hide)'!$I$9,1),"")</f>
        <v/>
      </c>
      <c r="H60" s="67">
        <f ca="1">IF(Setup!$I$13="Yes",'Planned background (hide)'!$V$23/IF(Summary!$C$8="Patients",'Summary Calculations (hide)'!$I$9,1),"")</f>
        <v>60.327672757160009</v>
      </c>
      <c r="I60" s="5">
        <f ca="1">IFERROR(HLOOKUP(A60,'Capacity calculation (hide)'!$BK$1:$DK$4,4,0),Capacity!$I$15)</f>
        <v>5044.8076923076924</v>
      </c>
      <c r="J60" s="5">
        <f ca="1">HLOOKUP(D60,'Capacity calculation (hide)'!$BK$110:$DK$111,2,0)</f>
        <v>402.11538461538464</v>
      </c>
      <c r="K60" s="5">
        <f ca="1">IF(I60-IF(Setup!$I$15="Yes",$G60,0)-IF(Setup!$I$13="Yes",$H60,0)&lt;0,0,I60-IF(Setup!$I$15="Yes",$G60,0)-IF(Setup!$I$13="Yes",$H60,0))</f>
        <v>4984.4800195505322</v>
      </c>
      <c r="L60" s="5">
        <f t="shared" ca="1" si="3"/>
        <v>402.11538461538464</v>
      </c>
      <c r="M60" s="5">
        <f ca="1">(IF('Demand adjustments for Covid'!$F$9="No",E60,SUM('Demand background (hide)'!DS49,'Demand background (hide)'!DV49:DW49))*(1-'Parameters calculator (hide)'!$B$43))*(1-'Parameters calculator (hide)'!$B$44+('Parameters calculator (hide)'!$B$45*'Parameters calculator (hide)'!$B$47))</f>
        <v>14765</v>
      </c>
      <c r="N60" s="5">
        <f ca="1">(IF('Demand adjustments for Covid'!$F$9="No",F60,SUM('Demand background (hide)'!DT49,'Demand background (hide)'!DV49:DW49))*(1-'Parameters calculator (hide)'!$B$43))*(1-'Parameters calculator (hide)'!$B$44+('Parameters calculator (hide)'!$B$45*'Parameters calculator (hide)'!$B$47))</f>
        <v>15657.95</v>
      </c>
      <c r="P60" s="5">
        <f t="shared" ca="1" si="4"/>
        <v>5044.8076923076924</v>
      </c>
      <c r="Q60" s="5">
        <f t="shared" ca="1" si="5"/>
        <v>402.11538461538464</v>
      </c>
      <c r="R60" s="5">
        <f t="shared" ca="1" si="6"/>
        <v>4984.4800195505322</v>
      </c>
      <c r="S60" s="5">
        <f t="shared" ca="1" si="7"/>
        <v>402.11538461538464</v>
      </c>
      <c r="T60" s="5">
        <f ca="1">M60/IF(Summary!$C$8&lt;&gt;"Patients",1,$I$9)</f>
        <v>14765</v>
      </c>
      <c r="U60" s="5">
        <f ca="1">((N60-M60)/IF(Summary!$C$8&lt;&gt;"Patients",1,$I$9))</f>
        <v>892.95000000000073</v>
      </c>
      <c r="V60" s="5">
        <f t="shared" ca="1" si="8"/>
        <v>60.327672757160009</v>
      </c>
      <c r="X60" s="5">
        <f ca="1">(VLOOKUP(D60,'SPC background (hide)'!$AG$2:$AN$54,8,0)/IF(Summary!$C$8&lt;&gt;"Patients",1,$I$9))*(1-$I$4)*(1-$I$5+($I$6*$I$7))</f>
        <v>14486.884615384615</v>
      </c>
    </row>
    <row r="61" spans="1:24" x14ac:dyDescent="0.2">
      <c r="A61" s="87">
        <f t="shared" si="9"/>
        <v>44214</v>
      </c>
      <c r="B61" s="67" t="str">
        <f t="shared" si="11"/>
        <v/>
      </c>
      <c r="C61" s="67" t="str">
        <f t="shared" si="12"/>
        <v/>
      </c>
      <c r="D61" s="67">
        <f t="shared" si="10"/>
        <v>3</v>
      </c>
      <c r="E61" s="5">
        <f ca="1">IF(LEFT(Demand!$C$8,1)="H",VLOOKUP($D61,'SPC background (hide)'!$AG$2:$AS$54,12,0),'Demand background (hide)'!X50)</f>
        <v>14765</v>
      </c>
      <c r="F61" s="5">
        <f ca="1">IF(LEFT(Demand!$C$8,1)="H",VLOOKUP($D61,'SPC background (hide)'!$AG$2:$AS$54,13,0),E61*1.1)</f>
        <v>15657.95</v>
      </c>
      <c r="G61" s="5" t="str">
        <f>IF(Setup!$I$15="Yes",VLOOKUP(D61,'SPC background (hide)'!$AG$2:$AT$54,14,0)/IF(Summary!$C$8="Patients",'Summary Calculations (hide)'!$I$9,1),"")</f>
        <v/>
      </c>
      <c r="H61" s="67">
        <f ca="1">IF(Setup!$I$13="Yes",'Planned background (hide)'!$V$23/IF(Summary!$C$8="Patients",'Summary Calculations (hide)'!$I$9,1),"")</f>
        <v>60.327672757160009</v>
      </c>
      <c r="I61" s="5">
        <f ca="1">IFERROR(HLOOKUP(A61,'Capacity calculation (hide)'!$BK$1:$DK$4,4,0),Capacity!$I$15)</f>
        <v>5044.8076923076924</v>
      </c>
      <c r="J61" s="5">
        <f ca="1">HLOOKUP(D61,'Capacity calculation (hide)'!$BK$110:$DK$111,2,0)</f>
        <v>402.11538461538464</v>
      </c>
      <c r="K61" s="5">
        <f ca="1">IF(I61-IF(Setup!$I$15="Yes",$G61,0)-IF(Setup!$I$13="Yes",$H61,0)&lt;0,0,I61-IF(Setup!$I$15="Yes",$G61,0)-IF(Setup!$I$13="Yes",$H61,0))</f>
        <v>4984.4800195505322</v>
      </c>
      <c r="L61" s="5">
        <f t="shared" ca="1" si="3"/>
        <v>402.11538461538464</v>
      </c>
      <c r="M61" s="5">
        <f ca="1">(IF('Demand adjustments for Covid'!$F$9="No",E61,SUM('Demand background (hide)'!DS50,'Demand background (hide)'!DV50:DW50))*(1-'Parameters calculator (hide)'!$B$43))*(1-'Parameters calculator (hide)'!$B$44+('Parameters calculator (hide)'!$B$45*'Parameters calculator (hide)'!$B$47))</f>
        <v>14765</v>
      </c>
      <c r="N61" s="5">
        <f ca="1">(IF('Demand adjustments for Covid'!$F$9="No",F61,SUM('Demand background (hide)'!DT50,'Demand background (hide)'!DV50:DW50))*(1-'Parameters calculator (hide)'!$B$43))*(1-'Parameters calculator (hide)'!$B$44+('Parameters calculator (hide)'!$B$45*'Parameters calculator (hide)'!$B$47))</f>
        <v>15657.95</v>
      </c>
      <c r="P61" s="5">
        <f t="shared" ca="1" si="4"/>
        <v>5044.8076923076924</v>
      </c>
      <c r="Q61" s="5">
        <f t="shared" ca="1" si="5"/>
        <v>402.11538461538464</v>
      </c>
      <c r="R61" s="5">
        <f t="shared" ca="1" si="6"/>
        <v>4984.4800195505322</v>
      </c>
      <c r="S61" s="5">
        <f t="shared" ca="1" si="7"/>
        <v>402.11538461538464</v>
      </c>
      <c r="T61" s="5">
        <f ca="1">M61/IF(Summary!$C$8&lt;&gt;"Patients",1,$I$9)</f>
        <v>14765</v>
      </c>
      <c r="U61" s="5">
        <f ca="1">((N61-M61)/IF(Summary!$C$8&lt;&gt;"Patients",1,$I$9))</f>
        <v>892.95000000000073</v>
      </c>
      <c r="V61" s="5">
        <f t="shared" ca="1" si="8"/>
        <v>60.327672757160009</v>
      </c>
      <c r="X61" s="5">
        <f ca="1">(VLOOKUP(D61,'SPC background (hide)'!$AG$2:$AN$54,8,0)/IF(Summary!$C$8&lt;&gt;"Patients",1,$I$9))*(1-$I$4)*(1-$I$5+($I$6*$I$7))</f>
        <v>14486.884615384615</v>
      </c>
    </row>
    <row r="62" spans="1:24" x14ac:dyDescent="0.2">
      <c r="A62" s="87">
        <f t="shared" si="9"/>
        <v>44221</v>
      </c>
      <c r="B62" s="67" t="str">
        <f t="shared" si="11"/>
        <v/>
      </c>
      <c r="C62" s="67" t="str">
        <f t="shared" si="12"/>
        <v/>
      </c>
      <c r="D62" s="67">
        <f t="shared" si="10"/>
        <v>4</v>
      </c>
      <c r="E62" s="5">
        <f ca="1">IF(LEFT(Demand!$C$8,1)="H",VLOOKUP($D62,'SPC background (hide)'!$AG$2:$AS$54,12,0),'Demand background (hide)'!X51)</f>
        <v>14765</v>
      </c>
      <c r="F62" s="5">
        <f ca="1">IF(LEFT(Demand!$C$8,1)="H",VLOOKUP($D62,'SPC background (hide)'!$AG$2:$AS$54,13,0),E62*1.1)</f>
        <v>15657.95</v>
      </c>
      <c r="G62" s="5" t="str">
        <f>IF(Setup!$I$15="Yes",VLOOKUP(D62,'SPC background (hide)'!$AG$2:$AT$54,14,0)/IF(Summary!$C$8="Patients",'Summary Calculations (hide)'!$I$9,1),"")</f>
        <v/>
      </c>
      <c r="H62" s="67">
        <f ca="1">IF(Setup!$I$13="Yes",'Planned background (hide)'!$V$23/IF(Summary!$C$8="Patients",'Summary Calculations (hide)'!$I$9,1),"")</f>
        <v>60.327672757160009</v>
      </c>
      <c r="I62" s="5">
        <f ca="1">IFERROR(HLOOKUP(A62,'Capacity calculation (hide)'!$BK$1:$DK$4,4,0),Capacity!$I$15)</f>
        <v>5044.8076923076924</v>
      </c>
      <c r="J62" s="5">
        <f ca="1">HLOOKUP(D62,'Capacity calculation (hide)'!$BK$110:$DK$111,2,0)</f>
        <v>402.11538461538464</v>
      </c>
      <c r="K62" s="5">
        <f ca="1">IF(I62-IF(Setup!$I$15="Yes",$G62,0)-IF(Setup!$I$13="Yes",$H62,0)&lt;0,0,I62-IF(Setup!$I$15="Yes",$G62,0)-IF(Setup!$I$13="Yes",$H62,0))</f>
        <v>4984.4800195505322</v>
      </c>
      <c r="L62" s="5">
        <f t="shared" ca="1" si="3"/>
        <v>402.11538461538464</v>
      </c>
      <c r="M62" s="5">
        <f ca="1">(IF('Demand adjustments for Covid'!$F$9="No",E62,SUM('Demand background (hide)'!DS51,'Demand background (hide)'!DV51:DW51))*(1-'Parameters calculator (hide)'!$B$43))*(1-'Parameters calculator (hide)'!$B$44+('Parameters calculator (hide)'!$B$45*'Parameters calculator (hide)'!$B$47))</f>
        <v>14765</v>
      </c>
      <c r="N62" s="5">
        <f ca="1">(IF('Demand adjustments for Covid'!$F$9="No",F62,SUM('Demand background (hide)'!DT51,'Demand background (hide)'!DV51:DW51))*(1-'Parameters calculator (hide)'!$B$43))*(1-'Parameters calculator (hide)'!$B$44+('Parameters calculator (hide)'!$B$45*'Parameters calculator (hide)'!$B$47))</f>
        <v>15657.95</v>
      </c>
      <c r="P62" s="5">
        <f t="shared" ca="1" si="4"/>
        <v>5044.8076923076924</v>
      </c>
      <c r="Q62" s="5">
        <f t="shared" ca="1" si="5"/>
        <v>402.11538461538464</v>
      </c>
      <c r="R62" s="5">
        <f t="shared" ca="1" si="6"/>
        <v>4984.4800195505322</v>
      </c>
      <c r="S62" s="5">
        <f t="shared" ca="1" si="7"/>
        <v>402.11538461538464</v>
      </c>
      <c r="T62" s="5">
        <f ca="1">M62/IF(Summary!$C$8&lt;&gt;"Patients",1,$I$9)</f>
        <v>14765</v>
      </c>
      <c r="U62" s="5">
        <f ca="1">((N62-M62)/IF(Summary!$C$8&lt;&gt;"Patients",1,$I$9))</f>
        <v>892.95000000000073</v>
      </c>
      <c r="V62" s="5">
        <f t="shared" ca="1" si="8"/>
        <v>60.327672757160009</v>
      </c>
      <c r="X62" s="5">
        <f ca="1">(VLOOKUP(D62,'SPC background (hide)'!$AG$2:$AN$54,8,0)/IF(Summary!$C$8&lt;&gt;"Patients",1,$I$9))*(1-$I$4)*(1-$I$5+($I$6*$I$7))</f>
        <v>14486.884615384615</v>
      </c>
    </row>
    <row r="63" spans="1:24" x14ac:dyDescent="0.2">
      <c r="A63" s="87">
        <f t="shared" si="9"/>
        <v>44228</v>
      </c>
      <c r="B63" s="67" t="str">
        <f t="shared" si="11"/>
        <v/>
      </c>
      <c r="C63" s="67" t="str">
        <f t="shared" si="12"/>
        <v>Feb</v>
      </c>
      <c r="D63" s="67">
        <f t="shared" si="10"/>
        <v>5</v>
      </c>
      <c r="E63" s="5">
        <f ca="1">IF(LEFT(Demand!$C$8,1)="H",VLOOKUP($D63,'SPC background (hide)'!$AG$2:$AS$54,12,0),'Demand background (hide)'!X52)</f>
        <v>14765</v>
      </c>
      <c r="F63" s="5">
        <f ca="1">IF(LEFT(Demand!$C$8,1)="H",VLOOKUP($D63,'SPC background (hide)'!$AG$2:$AS$54,13,0),E63*1.1)</f>
        <v>15657.95</v>
      </c>
      <c r="G63" s="5" t="str">
        <f>IF(Setup!$I$15="Yes",VLOOKUP(D63,'SPC background (hide)'!$AG$2:$AT$54,14,0)/IF(Summary!$C$8="Patients",'Summary Calculations (hide)'!$I$9,1),"")</f>
        <v/>
      </c>
      <c r="H63" s="67">
        <f ca="1">IF(Setup!$I$13="Yes",'Planned background (hide)'!$V$23/IF(Summary!$C$8="Patients",'Summary Calculations (hide)'!$I$9,1),"")</f>
        <v>60.327672757160009</v>
      </c>
      <c r="I63" s="5">
        <f ca="1">IFERROR(HLOOKUP(A63,'Capacity calculation (hide)'!$BK$1:$DK$4,4,0),Capacity!$I$15)</f>
        <v>5044.8076923076924</v>
      </c>
      <c r="J63" s="5">
        <f ca="1">HLOOKUP(D63,'Capacity calculation (hide)'!$BK$110:$DK$111,2,0)</f>
        <v>402.11538461538464</v>
      </c>
      <c r="K63" s="5">
        <f ca="1">IF(I63-IF(Setup!$I$15="Yes",$G63,0)-IF(Setup!$I$13="Yes",$H63,0)&lt;0,0,I63-IF(Setup!$I$15="Yes",$G63,0)-IF(Setup!$I$13="Yes",$H63,0))</f>
        <v>4984.4800195505322</v>
      </c>
      <c r="L63" s="5">
        <f t="shared" ca="1" si="3"/>
        <v>402.11538461538464</v>
      </c>
      <c r="M63" s="5">
        <f ca="1">(IF('Demand adjustments for Covid'!$F$9="No",E63,SUM('Demand background (hide)'!DS52,'Demand background (hide)'!DV52:DW52))*(1-'Parameters calculator (hide)'!$B$43))*(1-'Parameters calculator (hide)'!$B$44+('Parameters calculator (hide)'!$B$45*'Parameters calculator (hide)'!$B$47))</f>
        <v>14765</v>
      </c>
      <c r="N63" s="5">
        <f ca="1">(IF('Demand adjustments for Covid'!$F$9="No",F63,SUM('Demand background (hide)'!DT52,'Demand background (hide)'!DV52:DW52))*(1-'Parameters calculator (hide)'!$B$43))*(1-'Parameters calculator (hide)'!$B$44+('Parameters calculator (hide)'!$B$45*'Parameters calculator (hide)'!$B$47))</f>
        <v>15657.95</v>
      </c>
      <c r="P63" s="5">
        <f t="shared" ca="1" si="4"/>
        <v>5044.8076923076924</v>
      </c>
      <c r="Q63" s="5">
        <f t="shared" ca="1" si="5"/>
        <v>402.11538461538464</v>
      </c>
      <c r="R63" s="5">
        <f t="shared" ca="1" si="6"/>
        <v>4984.4800195505322</v>
      </c>
      <c r="S63" s="5">
        <f t="shared" ca="1" si="7"/>
        <v>402.11538461538464</v>
      </c>
      <c r="T63" s="5">
        <f ca="1">M63/IF(Summary!$C$8&lt;&gt;"Patients",1,$I$9)</f>
        <v>14765</v>
      </c>
      <c r="U63" s="5">
        <f ca="1">((N63-M63)/IF(Summary!$C$8&lt;&gt;"Patients",1,$I$9))</f>
        <v>892.95000000000073</v>
      </c>
      <c r="V63" s="5">
        <f t="shared" ca="1" si="8"/>
        <v>60.327672757160009</v>
      </c>
      <c r="X63" s="5">
        <f ca="1">(VLOOKUP(D63,'SPC background (hide)'!$AG$2:$AN$54,8,0)/IF(Summary!$C$8&lt;&gt;"Patients",1,$I$9))*(1-$I$4)*(1-$I$5+($I$6*$I$7))</f>
        <v>14486.884615384615</v>
      </c>
    </row>
    <row r="64" spans="1:24" x14ac:dyDescent="0.2">
      <c r="A64" s="87">
        <f t="shared" si="9"/>
        <v>44235</v>
      </c>
      <c r="B64" s="67" t="str">
        <f t="shared" si="11"/>
        <v/>
      </c>
      <c r="C64" s="67" t="str">
        <f t="shared" si="12"/>
        <v/>
      </c>
      <c r="D64" s="67">
        <f t="shared" si="10"/>
        <v>6</v>
      </c>
      <c r="E64" s="5">
        <f ca="1">IF(LEFT(Demand!$C$8,1)="H",VLOOKUP($D64,'SPC background (hide)'!$AG$2:$AS$54,12,0),'Demand background (hide)'!X53)</f>
        <v>14765</v>
      </c>
      <c r="F64" s="5">
        <f ca="1">IF(LEFT(Demand!$C$8,1)="H",VLOOKUP($D64,'SPC background (hide)'!$AG$2:$AS$54,13,0),E64*1.1)</f>
        <v>15657.95</v>
      </c>
      <c r="G64" s="5" t="str">
        <f>IF(Setup!$I$15="Yes",VLOOKUP(D64,'SPC background (hide)'!$AG$2:$AT$54,14,0)/IF(Summary!$C$8="Patients",'Summary Calculations (hide)'!$I$9,1),"")</f>
        <v/>
      </c>
      <c r="H64" s="67">
        <f ca="1">IF(Setup!$I$13="Yes",'Planned background (hide)'!$V$23/IF(Summary!$C$8="Patients",'Summary Calculations (hide)'!$I$9,1),"")</f>
        <v>60.327672757160009</v>
      </c>
      <c r="I64" s="5">
        <f ca="1">IFERROR(HLOOKUP(A64,'Capacity calculation (hide)'!$BK$1:$DK$4,4,0),Capacity!$I$15)</f>
        <v>5044.8076923076924</v>
      </c>
      <c r="J64" s="5">
        <f ca="1">HLOOKUP(D64,'Capacity calculation (hide)'!$BK$110:$DK$111,2,0)</f>
        <v>402.11538461538464</v>
      </c>
      <c r="K64" s="5">
        <f ca="1">IF(I64-IF(Setup!$I$15="Yes",$G64,0)-IF(Setup!$I$13="Yes",$H64,0)&lt;0,0,I64-IF(Setup!$I$15="Yes",$G64,0)-IF(Setup!$I$13="Yes",$H64,0))</f>
        <v>4984.4800195505322</v>
      </c>
      <c r="L64" s="5">
        <f t="shared" ca="1" si="3"/>
        <v>402.11538461538464</v>
      </c>
      <c r="M64" s="5">
        <f ca="1">(IF('Demand adjustments for Covid'!$F$9="No",E64,SUM('Demand background (hide)'!DS53,'Demand background (hide)'!DV53:DW53))*(1-'Parameters calculator (hide)'!$B$43))*(1-'Parameters calculator (hide)'!$B$44+('Parameters calculator (hide)'!$B$45*'Parameters calculator (hide)'!$B$47))</f>
        <v>14765</v>
      </c>
      <c r="N64" s="5">
        <f ca="1">(IF('Demand adjustments for Covid'!$F$9="No",F64,SUM('Demand background (hide)'!DT53,'Demand background (hide)'!DV53:DW53))*(1-'Parameters calculator (hide)'!$B$43))*(1-'Parameters calculator (hide)'!$B$44+('Parameters calculator (hide)'!$B$45*'Parameters calculator (hide)'!$B$47))</f>
        <v>15657.95</v>
      </c>
      <c r="P64" s="5">
        <f t="shared" ca="1" si="4"/>
        <v>5044.8076923076924</v>
      </c>
      <c r="Q64" s="5">
        <f t="shared" ca="1" si="5"/>
        <v>402.11538461538464</v>
      </c>
      <c r="R64" s="5">
        <f t="shared" ca="1" si="6"/>
        <v>4984.4800195505322</v>
      </c>
      <c r="S64" s="5">
        <f t="shared" ca="1" si="7"/>
        <v>402.11538461538464</v>
      </c>
      <c r="T64" s="5">
        <f ca="1">M64/IF(Summary!$C$8&lt;&gt;"Patients",1,$I$9)</f>
        <v>14765</v>
      </c>
      <c r="U64" s="5">
        <f ca="1">((N64-M64)/IF(Summary!$C$8&lt;&gt;"Patients",1,$I$9))</f>
        <v>892.95000000000073</v>
      </c>
      <c r="V64" s="5">
        <f t="shared" ca="1" si="8"/>
        <v>60.327672757160009</v>
      </c>
      <c r="X64" s="5">
        <f ca="1">(VLOOKUP(D64,'SPC background (hide)'!$AG$2:$AN$54,8,0)/IF(Summary!$C$8&lt;&gt;"Patients",1,$I$9))*(1-$I$4)*(1-$I$5+($I$6*$I$7))</f>
        <v>14486.884615384615</v>
      </c>
    </row>
    <row r="65" spans="1:24" x14ac:dyDescent="0.2">
      <c r="A65" s="87">
        <f t="shared" si="9"/>
        <v>44242</v>
      </c>
      <c r="B65" s="67" t="str">
        <f t="shared" si="11"/>
        <v/>
      </c>
      <c r="C65" s="67" t="str">
        <f t="shared" si="12"/>
        <v/>
      </c>
      <c r="D65" s="67">
        <f t="shared" si="10"/>
        <v>7</v>
      </c>
      <c r="E65" s="5">
        <f ca="1">IF(LEFT(Demand!$C$8,1)="H",VLOOKUP($D65,'SPC background (hide)'!$AG$2:$AS$54,12,0),'Demand background (hide)'!X54)</f>
        <v>14765</v>
      </c>
      <c r="F65" s="5">
        <f ca="1">IF(LEFT(Demand!$C$8,1)="H",VLOOKUP($D65,'SPC background (hide)'!$AG$2:$AS$54,13,0),E65*1.1)</f>
        <v>15657.95</v>
      </c>
      <c r="G65" s="5" t="str">
        <f>IF(Setup!$I$15="Yes",VLOOKUP(D65,'SPC background (hide)'!$AG$2:$AT$54,14,0)/IF(Summary!$C$8="Patients",'Summary Calculations (hide)'!$I$9,1),"")</f>
        <v/>
      </c>
      <c r="H65" s="67">
        <f ca="1">IF(Setup!$I$13="Yes",'Planned background (hide)'!$V$23/IF(Summary!$C$8="Patients",'Summary Calculations (hide)'!$I$9,1),"")</f>
        <v>60.327672757160009</v>
      </c>
      <c r="I65" s="5">
        <f ca="1">IFERROR(HLOOKUP(A65,'Capacity calculation (hide)'!$BK$1:$DK$4,4,0),Capacity!$I$15)</f>
        <v>5044.8076923076924</v>
      </c>
      <c r="J65" s="5">
        <f ca="1">HLOOKUP(D65,'Capacity calculation (hide)'!$BK$110:$DK$111,2,0)</f>
        <v>402.11538461538464</v>
      </c>
      <c r="K65" s="5">
        <f ca="1">IF(I65-IF(Setup!$I$15="Yes",$G65,0)-IF(Setup!$I$13="Yes",$H65,0)&lt;0,0,I65-IF(Setup!$I$15="Yes",$G65,0)-IF(Setup!$I$13="Yes",$H65,0))</f>
        <v>4984.4800195505322</v>
      </c>
      <c r="L65" s="5">
        <f t="shared" ca="1" si="3"/>
        <v>402.11538461538464</v>
      </c>
      <c r="M65" s="5">
        <f ca="1">(IF('Demand adjustments for Covid'!$F$9="No",E65,SUM('Demand background (hide)'!DS54,'Demand background (hide)'!DV54:DW54))*(1-'Parameters calculator (hide)'!$B$43))*(1-'Parameters calculator (hide)'!$B$44+('Parameters calculator (hide)'!$B$45*'Parameters calculator (hide)'!$B$47))</f>
        <v>14765</v>
      </c>
      <c r="N65" s="5">
        <f ca="1">(IF('Demand adjustments for Covid'!$F$9="No",F65,SUM('Demand background (hide)'!DT54,'Demand background (hide)'!DV54:DW54))*(1-'Parameters calculator (hide)'!$B$43))*(1-'Parameters calculator (hide)'!$B$44+('Parameters calculator (hide)'!$B$45*'Parameters calculator (hide)'!$B$47))</f>
        <v>15657.95</v>
      </c>
      <c r="P65" s="5">
        <f t="shared" ca="1" si="4"/>
        <v>5044.8076923076924</v>
      </c>
      <c r="Q65" s="5">
        <f t="shared" ca="1" si="5"/>
        <v>402.11538461538464</v>
      </c>
      <c r="R65" s="5">
        <f t="shared" ca="1" si="6"/>
        <v>4984.4800195505322</v>
      </c>
      <c r="S65" s="5">
        <f t="shared" ca="1" si="7"/>
        <v>402.11538461538464</v>
      </c>
      <c r="T65" s="5">
        <f ca="1">M65/IF(Summary!$C$8&lt;&gt;"Patients",1,$I$9)</f>
        <v>14765</v>
      </c>
      <c r="U65" s="5">
        <f ca="1">((N65-M65)/IF(Summary!$C$8&lt;&gt;"Patients",1,$I$9))</f>
        <v>892.95000000000073</v>
      </c>
      <c r="V65" s="5">
        <f t="shared" ca="1" si="8"/>
        <v>60.327672757160009</v>
      </c>
      <c r="X65" s="5">
        <f ca="1">(VLOOKUP(D65,'SPC background (hide)'!$AG$2:$AN$54,8,0)/IF(Summary!$C$8&lt;&gt;"Patients",1,$I$9))*(1-$I$4)*(1-$I$5+($I$6*$I$7))</f>
        <v>14486.884615384615</v>
      </c>
    </row>
    <row r="66" spans="1:24" x14ac:dyDescent="0.2">
      <c r="A66" s="87">
        <f t="shared" si="9"/>
        <v>44249</v>
      </c>
      <c r="B66" s="67" t="str">
        <f t="shared" si="11"/>
        <v/>
      </c>
      <c r="C66" s="67" t="str">
        <f t="shared" si="12"/>
        <v/>
      </c>
      <c r="D66" s="67">
        <f t="shared" si="10"/>
        <v>8</v>
      </c>
      <c r="E66" s="5">
        <f ca="1">IF(LEFT(Demand!$C$8,1)="H",VLOOKUP($D66,'SPC background (hide)'!$AG$2:$AS$54,12,0),'Demand background (hide)'!X55)</f>
        <v>14765</v>
      </c>
      <c r="F66" s="5">
        <f ca="1">IF(LEFT(Demand!$C$8,1)="H",VLOOKUP($D66,'SPC background (hide)'!$AG$2:$AS$54,13,0),E66*1.1)</f>
        <v>15657.95</v>
      </c>
      <c r="G66" s="5" t="str">
        <f>IF(Setup!$I$15="Yes",VLOOKUP(D66,'SPC background (hide)'!$AG$2:$AT$54,14,0)/IF(Summary!$C$8="Patients",'Summary Calculations (hide)'!$I$9,1),"")</f>
        <v/>
      </c>
      <c r="H66" s="67">
        <f ca="1">IF(Setup!$I$13="Yes",'Planned background (hide)'!$V$23/IF(Summary!$C$8="Patients",'Summary Calculations (hide)'!$I$9,1),"")</f>
        <v>60.327672757160009</v>
      </c>
      <c r="I66" s="5">
        <f ca="1">IFERROR(HLOOKUP(A66,'Capacity calculation (hide)'!$BK$1:$DK$4,4,0),Capacity!$I$15)</f>
        <v>5044.8076923076924</v>
      </c>
      <c r="J66" s="5">
        <f ca="1">HLOOKUP(D66,'Capacity calculation (hide)'!$BK$110:$DK$111,2,0)</f>
        <v>402.11538461538464</v>
      </c>
      <c r="K66" s="5">
        <f ca="1">IF(I66-IF(Setup!$I$15="Yes",$G66,0)-IF(Setup!$I$13="Yes",$H66,0)&lt;0,0,I66-IF(Setup!$I$15="Yes",$G66,0)-IF(Setup!$I$13="Yes",$H66,0))</f>
        <v>4984.4800195505322</v>
      </c>
      <c r="L66" s="5">
        <f t="shared" ca="1" si="3"/>
        <v>402.11538461538464</v>
      </c>
      <c r="M66" s="5">
        <f ca="1">(IF('Demand adjustments for Covid'!$F$9="No",E66,SUM('Demand background (hide)'!DS55,'Demand background (hide)'!DV55:DW55))*(1-'Parameters calculator (hide)'!$B$43))*(1-'Parameters calculator (hide)'!$B$44+('Parameters calculator (hide)'!$B$45*'Parameters calculator (hide)'!$B$47))</f>
        <v>14765</v>
      </c>
      <c r="N66" s="5">
        <f ca="1">(IF('Demand adjustments for Covid'!$F$9="No",F66,SUM('Demand background (hide)'!DT55,'Demand background (hide)'!DV55:DW55))*(1-'Parameters calculator (hide)'!$B$43))*(1-'Parameters calculator (hide)'!$B$44+('Parameters calculator (hide)'!$B$45*'Parameters calculator (hide)'!$B$47))</f>
        <v>15657.95</v>
      </c>
      <c r="P66" s="5">
        <f t="shared" ca="1" si="4"/>
        <v>5044.8076923076924</v>
      </c>
      <c r="Q66" s="5">
        <f t="shared" ca="1" si="5"/>
        <v>402.11538461538464</v>
      </c>
      <c r="R66" s="5">
        <f t="shared" ca="1" si="6"/>
        <v>4984.4800195505322</v>
      </c>
      <c r="S66" s="5">
        <f t="shared" ca="1" si="7"/>
        <v>402.11538461538464</v>
      </c>
      <c r="T66" s="5">
        <f ca="1">M66/IF(Summary!$C$8&lt;&gt;"Patients",1,$I$9)</f>
        <v>14765</v>
      </c>
      <c r="U66" s="5">
        <f ca="1">((N66-M66)/IF(Summary!$C$8&lt;&gt;"Patients",1,$I$9))</f>
        <v>892.95000000000073</v>
      </c>
      <c r="V66" s="5">
        <f t="shared" ca="1" si="8"/>
        <v>60.327672757160009</v>
      </c>
      <c r="X66" s="5">
        <f ca="1">(VLOOKUP(D66,'SPC background (hide)'!$AG$2:$AN$54,8,0)/IF(Summary!$C$8&lt;&gt;"Patients",1,$I$9))*(1-$I$4)*(1-$I$5+($I$6*$I$7))</f>
        <v>14486.884615384615</v>
      </c>
    </row>
    <row r="67" spans="1:24" x14ac:dyDescent="0.2">
      <c r="A67" s="297">
        <f t="shared" si="9"/>
        <v>44256</v>
      </c>
      <c r="B67" s="67" t="str">
        <f t="shared" si="11"/>
        <v/>
      </c>
      <c r="C67" s="67" t="str">
        <f t="shared" si="12"/>
        <v>Mar</v>
      </c>
      <c r="D67" s="59">
        <f>IF(MAX(D15:D66)=53,WEEKNUM(A67,21),53)</f>
        <v>9</v>
      </c>
      <c r="E67" s="5">
        <f ca="1">VLOOKUP($D67,'SPC background (hide)'!$AG$2:$AS$54,12,0)</f>
        <v>14765</v>
      </c>
      <c r="F67" s="5">
        <f ca="1">VLOOKUP($D67,'SPC background (hide)'!$AG$2:$AS$54,13,0)</f>
        <v>15657.95</v>
      </c>
      <c r="G67" s="5" t="str">
        <f>IF(Setup!$I$15="Yes",VLOOKUP(D67,'SPC background (hide)'!$AG$2:$AT$54,14,0)/IF(Summary!$C$8="Patients",'Summary Calculations (hide)'!$I$9,1),"")</f>
        <v/>
      </c>
      <c r="H67" s="67">
        <f ca="1">IF(Setup!$I$13="Yes",'Planned background (hide)'!$V$23/IF(Summary!$C$8="Patients",'Summary Calculations (hide)'!$I$9,1),"")</f>
        <v>60.327672757160009</v>
      </c>
      <c r="I67" s="5">
        <f ca="1">IFERROR(HLOOKUP(A67,'Capacity calculation (hide)'!$BK$1:$DK$4,4,0),Capacity!$I$15)</f>
        <v>5044.8076923076924</v>
      </c>
      <c r="J67" s="5">
        <f ca="1">HLOOKUP(D67,'Capacity calculation (hide)'!$BK$110:$DK$111,2,0)</f>
        <v>402.11538461538464</v>
      </c>
      <c r="K67" s="5">
        <f ca="1">IF(I67-IF(Setup!$I$15="Yes",$G67,0)-IF(Setup!$I$13="Yes",$H67,0)&lt;0,0,I67-IF(Setup!$I$15="Yes",$G67,0)-IF(Setup!$I$13="Yes",$H67,0))</f>
        <v>4984.4800195505322</v>
      </c>
      <c r="L67" s="5">
        <f t="shared" ref="L67" ca="1" si="13">J67</f>
        <v>402.11538461538464</v>
      </c>
      <c r="M67" s="5">
        <f ca="1">(IF('Demand adjustments for Covid'!$F$9="No",E67,SUM('Demand background (hide)'!DS56,'Demand background (hide)'!DV56:DW56))*(1-'Parameters calculator (hide)'!$B$43))*(1-'Parameters calculator (hide)'!$B$44+('Parameters calculator (hide)'!$B$45*'Parameters calculator (hide)'!$B$47))</f>
        <v>14765</v>
      </c>
      <c r="N67" s="5">
        <f ca="1">(IF('Demand adjustments for Covid'!$F$9="No",F67,SUM('Demand background (hide)'!DT56,'Demand background (hide)'!DV56:DW56))*(1-'Parameters calculator (hide)'!$B$43))*(1-'Parameters calculator (hide)'!$B$44+('Parameters calculator (hide)'!$B$45*'Parameters calculator (hide)'!$B$47))</f>
        <v>15657.95</v>
      </c>
      <c r="O67" s="67"/>
      <c r="P67" s="5">
        <f t="shared" ref="P67" ca="1" si="14">I67</f>
        <v>5044.8076923076924</v>
      </c>
      <c r="Q67" s="5">
        <f t="shared" ref="Q67" ca="1" si="15">J67</f>
        <v>402.11538461538464</v>
      </c>
      <c r="R67" s="5">
        <f t="shared" ref="R67" ca="1" si="16">IF(P67-V67&lt;0,0,P67-V67)</f>
        <v>4984.4800195505322</v>
      </c>
      <c r="S67" s="5">
        <f t="shared" ref="S67" ca="1" si="17">IF(R67=0,IF(P67+Q67-V67&lt;0,0,P67+Q67-V67),Q67)</f>
        <v>402.11538461538464</v>
      </c>
      <c r="T67" s="5">
        <f ca="1">M67/IF(Summary!$C$8&lt;&gt;"Patients",1,$I$9)</f>
        <v>14765</v>
      </c>
      <c r="U67" s="5">
        <f ca="1">((N67-M67)/IF(Summary!$C$8&lt;&gt;"Patients",1,$I$9))</f>
        <v>892.95000000000073</v>
      </c>
      <c r="V67" s="5">
        <f t="shared" ref="V67" ca="1" si="18">SUM(G67:H67)</f>
        <v>60.327672757160009</v>
      </c>
      <c r="W67" s="67"/>
      <c r="X67" s="5">
        <f ca="1">(VLOOKUP(D67,'SPC background (hide)'!$AG$2:$AN$54,8,0)/IF(Summary!$C$8&lt;&gt;"Patients",1,$I$9))*(1-$I$4)*(1-$I$5+($I$6*$I$7))</f>
        <v>14486.884615384615</v>
      </c>
    </row>
    <row r="68" spans="1:24" s="67" customFormat="1" x14ac:dyDescent="0.2">
      <c r="X68" s="5"/>
    </row>
    <row r="69" spans="1:24" x14ac:dyDescent="0.2">
      <c r="X69" s="5"/>
    </row>
    <row r="70" spans="1:24" x14ac:dyDescent="0.2">
      <c r="D70" t="s">
        <v>290</v>
      </c>
      <c r="E70" s="5">
        <f ca="1">AVERAGE(E15:E67)</f>
        <v>14765</v>
      </c>
      <c r="F70" s="5">
        <f ca="1">AVERAGE(F15:F67)</f>
        <v>15657.949999999988</v>
      </c>
      <c r="G70" s="5" t="str">
        <f>IF(Setup!$I$15="Yes",AVERAGE(G15:G67),"")</f>
        <v/>
      </c>
      <c r="H70" s="5">
        <f ca="1">IF(Setup!$I$13="Yes",AVERAGE(H15:H67),"")</f>
        <v>60.32767275716003</v>
      </c>
      <c r="I70" s="5">
        <f ca="1">AVERAGE(I15:I67)</f>
        <v>5044.8076923076896</v>
      </c>
      <c r="J70" s="5">
        <f ca="1">AVERAGE(J15:J67)</f>
        <v>402.1153846153843</v>
      </c>
      <c r="K70" s="5">
        <f ca="1">AVERAGE(K15:K67)</f>
        <v>4984.4800195505359</v>
      </c>
      <c r="L70" s="5">
        <f ca="1">AVERAGE(L15:L67)</f>
        <v>402.1153846153843</v>
      </c>
      <c r="M70" s="104">
        <f ca="1">IF(Summary!B15=0,AVERAGE(M15:M67)/IF(Summary!$C$8&lt;&gt;"Patients",1,$I$9),AVERAGE('Planning (hide)'!C4:C55))</f>
        <v>14765</v>
      </c>
      <c r="N70" s="104" cm="1">
        <f t="array" aca="1" ref="N70" ca="1">IF(Summary!B15=0,AVERAGE(N15:N67)/IF(Summary!$C$8&lt;&gt;"Patients",1,$I$9),AVERAGE('Planning (hide)'!C4:C55+'Planning (hide)'!D4:D55))</f>
        <v>15657.949999999988</v>
      </c>
      <c r="R70" s="5">
        <f ca="1">AVERAGE(R15:R67)</f>
        <v>4984.4800195505359</v>
      </c>
      <c r="S70" s="5">
        <f ca="1">AVERAGE(S15:S67)</f>
        <v>402.1153846153843</v>
      </c>
      <c r="V70" s="104">
        <f ca="1">IF(AND(Setup!$I$13="No",Setup!$I$15="No"),0,IF(H70&lt;&gt;"",H70,0)+IF(G70&lt;&gt;"",G70,0))</f>
        <v>60.32767275716003</v>
      </c>
      <c r="X70" s="5">
        <f ca="1">AVERAGE(X15:X67)</f>
        <v>14486.884615384623</v>
      </c>
    </row>
    <row r="71" spans="1:24" x14ac:dyDescent="0.2">
      <c r="E71" s="60"/>
      <c r="I71" t="s">
        <v>308</v>
      </c>
      <c r="K71" s="104">
        <f ca="1">(K70)/IF(Summary!$C$8&lt;&gt;"Patients",1,$I$9)</f>
        <v>4984.4800195505359</v>
      </c>
      <c r="L71" s="104">
        <f ca="1">(L70)/IF(Summary!$C$8&lt;&gt;"Patients",1,$I$9)</f>
        <v>402.1153846153843</v>
      </c>
      <c r="M71" s="5"/>
      <c r="N71" s="5">
        <f ca="1">N70-M70</f>
        <v>892.94999999998799</v>
      </c>
      <c r="R71" s="5">
        <f ca="1">SUM(R15:R66)</f>
        <v>259192.96101662787</v>
      </c>
      <c r="S71" s="5">
        <f ca="1">SUM(S15:S66)</f>
        <v>20909.999999999985</v>
      </c>
      <c r="V71" s="5">
        <f ca="1">SUM(V15:V67)</f>
        <v>3197.3666561294817</v>
      </c>
      <c r="X71" s="5">
        <f ca="1">SUM(X15:X66)</f>
        <v>753318.00000000035</v>
      </c>
    </row>
    <row r="72" spans="1:24" x14ac:dyDescent="0.2">
      <c r="E72" s="5"/>
      <c r="F72" s="5"/>
      <c r="J72" s="5"/>
      <c r="K72" s="5"/>
      <c r="L72" s="5"/>
      <c r="M72" s="5"/>
      <c r="N72" s="5"/>
      <c r="X72" s="5">
        <f ca="1">AVERAGE(X15:X67)</f>
        <v>14486.884615384623</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1126</v>
      </c>
    </row>
    <row r="3" spans="1:29" x14ac:dyDescent="0.2">
      <c r="A3" t="s">
        <v>1112</v>
      </c>
      <c r="B3" s="301">
        <f>Summary!$D$42</f>
        <v>0</v>
      </c>
      <c r="H3" t="s">
        <v>153</v>
      </c>
      <c r="I3" t="s">
        <v>148</v>
      </c>
      <c r="J3" t="s">
        <v>149</v>
      </c>
      <c r="K3" t="s">
        <v>156</v>
      </c>
      <c r="L3" t="s">
        <v>1124</v>
      </c>
      <c r="M3" t="s">
        <v>531</v>
      </c>
      <c r="N3" t="s">
        <v>1125</v>
      </c>
    </row>
    <row r="4" spans="1:29" x14ac:dyDescent="0.2">
      <c r="A4" t="s">
        <v>1113</v>
      </c>
      <c r="B4" s="301">
        <f>Summary!$D$43</f>
        <v>0</v>
      </c>
      <c r="H4">
        <v>1</v>
      </c>
      <c r="I4">
        <f>'SPC background (hide)'!L4</f>
        <v>45</v>
      </c>
      <c r="J4">
        <f ca="1">'SPC background (hide)'!M4</f>
        <v>96</v>
      </c>
      <c r="K4" s="5">
        <f ca="1">'SPC background (hide)'!O4</f>
        <v>14486.884615384615</v>
      </c>
      <c r="L4">
        <f ca="1">IFERROR(VLOOKUP(H4,'SPC background (hide)'!$AI$2:$AJ$54,2,FALSE),"")</f>
        <v>902.95962902345889</v>
      </c>
      <c r="M4" s="5">
        <f ca="1">'SPC background (hide)'!P4</f>
        <v>14765</v>
      </c>
      <c r="N4" s="5">
        <f ca="1">'SPC background (hide)'!Q4</f>
        <v>15657.95</v>
      </c>
    </row>
    <row r="5" spans="1:29" x14ac:dyDescent="0.2">
      <c r="A5" t="s">
        <v>75</v>
      </c>
      <c r="B5" s="3">
        <f ca="1">'Summary Calculations (hide)'!I4</f>
        <v>0</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1114</v>
      </c>
      <c r="B6" s="3">
        <f ca="1">'Summary Calculations (hide)'!I5</f>
        <v>0</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f ca="1">'Summary Calculations (hide)'!I6</f>
        <v>0</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1</v>
      </c>
      <c r="H8" s="67">
        <v>5</v>
      </c>
      <c r="I8" s="67">
        <f ca="1">'SPC background (hide)'!L8</f>
        <v>53</v>
      </c>
      <c r="J8" s="67">
        <f ca="1">'SPC background (hide)'!M8</f>
        <v>52</v>
      </c>
      <c r="K8" s="5">
        <f ca="1">'SPC background (hide)'!O8</f>
        <v>14486.884615384615</v>
      </c>
      <c r="L8" s="67">
        <f ca="1">IFERROR(VLOOKUP(H8,'SPC background (hide)'!$AI$2:$AJ$54,2,FALSE),"")</f>
        <v>902.95962902345889</v>
      </c>
      <c r="M8" s="5">
        <f ca="1">'SPC background (hide)'!P8</f>
        <v>14765</v>
      </c>
      <c r="N8" s="5">
        <f ca="1">'SPC background (hide)'!Q8</f>
        <v>15657.95</v>
      </c>
    </row>
    <row r="10" spans="1:29" x14ac:dyDescent="0.2">
      <c r="A10" t="s">
        <v>1146</v>
      </c>
      <c r="B10" s="3"/>
      <c r="H10" t="s">
        <v>1123</v>
      </c>
      <c r="T10" t="s">
        <v>1129</v>
      </c>
    </row>
    <row r="11" spans="1:29" x14ac:dyDescent="0.2">
      <c r="A11" t="s">
        <v>1115</v>
      </c>
      <c r="B11" s="3">
        <f ca="1">(1-B5)*(1-(B6+B7))</f>
        <v>1</v>
      </c>
      <c r="C11" s="51" t="s">
        <v>1142</v>
      </c>
      <c r="D11" t="s">
        <v>1136</v>
      </c>
      <c r="T11" t="s">
        <v>1130</v>
      </c>
      <c r="U11" t="s">
        <v>1131</v>
      </c>
      <c r="V11" t="s">
        <v>1132</v>
      </c>
      <c r="W11" t="s">
        <v>1133</v>
      </c>
      <c r="X11" t="s">
        <v>1134</v>
      </c>
      <c r="Y11" t="s">
        <v>1135</v>
      </c>
      <c r="Z11" t="s">
        <v>156</v>
      </c>
      <c r="AA11" t="s">
        <v>1139</v>
      </c>
      <c r="AB11" t="s">
        <v>1140</v>
      </c>
      <c r="AC11" t="s">
        <v>1141</v>
      </c>
    </row>
    <row r="12" spans="1:29" x14ac:dyDescent="0.2">
      <c r="A12" t="s">
        <v>1116</v>
      </c>
      <c r="B12" s="3">
        <f ca="1">(1-B5) * (B7*B8)</f>
        <v>0</v>
      </c>
      <c r="C12" s="51" t="s">
        <v>1143</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1127</v>
      </c>
      <c r="R12" t="s">
        <v>391</v>
      </c>
      <c r="T12">
        <v>152</v>
      </c>
    </row>
    <row r="13" spans="1:29" x14ac:dyDescent="0.2">
      <c r="A13" t="s">
        <v>1120</v>
      </c>
      <c r="B13" s="3">
        <f ca="1">B11+B12</f>
        <v>1</v>
      </c>
      <c r="C13" s="51" t="s">
        <v>1121</v>
      </c>
      <c r="H13" s="297">
        <f>'Summary Calculations (hide)'!A15</f>
        <v>43892</v>
      </c>
      <c r="I13">
        <f>'Summary Calculations (hide)'!B15</f>
        <v>2020</v>
      </c>
      <c r="J13" t="str">
        <f>'Summary Calculations (hide)'!C15</f>
        <v>Mar</v>
      </c>
      <c r="K13">
        <f>'Summary Calculations (hide)'!D15</f>
        <v>10</v>
      </c>
      <c r="L13">
        <f ca="1">VLOOKUP($K13,'SPC background (hide)'!$AG$2:$AS$54,3,0)</f>
        <v>1</v>
      </c>
      <c r="M13">
        <f ca="1">((VLOOKUP(L13,$H$4:$N$8,4,FALSE)*(1-$B$5)*(1-$B$6+($B$7*$B$8))))</f>
        <v>14486.884615384615</v>
      </c>
      <c r="N13" s="67">
        <f ca="1">((VLOOKUP(L13,$H$4:$N$8,5,FALSE)*(1-$B$5)*(1-$B$6+($B$7*$B$8))))</f>
        <v>902.95962902345889</v>
      </c>
      <c r="R13" s="5">
        <f ca="1">(VLOOKUP(K13,'Summary Calculations (hide)'!$D$15:$L$67,8,0)+VLOOKUP(K13,'Summary Calculations (hide)'!$D$15:$L$67,9,0))*IF(Summary!$C$8="Patients",'Summary Calculations (hide)'!$I$9,1)</f>
        <v>5386.595404165917</v>
      </c>
      <c r="AA13">
        <f ca="1">IF(Summary!$C$8="Patients", 'Parameters calculator (hide)'!$H$63,'Parameters calculator (hide)'!$H$62)</f>
        <v>34172.587019230763</v>
      </c>
      <c r="AB13" s="67">
        <f ca="1">IF(Summary!$C$8="Patients", 'Parameters calculator (hide)'!$I$63,'Parameters calculator (hide)'!$I$62)</f>
        <v>37769.701442307691</v>
      </c>
      <c r="AC13">
        <f ca="1">AB13-AA13</f>
        <v>3597.1144230769278</v>
      </c>
    </row>
    <row r="14" spans="1:29" x14ac:dyDescent="0.2">
      <c r="A14" t="s">
        <v>1117</v>
      </c>
      <c r="B14" s="3">
        <f ca="1">1 - B7</f>
        <v>1</v>
      </c>
      <c r="C14" s="51" t="s">
        <v>1144</v>
      </c>
      <c r="H14" s="297">
        <f>'Summary Calculations (hide)'!A16</f>
        <v>43899</v>
      </c>
      <c r="I14" t="str">
        <f>'Summary Calculations (hide)'!B16</f>
        <v/>
      </c>
      <c r="J14" t="str">
        <f>'Summary Calculations (hide)'!C16</f>
        <v/>
      </c>
      <c r="K14">
        <f>'Summary Calculations (hide)'!D16</f>
        <v>11</v>
      </c>
      <c r="L14" s="67">
        <f ca="1">VLOOKUP($K14,'SPC background (hide)'!$AG$2:$AS$54,3,0)</f>
        <v>1</v>
      </c>
      <c r="M14" s="67">
        <f t="shared" ref="M14:M64" ca="1" si="0">((VLOOKUP(L14,$H$4:$N$8,4,FALSE)*(1-$B$5)*(1-$B$6+($B$7*$B$8))))</f>
        <v>14486.884615384615</v>
      </c>
      <c r="N14" s="67">
        <f t="shared" ref="N14:N64" ca="1" si="1">((VLOOKUP(L14,$H$4:$N$8,5,FALSE)*(1-$B$5)*(1-$B$6+($B$7*$B$8))))</f>
        <v>902.95962902345889</v>
      </c>
      <c r="O14" s="67"/>
      <c r="P14" s="67"/>
      <c r="Q14" s="67"/>
      <c r="R14" s="5">
        <f ca="1">(VLOOKUP(K14,'Summary Calculations (hide)'!$D$15:$L$67,8,0)+VLOOKUP(K14,'Summary Calculations (hide)'!$D$15:$L$67,9,0))*IF(Summary!$C$8="Patients",'Summary Calculations (hide)'!$I$9,1)</f>
        <v>5386.595404165917</v>
      </c>
      <c r="AA14" s="67">
        <f ca="1">IF(Summary!$C$8="Patients", 'Parameters calculator (hide)'!$H$63,'Parameters calculator (hide)'!$H$62)</f>
        <v>34172.587019230763</v>
      </c>
      <c r="AB14" s="67">
        <f ca="1">IF(Summary!$C$8="Patients", 'Parameters calculator (hide)'!$I$63,'Parameters calculator (hide)'!$I$62)</f>
        <v>37769.701442307691</v>
      </c>
      <c r="AC14" s="67">
        <f t="shared" ref="AC14:AC64" ca="1" si="2">AB14-AA14</f>
        <v>3597.1144230769278</v>
      </c>
    </row>
    <row r="15" spans="1:29" x14ac:dyDescent="0.2">
      <c r="A15" t="s">
        <v>1118</v>
      </c>
      <c r="B15" s="3">
        <f ca="1">B7*B8</f>
        <v>0</v>
      </c>
      <c r="C15" s="51" t="s">
        <v>1145</v>
      </c>
      <c r="H15" s="297">
        <f>'Summary Calculations (hide)'!A17</f>
        <v>43906</v>
      </c>
      <c r="I15" t="str">
        <f>'Summary Calculations (hide)'!B17</f>
        <v/>
      </c>
      <c r="J15" t="str">
        <f>'Summary Calculations (hide)'!C17</f>
        <v/>
      </c>
      <c r="K15">
        <f>'Summary Calculations (hide)'!D17</f>
        <v>12</v>
      </c>
      <c r="L15" s="67">
        <f ca="1">VLOOKUP($K15,'SPC background (hide)'!$AG$2:$AS$54,3,0)</f>
        <v>1</v>
      </c>
      <c r="M15" s="67">
        <f t="shared" ca="1" si="0"/>
        <v>14486.884615384615</v>
      </c>
      <c r="N15" s="67">
        <f t="shared" ca="1" si="1"/>
        <v>902.95962902345889</v>
      </c>
      <c r="O15" s="67"/>
      <c r="P15" s="67"/>
      <c r="Q15" s="67"/>
      <c r="R15" s="5">
        <f ca="1">(VLOOKUP(K15,'Summary Calculations (hide)'!$D$15:$L$67,8,0)+VLOOKUP(K15,'Summary Calculations (hide)'!$D$15:$L$67,9,0))*IF(Summary!$C$8="Patients",'Summary Calculations (hide)'!$I$9,1)</f>
        <v>5386.595404165917</v>
      </c>
      <c r="AA15" s="67">
        <f ca="1">IF(Summary!$C$8="Patients", 'Parameters calculator (hide)'!$H$63,'Parameters calculator (hide)'!$H$62)</f>
        <v>34172.587019230763</v>
      </c>
      <c r="AB15" s="67">
        <f ca="1">IF(Summary!$C$8="Patients", 'Parameters calculator (hide)'!$I$63,'Parameters calculator (hide)'!$I$62)</f>
        <v>37769.701442307691</v>
      </c>
      <c r="AC15" s="67">
        <f t="shared" ca="1" si="2"/>
        <v>3597.1144230769278</v>
      </c>
    </row>
    <row r="16" spans="1:29" x14ac:dyDescent="0.2">
      <c r="A16" t="s">
        <v>1128</v>
      </c>
      <c r="B16" s="3">
        <f ca="1">B14+B15</f>
        <v>1</v>
      </c>
      <c r="C16" s="51" t="s">
        <v>1122</v>
      </c>
      <c r="H16" s="297">
        <f>'Summary Calculations (hide)'!A18</f>
        <v>43913</v>
      </c>
      <c r="I16" t="str">
        <f>'Summary Calculations (hide)'!B18</f>
        <v/>
      </c>
      <c r="J16" t="str">
        <f>'Summary Calculations (hide)'!C18</f>
        <v/>
      </c>
      <c r="K16">
        <f>'Summary Calculations (hide)'!D18</f>
        <v>13</v>
      </c>
      <c r="L16" s="67">
        <f ca="1">VLOOKUP($K16,'SPC background (hide)'!$AG$2:$AS$54,3,0)</f>
        <v>1</v>
      </c>
      <c r="M16" s="67">
        <f t="shared" ca="1" si="0"/>
        <v>14486.884615384615</v>
      </c>
      <c r="N16" s="67">
        <f t="shared" ca="1" si="1"/>
        <v>902.95962902345889</v>
      </c>
      <c r="O16" s="67"/>
      <c r="P16" s="67"/>
      <c r="Q16" s="67"/>
      <c r="R16" s="5">
        <f ca="1">(VLOOKUP(K16,'Summary Calculations (hide)'!$D$15:$L$67,8,0)+VLOOKUP(K16,'Summary Calculations (hide)'!$D$15:$L$67,9,0))*IF(Summary!$C$8="Patients",'Summary Calculations (hide)'!$I$9,1)</f>
        <v>5386.595404165917</v>
      </c>
      <c r="AA16" s="67">
        <f ca="1">IF(Summary!$C$8="Patients", 'Parameters calculator (hide)'!$H$63,'Parameters calculator (hide)'!$H$62)</f>
        <v>34172.587019230763</v>
      </c>
      <c r="AB16" s="67">
        <f ca="1">IF(Summary!$C$8="Patients", 'Parameters calculator (hide)'!$I$63,'Parameters calculator (hide)'!$I$62)</f>
        <v>37769.701442307691</v>
      </c>
      <c r="AC16" s="67">
        <f t="shared" ca="1" si="2"/>
        <v>3597.1144230769278</v>
      </c>
    </row>
    <row r="17" spans="1:29" x14ac:dyDescent="0.2">
      <c r="H17" s="297">
        <f>'Summary Calculations (hide)'!A19</f>
        <v>43920</v>
      </c>
      <c r="I17" t="str">
        <f>'Summary Calculations (hide)'!B19</f>
        <v/>
      </c>
      <c r="J17" t="str">
        <f>'Summary Calculations (hide)'!C19</f>
        <v/>
      </c>
      <c r="K17">
        <f>'Summary Calculations (hide)'!D19</f>
        <v>14</v>
      </c>
      <c r="L17" s="67">
        <f ca="1">VLOOKUP($K17,'SPC background (hide)'!$AG$2:$AS$54,3,0)</f>
        <v>1</v>
      </c>
      <c r="M17" s="67">
        <f t="shared" ca="1" si="0"/>
        <v>14486.884615384615</v>
      </c>
      <c r="N17" s="67">
        <f t="shared" ca="1" si="1"/>
        <v>902.95962902345889</v>
      </c>
      <c r="O17" s="67"/>
      <c r="P17" s="67"/>
      <c r="Q17" s="67"/>
      <c r="R17" s="5">
        <f ca="1">(VLOOKUP(K17,'Summary Calculations (hide)'!$D$15:$L$67,8,0)+VLOOKUP(K17,'Summary Calculations (hide)'!$D$15:$L$67,9,0))*IF(Summary!$C$8="Patients",'Summary Calculations (hide)'!$I$9,1)</f>
        <v>5386.595404165917</v>
      </c>
      <c r="AA17" s="67">
        <f ca="1">IF(Summary!$C$8="Patients", 'Parameters calculator (hide)'!$H$63,'Parameters calculator (hide)'!$H$62)</f>
        <v>34172.587019230763</v>
      </c>
      <c r="AB17" s="67">
        <f ca="1">IF(Summary!$C$8="Patients", 'Parameters calculator (hide)'!$I$63,'Parameters calculator (hide)'!$I$62)</f>
        <v>37769.701442307691</v>
      </c>
      <c r="AC17" s="67">
        <f t="shared" ca="1" si="2"/>
        <v>3597.1144230769278</v>
      </c>
    </row>
    <row r="18" spans="1:29" x14ac:dyDescent="0.2">
      <c r="A18" s="3"/>
      <c r="B18" s="3"/>
      <c r="C18" s="3"/>
      <c r="H18" s="297">
        <f>'Summary Calculations (hide)'!A20</f>
        <v>43927</v>
      </c>
      <c r="I18" t="str">
        <f>'Summary Calculations (hide)'!B20</f>
        <v/>
      </c>
      <c r="J18" t="str">
        <f>'Summary Calculations (hide)'!C20</f>
        <v>Apr</v>
      </c>
      <c r="K18">
        <f>'Summary Calculations (hide)'!D20</f>
        <v>15</v>
      </c>
      <c r="L18" s="67">
        <f ca="1">VLOOKUP($K18,'SPC background (hide)'!$AG$2:$AS$54,3,0)</f>
        <v>1</v>
      </c>
      <c r="M18" s="67">
        <f t="shared" ca="1" si="0"/>
        <v>14486.884615384615</v>
      </c>
      <c r="N18" s="67">
        <f t="shared" ca="1" si="1"/>
        <v>902.95962902345889</v>
      </c>
      <c r="O18" s="67"/>
      <c r="P18" s="67"/>
      <c r="Q18" s="67"/>
      <c r="R18" s="5">
        <f ca="1">(VLOOKUP(K18,'Summary Calculations (hide)'!$D$15:$L$67,8,0)+VLOOKUP(K18,'Summary Calculations (hide)'!$D$15:$L$67,9,0))*IF(Summary!$C$8="Patients",'Summary Calculations (hide)'!$I$9,1)</f>
        <v>5386.595404165917</v>
      </c>
      <c r="AA18" s="67">
        <f ca="1">IF(Summary!$C$8="Patients", 'Parameters calculator (hide)'!$H$63,'Parameters calculator (hide)'!$H$62)</f>
        <v>34172.587019230763</v>
      </c>
      <c r="AB18" s="67">
        <f ca="1">IF(Summary!$C$8="Patients", 'Parameters calculator (hide)'!$I$63,'Parameters calculator (hide)'!$I$62)</f>
        <v>37769.701442307691</v>
      </c>
      <c r="AC18" s="67">
        <f t="shared" ca="1" si="2"/>
        <v>3597.1144230769278</v>
      </c>
    </row>
    <row r="19" spans="1:29" x14ac:dyDescent="0.2">
      <c r="A19" s="3"/>
      <c r="B19" s="3"/>
      <c r="C19" s="3"/>
      <c r="H19" s="297">
        <f>'Summary Calculations (hide)'!A21</f>
        <v>43934</v>
      </c>
      <c r="I19" t="str">
        <f>'Summary Calculations (hide)'!B21</f>
        <v/>
      </c>
      <c r="J19" t="str">
        <f>'Summary Calculations (hide)'!C21</f>
        <v/>
      </c>
      <c r="K19">
        <f>'Summary Calculations (hide)'!D21</f>
        <v>16</v>
      </c>
      <c r="L19" s="67">
        <f ca="1">VLOOKUP($K19,'SPC background (hide)'!$AG$2:$AS$54,3,0)</f>
        <v>1</v>
      </c>
      <c r="M19" s="67">
        <f t="shared" ca="1" si="0"/>
        <v>14486.884615384615</v>
      </c>
      <c r="N19" s="67">
        <f t="shared" ca="1" si="1"/>
        <v>902.95962902345889</v>
      </c>
      <c r="O19" s="67"/>
      <c r="P19" s="67"/>
      <c r="Q19" s="67"/>
      <c r="R19" s="5">
        <f ca="1">(VLOOKUP(K19,'Summary Calculations (hide)'!$D$15:$L$67,8,0)+VLOOKUP(K19,'Summary Calculations (hide)'!$D$15:$L$67,9,0))*IF(Summary!$C$8="Patients",'Summary Calculations (hide)'!$I$9,1)</f>
        <v>5386.595404165917</v>
      </c>
      <c r="AA19" s="67">
        <f ca="1">IF(Summary!$C$8="Patients", 'Parameters calculator (hide)'!$H$63,'Parameters calculator (hide)'!$H$62)</f>
        <v>34172.587019230763</v>
      </c>
      <c r="AB19" s="67">
        <f ca="1">IF(Summary!$C$8="Patients", 'Parameters calculator (hide)'!$I$63,'Parameters calculator (hide)'!$I$62)</f>
        <v>37769.701442307691</v>
      </c>
      <c r="AC19" s="67">
        <f t="shared" ca="1" si="2"/>
        <v>3597.1144230769278</v>
      </c>
    </row>
    <row r="20" spans="1:29" x14ac:dyDescent="0.2">
      <c r="A20" s="3"/>
      <c r="B20" s="3"/>
      <c r="C20" s="3"/>
      <c r="H20" s="297">
        <f>'Summary Calculations (hide)'!A22</f>
        <v>43941</v>
      </c>
      <c r="I20" t="str">
        <f>'Summary Calculations (hide)'!B22</f>
        <v/>
      </c>
      <c r="J20" t="str">
        <f>'Summary Calculations (hide)'!C22</f>
        <v/>
      </c>
      <c r="K20">
        <f>'Summary Calculations (hide)'!D22</f>
        <v>17</v>
      </c>
      <c r="L20" s="67">
        <f ca="1">VLOOKUP($K20,'SPC background (hide)'!$AG$2:$AS$54,3,0)</f>
        <v>1</v>
      </c>
      <c r="M20" s="67">
        <f t="shared" ca="1" si="0"/>
        <v>14486.884615384615</v>
      </c>
      <c r="N20" s="67">
        <f t="shared" ca="1" si="1"/>
        <v>902.95962902345889</v>
      </c>
      <c r="O20" s="67"/>
      <c r="P20" s="67"/>
      <c r="Q20" s="67"/>
      <c r="R20" s="5">
        <f ca="1">(VLOOKUP(K20,'Summary Calculations (hide)'!$D$15:$L$67,8,0)+VLOOKUP(K20,'Summary Calculations (hide)'!$D$15:$L$67,9,0))*IF(Summary!$C$8="Patients",'Summary Calculations (hide)'!$I$9,1)</f>
        <v>5386.595404165917</v>
      </c>
      <c r="AA20" s="67">
        <f ca="1">IF(Summary!$C$8="Patients", 'Parameters calculator (hide)'!$H$63,'Parameters calculator (hide)'!$H$62)</f>
        <v>34172.587019230763</v>
      </c>
      <c r="AB20" s="67">
        <f ca="1">IF(Summary!$C$8="Patients", 'Parameters calculator (hide)'!$I$63,'Parameters calculator (hide)'!$I$62)</f>
        <v>37769.701442307691</v>
      </c>
      <c r="AC20" s="67">
        <f t="shared" ca="1" si="2"/>
        <v>3597.1144230769278</v>
      </c>
    </row>
    <row r="21" spans="1:29" x14ac:dyDescent="0.2">
      <c r="A21" s="3"/>
      <c r="B21" s="3"/>
      <c r="C21" s="3"/>
      <c r="H21" s="297">
        <f>'Summary Calculations (hide)'!A23</f>
        <v>43948</v>
      </c>
      <c r="I21" t="str">
        <f>'Summary Calculations (hide)'!B23</f>
        <v/>
      </c>
      <c r="J21" t="str">
        <f>'Summary Calculations (hide)'!C23</f>
        <v/>
      </c>
      <c r="K21">
        <f>'Summary Calculations (hide)'!D23</f>
        <v>18</v>
      </c>
      <c r="L21" s="67">
        <f ca="1">VLOOKUP($K21,'SPC background (hide)'!$AG$2:$AS$54,3,0)</f>
        <v>1</v>
      </c>
      <c r="M21" s="67">
        <f t="shared" ca="1" si="0"/>
        <v>14486.884615384615</v>
      </c>
      <c r="N21" s="67">
        <f t="shared" ca="1" si="1"/>
        <v>902.95962902345889</v>
      </c>
      <c r="O21" s="67"/>
      <c r="P21" s="67"/>
      <c r="Q21" s="67"/>
      <c r="R21" s="5">
        <f ca="1">(VLOOKUP(K21,'Summary Calculations (hide)'!$D$15:$L$67,8,0)+VLOOKUP(K21,'Summary Calculations (hide)'!$D$15:$L$67,9,0))*IF(Summary!$C$8="Patients",'Summary Calculations (hide)'!$I$9,1)</f>
        <v>5386.595404165917</v>
      </c>
      <c r="AA21" s="67">
        <f ca="1">IF(Summary!$C$8="Patients", 'Parameters calculator (hide)'!$H$63,'Parameters calculator (hide)'!$H$62)</f>
        <v>34172.587019230763</v>
      </c>
      <c r="AB21" s="67">
        <f ca="1">IF(Summary!$C$8="Patients", 'Parameters calculator (hide)'!$I$63,'Parameters calculator (hide)'!$I$62)</f>
        <v>37769.701442307691</v>
      </c>
      <c r="AC21" s="67">
        <f t="shared" ca="1" si="2"/>
        <v>3597.1144230769278</v>
      </c>
    </row>
    <row r="22" spans="1:29" x14ac:dyDescent="0.2">
      <c r="A22" s="3"/>
      <c r="B22" s="3"/>
      <c r="C22" s="3"/>
      <c r="H22" s="297">
        <f>'Summary Calculations (hide)'!A24</f>
        <v>43955</v>
      </c>
      <c r="I22" t="str">
        <f>'Summary Calculations (hide)'!B24</f>
        <v/>
      </c>
      <c r="J22" t="str">
        <f>'Summary Calculations (hide)'!C24</f>
        <v>May</v>
      </c>
      <c r="K22">
        <f>'Summary Calculations (hide)'!D24</f>
        <v>19</v>
      </c>
      <c r="L22" s="67">
        <f ca="1">VLOOKUP($K22,'SPC background (hide)'!$AG$2:$AS$54,3,0)</f>
        <v>1</v>
      </c>
      <c r="M22" s="67">
        <f t="shared" ca="1" si="0"/>
        <v>14486.884615384615</v>
      </c>
      <c r="N22" s="67">
        <f t="shared" ca="1" si="1"/>
        <v>902.95962902345889</v>
      </c>
      <c r="O22" s="67"/>
      <c r="P22" s="67"/>
      <c r="Q22" s="67"/>
      <c r="R22" s="5">
        <f ca="1">(VLOOKUP(K22,'Summary Calculations (hide)'!$D$15:$L$67,8,0)+VLOOKUP(K22,'Summary Calculations (hide)'!$D$15:$L$67,9,0))*IF(Summary!$C$8="Patients",'Summary Calculations (hide)'!$I$9,1)</f>
        <v>5386.595404165917</v>
      </c>
      <c r="AA22" s="67">
        <f ca="1">IF(Summary!$C$8="Patients", 'Parameters calculator (hide)'!$H$63,'Parameters calculator (hide)'!$H$62)</f>
        <v>34172.587019230763</v>
      </c>
      <c r="AB22" s="67">
        <f ca="1">IF(Summary!$C$8="Patients", 'Parameters calculator (hide)'!$I$63,'Parameters calculator (hide)'!$I$62)</f>
        <v>37769.701442307691</v>
      </c>
      <c r="AC22" s="67">
        <f t="shared" ca="1" si="2"/>
        <v>3597.1144230769278</v>
      </c>
    </row>
    <row r="23" spans="1:29" x14ac:dyDescent="0.2">
      <c r="A23" s="3"/>
      <c r="B23" s="3"/>
      <c r="C23" s="3"/>
      <c r="H23" s="297">
        <f>'Summary Calculations (hide)'!A25</f>
        <v>43962</v>
      </c>
      <c r="I23" t="str">
        <f>'Summary Calculations (hide)'!B25</f>
        <v/>
      </c>
      <c r="J23" t="str">
        <f>'Summary Calculations (hide)'!C25</f>
        <v/>
      </c>
      <c r="K23">
        <f>'Summary Calculations (hide)'!D25</f>
        <v>20</v>
      </c>
      <c r="L23" s="67">
        <f ca="1">VLOOKUP($K23,'SPC background (hide)'!$AG$2:$AS$54,3,0)</f>
        <v>1</v>
      </c>
      <c r="M23" s="67">
        <f t="shared" ca="1" si="0"/>
        <v>14486.884615384615</v>
      </c>
      <c r="N23" s="67">
        <f t="shared" ca="1" si="1"/>
        <v>902.95962902345889</v>
      </c>
      <c r="O23" s="67"/>
      <c r="P23" s="67"/>
      <c r="Q23" s="67"/>
      <c r="R23" s="5">
        <f ca="1">(VLOOKUP(K23,'Summary Calculations (hide)'!$D$15:$L$67,8,0)+VLOOKUP(K23,'Summary Calculations (hide)'!$D$15:$L$67,9,0))*IF(Summary!$C$8="Patients",'Summary Calculations (hide)'!$I$9,1)</f>
        <v>5386.595404165917</v>
      </c>
      <c r="AA23" s="67">
        <f ca="1">IF(Summary!$C$8="Patients", 'Parameters calculator (hide)'!$H$63,'Parameters calculator (hide)'!$H$62)</f>
        <v>34172.587019230763</v>
      </c>
      <c r="AB23" s="67">
        <f ca="1">IF(Summary!$C$8="Patients", 'Parameters calculator (hide)'!$I$63,'Parameters calculator (hide)'!$I$62)</f>
        <v>37769.701442307691</v>
      </c>
      <c r="AC23" s="67">
        <f t="shared" ca="1" si="2"/>
        <v>3597.1144230769278</v>
      </c>
    </row>
    <row r="24" spans="1:29" x14ac:dyDescent="0.2">
      <c r="A24" s="3"/>
      <c r="B24" s="3"/>
      <c r="C24" s="3"/>
      <c r="H24" s="297">
        <f>'Summary Calculations (hide)'!A26</f>
        <v>43969</v>
      </c>
      <c r="I24" t="str">
        <f>'Summary Calculations (hide)'!B26</f>
        <v/>
      </c>
      <c r="J24" t="str">
        <f>'Summary Calculations (hide)'!C26</f>
        <v/>
      </c>
      <c r="K24">
        <f>'Summary Calculations (hide)'!D26</f>
        <v>21</v>
      </c>
      <c r="L24" s="67">
        <f ca="1">VLOOKUP($K24,'SPC background (hide)'!$AG$2:$AS$54,3,0)</f>
        <v>1</v>
      </c>
      <c r="M24" s="67">
        <f t="shared" ca="1" si="0"/>
        <v>14486.884615384615</v>
      </c>
      <c r="N24" s="67">
        <f t="shared" ca="1" si="1"/>
        <v>902.95962902345889</v>
      </c>
      <c r="O24" s="67"/>
      <c r="P24" s="67"/>
      <c r="Q24" s="67"/>
      <c r="R24" s="5">
        <f ca="1">(VLOOKUP(K24,'Summary Calculations (hide)'!$D$15:$L$67,8,0)+VLOOKUP(K24,'Summary Calculations (hide)'!$D$15:$L$67,9,0))*IF(Summary!$C$8="Patients",'Summary Calculations (hide)'!$I$9,1)</f>
        <v>5386.595404165917</v>
      </c>
      <c r="AA24" s="67">
        <f ca="1">IF(Summary!$C$8="Patients", 'Parameters calculator (hide)'!$H$63,'Parameters calculator (hide)'!$H$62)</f>
        <v>34172.587019230763</v>
      </c>
      <c r="AB24" s="67">
        <f ca="1">IF(Summary!$C$8="Patients", 'Parameters calculator (hide)'!$I$63,'Parameters calculator (hide)'!$I$62)</f>
        <v>37769.701442307691</v>
      </c>
      <c r="AC24" s="67">
        <f t="shared" ca="1" si="2"/>
        <v>3597.1144230769278</v>
      </c>
    </row>
    <row r="25" spans="1:29" x14ac:dyDescent="0.2">
      <c r="A25" s="3"/>
      <c r="B25" s="3"/>
      <c r="C25" s="3"/>
      <c r="H25" s="297">
        <f>'Summary Calculations (hide)'!A27</f>
        <v>43976</v>
      </c>
      <c r="I25" t="str">
        <f>'Summary Calculations (hide)'!B27</f>
        <v/>
      </c>
      <c r="J25" t="str">
        <f>'Summary Calculations (hide)'!C27</f>
        <v/>
      </c>
      <c r="K25">
        <f>'Summary Calculations (hide)'!D27</f>
        <v>22</v>
      </c>
      <c r="L25" s="67">
        <f ca="1">VLOOKUP($K25,'SPC background (hide)'!$AG$2:$AS$54,3,0)</f>
        <v>1</v>
      </c>
      <c r="M25" s="67">
        <f t="shared" ca="1" si="0"/>
        <v>14486.884615384615</v>
      </c>
      <c r="N25" s="67">
        <f t="shared" ca="1" si="1"/>
        <v>902.95962902345889</v>
      </c>
      <c r="O25" s="67"/>
      <c r="P25" s="67"/>
      <c r="Q25" s="67"/>
      <c r="R25" s="5">
        <f ca="1">(VLOOKUP(K25,'Summary Calculations (hide)'!$D$15:$L$67,8,0)+VLOOKUP(K25,'Summary Calculations (hide)'!$D$15:$L$67,9,0))*IF(Summary!$C$8="Patients",'Summary Calculations (hide)'!$I$9,1)</f>
        <v>5386.595404165917</v>
      </c>
      <c r="AA25" s="67">
        <f ca="1">IF(Summary!$C$8="Patients", 'Parameters calculator (hide)'!$H$63,'Parameters calculator (hide)'!$H$62)</f>
        <v>34172.587019230763</v>
      </c>
      <c r="AB25" s="67">
        <f ca="1">IF(Summary!$C$8="Patients", 'Parameters calculator (hide)'!$I$63,'Parameters calculator (hide)'!$I$62)</f>
        <v>37769.701442307691</v>
      </c>
      <c r="AC25" s="67">
        <f t="shared" ca="1" si="2"/>
        <v>3597.1144230769278</v>
      </c>
    </row>
    <row r="26" spans="1:29" ht="15" x14ac:dyDescent="0.25">
      <c r="A26" s="3"/>
      <c r="B26" s="3"/>
      <c r="C26" s="302"/>
      <c r="H26" s="297">
        <f>'Summary Calculations (hide)'!A28</f>
        <v>43983</v>
      </c>
      <c r="I26" t="str">
        <f>'Summary Calculations (hide)'!B28</f>
        <v/>
      </c>
      <c r="J26" t="str">
        <f>'Summary Calculations (hide)'!C28</f>
        <v>Jun</v>
      </c>
      <c r="K26">
        <f>'Summary Calculations (hide)'!D28</f>
        <v>23</v>
      </c>
      <c r="L26" s="67">
        <f ca="1">VLOOKUP($K26,'SPC background (hide)'!$AG$2:$AS$54,3,0)</f>
        <v>1</v>
      </c>
      <c r="M26" s="67">
        <f t="shared" ca="1" si="0"/>
        <v>14486.884615384615</v>
      </c>
      <c r="N26" s="67">
        <f t="shared" ca="1" si="1"/>
        <v>902.95962902345889</v>
      </c>
      <c r="O26" s="67"/>
      <c r="P26" s="67"/>
      <c r="Q26" s="67"/>
      <c r="R26" s="5">
        <f ca="1">(VLOOKUP(K26,'Summary Calculations (hide)'!$D$15:$L$67,8,0)+VLOOKUP(K26,'Summary Calculations (hide)'!$D$15:$L$67,9,0))*IF(Summary!$C$8="Patients",'Summary Calculations (hide)'!$I$9,1)</f>
        <v>5386.595404165917</v>
      </c>
      <c r="AA26" s="67">
        <f ca="1">IF(Summary!$C$8="Patients", 'Parameters calculator (hide)'!$H$63,'Parameters calculator (hide)'!$H$62)</f>
        <v>34172.587019230763</v>
      </c>
      <c r="AB26" s="67">
        <f ca="1">IF(Summary!$C$8="Patients", 'Parameters calculator (hide)'!$I$63,'Parameters calculator (hide)'!$I$62)</f>
        <v>37769.701442307691</v>
      </c>
      <c r="AC26" s="67">
        <f t="shared" ca="1" si="2"/>
        <v>3597.1144230769278</v>
      </c>
    </row>
    <row r="27" spans="1:29" x14ac:dyDescent="0.2">
      <c r="A27" s="3"/>
      <c r="B27" s="3"/>
      <c r="C27" s="3"/>
      <c r="H27" s="297">
        <f>'Summary Calculations (hide)'!A29</f>
        <v>43990</v>
      </c>
      <c r="I27" t="str">
        <f>'Summary Calculations (hide)'!B29</f>
        <v/>
      </c>
      <c r="J27" t="str">
        <f>'Summary Calculations (hide)'!C29</f>
        <v/>
      </c>
      <c r="K27">
        <f>'Summary Calculations (hide)'!D29</f>
        <v>24</v>
      </c>
      <c r="L27" s="67">
        <f ca="1">VLOOKUP($K27,'SPC background (hide)'!$AG$2:$AS$54,3,0)</f>
        <v>1</v>
      </c>
      <c r="M27" s="67">
        <f t="shared" ca="1" si="0"/>
        <v>14486.884615384615</v>
      </c>
      <c r="N27" s="67">
        <f t="shared" ca="1" si="1"/>
        <v>902.95962902345889</v>
      </c>
      <c r="O27" s="67"/>
      <c r="P27" s="67"/>
      <c r="Q27" s="67"/>
      <c r="R27" s="5">
        <f ca="1">(VLOOKUP(K27,'Summary Calculations (hide)'!$D$15:$L$67,8,0)+VLOOKUP(K27,'Summary Calculations (hide)'!$D$15:$L$67,9,0))*IF(Summary!$C$8="Patients",'Summary Calculations (hide)'!$I$9,1)</f>
        <v>5386.595404165917</v>
      </c>
      <c r="AA27" s="67">
        <f ca="1">IF(Summary!$C$8="Patients", 'Parameters calculator (hide)'!$H$63,'Parameters calculator (hide)'!$H$62)</f>
        <v>34172.587019230763</v>
      </c>
      <c r="AB27" s="67">
        <f ca="1">IF(Summary!$C$8="Patients", 'Parameters calculator (hide)'!$I$63,'Parameters calculator (hide)'!$I$62)</f>
        <v>37769.701442307691</v>
      </c>
      <c r="AC27" s="67">
        <f t="shared" ca="1" si="2"/>
        <v>3597.1144230769278</v>
      </c>
    </row>
    <row r="28" spans="1:29" x14ac:dyDescent="0.2">
      <c r="A28" s="3"/>
      <c r="B28" s="3"/>
      <c r="C28" s="3"/>
      <c r="H28" s="297">
        <f>'Summary Calculations (hide)'!A30</f>
        <v>43997</v>
      </c>
      <c r="I28" t="str">
        <f>'Summary Calculations (hide)'!B30</f>
        <v/>
      </c>
      <c r="J28" t="str">
        <f>'Summary Calculations (hide)'!C30</f>
        <v/>
      </c>
      <c r="K28">
        <f>'Summary Calculations (hide)'!D30</f>
        <v>25</v>
      </c>
      <c r="L28" s="67">
        <f ca="1">VLOOKUP($K28,'SPC background (hide)'!$AG$2:$AS$54,3,0)</f>
        <v>1</v>
      </c>
      <c r="M28" s="67">
        <f t="shared" ca="1" si="0"/>
        <v>14486.884615384615</v>
      </c>
      <c r="N28" s="67">
        <f t="shared" ca="1" si="1"/>
        <v>902.95962902345889</v>
      </c>
      <c r="O28" s="67"/>
      <c r="P28" s="67"/>
      <c r="Q28" s="67"/>
      <c r="R28" s="5">
        <f ca="1">(VLOOKUP(K28,'Summary Calculations (hide)'!$D$15:$L$67,8,0)+VLOOKUP(K28,'Summary Calculations (hide)'!$D$15:$L$67,9,0))*IF(Summary!$C$8="Patients",'Summary Calculations (hide)'!$I$9,1)</f>
        <v>5386.595404165917</v>
      </c>
      <c r="AA28" s="67">
        <f ca="1">IF(Summary!$C$8="Patients", 'Parameters calculator (hide)'!$H$63,'Parameters calculator (hide)'!$H$62)</f>
        <v>34172.587019230763</v>
      </c>
      <c r="AB28" s="67">
        <f ca="1">IF(Summary!$C$8="Patients", 'Parameters calculator (hide)'!$I$63,'Parameters calculator (hide)'!$I$62)</f>
        <v>37769.701442307691</v>
      </c>
      <c r="AC28" s="67">
        <f t="shared" ca="1" si="2"/>
        <v>3597.1144230769278</v>
      </c>
    </row>
    <row r="29" spans="1:29" x14ac:dyDescent="0.2">
      <c r="A29" s="3"/>
      <c r="B29" s="3"/>
      <c r="C29" s="3"/>
      <c r="H29" s="297">
        <f>'Summary Calculations (hide)'!A31</f>
        <v>44004</v>
      </c>
      <c r="I29" t="str">
        <f>'Summary Calculations (hide)'!B31</f>
        <v/>
      </c>
      <c r="J29" t="str">
        <f>'Summary Calculations (hide)'!C31</f>
        <v/>
      </c>
      <c r="K29">
        <f>'Summary Calculations (hide)'!D31</f>
        <v>26</v>
      </c>
      <c r="L29" s="67">
        <f ca="1">VLOOKUP($K29,'SPC background (hide)'!$AG$2:$AS$54,3,0)</f>
        <v>1</v>
      </c>
      <c r="M29" s="67">
        <f t="shared" ca="1" si="0"/>
        <v>14486.884615384615</v>
      </c>
      <c r="N29" s="67">
        <f t="shared" ca="1" si="1"/>
        <v>902.95962902345889</v>
      </c>
      <c r="O29" s="67"/>
      <c r="P29" s="67"/>
      <c r="Q29" s="67"/>
      <c r="R29" s="5">
        <f ca="1">(VLOOKUP(K29,'Summary Calculations (hide)'!$D$15:$L$67,8,0)+VLOOKUP(K29,'Summary Calculations (hide)'!$D$15:$L$67,9,0))*IF(Summary!$C$8="Patients",'Summary Calculations (hide)'!$I$9,1)</f>
        <v>5386.595404165917</v>
      </c>
      <c r="AA29" s="67">
        <f ca="1">IF(Summary!$C$8="Patients", 'Parameters calculator (hide)'!$H$63,'Parameters calculator (hide)'!$H$62)</f>
        <v>34172.587019230763</v>
      </c>
      <c r="AB29" s="67">
        <f ca="1">IF(Summary!$C$8="Patients", 'Parameters calculator (hide)'!$I$63,'Parameters calculator (hide)'!$I$62)</f>
        <v>37769.701442307691</v>
      </c>
      <c r="AC29" s="67">
        <f t="shared" ca="1" si="2"/>
        <v>3597.1144230769278</v>
      </c>
    </row>
    <row r="30" spans="1:29" x14ac:dyDescent="0.2">
      <c r="A30" s="3"/>
      <c r="B30" s="3"/>
      <c r="C30" s="3"/>
      <c r="H30" s="297">
        <f>'Summary Calculations (hide)'!A32</f>
        <v>44011</v>
      </c>
      <c r="I30" t="str">
        <f>'Summary Calculations (hide)'!B32</f>
        <v/>
      </c>
      <c r="J30" t="str">
        <f>'Summary Calculations (hide)'!C32</f>
        <v/>
      </c>
      <c r="K30">
        <f>'Summary Calculations (hide)'!D32</f>
        <v>27</v>
      </c>
      <c r="L30" s="67">
        <f ca="1">VLOOKUP($K30,'SPC background (hide)'!$AG$2:$AS$54,3,0)</f>
        <v>1</v>
      </c>
      <c r="M30" s="67">
        <f t="shared" ca="1" si="0"/>
        <v>14486.884615384615</v>
      </c>
      <c r="N30" s="67">
        <f t="shared" ca="1" si="1"/>
        <v>902.95962902345889</v>
      </c>
      <c r="O30" s="67"/>
      <c r="P30" s="67"/>
      <c r="Q30" s="67"/>
      <c r="R30" s="5">
        <f ca="1">(VLOOKUP(K30,'Summary Calculations (hide)'!$D$15:$L$67,8,0)+VLOOKUP(K30,'Summary Calculations (hide)'!$D$15:$L$67,9,0))*IF(Summary!$C$8="Patients",'Summary Calculations (hide)'!$I$9,1)</f>
        <v>5386.595404165917</v>
      </c>
      <c r="AA30" s="67">
        <f ca="1">IF(Summary!$C$8="Patients", 'Parameters calculator (hide)'!$H$63,'Parameters calculator (hide)'!$H$62)</f>
        <v>34172.587019230763</v>
      </c>
      <c r="AB30" s="67">
        <f ca="1">IF(Summary!$C$8="Patients", 'Parameters calculator (hide)'!$I$63,'Parameters calculator (hide)'!$I$62)</f>
        <v>37769.701442307691</v>
      </c>
      <c r="AC30" s="67">
        <f t="shared" ca="1" si="2"/>
        <v>3597.1144230769278</v>
      </c>
    </row>
    <row r="31" spans="1:29" x14ac:dyDescent="0.2">
      <c r="A31" s="3"/>
      <c r="B31" s="3"/>
      <c r="C31" s="3"/>
      <c r="H31" s="297">
        <f>'Summary Calculations (hide)'!A33</f>
        <v>44018</v>
      </c>
      <c r="I31" t="str">
        <f>'Summary Calculations (hide)'!B33</f>
        <v/>
      </c>
      <c r="J31" t="str">
        <f>'Summary Calculations (hide)'!C33</f>
        <v>Jul</v>
      </c>
      <c r="K31">
        <f>'Summary Calculations (hide)'!D33</f>
        <v>28</v>
      </c>
      <c r="L31" s="67">
        <f ca="1">VLOOKUP($K31,'SPC background (hide)'!$AG$2:$AS$54,3,0)</f>
        <v>1</v>
      </c>
      <c r="M31" s="67">
        <f t="shared" ca="1" si="0"/>
        <v>14486.884615384615</v>
      </c>
      <c r="N31" s="67">
        <f t="shared" ca="1" si="1"/>
        <v>902.95962902345889</v>
      </c>
      <c r="O31" s="67"/>
      <c r="P31" s="67"/>
      <c r="Q31" s="67"/>
      <c r="R31" s="5">
        <f ca="1">(VLOOKUP(K31,'Summary Calculations (hide)'!$D$15:$L$67,8,0)+VLOOKUP(K31,'Summary Calculations (hide)'!$D$15:$L$67,9,0))*IF(Summary!$C$8="Patients",'Summary Calculations (hide)'!$I$9,1)</f>
        <v>5386.595404165917</v>
      </c>
      <c r="AA31" s="67">
        <f ca="1">IF(Summary!$C$8="Patients", 'Parameters calculator (hide)'!$H$63,'Parameters calculator (hide)'!$H$62)</f>
        <v>34172.587019230763</v>
      </c>
      <c r="AB31" s="67">
        <f ca="1">IF(Summary!$C$8="Patients", 'Parameters calculator (hide)'!$I$63,'Parameters calculator (hide)'!$I$62)</f>
        <v>37769.701442307691</v>
      </c>
      <c r="AC31" s="67">
        <f t="shared" ca="1" si="2"/>
        <v>3597.1144230769278</v>
      </c>
    </row>
    <row r="32" spans="1:29" x14ac:dyDescent="0.2">
      <c r="A32" s="3"/>
      <c r="B32" s="3"/>
      <c r="C32" s="3"/>
      <c r="H32" s="297">
        <f>'Summary Calculations (hide)'!A34</f>
        <v>44025</v>
      </c>
      <c r="I32" t="str">
        <f>'Summary Calculations (hide)'!B34</f>
        <v/>
      </c>
      <c r="J32" t="str">
        <f>'Summary Calculations (hide)'!C34</f>
        <v/>
      </c>
      <c r="K32">
        <f>'Summary Calculations (hide)'!D34</f>
        <v>29</v>
      </c>
      <c r="L32" s="67">
        <f ca="1">VLOOKUP($K32,'SPC background (hide)'!$AG$2:$AS$54,3,0)</f>
        <v>1</v>
      </c>
      <c r="M32" s="67">
        <f t="shared" ca="1" si="0"/>
        <v>14486.884615384615</v>
      </c>
      <c r="N32" s="67">
        <f t="shared" ca="1" si="1"/>
        <v>902.95962902345889</v>
      </c>
      <c r="O32" s="67"/>
      <c r="P32" s="67"/>
      <c r="Q32" s="67"/>
      <c r="R32" s="5">
        <f ca="1">(VLOOKUP(K32,'Summary Calculations (hide)'!$D$15:$L$67,8,0)+VLOOKUP(K32,'Summary Calculations (hide)'!$D$15:$L$67,9,0))*IF(Summary!$C$8="Patients",'Summary Calculations (hide)'!$I$9,1)</f>
        <v>5386.595404165917</v>
      </c>
      <c r="AA32" s="67">
        <f ca="1">IF(Summary!$C$8="Patients", 'Parameters calculator (hide)'!$H$63,'Parameters calculator (hide)'!$H$62)</f>
        <v>34172.587019230763</v>
      </c>
      <c r="AB32" s="67">
        <f ca="1">IF(Summary!$C$8="Patients", 'Parameters calculator (hide)'!$I$63,'Parameters calculator (hide)'!$I$62)</f>
        <v>37769.701442307691</v>
      </c>
      <c r="AC32" s="67">
        <f t="shared" ca="1" si="2"/>
        <v>3597.1144230769278</v>
      </c>
    </row>
    <row r="33" spans="1:29" x14ac:dyDescent="0.2">
      <c r="B33" t="s">
        <v>1147</v>
      </c>
      <c r="H33" s="297">
        <f>'Summary Calculations (hide)'!A35</f>
        <v>44032</v>
      </c>
      <c r="I33" t="str">
        <f>'Summary Calculations (hide)'!B35</f>
        <v/>
      </c>
      <c r="J33" t="str">
        <f>'Summary Calculations (hide)'!C35</f>
        <v/>
      </c>
      <c r="K33">
        <f>'Summary Calculations (hide)'!D35</f>
        <v>30</v>
      </c>
      <c r="L33" s="67">
        <f ca="1">VLOOKUP($K33,'SPC background (hide)'!$AG$2:$AS$54,3,0)</f>
        <v>1</v>
      </c>
      <c r="M33" s="67">
        <f t="shared" ca="1" si="0"/>
        <v>14486.884615384615</v>
      </c>
      <c r="N33" s="67">
        <f t="shared" ca="1" si="1"/>
        <v>902.95962902345889</v>
      </c>
      <c r="O33" s="67"/>
      <c r="P33" s="67"/>
      <c r="Q33" s="67"/>
      <c r="R33" s="5">
        <f ca="1">(VLOOKUP(K33,'Summary Calculations (hide)'!$D$15:$L$67,8,0)+VLOOKUP(K33,'Summary Calculations (hide)'!$D$15:$L$67,9,0))*IF(Summary!$C$8="Patients",'Summary Calculations (hide)'!$I$9,1)</f>
        <v>5386.595404165917</v>
      </c>
      <c r="AA33" s="67">
        <f ca="1">IF(Summary!$C$8="Patients", 'Parameters calculator (hide)'!$H$63,'Parameters calculator (hide)'!$H$62)</f>
        <v>34172.587019230763</v>
      </c>
      <c r="AB33" s="67">
        <f ca="1">IF(Summary!$C$8="Patients", 'Parameters calculator (hide)'!$I$63,'Parameters calculator (hide)'!$I$62)</f>
        <v>37769.701442307691</v>
      </c>
      <c r="AC33" s="67">
        <f t="shared" ca="1" si="2"/>
        <v>3597.1144230769278</v>
      </c>
    </row>
    <row r="34" spans="1:29" x14ac:dyDescent="0.2">
      <c r="A34" t="s">
        <v>1119</v>
      </c>
      <c r="B34" s="5">
        <f ca="1">'Parameters calculator (hide)'!C79</f>
        <v>49770</v>
      </c>
      <c r="H34" s="297">
        <f>'Summary Calculations (hide)'!A36</f>
        <v>44039</v>
      </c>
      <c r="I34" t="str">
        <f>'Summary Calculations (hide)'!B36</f>
        <v/>
      </c>
      <c r="J34" t="str">
        <f>'Summary Calculations (hide)'!C36</f>
        <v/>
      </c>
      <c r="K34">
        <f>'Summary Calculations (hide)'!D36</f>
        <v>31</v>
      </c>
      <c r="L34" s="67">
        <f ca="1">VLOOKUP($K34,'SPC background (hide)'!$AG$2:$AS$54,3,0)</f>
        <v>1</v>
      </c>
      <c r="M34" s="67">
        <f t="shared" ca="1" si="0"/>
        <v>14486.884615384615</v>
      </c>
      <c r="N34" s="67">
        <f t="shared" ca="1" si="1"/>
        <v>902.95962902345889</v>
      </c>
      <c r="O34" s="67"/>
      <c r="P34" s="67"/>
      <c r="Q34" s="67"/>
      <c r="R34" s="5">
        <f ca="1">(VLOOKUP(K34,'Summary Calculations (hide)'!$D$15:$L$67,8,0)+VLOOKUP(K34,'Summary Calculations (hide)'!$D$15:$L$67,9,0))*IF(Summary!$C$8="Patients",'Summary Calculations (hide)'!$I$9,1)</f>
        <v>5386.595404165917</v>
      </c>
      <c r="AA34" s="67">
        <f ca="1">IF(Summary!$C$8="Patients", 'Parameters calculator (hide)'!$H$63,'Parameters calculator (hide)'!$H$62)</f>
        <v>34172.587019230763</v>
      </c>
      <c r="AB34" s="67">
        <f ca="1">IF(Summary!$C$8="Patients", 'Parameters calculator (hide)'!$I$63,'Parameters calculator (hide)'!$I$62)</f>
        <v>37769.701442307691</v>
      </c>
      <c r="AC34" s="67">
        <f t="shared" ca="1" si="2"/>
        <v>3597.1144230769278</v>
      </c>
    </row>
    <row r="35" spans="1:29" x14ac:dyDescent="0.2">
      <c r="H35" s="297">
        <f>'Summary Calculations (hide)'!A37</f>
        <v>44046</v>
      </c>
      <c r="I35" t="str">
        <f>'Summary Calculations (hide)'!B37</f>
        <v/>
      </c>
      <c r="J35" t="str">
        <f>'Summary Calculations (hide)'!C37</f>
        <v>Aug</v>
      </c>
      <c r="K35">
        <f>'Summary Calculations (hide)'!D37</f>
        <v>32</v>
      </c>
      <c r="L35" s="67">
        <f ca="1">VLOOKUP($K35,'SPC background (hide)'!$AG$2:$AS$54,3,0)</f>
        <v>1</v>
      </c>
      <c r="M35" s="67">
        <f t="shared" ca="1" si="0"/>
        <v>14486.884615384615</v>
      </c>
      <c r="N35" s="67">
        <f t="shared" ca="1" si="1"/>
        <v>902.95962902345889</v>
      </c>
      <c r="O35" s="67"/>
      <c r="P35" s="67"/>
      <c r="Q35" s="67"/>
      <c r="R35" s="5">
        <f ca="1">(VLOOKUP(K35,'Summary Calculations (hide)'!$D$15:$L$67,8,0)+VLOOKUP(K35,'Summary Calculations (hide)'!$D$15:$L$67,9,0))*IF(Summary!$C$8="Patients",'Summary Calculations (hide)'!$I$9,1)</f>
        <v>5386.595404165917</v>
      </c>
      <c r="AA35" s="67">
        <f ca="1">IF(Summary!$C$8="Patients", 'Parameters calculator (hide)'!$H$63,'Parameters calculator (hide)'!$H$62)</f>
        <v>34172.587019230763</v>
      </c>
      <c r="AB35" s="67">
        <f ca="1">IF(Summary!$C$8="Patients", 'Parameters calculator (hide)'!$I$63,'Parameters calculator (hide)'!$I$62)</f>
        <v>37769.701442307691</v>
      </c>
      <c r="AC35" s="67">
        <f t="shared" ca="1" si="2"/>
        <v>3597.1144230769278</v>
      </c>
    </row>
    <row r="36" spans="1:29" x14ac:dyDescent="0.2">
      <c r="H36" s="297">
        <f>'Summary Calculations (hide)'!A38</f>
        <v>44053</v>
      </c>
      <c r="I36" t="str">
        <f>'Summary Calculations (hide)'!B38</f>
        <v/>
      </c>
      <c r="J36" t="str">
        <f>'Summary Calculations (hide)'!C38</f>
        <v/>
      </c>
      <c r="K36">
        <f>'Summary Calculations (hide)'!D38</f>
        <v>33</v>
      </c>
      <c r="L36" s="67">
        <f ca="1">VLOOKUP($K36,'SPC background (hide)'!$AG$2:$AS$54,3,0)</f>
        <v>1</v>
      </c>
      <c r="M36" s="67">
        <f t="shared" ca="1" si="0"/>
        <v>14486.884615384615</v>
      </c>
      <c r="N36" s="67">
        <f t="shared" ca="1" si="1"/>
        <v>902.95962902345889</v>
      </c>
      <c r="O36" s="67"/>
      <c r="P36" s="67"/>
      <c r="Q36" s="67"/>
      <c r="R36" s="5">
        <f ca="1">(VLOOKUP(K36,'Summary Calculations (hide)'!$D$15:$L$67,8,0)+VLOOKUP(K36,'Summary Calculations (hide)'!$D$15:$L$67,9,0))*IF(Summary!$C$8="Patients",'Summary Calculations (hide)'!$I$9,1)</f>
        <v>5386.595404165917</v>
      </c>
      <c r="AA36" s="67">
        <f ca="1">IF(Summary!$C$8="Patients", 'Parameters calculator (hide)'!$H$63,'Parameters calculator (hide)'!$H$62)</f>
        <v>34172.587019230763</v>
      </c>
      <c r="AB36" s="67">
        <f ca="1">IF(Summary!$C$8="Patients", 'Parameters calculator (hide)'!$I$63,'Parameters calculator (hide)'!$I$62)</f>
        <v>37769.701442307691</v>
      </c>
      <c r="AC36" s="67">
        <f t="shared" ca="1" si="2"/>
        <v>3597.1144230769278</v>
      </c>
    </row>
    <row r="37" spans="1:29" x14ac:dyDescent="0.2">
      <c r="H37" s="297">
        <f>'Summary Calculations (hide)'!A39</f>
        <v>44060</v>
      </c>
      <c r="I37" t="str">
        <f>'Summary Calculations (hide)'!B39</f>
        <v/>
      </c>
      <c r="J37" t="str">
        <f>'Summary Calculations (hide)'!C39</f>
        <v/>
      </c>
      <c r="K37">
        <f>'Summary Calculations (hide)'!D39</f>
        <v>34</v>
      </c>
      <c r="L37" s="67">
        <f ca="1">VLOOKUP($K37,'SPC background (hide)'!$AG$2:$AS$54,3,0)</f>
        <v>1</v>
      </c>
      <c r="M37" s="67">
        <f t="shared" ca="1" si="0"/>
        <v>14486.884615384615</v>
      </c>
      <c r="N37" s="67">
        <f t="shared" ca="1" si="1"/>
        <v>902.95962902345889</v>
      </c>
      <c r="O37" s="67"/>
      <c r="P37" s="67"/>
      <c r="Q37" s="67"/>
      <c r="R37" s="5">
        <f ca="1">(VLOOKUP(K37,'Summary Calculations (hide)'!$D$15:$L$67,8,0)+VLOOKUP(K37,'Summary Calculations (hide)'!$D$15:$L$67,9,0))*IF(Summary!$C$8="Patients",'Summary Calculations (hide)'!$I$9,1)</f>
        <v>5386.595404165917</v>
      </c>
      <c r="AA37" s="67">
        <f ca="1">IF(Summary!$C$8="Patients", 'Parameters calculator (hide)'!$H$63,'Parameters calculator (hide)'!$H$62)</f>
        <v>34172.587019230763</v>
      </c>
      <c r="AB37" s="67">
        <f ca="1">IF(Summary!$C$8="Patients", 'Parameters calculator (hide)'!$I$63,'Parameters calculator (hide)'!$I$62)</f>
        <v>37769.701442307691</v>
      </c>
      <c r="AC37" s="67">
        <f t="shared" ca="1" si="2"/>
        <v>3597.1144230769278</v>
      </c>
    </row>
    <row r="38" spans="1:29" x14ac:dyDescent="0.2">
      <c r="H38" s="297">
        <f>'Summary Calculations (hide)'!A40</f>
        <v>44067</v>
      </c>
      <c r="I38" t="str">
        <f>'Summary Calculations (hide)'!B40</f>
        <v/>
      </c>
      <c r="J38" t="str">
        <f>'Summary Calculations (hide)'!C40</f>
        <v/>
      </c>
      <c r="K38">
        <f>'Summary Calculations (hide)'!D40</f>
        <v>35</v>
      </c>
      <c r="L38" s="67">
        <f ca="1">VLOOKUP($K38,'SPC background (hide)'!$AG$2:$AS$54,3,0)</f>
        <v>1</v>
      </c>
      <c r="M38" s="67">
        <f t="shared" ca="1" si="0"/>
        <v>14486.884615384615</v>
      </c>
      <c r="N38" s="67">
        <f t="shared" ca="1" si="1"/>
        <v>902.95962902345889</v>
      </c>
      <c r="O38" s="67"/>
      <c r="P38" s="67"/>
      <c r="Q38" s="67"/>
      <c r="R38" s="5">
        <f ca="1">(VLOOKUP(K38,'Summary Calculations (hide)'!$D$15:$L$67,8,0)+VLOOKUP(K38,'Summary Calculations (hide)'!$D$15:$L$67,9,0))*IF(Summary!$C$8="Patients",'Summary Calculations (hide)'!$I$9,1)</f>
        <v>5386.595404165917</v>
      </c>
      <c r="AA38" s="67">
        <f ca="1">IF(Summary!$C$8="Patients", 'Parameters calculator (hide)'!$H$63,'Parameters calculator (hide)'!$H$62)</f>
        <v>34172.587019230763</v>
      </c>
      <c r="AB38" s="67">
        <f ca="1">IF(Summary!$C$8="Patients", 'Parameters calculator (hide)'!$I$63,'Parameters calculator (hide)'!$I$62)</f>
        <v>37769.701442307691</v>
      </c>
      <c r="AC38" s="67">
        <f t="shared" ca="1" si="2"/>
        <v>3597.1144230769278</v>
      </c>
    </row>
    <row r="39" spans="1:29" x14ac:dyDescent="0.2">
      <c r="H39" s="297">
        <f>'Summary Calculations (hide)'!A41</f>
        <v>44074</v>
      </c>
      <c r="I39" t="str">
        <f>'Summary Calculations (hide)'!B41</f>
        <v/>
      </c>
      <c r="J39" t="str">
        <f>'Summary Calculations (hide)'!C41</f>
        <v/>
      </c>
      <c r="K39">
        <f>'Summary Calculations (hide)'!D41</f>
        <v>36</v>
      </c>
      <c r="L39" s="67">
        <f ca="1">VLOOKUP($K39,'SPC background (hide)'!$AG$2:$AS$54,3,0)</f>
        <v>1</v>
      </c>
      <c r="M39" s="67">
        <f t="shared" ca="1" si="0"/>
        <v>14486.884615384615</v>
      </c>
      <c r="N39" s="67">
        <f t="shared" ca="1" si="1"/>
        <v>902.95962902345889</v>
      </c>
      <c r="O39" s="67"/>
      <c r="P39" s="67"/>
      <c r="Q39" s="67"/>
      <c r="R39" s="5">
        <f ca="1">(VLOOKUP(K39,'Summary Calculations (hide)'!$D$15:$L$67,8,0)+VLOOKUP(K39,'Summary Calculations (hide)'!$D$15:$L$67,9,0))*IF(Summary!$C$8="Patients",'Summary Calculations (hide)'!$I$9,1)</f>
        <v>5386.595404165917</v>
      </c>
      <c r="AA39" s="67">
        <f ca="1">IF(Summary!$C$8="Patients", 'Parameters calculator (hide)'!$H$63,'Parameters calculator (hide)'!$H$62)</f>
        <v>34172.587019230763</v>
      </c>
      <c r="AB39" s="67">
        <f ca="1">IF(Summary!$C$8="Patients", 'Parameters calculator (hide)'!$I$63,'Parameters calculator (hide)'!$I$62)</f>
        <v>37769.701442307691</v>
      </c>
      <c r="AC39" s="67">
        <f t="shared" ca="1" si="2"/>
        <v>3597.1144230769278</v>
      </c>
    </row>
    <row r="40" spans="1:29" x14ac:dyDescent="0.2">
      <c r="H40" s="297">
        <f>'Summary Calculations (hide)'!A42</f>
        <v>44081</v>
      </c>
      <c r="I40" t="str">
        <f>'Summary Calculations (hide)'!B42</f>
        <v/>
      </c>
      <c r="J40" t="str">
        <f>'Summary Calculations (hide)'!C42</f>
        <v>Sep</v>
      </c>
      <c r="K40">
        <f>'Summary Calculations (hide)'!D42</f>
        <v>37</v>
      </c>
      <c r="L40" s="67">
        <f ca="1">VLOOKUP($K40,'SPC background (hide)'!$AG$2:$AS$54,3,0)</f>
        <v>1</v>
      </c>
      <c r="M40" s="67">
        <f t="shared" ca="1" si="0"/>
        <v>14486.884615384615</v>
      </c>
      <c r="N40" s="67">
        <f t="shared" ca="1" si="1"/>
        <v>902.95962902345889</v>
      </c>
      <c r="O40" s="67"/>
      <c r="P40" s="67"/>
      <c r="Q40" s="67"/>
      <c r="R40" s="5">
        <f ca="1">(VLOOKUP(K40,'Summary Calculations (hide)'!$D$15:$L$67,8,0)+VLOOKUP(K40,'Summary Calculations (hide)'!$D$15:$L$67,9,0))*IF(Summary!$C$8="Patients",'Summary Calculations (hide)'!$I$9,1)</f>
        <v>5386.595404165917</v>
      </c>
      <c r="AA40" s="67">
        <f ca="1">IF(Summary!$C$8="Patients", 'Parameters calculator (hide)'!$H$63,'Parameters calculator (hide)'!$H$62)</f>
        <v>34172.587019230763</v>
      </c>
      <c r="AB40" s="67">
        <f ca="1">IF(Summary!$C$8="Patients", 'Parameters calculator (hide)'!$I$63,'Parameters calculator (hide)'!$I$62)</f>
        <v>37769.701442307691</v>
      </c>
      <c r="AC40" s="67">
        <f t="shared" ca="1" si="2"/>
        <v>3597.1144230769278</v>
      </c>
    </row>
    <row r="41" spans="1:29" x14ac:dyDescent="0.2">
      <c r="H41" s="297">
        <f>'Summary Calculations (hide)'!A43</f>
        <v>44088</v>
      </c>
      <c r="I41" t="str">
        <f>'Summary Calculations (hide)'!B43</f>
        <v/>
      </c>
      <c r="J41" t="str">
        <f>'Summary Calculations (hide)'!C43</f>
        <v/>
      </c>
      <c r="K41">
        <f>'Summary Calculations (hide)'!D43</f>
        <v>38</v>
      </c>
      <c r="L41" s="67">
        <f ca="1">VLOOKUP($K41,'SPC background (hide)'!$AG$2:$AS$54,3,0)</f>
        <v>1</v>
      </c>
      <c r="M41" s="67">
        <f t="shared" ca="1" si="0"/>
        <v>14486.884615384615</v>
      </c>
      <c r="N41" s="67">
        <f t="shared" ca="1" si="1"/>
        <v>902.95962902345889</v>
      </c>
      <c r="O41" s="67"/>
      <c r="P41" s="67"/>
      <c r="Q41" s="67"/>
      <c r="R41" s="5">
        <f ca="1">(VLOOKUP(K41,'Summary Calculations (hide)'!$D$15:$L$67,8,0)+VLOOKUP(K41,'Summary Calculations (hide)'!$D$15:$L$67,9,0))*IF(Summary!$C$8="Patients",'Summary Calculations (hide)'!$I$9,1)</f>
        <v>5386.595404165917</v>
      </c>
      <c r="AA41" s="67">
        <f ca="1">IF(Summary!$C$8="Patients", 'Parameters calculator (hide)'!$H$63,'Parameters calculator (hide)'!$H$62)</f>
        <v>34172.587019230763</v>
      </c>
      <c r="AB41" s="67">
        <f ca="1">IF(Summary!$C$8="Patients", 'Parameters calculator (hide)'!$I$63,'Parameters calculator (hide)'!$I$62)</f>
        <v>37769.701442307691</v>
      </c>
      <c r="AC41" s="67">
        <f t="shared" ca="1" si="2"/>
        <v>3597.1144230769278</v>
      </c>
    </row>
    <row r="42" spans="1:29" x14ac:dyDescent="0.2">
      <c r="H42" s="297">
        <f>'Summary Calculations (hide)'!A44</f>
        <v>44095</v>
      </c>
      <c r="I42" t="str">
        <f>'Summary Calculations (hide)'!B44</f>
        <v/>
      </c>
      <c r="J42" t="str">
        <f>'Summary Calculations (hide)'!C44</f>
        <v/>
      </c>
      <c r="K42">
        <f>'Summary Calculations (hide)'!D44</f>
        <v>39</v>
      </c>
      <c r="L42" s="67">
        <f ca="1">VLOOKUP($K42,'SPC background (hide)'!$AG$2:$AS$54,3,0)</f>
        <v>1</v>
      </c>
      <c r="M42" s="67">
        <f t="shared" ca="1" si="0"/>
        <v>14486.884615384615</v>
      </c>
      <c r="N42" s="67">
        <f t="shared" ca="1" si="1"/>
        <v>902.95962902345889</v>
      </c>
      <c r="O42" s="67"/>
      <c r="P42" s="67"/>
      <c r="Q42" s="67"/>
      <c r="R42" s="5">
        <f ca="1">(VLOOKUP(K42,'Summary Calculations (hide)'!$D$15:$L$67,8,0)+VLOOKUP(K42,'Summary Calculations (hide)'!$D$15:$L$67,9,0))*IF(Summary!$C$8="Patients",'Summary Calculations (hide)'!$I$9,1)</f>
        <v>5386.595404165917</v>
      </c>
      <c r="AA42" s="67">
        <f ca="1">IF(Summary!$C$8="Patients", 'Parameters calculator (hide)'!$H$63,'Parameters calculator (hide)'!$H$62)</f>
        <v>34172.587019230763</v>
      </c>
      <c r="AB42" s="67">
        <f ca="1">IF(Summary!$C$8="Patients", 'Parameters calculator (hide)'!$I$63,'Parameters calculator (hide)'!$I$62)</f>
        <v>37769.701442307691</v>
      </c>
      <c r="AC42" s="67">
        <f t="shared" ca="1" si="2"/>
        <v>3597.1144230769278</v>
      </c>
    </row>
    <row r="43" spans="1:29" x14ac:dyDescent="0.2">
      <c r="H43" s="297">
        <f>'Summary Calculations (hide)'!A45</f>
        <v>44102</v>
      </c>
      <c r="I43" t="str">
        <f>'Summary Calculations (hide)'!B45</f>
        <v/>
      </c>
      <c r="J43" t="str">
        <f>'Summary Calculations (hide)'!C45</f>
        <v/>
      </c>
      <c r="K43">
        <f>'Summary Calculations (hide)'!D45</f>
        <v>40</v>
      </c>
      <c r="L43" s="67">
        <f ca="1">VLOOKUP($K43,'SPC background (hide)'!$AG$2:$AS$54,3,0)</f>
        <v>1</v>
      </c>
      <c r="M43" s="67">
        <f t="shared" ca="1" si="0"/>
        <v>14486.884615384615</v>
      </c>
      <c r="N43" s="67">
        <f t="shared" ca="1" si="1"/>
        <v>902.95962902345889</v>
      </c>
      <c r="O43" s="67"/>
      <c r="P43" s="67"/>
      <c r="Q43" s="67"/>
      <c r="R43" s="5">
        <f ca="1">(VLOOKUP(K43,'Summary Calculations (hide)'!$D$15:$L$67,8,0)+VLOOKUP(K43,'Summary Calculations (hide)'!$D$15:$L$67,9,0))*IF(Summary!$C$8="Patients",'Summary Calculations (hide)'!$I$9,1)</f>
        <v>5386.595404165917</v>
      </c>
      <c r="AA43" s="67">
        <f ca="1">IF(Summary!$C$8="Patients", 'Parameters calculator (hide)'!$H$63,'Parameters calculator (hide)'!$H$62)</f>
        <v>34172.587019230763</v>
      </c>
      <c r="AB43" s="67">
        <f ca="1">IF(Summary!$C$8="Patients", 'Parameters calculator (hide)'!$I$63,'Parameters calculator (hide)'!$I$62)</f>
        <v>37769.701442307691</v>
      </c>
      <c r="AC43" s="67">
        <f t="shared" ca="1" si="2"/>
        <v>3597.1144230769278</v>
      </c>
    </row>
    <row r="44" spans="1:29" x14ac:dyDescent="0.2">
      <c r="H44" s="297">
        <f>'Summary Calculations (hide)'!A46</f>
        <v>44109</v>
      </c>
      <c r="I44" t="str">
        <f>'Summary Calculations (hide)'!B46</f>
        <v/>
      </c>
      <c r="J44" t="str">
        <f>'Summary Calculations (hide)'!C46</f>
        <v>Oct</v>
      </c>
      <c r="K44">
        <f>'Summary Calculations (hide)'!D46</f>
        <v>41</v>
      </c>
      <c r="L44" s="67">
        <f ca="1">VLOOKUP($K44,'SPC background (hide)'!$AG$2:$AS$54,3,0)</f>
        <v>1</v>
      </c>
      <c r="M44" s="67">
        <f t="shared" ca="1" si="0"/>
        <v>14486.884615384615</v>
      </c>
      <c r="N44" s="67">
        <f t="shared" ca="1" si="1"/>
        <v>902.95962902345889</v>
      </c>
      <c r="O44" s="67"/>
      <c r="P44" s="67"/>
      <c r="Q44" s="67"/>
      <c r="R44" s="5">
        <f ca="1">(VLOOKUP(K44,'Summary Calculations (hide)'!$D$15:$L$67,8,0)+VLOOKUP(K44,'Summary Calculations (hide)'!$D$15:$L$67,9,0))*IF(Summary!$C$8="Patients",'Summary Calculations (hide)'!$I$9,1)</f>
        <v>5386.595404165917</v>
      </c>
      <c r="AA44" s="67">
        <f ca="1">IF(Summary!$C$8="Patients", 'Parameters calculator (hide)'!$H$63,'Parameters calculator (hide)'!$H$62)</f>
        <v>34172.587019230763</v>
      </c>
      <c r="AB44" s="67">
        <f ca="1">IF(Summary!$C$8="Patients", 'Parameters calculator (hide)'!$I$63,'Parameters calculator (hide)'!$I$62)</f>
        <v>37769.701442307691</v>
      </c>
      <c r="AC44" s="67">
        <f t="shared" ca="1" si="2"/>
        <v>3597.1144230769278</v>
      </c>
    </row>
    <row r="45" spans="1:29" x14ac:dyDescent="0.2">
      <c r="H45" s="297">
        <f>'Summary Calculations (hide)'!A47</f>
        <v>44116</v>
      </c>
      <c r="I45" t="str">
        <f>'Summary Calculations (hide)'!B47</f>
        <v/>
      </c>
      <c r="J45" t="str">
        <f>'Summary Calculations (hide)'!C47</f>
        <v/>
      </c>
      <c r="K45">
        <f>'Summary Calculations (hide)'!D47</f>
        <v>42</v>
      </c>
      <c r="L45" s="67">
        <f ca="1">VLOOKUP($K45,'SPC background (hide)'!$AG$2:$AS$54,3,0)</f>
        <v>1</v>
      </c>
      <c r="M45" s="67">
        <f t="shared" ca="1" si="0"/>
        <v>14486.884615384615</v>
      </c>
      <c r="N45" s="67">
        <f t="shared" ca="1" si="1"/>
        <v>902.95962902345889</v>
      </c>
      <c r="O45" s="67"/>
      <c r="P45" s="67"/>
      <c r="Q45" s="67"/>
      <c r="R45" s="5">
        <f ca="1">(VLOOKUP(K45,'Summary Calculations (hide)'!$D$15:$L$67,8,0)+VLOOKUP(K45,'Summary Calculations (hide)'!$D$15:$L$67,9,0))*IF(Summary!$C$8="Patients",'Summary Calculations (hide)'!$I$9,1)</f>
        <v>5386.595404165917</v>
      </c>
      <c r="AA45" s="67">
        <f ca="1">IF(Summary!$C$8="Patients", 'Parameters calculator (hide)'!$H$63,'Parameters calculator (hide)'!$H$62)</f>
        <v>34172.587019230763</v>
      </c>
      <c r="AB45" s="67">
        <f ca="1">IF(Summary!$C$8="Patients", 'Parameters calculator (hide)'!$I$63,'Parameters calculator (hide)'!$I$62)</f>
        <v>37769.701442307691</v>
      </c>
      <c r="AC45" s="67">
        <f t="shared" ca="1" si="2"/>
        <v>3597.1144230769278</v>
      </c>
    </row>
    <row r="46" spans="1:29" x14ac:dyDescent="0.2">
      <c r="H46" s="297">
        <f>'Summary Calculations (hide)'!A48</f>
        <v>44123</v>
      </c>
      <c r="I46" t="str">
        <f>'Summary Calculations (hide)'!B48</f>
        <v/>
      </c>
      <c r="J46" t="str">
        <f>'Summary Calculations (hide)'!C48</f>
        <v/>
      </c>
      <c r="K46">
        <f>'Summary Calculations (hide)'!D48</f>
        <v>43</v>
      </c>
      <c r="L46" s="67">
        <f ca="1">VLOOKUP($K46,'SPC background (hide)'!$AG$2:$AS$54,3,0)</f>
        <v>1</v>
      </c>
      <c r="M46" s="67">
        <f t="shared" ca="1" si="0"/>
        <v>14486.884615384615</v>
      </c>
      <c r="N46" s="67">
        <f t="shared" ca="1" si="1"/>
        <v>902.95962902345889</v>
      </c>
      <c r="O46" s="67"/>
      <c r="P46" s="67"/>
      <c r="Q46" s="67"/>
      <c r="R46" s="5">
        <f ca="1">(VLOOKUP(K46,'Summary Calculations (hide)'!$D$15:$L$67,8,0)+VLOOKUP(K46,'Summary Calculations (hide)'!$D$15:$L$67,9,0))*IF(Summary!$C$8="Patients",'Summary Calculations (hide)'!$I$9,1)</f>
        <v>5386.595404165917</v>
      </c>
      <c r="AA46" s="67">
        <f ca="1">IF(Summary!$C$8="Patients", 'Parameters calculator (hide)'!$H$63,'Parameters calculator (hide)'!$H$62)</f>
        <v>34172.587019230763</v>
      </c>
      <c r="AB46" s="67">
        <f ca="1">IF(Summary!$C$8="Patients", 'Parameters calculator (hide)'!$I$63,'Parameters calculator (hide)'!$I$62)</f>
        <v>37769.701442307691</v>
      </c>
      <c r="AC46" s="67">
        <f t="shared" ca="1" si="2"/>
        <v>3597.1144230769278</v>
      </c>
    </row>
    <row r="47" spans="1:29" x14ac:dyDescent="0.2">
      <c r="H47" s="297">
        <f>'Summary Calculations (hide)'!A49</f>
        <v>44130</v>
      </c>
      <c r="I47" t="str">
        <f>'Summary Calculations (hide)'!B49</f>
        <v/>
      </c>
      <c r="J47" t="str">
        <f>'Summary Calculations (hide)'!C49</f>
        <v/>
      </c>
      <c r="K47">
        <f>'Summary Calculations (hide)'!D49</f>
        <v>44</v>
      </c>
      <c r="L47" s="67">
        <f ca="1">VLOOKUP($K47,'SPC background (hide)'!$AG$2:$AS$54,3,0)</f>
        <v>1</v>
      </c>
      <c r="M47" s="67">
        <f t="shared" ca="1" si="0"/>
        <v>14486.884615384615</v>
      </c>
      <c r="N47" s="67">
        <f t="shared" ca="1" si="1"/>
        <v>902.95962902345889</v>
      </c>
      <c r="O47" s="67"/>
      <c r="P47" s="67"/>
      <c r="Q47" s="67"/>
      <c r="R47" s="5">
        <f ca="1">(VLOOKUP(K47,'Summary Calculations (hide)'!$D$15:$L$67,8,0)+VLOOKUP(K47,'Summary Calculations (hide)'!$D$15:$L$67,9,0))*IF(Summary!$C$8="Patients",'Summary Calculations (hide)'!$I$9,1)</f>
        <v>5386.595404165917</v>
      </c>
      <c r="AA47" s="67">
        <f ca="1">IF(Summary!$C$8="Patients", 'Parameters calculator (hide)'!$H$63,'Parameters calculator (hide)'!$H$62)</f>
        <v>34172.587019230763</v>
      </c>
      <c r="AB47" s="67">
        <f ca="1">IF(Summary!$C$8="Patients", 'Parameters calculator (hide)'!$I$63,'Parameters calculator (hide)'!$I$62)</f>
        <v>37769.701442307691</v>
      </c>
      <c r="AC47" s="67">
        <f t="shared" ca="1" si="2"/>
        <v>3597.1144230769278</v>
      </c>
    </row>
    <row r="48" spans="1:29" x14ac:dyDescent="0.2">
      <c r="H48" s="297">
        <f>'Summary Calculations (hide)'!A50</f>
        <v>44137</v>
      </c>
      <c r="I48" t="str">
        <f>'Summary Calculations (hide)'!B50</f>
        <v/>
      </c>
      <c r="J48" t="str">
        <f>'Summary Calculations (hide)'!C50</f>
        <v>Nov</v>
      </c>
      <c r="K48">
        <f>'Summary Calculations (hide)'!D50</f>
        <v>45</v>
      </c>
      <c r="L48" s="67">
        <f ca="1">VLOOKUP($K48,'SPC background (hide)'!$AG$2:$AS$54,3,0)</f>
        <v>1</v>
      </c>
      <c r="M48" s="67">
        <f t="shared" ca="1" si="0"/>
        <v>14486.884615384615</v>
      </c>
      <c r="N48" s="67">
        <f t="shared" ca="1" si="1"/>
        <v>902.95962902345889</v>
      </c>
      <c r="O48" s="67"/>
      <c r="P48" s="67"/>
      <c r="Q48" s="67"/>
      <c r="R48" s="5">
        <f ca="1">(VLOOKUP(K48,'Summary Calculations (hide)'!$D$15:$L$67,8,0)+VLOOKUP(K48,'Summary Calculations (hide)'!$D$15:$L$67,9,0))*IF(Summary!$C$8="Patients",'Summary Calculations (hide)'!$I$9,1)</f>
        <v>5386.595404165917</v>
      </c>
      <c r="AA48" s="67">
        <f ca="1">IF(Summary!$C$8="Patients", 'Parameters calculator (hide)'!$H$63,'Parameters calculator (hide)'!$H$62)</f>
        <v>34172.587019230763</v>
      </c>
      <c r="AB48" s="67">
        <f ca="1">IF(Summary!$C$8="Patients", 'Parameters calculator (hide)'!$I$63,'Parameters calculator (hide)'!$I$62)</f>
        <v>37769.701442307691</v>
      </c>
      <c r="AC48" s="67">
        <f t="shared" ca="1" si="2"/>
        <v>3597.1144230769278</v>
      </c>
    </row>
    <row r="49" spans="8:29" x14ac:dyDescent="0.2">
      <c r="H49" s="297">
        <f>'Summary Calculations (hide)'!A51</f>
        <v>44144</v>
      </c>
      <c r="I49" t="str">
        <f>'Summary Calculations (hide)'!B51</f>
        <v/>
      </c>
      <c r="J49" t="str">
        <f>'Summary Calculations (hide)'!C51</f>
        <v/>
      </c>
      <c r="K49">
        <f>'Summary Calculations (hide)'!D51</f>
        <v>46</v>
      </c>
      <c r="L49" s="67">
        <f ca="1">VLOOKUP($K49,'SPC background (hide)'!$AG$2:$AS$54,3,0)</f>
        <v>1</v>
      </c>
      <c r="M49" s="67">
        <f t="shared" ca="1" si="0"/>
        <v>14486.884615384615</v>
      </c>
      <c r="N49" s="67">
        <f t="shared" ca="1" si="1"/>
        <v>902.95962902345889</v>
      </c>
      <c r="O49" s="67"/>
      <c r="P49" s="67"/>
      <c r="Q49" s="67"/>
      <c r="R49" s="5">
        <f ca="1">(VLOOKUP(K49,'Summary Calculations (hide)'!$D$15:$L$67,8,0)+VLOOKUP(K49,'Summary Calculations (hide)'!$D$15:$L$67,9,0))*IF(Summary!$C$8="Patients",'Summary Calculations (hide)'!$I$9,1)</f>
        <v>5386.595404165917</v>
      </c>
      <c r="AA49" s="67">
        <f ca="1">IF(Summary!$C$8="Patients", 'Parameters calculator (hide)'!$H$63,'Parameters calculator (hide)'!$H$62)</f>
        <v>34172.587019230763</v>
      </c>
      <c r="AB49" s="67">
        <f ca="1">IF(Summary!$C$8="Patients", 'Parameters calculator (hide)'!$I$63,'Parameters calculator (hide)'!$I$62)</f>
        <v>37769.701442307691</v>
      </c>
      <c r="AC49" s="67">
        <f t="shared" ca="1" si="2"/>
        <v>3597.1144230769278</v>
      </c>
    </row>
    <row r="50" spans="8:29" x14ac:dyDescent="0.2">
      <c r="H50" s="297">
        <f>'Summary Calculations (hide)'!A52</f>
        <v>44151</v>
      </c>
      <c r="I50" t="str">
        <f>'Summary Calculations (hide)'!B52</f>
        <v/>
      </c>
      <c r="J50" t="str">
        <f>'Summary Calculations (hide)'!C52</f>
        <v/>
      </c>
      <c r="K50">
        <f>'Summary Calculations (hide)'!D52</f>
        <v>47</v>
      </c>
      <c r="L50" s="67">
        <f ca="1">VLOOKUP($K50,'SPC background (hide)'!$AG$2:$AS$54,3,0)</f>
        <v>1</v>
      </c>
      <c r="M50" s="67">
        <f t="shared" ca="1" si="0"/>
        <v>14486.884615384615</v>
      </c>
      <c r="N50" s="67">
        <f t="shared" ca="1" si="1"/>
        <v>902.95962902345889</v>
      </c>
      <c r="O50" s="67"/>
      <c r="P50" s="67"/>
      <c r="Q50" s="67"/>
      <c r="R50" s="5">
        <f ca="1">(VLOOKUP(K50,'Summary Calculations (hide)'!$D$15:$L$67,8,0)+VLOOKUP(K50,'Summary Calculations (hide)'!$D$15:$L$67,9,0))*IF(Summary!$C$8="Patients",'Summary Calculations (hide)'!$I$9,1)</f>
        <v>5386.595404165917</v>
      </c>
      <c r="AA50" s="67">
        <f ca="1">IF(Summary!$C$8="Patients", 'Parameters calculator (hide)'!$H$63,'Parameters calculator (hide)'!$H$62)</f>
        <v>34172.587019230763</v>
      </c>
      <c r="AB50" s="67">
        <f ca="1">IF(Summary!$C$8="Patients", 'Parameters calculator (hide)'!$I$63,'Parameters calculator (hide)'!$I$62)</f>
        <v>37769.701442307691</v>
      </c>
      <c r="AC50" s="67">
        <f t="shared" ca="1" si="2"/>
        <v>3597.1144230769278</v>
      </c>
    </row>
    <row r="51" spans="8:29" x14ac:dyDescent="0.2">
      <c r="H51" s="297">
        <f>'Summary Calculations (hide)'!A53</f>
        <v>44158</v>
      </c>
      <c r="I51" t="str">
        <f>'Summary Calculations (hide)'!B53</f>
        <v/>
      </c>
      <c r="J51" t="str">
        <f>'Summary Calculations (hide)'!C53</f>
        <v/>
      </c>
      <c r="K51">
        <f>'Summary Calculations (hide)'!D53</f>
        <v>48</v>
      </c>
      <c r="L51" s="67">
        <f ca="1">VLOOKUP($K51,'SPC background (hide)'!$AG$2:$AS$54,3,0)</f>
        <v>1</v>
      </c>
      <c r="M51" s="67">
        <f t="shared" ca="1" si="0"/>
        <v>14486.884615384615</v>
      </c>
      <c r="N51" s="67">
        <f t="shared" ca="1" si="1"/>
        <v>902.95962902345889</v>
      </c>
      <c r="O51" s="67"/>
      <c r="P51" s="67"/>
      <c r="Q51" s="67"/>
      <c r="R51" s="5">
        <f ca="1">(VLOOKUP(K51,'Summary Calculations (hide)'!$D$15:$L$67,8,0)+VLOOKUP(K51,'Summary Calculations (hide)'!$D$15:$L$67,9,0))*IF(Summary!$C$8="Patients",'Summary Calculations (hide)'!$I$9,1)</f>
        <v>5386.595404165917</v>
      </c>
      <c r="AA51" s="67">
        <f ca="1">IF(Summary!$C$8="Patients", 'Parameters calculator (hide)'!$H$63,'Parameters calculator (hide)'!$H$62)</f>
        <v>34172.587019230763</v>
      </c>
      <c r="AB51" s="67">
        <f ca="1">IF(Summary!$C$8="Patients", 'Parameters calculator (hide)'!$I$63,'Parameters calculator (hide)'!$I$62)</f>
        <v>37769.701442307691</v>
      </c>
      <c r="AC51" s="67">
        <f t="shared" ca="1" si="2"/>
        <v>3597.1144230769278</v>
      </c>
    </row>
    <row r="52" spans="8:29" x14ac:dyDescent="0.2">
      <c r="H52" s="297">
        <f>'Summary Calculations (hide)'!A54</f>
        <v>44165</v>
      </c>
      <c r="I52" t="str">
        <f>'Summary Calculations (hide)'!B54</f>
        <v/>
      </c>
      <c r="J52" t="str">
        <f>'Summary Calculations (hide)'!C54</f>
        <v/>
      </c>
      <c r="K52">
        <f>'Summary Calculations (hide)'!D54</f>
        <v>49</v>
      </c>
      <c r="L52" s="67">
        <f ca="1">VLOOKUP($K52,'SPC background (hide)'!$AG$2:$AS$54,3,0)</f>
        <v>1</v>
      </c>
      <c r="M52" s="67">
        <f t="shared" ca="1" si="0"/>
        <v>14486.884615384615</v>
      </c>
      <c r="N52" s="67">
        <f t="shared" ca="1" si="1"/>
        <v>902.95962902345889</v>
      </c>
      <c r="O52" s="67"/>
      <c r="P52" s="67"/>
      <c r="Q52" s="67"/>
      <c r="R52" s="5">
        <f ca="1">(VLOOKUP(K52,'Summary Calculations (hide)'!$D$15:$L$67,8,0)+VLOOKUP(K52,'Summary Calculations (hide)'!$D$15:$L$67,9,0))*IF(Summary!$C$8="Patients",'Summary Calculations (hide)'!$I$9,1)</f>
        <v>5386.595404165917</v>
      </c>
      <c r="AA52" s="67">
        <f ca="1">IF(Summary!$C$8="Patients", 'Parameters calculator (hide)'!$H$63,'Parameters calculator (hide)'!$H$62)</f>
        <v>34172.587019230763</v>
      </c>
      <c r="AB52" s="67">
        <f ca="1">IF(Summary!$C$8="Patients", 'Parameters calculator (hide)'!$I$63,'Parameters calculator (hide)'!$I$62)</f>
        <v>37769.701442307691</v>
      </c>
      <c r="AC52" s="67">
        <f t="shared" ca="1" si="2"/>
        <v>3597.1144230769278</v>
      </c>
    </row>
    <row r="53" spans="8:29" x14ac:dyDescent="0.2">
      <c r="H53" s="297">
        <f>'Summary Calculations (hide)'!A55</f>
        <v>44172</v>
      </c>
      <c r="I53" t="str">
        <f>'Summary Calculations (hide)'!B55</f>
        <v/>
      </c>
      <c r="J53" t="str">
        <f>'Summary Calculations (hide)'!C55</f>
        <v>Dec</v>
      </c>
      <c r="K53">
        <f>'Summary Calculations (hide)'!D55</f>
        <v>50</v>
      </c>
      <c r="L53" s="67">
        <f ca="1">VLOOKUP($K53,'SPC background (hide)'!$AG$2:$AS$54,3,0)</f>
        <v>1</v>
      </c>
      <c r="M53" s="67">
        <f t="shared" ca="1" si="0"/>
        <v>14486.884615384615</v>
      </c>
      <c r="N53" s="67">
        <f t="shared" ca="1" si="1"/>
        <v>902.95962902345889</v>
      </c>
      <c r="O53" s="67"/>
      <c r="P53" s="67"/>
      <c r="Q53" s="67"/>
      <c r="R53" s="5">
        <f ca="1">(VLOOKUP(K53,'Summary Calculations (hide)'!$D$15:$L$67,8,0)+VLOOKUP(K53,'Summary Calculations (hide)'!$D$15:$L$67,9,0))*IF(Summary!$C$8="Patients",'Summary Calculations (hide)'!$I$9,1)</f>
        <v>5386.595404165917</v>
      </c>
      <c r="AA53" s="67">
        <f ca="1">IF(Summary!$C$8="Patients", 'Parameters calculator (hide)'!$H$63,'Parameters calculator (hide)'!$H$62)</f>
        <v>34172.587019230763</v>
      </c>
      <c r="AB53" s="67">
        <f ca="1">IF(Summary!$C$8="Patients", 'Parameters calculator (hide)'!$I$63,'Parameters calculator (hide)'!$I$62)</f>
        <v>37769.701442307691</v>
      </c>
      <c r="AC53" s="67">
        <f t="shared" ca="1" si="2"/>
        <v>3597.1144230769278</v>
      </c>
    </row>
    <row r="54" spans="8:29" x14ac:dyDescent="0.2">
      <c r="H54" s="297">
        <f>'Summary Calculations (hide)'!A56</f>
        <v>44179</v>
      </c>
      <c r="I54" t="str">
        <f>'Summary Calculations (hide)'!B56</f>
        <v/>
      </c>
      <c r="J54" t="str">
        <f>'Summary Calculations (hide)'!C56</f>
        <v/>
      </c>
      <c r="K54">
        <f>'Summary Calculations (hide)'!D56</f>
        <v>51</v>
      </c>
      <c r="L54" s="67">
        <f ca="1">VLOOKUP($K54,'SPC background (hide)'!$AG$2:$AS$54,3,0)</f>
        <v>1</v>
      </c>
      <c r="M54" s="67">
        <f t="shared" ca="1" si="0"/>
        <v>14486.884615384615</v>
      </c>
      <c r="N54" s="67">
        <f t="shared" ca="1" si="1"/>
        <v>902.95962902345889</v>
      </c>
      <c r="O54" s="67"/>
      <c r="P54" s="67"/>
      <c r="Q54" s="67"/>
      <c r="R54" s="5">
        <f ca="1">(VLOOKUP(K54,'Summary Calculations (hide)'!$D$15:$L$67,8,0)+VLOOKUP(K54,'Summary Calculations (hide)'!$D$15:$L$67,9,0))*IF(Summary!$C$8="Patients",'Summary Calculations (hide)'!$I$9,1)</f>
        <v>5386.595404165917</v>
      </c>
      <c r="AA54" s="67">
        <f ca="1">IF(Summary!$C$8="Patients", 'Parameters calculator (hide)'!$H$63,'Parameters calculator (hide)'!$H$62)</f>
        <v>34172.587019230763</v>
      </c>
      <c r="AB54" s="67">
        <f ca="1">IF(Summary!$C$8="Patients", 'Parameters calculator (hide)'!$I$63,'Parameters calculator (hide)'!$I$62)</f>
        <v>37769.701442307691</v>
      </c>
      <c r="AC54" s="67">
        <f t="shared" ca="1" si="2"/>
        <v>3597.1144230769278</v>
      </c>
    </row>
    <row r="55" spans="8:29" x14ac:dyDescent="0.2">
      <c r="H55" s="297">
        <f>'Summary Calculations (hide)'!A57</f>
        <v>44186</v>
      </c>
      <c r="I55" t="str">
        <f>'Summary Calculations (hide)'!B57</f>
        <v/>
      </c>
      <c r="J55" t="str">
        <f>'Summary Calculations (hide)'!C57</f>
        <v/>
      </c>
      <c r="K55">
        <f>'Summary Calculations (hide)'!D57</f>
        <v>52</v>
      </c>
      <c r="L55" s="67">
        <f ca="1">VLOOKUP($K55,'SPC background (hide)'!$AG$2:$AS$54,3,0)</f>
        <v>1</v>
      </c>
      <c r="M55" s="67">
        <f t="shared" ca="1" si="0"/>
        <v>14486.884615384615</v>
      </c>
      <c r="N55" s="67">
        <f t="shared" ca="1" si="1"/>
        <v>902.95962902345889</v>
      </c>
      <c r="O55" s="67"/>
      <c r="P55" s="67"/>
      <c r="Q55" s="67"/>
      <c r="R55" s="5">
        <f ca="1">(VLOOKUP(K55,'Summary Calculations (hide)'!$D$15:$L$67,8,0)+VLOOKUP(K55,'Summary Calculations (hide)'!$D$15:$L$67,9,0))*IF(Summary!$C$8="Patients",'Summary Calculations (hide)'!$I$9,1)</f>
        <v>5386.595404165917</v>
      </c>
      <c r="AA55" s="67">
        <f ca="1">IF(Summary!$C$8="Patients", 'Parameters calculator (hide)'!$H$63,'Parameters calculator (hide)'!$H$62)</f>
        <v>34172.587019230763</v>
      </c>
      <c r="AB55" s="67">
        <f ca="1">IF(Summary!$C$8="Patients", 'Parameters calculator (hide)'!$I$63,'Parameters calculator (hide)'!$I$62)</f>
        <v>37769.701442307691</v>
      </c>
      <c r="AC55" s="67">
        <f t="shared" ca="1" si="2"/>
        <v>3597.1144230769278</v>
      </c>
    </row>
    <row r="56" spans="8:29" x14ac:dyDescent="0.2">
      <c r="H56" s="297">
        <f>'Summary Calculations (hide)'!A58</f>
        <v>44193</v>
      </c>
      <c r="I56" t="str">
        <f>'Summary Calculations (hide)'!B58</f>
        <v/>
      </c>
      <c r="J56" t="str">
        <f>'Summary Calculations (hide)'!C58</f>
        <v/>
      </c>
      <c r="K56">
        <f>'Summary Calculations (hide)'!D58</f>
        <v>53</v>
      </c>
      <c r="L56" s="67">
        <f ca="1">VLOOKUP($K56,'SPC background (hide)'!$AG$2:$AS$54,3,0)</f>
        <v>1</v>
      </c>
      <c r="M56" s="67">
        <f t="shared" ca="1" si="0"/>
        <v>14486.884615384615</v>
      </c>
      <c r="N56" s="67">
        <f t="shared" ca="1" si="1"/>
        <v>902.95962902345889</v>
      </c>
      <c r="O56" s="67"/>
      <c r="P56" s="67"/>
      <c r="Q56" s="67"/>
      <c r="R56" s="5">
        <f ca="1">(VLOOKUP(K56,'Summary Calculations (hide)'!$D$15:$L$67,8,0)+VLOOKUP(K56,'Summary Calculations (hide)'!$D$15:$L$67,9,0))*IF(Summary!$C$8="Patients",'Summary Calculations (hide)'!$I$9,1)</f>
        <v>5386.595404165917</v>
      </c>
      <c r="AA56" s="67">
        <f ca="1">IF(Summary!$C$8="Patients", 'Parameters calculator (hide)'!$H$63,'Parameters calculator (hide)'!$H$62)</f>
        <v>34172.587019230763</v>
      </c>
      <c r="AB56" s="67">
        <f ca="1">IF(Summary!$C$8="Patients", 'Parameters calculator (hide)'!$I$63,'Parameters calculator (hide)'!$I$62)</f>
        <v>37769.701442307691</v>
      </c>
      <c r="AC56" s="67">
        <f t="shared" ca="1" si="2"/>
        <v>3597.1144230769278</v>
      </c>
    </row>
    <row r="57" spans="8:29" x14ac:dyDescent="0.2">
      <c r="H57" s="297">
        <f>'Summary Calculations (hide)'!A59</f>
        <v>44200</v>
      </c>
      <c r="I57">
        <f>'Summary Calculations (hide)'!B59</f>
        <v>2021</v>
      </c>
      <c r="J57" t="str">
        <f>'Summary Calculations (hide)'!C59</f>
        <v>Jan</v>
      </c>
      <c r="K57">
        <f>'Summary Calculations (hide)'!D59</f>
        <v>1</v>
      </c>
      <c r="L57" s="67">
        <f ca="1">VLOOKUP($K57,'SPC background (hide)'!$AG$2:$AS$54,3,0)</f>
        <v>1</v>
      </c>
      <c r="M57" s="67">
        <f t="shared" ca="1" si="0"/>
        <v>14486.884615384615</v>
      </c>
      <c r="N57" s="67">
        <f t="shared" ca="1" si="1"/>
        <v>902.95962902345889</v>
      </c>
      <c r="O57" s="67"/>
      <c r="P57" s="67"/>
      <c r="Q57" s="67"/>
      <c r="R57" s="5">
        <f ca="1">(VLOOKUP(K57,'Summary Calculations (hide)'!$D$15:$L$67,8,0)+VLOOKUP(K57,'Summary Calculations (hide)'!$D$15:$L$67,9,0))*IF(Summary!$C$8="Patients",'Summary Calculations (hide)'!$I$9,1)</f>
        <v>5386.595404165917</v>
      </c>
      <c r="AA57" s="67">
        <f ca="1">IF(Summary!$C$8="Patients", 'Parameters calculator (hide)'!$H$63,'Parameters calculator (hide)'!$H$62)</f>
        <v>34172.587019230763</v>
      </c>
      <c r="AB57" s="67">
        <f ca="1">IF(Summary!$C$8="Patients", 'Parameters calculator (hide)'!$I$63,'Parameters calculator (hide)'!$I$62)</f>
        <v>37769.701442307691</v>
      </c>
      <c r="AC57" s="67">
        <f t="shared" ca="1" si="2"/>
        <v>3597.1144230769278</v>
      </c>
    </row>
    <row r="58" spans="8:29" x14ac:dyDescent="0.2">
      <c r="H58" s="297">
        <f>'Summary Calculations (hide)'!A60</f>
        <v>44207</v>
      </c>
      <c r="I58" t="str">
        <f>'Summary Calculations (hide)'!B60</f>
        <v/>
      </c>
      <c r="J58" t="str">
        <f>'Summary Calculations (hide)'!C60</f>
        <v/>
      </c>
      <c r="K58">
        <f>'Summary Calculations (hide)'!D60</f>
        <v>2</v>
      </c>
      <c r="L58" s="67">
        <f ca="1">VLOOKUP($K58,'SPC background (hide)'!$AG$2:$AS$54,3,0)</f>
        <v>1</v>
      </c>
      <c r="M58" s="67">
        <f t="shared" ca="1" si="0"/>
        <v>14486.884615384615</v>
      </c>
      <c r="N58" s="67">
        <f t="shared" ca="1" si="1"/>
        <v>902.95962902345889</v>
      </c>
      <c r="O58" s="67"/>
      <c r="P58" s="67"/>
      <c r="Q58" s="67"/>
      <c r="R58" s="5">
        <f ca="1">(VLOOKUP(K58,'Summary Calculations (hide)'!$D$15:$L$67,8,0)+VLOOKUP(K58,'Summary Calculations (hide)'!$D$15:$L$67,9,0))*IF(Summary!$C$8="Patients",'Summary Calculations (hide)'!$I$9,1)</f>
        <v>5386.595404165917</v>
      </c>
      <c r="AA58" s="67">
        <f ca="1">IF(Summary!$C$8="Patients", 'Parameters calculator (hide)'!$H$63,'Parameters calculator (hide)'!$H$62)</f>
        <v>34172.587019230763</v>
      </c>
      <c r="AB58" s="67">
        <f ca="1">IF(Summary!$C$8="Patients", 'Parameters calculator (hide)'!$I$63,'Parameters calculator (hide)'!$I$62)</f>
        <v>37769.701442307691</v>
      </c>
      <c r="AC58" s="67">
        <f t="shared" ca="1" si="2"/>
        <v>3597.1144230769278</v>
      </c>
    </row>
    <row r="59" spans="8:29" x14ac:dyDescent="0.2">
      <c r="H59" s="297">
        <f>'Summary Calculations (hide)'!A61</f>
        <v>44214</v>
      </c>
      <c r="I59" t="str">
        <f>'Summary Calculations (hide)'!B61</f>
        <v/>
      </c>
      <c r="J59" t="str">
        <f>'Summary Calculations (hide)'!C61</f>
        <v/>
      </c>
      <c r="K59">
        <f>'Summary Calculations (hide)'!D61</f>
        <v>3</v>
      </c>
      <c r="L59" s="67">
        <f ca="1">VLOOKUP($K59,'SPC background (hide)'!$AG$2:$AS$54,3,0)</f>
        <v>1</v>
      </c>
      <c r="M59" s="67">
        <f t="shared" ca="1" si="0"/>
        <v>14486.884615384615</v>
      </c>
      <c r="N59" s="67">
        <f t="shared" ca="1" si="1"/>
        <v>902.95962902345889</v>
      </c>
      <c r="O59" s="67"/>
      <c r="P59" s="67"/>
      <c r="Q59" s="67"/>
      <c r="R59" s="5">
        <f ca="1">(VLOOKUP(K59,'Summary Calculations (hide)'!$D$15:$L$67,8,0)+VLOOKUP(K59,'Summary Calculations (hide)'!$D$15:$L$67,9,0))*IF(Summary!$C$8="Patients",'Summary Calculations (hide)'!$I$9,1)</f>
        <v>5386.595404165917</v>
      </c>
      <c r="AA59" s="67">
        <f ca="1">IF(Summary!$C$8="Patients", 'Parameters calculator (hide)'!$H$63,'Parameters calculator (hide)'!$H$62)</f>
        <v>34172.587019230763</v>
      </c>
      <c r="AB59" s="67">
        <f ca="1">IF(Summary!$C$8="Patients", 'Parameters calculator (hide)'!$I$63,'Parameters calculator (hide)'!$I$62)</f>
        <v>37769.701442307691</v>
      </c>
      <c r="AC59" s="67">
        <f t="shared" ca="1" si="2"/>
        <v>3597.1144230769278</v>
      </c>
    </row>
    <row r="60" spans="8:29" x14ac:dyDescent="0.2">
      <c r="H60" s="297">
        <f>'Summary Calculations (hide)'!A62</f>
        <v>44221</v>
      </c>
      <c r="I60" t="str">
        <f>'Summary Calculations (hide)'!B62</f>
        <v/>
      </c>
      <c r="J60" t="str">
        <f>'Summary Calculations (hide)'!C62</f>
        <v/>
      </c>
      <c r="K60">
        <f>'Summary Calculations (hide)'!D62</f>
        <v>4</v>
      </c>
      <c r="L60" s="67">
        <f ca="1">VLOOKUP($K60,'SPC background (hide)'!$AG$2:$AS$54,3,0)</f>
        <v>1</v>
      </c>
      <c r="M60" s="67">
        <f t="shared" ca="1" si="0"/>
        <v>14486.884615384615</v>
      </c>
      <c r="N60" s="67">
        <f t="shared" ca="1" si="1"/>
        <v>902.95962902345889</v>
      </c>
      <c r="O60" s="67"/>
      <c r="P60" s="67"/>
      <c r="Q60" s="67"/>
      <c r="R60" s="5">
        <f ca="1">(VLOOKUP(K60,'Summary Calculations (hide)'!$D$15:$L$67,8,0)+VLOOKUP(K60,'Summary Calculations (hide)'!$D$15:$L$67,9,0))*IF(Summary!$C$8="Patients",'Summary Calculations (hide)'!$I$9,1)</f>
        <v>5386.595404165917</v>
      </c>
      <c r="AA60" s="67">
        <f ca="1">IF(Summary!$C$8="Patients", 'Parameters calculator (hide)'!$H$63,'Parameters calculator (hide)'!$H$62)</f>
        <v>34172.587019230763</v>
      </c>
      <c r="AB60" s="67">
        <f ca="1">IF(Summary!$C$8="Patients", 'Parameters calculator (hide)'!$I$63,'Parameters calculator (hide)'!$I$62)</f>
        <v>37769.701442307691</v>
      </c>
      <c r="AC60" s="67">
        <f t="shared" ca="1" si="2"/>
        <v>3597.1144230769278</v>
      </c>
    </row>
    <row r="61" spans="8:29" x14ac:dyDescent="0.2">
      <c r="H61" s="297">
        <f>'Summary Calculations (hide)'!A63</f>
        <v>44228</v>
      </c>
      <c r="I61" t="str">
        <f>'Summary Calculations (hide)'!B63</f>
        <v/>
      </c>
      <c r="J61" t="str">
        <f>'Summary Calculations (hide)'!C63</f>
        <v>Feb</v>
      </c>
      <c r="K61">
        <f>'Summary Calculations (hide)'!D63</f>
        <v>5</v>
      </c>
      <c r="L61" s="67">
        <f ca="1">VLOOKUP($K61,'SPC background (hide)'!$AG$2:$AS$54,3,0)</f>
        <v>5</v>
      </c>
      <c r="M61" s="67">
        <f t="shared" ca="1" si="0"/>
        <v>14486.884615384615</v>
      </c>
      <c r="N61" s="67">
        <f t="shared" ca="1" si="1"/>
        <v>902.95962902345889</v>
      </c>
      <c r="O61" s="67"/>
      <c r="P61" s="67"/>
      <c r="Q61" s="67"/>
      <c r="R61" s="5">
        <f ca="1">(VLOOKUP(K61,'Summary Calculations (hide)'!$D$15:$L$67,8,0)+VLOOKUP(K61,'Summary Calculations (hide)'!$D$15:$L$67,9,0))*IF(Summary!$C$8="Patients",'Summary Calculations (hide)'!$I$9,1)</f>
        <v>5386.595404165917</v>
      </c>
      <c r="AA61" s="67">
        <f ca="1">IF(Summary!$C$8="Patients", 'Parameters calculator (hide)'!$H$63,'Parameters calculator (hide)'!$H$62)</f>
        <v>34172.587019230763</v>
      </c>
      <c r="AB61" s="67">
        <f ca="1">IF(Summary!$C$8="Patients", 'Parameters calculator (hide)'!$I$63,'Parameters calculator (hide)'!$I$62)</f>
        <v>37769.701442307691</v>
      </c>
      <c r="AC61" s="67">
        <f t="shared" ca="1" si="2"/>
        <v>3597.1144230769278</v>
      </c>
    </row>
    <row r="62" spans="8:29" x14ac:dyDescent="0.2">
      <c r="H62" s="297">
        <f>'Summary Calculations (hide)'!A64</f>
        <v>44235</v>
      </c>
      <c r="I62" t="str">
        <f>'Summary Calculations (hide)'!B64</f>
        <v/>
      </c>
      <c r="J62" t="str">
        <f>'Summary Calculations (hide)'!C64</f>
        <v/>
      </c>
      <c r="K62">
        <f>'Summary Calculations (hide)'!D64</f>
        <v>6</v>
      </c>
      <c r="L62" s="67">
        <f ca="1">VLOOKUP($K62,'SPC background (hide)'!$AG$2:$AS$54,3,0)</f>
        <v>1</v>
      </c>
      <c r="M62" s="67">
        <f t="shared" ca="1" si="0"/>
        <v>14486.884615384615</v>
      </c>
      <c r="N62" s="67">
        <f t="shared" ca="1" si="1"/>
        <v>902.95962902345889</v>
      </c>
      <c r="O62" s="67"/>
      <c r="P62" s="67"/>
      <c r="Q62" s="67"/>
      <c r="R62" s="5">
        <f ca="1">(VLOOKUP(K62,'Summary Calculations (hide)'!$D$15:$L$67,8,0)+VLOOKUP(K62,'Summary Calculations (hide)'!$D$15:$L$67,9,0))*IF(Summary!$C$8="Patients",'Summary Calculations (hide)'!$I$9,1)</f>
        <v>5386.595404165917</v>
      </c>
      <c r="AA62" s="67">
        <f ca="1">IF(Summary!$C$8="Patients", 'Parameters calculator (hide)'!$H$63,'Parameters calculator (hide)'!$H$62)</f>
        <v>34172.587019230763</v>
      </c>
      <c r="AB62" s="67">
        <f ca="1">IF(Summary!$C$8="Patients", 'Parameters calculator (hide)'!$I$63,'Parameters calculator (hide)'!$I$62)</f>
        <v>37769.701442307691</v>
      </c>
      <c r="AC62" s="67">
        <f t="shared" ca="1" si="2"/>
        <v>3597.1144230769278</v>
      </c>
    </row>
    <row r="63" spans="8:29" x14ac:dyDescent="0.2">
      <c r="H63" s="297">
        <f>'Summary Calculations (hide)'!A65</f>
        <v>44242</v>
      </c>
      <c r="I63" t="str">
        <f>'Summary Calculations (hide)'!B65</f>
        <v/>
      </c>
      <c r="J63" t="str">
        <f>'Summary Calculations (hide)'!C65</f>
        <v/>
      </c>
      <c r="K63">
        <f>'Summary Calculations (hide)'!D65</f>
        <v>7</v>
      </c>
      <c r="L63" s="67">
        <f ca="1">VLOOKUP($K63,'SPC background (hide)'!$AG$2:$AS$54,3,0)</f>
        <v>1</v>
      </c>
      <c r="M63" s="67">
        <f t="shared" ca="1" si="0"/>
        <v>14486.884615384615</v>
      </c>
      <c r="N63" s="67">
        <f t="shared" ca="1" si="1"/>
        <v>902.95962902345889</v>
      </c>
      <c r="O63" s="67"/>
      <c r="P63" s="67"/>
      <c r="Q63" s="67"/>
      <c r="R63" s="5">
        <f ca="1">(VLOOKUP(K63,'Summary Calculations (hide)'!$D$15:$L$67,8,0)+VLOOKUP(K63,'Summary Calculations (hide)'!$D$15:$L$67,9,0))*IF(Summary!$C$8="Patients",'Summary Calculations (hide)'!$I$9,1)</f>
        <v>5386.595404165917</v>
      </c>
      <c r="AA63" s="67">
        <f ca="1">IF(Summary!$C$8="Patients", 'Parameters calculator (hide)'!$H$63,'Parameters calculator (hide)'!$H$62)</f>
        <v>34172.587019230763</v>
      </c>
      <c r="AB63" s="67">
        <f ca="1">IF(Summary!$C$8="Patients", 'Parameters calculator (hide)'!$I$63,'Parameters calculator (hide)'!$I$62)</f>
        <v>37769.701442307691</v>
      </c>
      <c r="AC63" s="67">
        <f t="shared" ca="1" si="2"/>
        <v>3597.1144230769278</v>
      </c>
    </row>
    <row r="64" spans="8:29" x14ac:dyDescent="0.2">
      <c r="H64" s="297">
        <f>'Summary Calculations (hide)'!A66</f>
        <v>44249</v>
      </c>
      <c r="I64" t="str">
        <f>'Summary Calculations (hide)'!B66</f>
        <v/>
      </c>
      <c r="J64" t="str">
        <f>'Summary Calculations (hide)'!C66</f>
        <v/>
      </c>
      <c r="K64">
        <f>'Summary Calculations (hide)'!D66</f>
        <v>8</v>
      </c>
      <c r="L64" s="67">
        <f ca="1">VLOOKUP($K64,'SPC background (hide)'!$AG$2:$AS$54,3,0)</f>
        <v>1</v>
      </c>
      <c r="M64" s="67">
        <f t="shared" ca="1" si="0"/>
        <v>14486.884615384615</v>
      </c>
      <c r="N64" s="67">
        <f t="shared" ca="1" si="1"/>
        <v>902.95962902345889</v>
      </c>
      <c r="O64" s="67"/>
      <c r="P64" s="67"/>
      <c r="Q64" s="67"/>
      <c r="R64" s="5">
        <f ca="1">(VLOOKUP(K64,'Summary Calculations (hide)'!$D$15:$L$67,8,0)+VLOOKUP(K64,'Summary Calculations (hide)'!$D$15:$L$67,9,0))*IF(Summary!$C$8="Patients",'Summary Calculations (hide)'!$I$9,1)</f>
        <v>5386.595404165917</v>
      </c>
      <c r="AA64" s="67">
        <f ca="1">IF(Summary!$C$8="Patients", 'Parameters calculator (hide)'!$H$63,'Parameters calculator (hide)'!$H$62)</f>
        <v>34172.587019230763</v>
      </c>
      <c r="AB64" s="67">
        <f ca="1">IF(Summary!$C$8="Patients", 'Parameters calculator (hide)'!$I$63,'Parameters calculator (hide)'!$I$62)</f>
        <v>37769.701442307691</v>
      </c>
      <c r="AC64" s="67">
        <f t="shared" ca="1" si="2"/>
        <v>3597.1144230769278</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1154</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1156</v>
      </c>
      <c r="C11" s="389">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1229</v>
      </c>
      <c r="D12" s="345">
        <f ca="1">'Summary Calculations (hide)'!X70</f>
        <v>14486.884615384623</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1"/>
      <c r="C13" s="345" t="str">
        <f>IF(C11&lt;&gt;"","New value","")</f>
        <v>New value</v>
      </c>
      <c r="D13" s="345">
        <f ca="1">IF(OR(C11="",C11=1),"",D12*(1+C11))</f>
        <v>15211.228846153854</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1152</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1148</v>
      </c>
      <c r="C15" s="390"/>
      <c r="D15" s="307">
        <f ca="1">'Parameters calculator (hide)'!B43</f>
        <v>0</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1149</v>
      </c>
      <c r="C16" s="390"/>
      <c r="D16" s="307">
        <f ca="1">'Parameters calculator (hide)'!B44</f>
        <v>0</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1150</v>
      </c>
      <c r="C17" s="390"/>
      <c r="D17" s="307">
        <f ca="1">'Parameters calculator (hide)'!B45</f>
        <v>0</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1151</v>
      </c>
      <c r="C18" s="390"/>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0" t="s">
        <v>512</v>
      </c>
      <c r="C22" s="484" t="s">
        <v>511</v>
      </c>
      <c r="D22" s="484"/>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2"/>
      <c r="C23" s="485"/>
      <c r="D23" s="48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3"/>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1110</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1235</v>
      </c>
      <c r="V26" s="155" t="s">
        <v>1235</v>
      </c>
      <c r="W26" s="155" t="s">
        <v>1235</v>
      </c>
      <c r="X26" s="155" t="s">
        <v>1235</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1236</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1235</v>
      </c>
      <c r="AY27" s="158" t="s">
        <v>1235</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UBKucW5kFf/nUR+DRaxGcKIhHw3w+LTSYHGHmrgrN1qNQ7DO5Yv+7z9UGUUFL94DgVGCmDuAouMogFDQfMbE5g==" saltValue="dkQkUoMxdoU++FdnBptPG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1263</v>
      </c>
      <c r="B1" s="67">
        <v>0</v>
      </c>
    </row>
    <row r="3" spans="1:10" x14ac:dyDescent="0.2">
      <c r="A3" s="67" t="s">
        <v>1242</v>
      </c>
      <c r="B3" s="67" t="s">
        <v>14</v>
      </c>
      <c r="C3" s="67" t="s">
        <v>1243</v>
      </c>
      <c r="D3" s="67" t="s">
        <v>1244</v>
      </c>
      <c r="E3" s="67" t="s">
        <v>529</v>
      </c>
      <c r="F3" s="67" t="s">
        <v>75</v>
      </c>
      <c r="G3" s="67" t="s">
        <v>1245</v>
      </c>
      <c r="H3" s="67" t="s">
        <v>99</v>
      </c>
      <c r="I3" s="67" t="s">
        <v>1246</v>
      </c>
      <c r="J3" s="67" t="s">
        <v>391</v>
      </c>
    </row>
    <row r="4" spans="1:10" x14ac:dyDescent="0.2">
      <c r="A4"/>
      <c r="B4"/>
      <c r="C4" s="317"/>
      <c r="D4"/>
      <c r="E4"/>
      <c r="F4"/>
      <c r="G4"/>
      <c r="H4"/>
      <c r="I4"/>
      <c r="J4"/>
    </row>
    <row r="5" spans="1:10" x14ac:dyDescent="0.2">
      <c r="C5" s="317"/>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1159</v>
      </c>
      <c r="AE3" t="s">
        <v>1160</v>
      </c>
    </row>
    <row r="4" spans="1:31" x14ac:dyDescent="0.2">
      <c r="A4" s="87">
        <f ca="1">IF(Planning!$C$6="",TODAY()-WEEKDAY(TODAY(),3)+7,Planning!$C$6)</f>
        <v>44431</v>
      </c>
      <c r="B4">
        <f ca="1">WEEKNUM(A4,21)</f>
        <v>34</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14765</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892.95000000000073</v>
      </c>
      <c r="E4" s="5">
        <f ca="1">VLOOKUP($B4,'Summary Calculations (hide)'!$D$15:$U$67,15,0)</f>
        <v>4984.4800195505322</v>
      </c>
      <c r="F4" s="5">
        <f ca="1">VLOOKUP($B4,'Summary Calculations (hide)'!$D$15:$U$67,16,0)</f>
        <v>402.11538461538464</v>
      </c>
      <c r="G4" s="5">
        <f ca="1">SUM(E4:F4)</f>
        <v>5386.595404165917</v>
      </c>
      <c r="H4" s="5">
        <f ca="1">IF(G4+SUM(I4:AC4)&lt;0,0,G4+SUM(I4:AC4))</f>
        <v>5386.595404165917</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14765</v>
      </c>
      <c r="AE4" s="67">
        <f ca="1">VLOOKUP($B4,'Summary Calculations (hide)'!$D$15:$U$67,18,0)</f>
        <v>892.95000000000073</v>
      </c>
    </row>
    <row r="5" spans="1:31" x14ac:dyDescent="0.2">
      <c r="A5" s="87">
        <f ca="1">A4+7</f>
        <v>44438</v>
      </c>
      <c r="B5" s="67">
        <f t="shared" ref="B5:B55" ca="1" si="0">WEEKNUM(A5,21)</f>
        <v>35</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14765</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892.95000000000073</v>
      </c>
      <c r="E5" s="5">
        <f ca="1">VLOOKUP($B5,'Summary Calculations (hide)'!$D$15:$U$67,15,0)</f>
        <v>4984.4800195505322</v>
      </c>
      <c r="F5" s="5">
        <f ca="1">VLOOKUP($B5,'Summary Calculations (hide)'!$D$15:$U$67,16,0)</f>
        <v>402.11538461538464</v>
      </c>
      <c r="G5" s="5">
        <f t="shared" ref="G5:G55" ca="1" si="1">SUM(E5:F5)</f>
        <v>5386.595404165917</v>
      </c>
      <c r="H5" s="5">
        <f t="shared" ref="H5:H55" ca="1" si="2">IF(G5+SUM(I5:AC5)&lt;0,0,G5+SUM(I5:AC5))</f>
        <v>5386.595404165917</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14765</v>
      </c>
      <c r="AE5" s="67">
        <f ca="1">VLOOKUP($B5,'Summary Calculations (hide)'!$D$15:$U$67,18,0)</f>
        <v>892.95000000000073</v>
      </c>
    </row>
    <row r="6" spans="1:31" x14ac:dyDescent="0.2">
      <c r="A6" s="87">
        <f t="shared" ref="A6:A55" ca="1" si="3">A5+7</f>
        <v>44445</v>
      </c>
      <c r="B6" s="67">
        <f t="shared" ca="1" si="0"/>
        <v>36</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14765</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892.95000000000073</v>
      </c>
      <c r="E6" s="5">
        <f ca="1">VLOOKUP($B6,'Summary Calculations (hide)'!$D$15:$U$67,15,0)</f>
        <v>4984.4800195505322</v>
      </c>
      <c r="F6" s="5">
        <f ca="1">VLOOKUP($B6,'Summary Calculations (hide)'!$D$15:$U$67,16,0)</f>
        <v>402.11538461538464</v>
      </c>
      <c r="G6" s="5">
        <f t="shared" ca="1" si="1"/>
        <v>5386.595404165917</v>
      </c>
      <c r="H6" s="5">
        <f t="shared" ca="1" si="2"/>
        <v>5386.595404165917</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14765</v>
      </c>
      <c r="AE6" s="67">
        <f ca="1">VLOOKUP($B6,'Summary Calculations (hide)'!$D$15:$U$67,18,0)</f>
        <v>892.95000000000073</v>
      </c>
    </row>
    <row r="7" spans="1:31" x14ac:dyDescent="0.2">
      <c r="A7" s="87">
        <f t="shared" ca="1" si="3"/>
        <v>44452</v>
      </c>
      <c r="B7" s="67">
        <f t="shared" ca="1" si="0"/>
        <v>37</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14765</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892.95000000000073</v>
      </c>
      <c r="E7" s="5">
        <f ca="1">VLOOKUP($B7,'Summary Calculations (hide)'!$D$15:$U$67,15,0)</f>
        <v>4984.4800195505322</v>
      </c>
      <c r="F7" s="5">
        <f ca="1">VLOOKUP($B7,'Summary Calculations (hide)'!$D$15:$U$67,16,0)</f>
        <v>402.11538461538464</v>
      </c>
      <c r="G7" s="5">
        <f t="shared" ca="1" si="1"/>
        <v>5386.595404165917</v>
      </c>
      <c r="H7" s="5">
        <f t="shared" ca="1" si="2"/>
        <v>5386.595404165917</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14765</v>
      </c>
      <c r="AE7" s="67">
        <f ca="1">VLOOKUP($B7,'Summary Calculations (hide)'!$D$15:$U$67,18,0)</f>
        <v>892.95000000000073</v>
      </c>
    </row>
    <row r="8" spans="1:31" x14ac:dyDescent="0.2">
      <c r="A8" s="87">
        <f t="shared" ca="1" si="3"/>
        <v>44459</v>
      </c>
      <c r="B8" s="67">
        <f t="shared" ca="1" si="0"/>
        <v>38</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14765</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892.95000000000073</v>
      </c>
      <c r="E8" s="5">
        <f ca="1">VLOOKUP($B8,'Summary Calculations (hide)'!$D$15:$U$67,15,0)</f>
        <v>4984.4800195505322</v>
      </c>
      <c r="F8" s="5">
        <f ca="1">VLOOKUP($B8,'Summary Calculations (hide)'!$D$15:$U$67,16,0)</f>
        <v>402.11538461538464</v>
      </c>
      <c r="G8" s="5">
        <f t="shared" ca="1" si="1"/>
        <v>5386.595404165917</v>
      </c>
      <c r="H8" s="5">
        <f t="shared" ca="1" si="2"/>
        <v>5386.595404165917</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14765</v>
      </c>
      <c r="AE8" s="67">
        <f ca="1">VLOOKUP($B8,'Summary Calculations (hide)'!$D$15:$U$67,18,0)</f>
        <v>892.95000000000073</v>
      </c>
    </row>
    <row r="9" spans="1:31" x14ac:dyDescent="0.2">
      <c r="A9" s="87">
        <f t="shared" ca="1" si="3"/>
        <v>44466</v>
      </c>
      <c r="B9" s="67">
        <f t="shared" ca="1" si="0"/>
        <v>39</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14765</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892.95000000000073</v>
      </c>
      <c r="E9" s="5">
        <f ca="1">VLOOKUP($B9,'Summary Calculations (hide)'!$D$15:$U$67,15,0)</f>
        <v>4984.4800195505322</v>
      </c>
      <c r="F9" s="5">
        <f ca="1">VLOOKUP($B9,'Summary Calculations (hide)'!$D$15:$U$67,16,0)</f>
        <v>402.11538461538464</v>
      </c>
      <c r="G9" s="5">
        <f t="shared" ca="1" si="1"/>
        <v>5386.595404165917</v>
      </c>
      <c r="H9" s="5">
        <f t="shared" ca="1" si="2"/>
        <v>5386.595404165917</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14765</v>
      </c>
      <c r="AE9" s="67">
        <f ca="1">VLOOKUP($B9,'Summary Calculations (hide)'!$D$15:$U$67,18,0)</f>
        <v>892.95000000000073</v>
      </c>
    </row>
    <row r="10" spans="1:31" x14ac:dyDescent="0.2">
      <c r="A10" s="87">
        <f t="shared" ca="1" si="3"/>
        <v>44473</v>
      </c>
      <c r="B10" s="67">
        <f t="shared" ca="1" si="0"/>
        <v>40</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14765</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892.95000000000073</v>
      </c>
      <c r="E10" s="5">
        <f ca="1">VLOOKUP($B10,'Summary Calculations (hide)'!$D$15:$U$67,15,0)</f>
        <v>4984.4800195505322</v>
      </c>
      <c r="F10" s="5">
        <f ca="1">VLOOKUP($B10,'Summary Calculations (hide)'!$D$15:$U$67,16,0)</f>
        <v>402.11538461538464</v>
      </c>
      <c r="G10" s="5">
        <f t="shared" ca="1" si="1"/>
        <v>5386.595404165917</v>
      </c>
      <c r="H10" s="5">
        <f t="shared" ca="1" si="2"/>
        <v>9160.595404165917</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14765</v>
      </c>
      <c r="AE10" s="67">
        <f ca="1">VLOOKUP($B10,'Summary Calculations (hide)'!$D$15:$U$67,18,0)</f>
        <v>892.95000000000073</v>
      </c>
    </row>
    <row r="11" spans="1:31" x14ac:dyDescent="0.2">
      <c r="A11" s="87">
        <f t="shared" ca="1" si="3"/>
        <v>44480</v>
      </c>
      <c r="B11" s="67">
        <f t="shared" ca="1" si="0"/>
        <v>41</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14765</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892.95000000000073</v>
      </c>
      <c r="E11" s="5">
        <f ca="1">VLOOKUP($B11,'Summary Calculations (hide)'!$D$15:$U$67,15,0)</f>
        <v>4984.4800195505322</v>
      </c>
      <c r="F11" s="5">
        <f ca="1">VLOOKUP($B11,'Summary Calculations (hide)'!$D$15:$U$67,16,0)</f>
        <v>402.11538461538464</v>
      </c>
      <c r="G11" s="5">
        <f t="shared" ca="1" si="1"/>
        <v>5386.595404165917</v>
      </c>
      <c r="H11" s="5">
        <f t="shared" ca="1" si="2"/>
        <v>5386.595404165917</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14765</v>
      </c>
      <c r="AE11" s="67">
        <f ca="1">VLOOKUP($B11,'Summary Calculations (hide)'!$D$15:$U$67,18,0)</f>
        <v>892.95000000000073</v>
      </c>
    </row>
    <row r="12" spans="1:31" x14ac:dyDescent="0.2">
      <c r="A12" s="87">
        <f t="shared" ca="1" si="3"/>
        <v>44487</v>
      </c>
      <c r="B12" s="67">
        <f t="shared" ca="1" si="0"/>
        <v>42</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14765</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892.95000000000073</v>
      </c>
      <c r="E12" s="5">
        <f ca="1">VLOOKUP($B12,'Summary Calculations (hide)'!$D$15:$U$67,15,0)</f>
        <v>4984.4800195505322</v>
      </c>
      <c r="F12" s="5">
        <f ca="1">VLOOKUP($B12,'Summary Calculations (hide)'!$D$15:$U$67,16,0)</f>
        <v>402.11538461538464</v>
      </c>
      <c r="G12" s="5">
        <f t="shared" ca="1" si="1"/>
        <v>5386.595404165917</v>
      </c>
      <c r="H12" s="5">
        <f t="shared" ca="1" si="2"/>
        <v>9160.595404165917</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14765</v>
      </c>
      <c r="AE12" s="67">
        <f ca="1">VLOOKUP($B12,'Summary Calculations (hide)'!$D$15:$U$67,18,0)</f>
        <v>892.95000000000073</v>
      </c>
    </row>
    <row r="13" spans="1:31" x14ac:dyDescent="0.2">
      <c r="A13" s="87">
        <f t="shared" ca="1" si="3"/>
        <v>44494</v>
      </c>
      <c r="B13" s="67">
        <f t="shared" ca="1" si="0"/>
        <v>43</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14765</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892.95000000000073</v>
      </c>
      <c r="E13" s="5">
        <f ca="1">VLOOKUP($B13,'Summary Calculations (hide)'!$D$15:$U$67,15,0)</f>
        <v>4984.4800195505322</v>
      </c>
      <c r="F13" s="5">
        <f ca="1">VLOOKUP($B13,'Summary Calculations (hide)'!$D$15:$U$67,16,0)</f>
        <v>402.11538461538464</v>
      </c>
      <c r="G13" s="5">
        <f t="shared" ca="1" si="1"/>
        <v>5386.595404165917</v>
      </c>
      <c r="H13" s="5">
        <f t="shared" ca="1" si="2"/>
        <v>8531.595404165917</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14765</v>
      </c>
      <c r="AE13" s="67">
        <f ca="1">VLOOKUP($B13,'Summary Calculations (hide)'!$D$15:$U$67,18,0)</f>
        <v>892.95000000000073</v>
      </c>
    </row>
    <row r="14" spans="1:31" x14ac:dyDescent="0.2">
      <c r="A14" s="87">
        <f t="shared" ca="1" si="3"/>
        <v>44501</v>
      </c>
      <c r="B14" s="67">
        <f t="shared" ca="1" si="0"/>
        <v>44</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14765</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892.95000000000073</v>
      </c>
      <c r="E14" s="5">
        <f ca="1">VLOOKUP($B14,'Summary Calculations (hide)'!$D$15:$U$67,15,0)</f>
        <v>4984.4800195505322</v>
      </c>
      <c r="F14" s="5">
        <f ca="1">VLOOKUP($B14,'Summary Calculations (hide)'!$D$15:$U$67,16,0)</f>
        <v>402.11538461538464</v>
      </c>
      <c r="G14" s="5">
        <f t="shared" ca="1" si="1"/>
        <v>5386.595404165917</v>
      </c>
      <c r="H14" s="5">
        <f t="shared" ca="1" si="2"/>
        <v>5386.595404165917</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14765</v>
      </c>
      <c r="AE14" s="67">
        <f ca="1">VLOOKUP($B14,'Summary Calculations (hide)'!$D$15:$U$67,18,0)</f>
        <v>892.95000000000073</v>
      </c>
    </row>
    <row r="15" spans="1:31" x14ac:dyDescent="0.2">
      <c r="A15" s="87">
        <f t="shared" ca="1" si="3"/>
        <v>44508</v>
      </c>
      <c r="B15" s="67">
        <f t="shared" ca="1" si="0"/>
        <v>45</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14765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892.95000000000073</v>
      </c>
      <c r="E15" s="5">
        <f ca="1">VLOOKUP($B15,'Summary Calculations (hide)'!$D$15:$U$67,15,0)</f>
        <v>4984.4800195505322</v>
      </c>
      <c r="F15" s="5">
        <f ca="1">VLOOKUP($B15,'Summary Calculations (hide)'!$D$15:$U$67,16,0)</f>
        <v>402.11538461538464</v>
      </c>
      <c r="G15" s="5">
        <f t="shared" ca="1" si="1"/>
        <v>5386.595404165917</v>
      </c>
      <c r="H15" s="5">
        <f t="shared" ca="1" si="2"/>
        <v>5386.595404165917</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14765</v>
      </c>
      <c r="AE15" s="67">
        <f ca="1">VLOOKUP($B15,'Summary Calculations (hide)'!$D$15:$U$67,18,0)</f>
        <v>892.95000000000073</v>
      </c>
    </row>
    <row r="16" spans="1:31" x14ac:dyDescent="0.2">
      <c r="A16" s="87">
        <f t="shared" ca="1" si="3"/>
        <v>44515</v>
      </c>
      <c r="B16" s="67">
        <f t="shared" ca="1" si="0"/>
        <v>46</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14765</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892.95000000000073</v>
      </c>
      <c r="E16" s="5">
        <f ca="1">VLOOKUP($B16,'Summary Calculations (hide)'!$D$15:$U$67,15,0)</f>
        <v>4984.4800195505322</v>
      </c>
      <c r="F16" s="5">
        <f ca="1">VLOOKUP($B16,'Summary Calculations (hide)'!$D$15:$U$67,16,0)</f>
        <v>402.11538461538464</v>
      </c>
      <c r="G16" s="5">
        <f t="shared" ca="1" si="1"/>
        <v>5386.595404165917</v>
      </c>
      <c r="H16" s="5">
        <f t="shared" ca="1" si="2"/>
        <v>9160.595404165917</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14765</v>
      </c>
      <c r="AE16" s="67">
        <f ca="1">VLOOKUP($B16,'Summary Calculations (hide)'!$D$15:$U$67,18,0)</f>
        <v>892.95000000000073</v>
      </c>
    </row>
    <row r="17" spans="1:31" x14ac:dyDescent="0.2">
      <c r="A17" s="87">
        <f t="shared" ca="1" si="3"/>
        <v>44522</v>
      </c>
      <c r="B17" s="67">
        <f t="shared" ca="1" si="0"/>
        <v>47</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14765</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892.95000000000073</v>
      </c>
      <c r="E17" s="5">
        <f ca="1">VLOOKUP($B17,'Summary Calculations (hide)'!$D$15:$U$67,15,0)</f>
        <v>4984.4800195505322</v>
      </c>
      <c r="F17" s="5">
        <f ca="1">VLOOKUP($B17,'Summary Calculations (hide)'!$D$15:$U$67,16,0)</f>
        <v>402.11538461538464</v>
      </c>
      <c r="G17" s="5">
        <f t="shared" ca="1" si="1"/>
        <v>5386.595404165917</v>
      </c>
      <c r="H17" s="5">
        <f t="shared" ca="1" si="2"/>
        <v>5386.595404165917</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14765</v>
      </c>
      <c r="AE17" s="67">
        <f ca="1">VLOOKUP($B17,'Summary Calculations (hide)'!$D$15:$U$67,18,0)</f>
        <v>892.95000000000073</v>
      </c>
    </row>
    <row r="18" spans="1:31" x14ac:dyDescent="0.2">
      <c r="A18" s="87">
        <f t="shared" ca="1" si="3"/>
        <v>44529</v>
      </c>
      <c r="B18" s="67">
        <f t="shared" ca="1" si="0"/>
        <v>48</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14765</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892.95000000000073</v>
      </c>
      <c r="E18" s="5">
        <f ca="1">VLOOKUP($B18,'Summary Calculations (hide)'!$D$15:$U$67,15,0)</f>
        <v>4984.4800195505322</v>
      </c>
      <c r="F18" s="5">
        <f ca="1">VLOOKUP($B18,'Summary Calculations (hide)'!$D$15:$U$67,16,0)</f>
        <v>402.11538461538464</v>
      </c>
      <c r="G18" s="5">
        <f t="shared" ca="1" si="1"/>
        <v>5386.595404165917</v>
      </c>
      <c r="H18" s="5">
        <f t="shared" ca="1" si="2"/>
        <v>5386.595404165917</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14765</v>
      </c>
      <c r="AE18" s="67">
        <f ca="1">VLOOKUP($B18,'Summary Calculations (hide)'!$D$15:$U$67,18,0)</f>
        <v>892.95000000000073</v>
      </c>
    </row>
    <row r="19" spans="1:31" x14ac:dyDescent="0.2">
      <c r="A19" s="87">
        <f t="shared" ca="1" si="3"/>
        <v>44536</v>
      </c>
      <c r="B19" s="67">
        <f t="shared" ca="1" si="0"/>
        <v>49</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14765</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892.95000000000073</v>
      </c>
      <c r="E19" s="5">
        <f ca="1">VLOOKUP($B19,'Summary Calculations (hide)'!$D$15:$U$67,15,0)</f>
        <v>4984.4800195505322</v>
      </c>
      <c r="F19" s="5">
        <f ca="1">VLOOKUP($B19,'Summary Calculations (hide)'!$D$15:$U$67,16,0)</f>
        <v>402.11538461538464</v>
      </c>
      <c r="G19" s="5">
        <f t="shared" ca="1" si="1"/>
        <v>5386.595404165917</v>
      </c>
      <c r="H19" s="5">
        <f t="shared" ca="1" si="2"/>
        <v>8531.595404165917</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14765</v>
      </c>
      <c r="AE19" s="67">
        <f ca="1">VLOOKUP($B19,'Summary Calculations (hide)'!$D$15:$U$67,18,0)</f>
        <v>892.95000000000073</v>
      </c>
    </row>
    <row r="20" spans="1:31" x14ac:dyDescent="0.2">
      <c r="A20" s="87">
        <f t="shared" ca="1" si="3"/>
        <v>44543</v>
      </c>
      <c r="B20" s="67">
        <f t="shared" ca="1" si="0"/>
        <v>50</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14765</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892.95000000000073</v>
      </c>
      <c r="E20" s="5">
        <f ca="1">VLOOKUP($B20,'Summary Calculations (hide)'!$D$15:$U$67,15,0)</f>
        <v>4984.4800195505322</v>
      </c>
      <c r="F20" s="5">
        <f ca="1">VLOOKUP($B20,'Summary Calculations (hide)'!$D$15:$U$67,16,0)</f>
        <v>402.11538461538464</v>
      </c>
      <c r="G20" s="5">
        <f t="shared" ca="1" si="1"/>
        <v>5386.595404165917</v>
      </c>
      <c r="H20" s="5">
        <f t="shared" ca="1" si="2"/>
        <v>8531.595404165917</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14765</v>
      </c>
      <c r="AE20" s="67">
        <f ca="1">VLOOKUP($B20,'Summary Calculations (hide)'!$D$15:$U$67,18,0)</f>
        <v>892.95000000000073</v>
      </c>
    </row>
    <row r="21" spans="1:31" x14ac:dyDescent="0.2">
      <c r="A21" s="87">
        <f t="shared" ca="1" si="3"/>
        <v>44550</v>
      </c>
      <c r="B21" s="67">
        <f t="shared" ca="1" si="0"/>
        <v>51</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14765</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892.95000000000073</v>
      </c>
      <c r="E21" s="5">
        <f ca="1">VLOOKUP($B21,'Summary Calculations (hide)'!$D$15:$U$67,15,0)</f>
        <v>4984.4800195505322</v>
      </c>
      <c r="F21" s="5">
        <f ca="1">VLOOKUP($B21,'Summary Calculations (hide)'!$D$15:$U$67,16,0)</f>
        <v>402.11538461538464</v>
      </c>
      <c r="G21" s="5">
        <f t="shared" ca="1" si="1"/>
        <v>5386.595404165917</v>
      </c>
      <c r="H21" s="5">
        <f t="shared" ca="1" si="2"/>
        <v>8531.595404165917</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14765</v>
      </c>
      <c r="AE21" s="67">
        <f ca="1">VLOOKUP($B21,'Summary Calculations (hide)'!$D$15:$U$67,18,0)</f>
        <v>892.95000000000073</v>
      </c>
    </row>
    <row r="22" spans="1:31" x14ac:dyDescent="0.2">
      <c r="A22" s="87">
        <f t="shared" ca="1" si="3"/>
        <v>44557</v>
      </c>
      <c r="B22" s="67">
        <f t="shared" ca="1" si="0"/>
        <v>52</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14765</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892.95000000000073</v>
      </c>
      <c r="E22" s="5">
        <f ca="1">VLOOKUP($B22,'Summary Calculations (hide)'!$D$15:$U$67,15,0)</f>
        <v>4984.4800195505322</v>
      </c>
      <c r="F22" s="5">
        <f ca="1">VLOOKUP($B22,'Summary Calculations (hide)'!$D$15:$U$67,16,0)</f>
        <v>402.11538461538464</v>
      </c>
      <c r="G22" s="5">
        <f t="shared" ca="1" si="1"/>
        <v>5386.595404165917</v>
      </c>
      <c r="H22" s="5">
        <f t="shared" ca="1" si="2"/>
        <v>8531.595404165917</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14765</v>
      </c>
      <c r="AE22" s="67">
        <f ca="1">VLOOKUP($B22,'Summary Calculations (hide)'!$D$15:$U$67,18,0)</f>
        <v>892.95000000000073</v>
      </c>
    </row>
    <row r="23" spans="1:31" x14ac:dyDescent="0.2">
      <c r="A23" s="87">
        <f t="shared" ca="1" si="3"/>
        <v>44564</v>
      </c>
      <c r="B23" s="67">
        <f t="shared" ca="1" si="0"/>
        <v>1</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14765</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892.95000000000073</v>
      </c>
      <c r="E23" s="5">
        <f ca="1">VLOOKUP($B23,'Summary Calculations (hide)'!$D$15:$U$67,15,0)</f>
        <v>4984.4800195505322</v>
      </c>
      <c r="F23" s="5">
        <f ca="1">VLOOKUP($B23,'Summary Calculations (hide)'!$D$15:$U$67,16,0)</f>
        <v>402.11538461538464</v>
      </c>
      <c r="G23" s="5">
        <f t="shared" ca="1" si="1"/>
        <v>5386.595404165917</v>
      </c>
      <c r="H23" s="5">
        <f t="shared" ca="1" si="2"/>
        <v>5386.595404165917</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14765</v>
      </c>
      <c r="AE23" s="67">
        <f ca="1">VLOOKUP($B23,'Summary Calculations (hide)'!$D$15:$U$67,18,0)</f>
        <v>892.95000000000073</v>
      </c>
    </row>
    <row r="24" spans="1:31" x14ac:dyDescent="0.2">
      <c r="A24" s="87">
        <f t="shared" ca="1" si="3"/>
        <v>44571</v>
      </c>
      <c r="B24" s="67">
        <f t="shared" ca="1" si="0"/>
        <v>2</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14765</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892.95000000000073</v>
      </c>
      <c r="E24" s="5">
        <f ca="1">VLOOKUP($B24,'Summary Calculations (hide)'!$D$15:$U$67,15,0)</f>
        <v>4984.4800195505322</v>
      </c>
      <c r="F24" s="5">
        <f ca="1">VLOOKUP($B24,'Summary Calculations (hide)'!$D$15:$U$67,16,0)</f>
        <v>402.11538461538464</v>
      </c>
      <c r="G24" s="5">
        <f t="shared" ca="1" si="1"/>
        <v>5386.595404165917</v>
      </c>
      <c r="H24" s="5">
        <f t="shared" ca="1" si="2"/>
        <v>9160.595404165917</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14765</v>
      </c>
      <c r="AE24" s="67">
        <f ca="1">VLOOKUP($B24,'Summary Calculations (hide)'!$D$15:$U$67,18,0)</f>
        <v>892.95000000000073</v>
      </c>
    </row>
    <row r="25" spans="1:31" x14ac:dyDescent="0.2">
      <c r="A25" s="87">
        <f t="shared" ca="1" si="3"/>
        <v>44578</v>
      </c>
      <c r="B25" s="67">
        <f t="shared" ca="1" si="0"/>
        <v>3</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14765</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892.95000000000073</v>
      </c>
      <c r="E25" s="5">
        <f ca="1">VLOOKUP($B25,'Summary Calculations (hide)'!$D$15:$U$67,15,0)</f>
        <v>4984.4800195505322</v>
      </c>
      <c r="F25" s="5">
        <f ca="1">VLOOKUP($B25,'Summary Calculations (hide)'!$D$15:$U$67,16,0)</f>
        <v>402.11538461538464</v>
      </c>
      <c r="G25" s="5">
        <f t="shared" ca="1" si="1"/>
        <v>5386.595404165917</v>
      </c>
      <c r="H25" s="5">
        <f t="shared" ca="1" si="2"/>
        <v>9160.595404165917</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14765</v>
      </c>
      <c r="AE25" s="67">
        <f ca="1">VLOOKUP($B25,'Summary Calculations (hide)'!$D$15:$U$67,18,0)</f>
        <v>892.95000000000073</v>
      </c>
    </row>
    <row r="26" spans="1:31" x14ac:dyDescent="0.2">
      <c r="A26" s="87">
        <f t="shared" ca="1" si="3"/>
        <v>44585</v>
      </c>
      <c r="B26" s="67">
        <f t="shared" ca="1" si="0"/>
        <v>4</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14765</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892.95000000000073</v>
      </c>
      <c r="E26" s="5">
        <f ca="1">VLOOKUP($B26,'Summary Calculations (hide)'!$D$15:$U$67,15,0)</f>
        <v>4984.4800195505322</v>
      </c>
      <c r="F26" s="5">
        <f ca="1">VLOOKUP($B26,'Summary Calculations (hide)'!$D$15:$U$67,16,0)</f>
        <v>402.11538461538464</v>
      </c>
      <c r="G26" s="5">
        <f t="shared" ca="1" si="1"/>
        <v>5386.595404165917</v>
      </c>
      <c r="H26" s="5">
        <f t="shared" ca="1" si="2"/>
        <v>5386.595404165917</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14765</v>
      </c>
      <c r="AE26" s="67">
        <f ca="1">VLOOKUP($B26,'Summary Calculations (hide)'!$D$15:$U$67,18,0)</f>
        <v>892.95000000000073</v>
      </c>
    </row>
    <row r="27" spans="1:31" x14ac:dyDescent="0.2">
      <c r="A27" s="87">
        <f t="shared" ca="1" si="3"/>
        <v>44592</v>
      </c>
      <c r="B27" s="67">
        <f t="shared" ca="1" si="0"/>
        <v>5</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14765</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892.95000000000073</v>
      </c>
      <c r="E27" s="5">
        <f ca="1">VLOOKUP($B27,'Summary Calculations (hide)'!$D$15:$U$67,15,0)</f>
        <v>4984.4800195505322</v>
      </c>
      <c r="F27" s="5">
        <f ca="1">VLOOKUP($B27,'Summary Calculations (hide)'!$D$15:$U$67,16,0)</f>
        <v>402.11538461538464</v>
      </c>
      <c r="G27" s="5">
        <f t="shared" ca="1" si="1"/>
        <v>5386.595404165917</v>
      </c>
      <c r="H27" s="5">
        <f t="shared" ca="1" si="2"/>
        <v>5386.595404165917</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14765</v>
      </c>
      <c r="AE27" s="67">
        <f ca="1">VLOOKUP($B27,'Summary Calculations (hide)'!$D$15:$U$67,18,0)</f>
        <v>892.95000000000073</v>
      </c>
    </row>
    <row r="28" spans="1:31" x14ac:dyDescent="0.2">
      <c r="A28" s="87">
        <f t="shared" ca="1" si="3"/>
        <v>44599</v>
      </c>
      <c r="B28" s="67">
        <f t="shared" ca="1" si="0"/>
        <v>6</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14765</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892.95000000000073</v>
      </c>
      <c r="E28" s="5">
        <f ca="1">VLOOKUP($B28,'Summary Calculations (hide)'!$D$15:$U$67,15,0)</f>
        <v>4984.4800195505322</v>
      </c>
      <c r="F28" s="5">
        <f ca="1">VLOOKUP($B28,'Summary Calculations (hide)'!$D$15:$U$67,16,0)</f>
        <v>402.11538461538464</v>
      </c>
      <c r="G28" s="5">
        <f t="shared" ca="1" si="1"/>
        <v>5386.595404165917</v>
      </c>
      <c r="H28" s="5">
        <f t="shared" ca="1" si="2"/>
        <v>5386.595404165917</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14765</v>
      </c>
      <c r="AE28" s="67">
        <f ca="1">VLOOKUP($B28,'Summary Calculations (hide)'!$D$15:$U$67,18,0)</f>
        <v>892.95000000000073</v>
      </c>
    </row>
    <row r="29" spans="1:31" x14ac:dyDescent="0.2">
      <c r="A29" s="87">
        <f t="shared" ca="1" si="3"/>
        <v>44606</v>
      </c>
      <c r="B29" s="67">
        <f t="shared" ca="1" si="0"/>
        <v>7</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14765</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892.95000000000073</v>
      </c>
      <c r="E29" s="5">
        <f ca="1">VLOOKUP($B29,'Summary Calculations (hide)'!$D$15:$U$67,15,0)</f>
        <v>4984.4800195505322</v>
      </c>
      <c r="F29" s="5">
        <f ca="1">VLOOKUP($B29,'Summary Calculations (hide)'!$D$15:$U$67,16,0)</f>
        <v>402.11538461538464</v>
      </c>
      <c r="G29" s="5">
        <f t="shared" ca="1" si="1"/>
        <v>5386.595404165917</v>
      </c>
      <c r="H29" s="5">
        <f t="shared" ca="1" si="2"/>
        <v>5386.595404165917</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14765</v>
      </c>
      <c r="AE29" s="67">
        <f ca="1">VLOOKUP($B29,'Summary Calculations (hide)'!$D$15:$U$67,18,0)</f>
        <v>892.95000000000073</v>
      </c>
    </row>
    <row r="30" spans="1:31" x14ac:dyDescent="0.2">
      <c r="A30" s="87">
        <f t="shared" ca="1" si="3"/>
        <v>44613</v>
      </c>
      <c r="B30" s="67">
        <f t="shared" ca="1" si="0"/>
        <v>8</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14765</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892.95000000000073</v>
      </c>
      <c r="E30" s="5">
        <f ca="1">VLOOKUP($B30,'Summary Calculations (hide)'!$D$15:$U$67,15,0)</f>
        <v>4984.4800195505322</v>
      </c>
      <c r="F30" s="5">
        <f ca="1">VLOOKUP($B30,'Summary Calculations (hide)'!$D$15:$U$67,16,0)</f>
        <v>402.11538461538464</v>
      </c>
      <c r="G30" s="5">
        <f t="shared" ca="1" si="1"/>
        <v>5386.595404165917</v>
      </c>
      <c r="H30" s="5">
        <f t="shared" ca="1" si="2"/>
        <v>5386.595404165917</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14765</v>
      </c>
      <c r="AE30" s="67">
        <f ca="1">VLOOKUP($B30,'Summary Calculations (hide)'!$D$15:$U$67,18,0)</f>
        <v>892.95000000000073</v>
      </c>
    </row>
    <row r="31" spans="1:31" x14ac:dyDescent="0.2">
      <c r="A31" s="87">
        <f t="shared" ca="1" si="3"/>
        <v>44620</v>
      </c>
      <c r="B31" s="67">
        <f t="shared" ca="1" si="0"/>
        <v>9</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14765</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892.95000000000073</v>
      </c>
      <c r="E31" s="5">
        <f ca="1">VLOOKUP($B31,'Summary Calculations (hide)'!$D$15:$U$67,15,0)</f>
        <v>4984.4800195505322</v>
      </c>
      <c r="F31" s="5">
        <f ca="1">VLOOKUP($B31,'Summary Calculations (hide)'!$D$15:$U$67,16,0)</f>
        <v>402.11538461538464</v>
      </c>
      <c r="G31" s="5">
        <f t="shared" ca="1" si="1"/>
        <v>5386.595404165917</v>
      </c>
      <c r="H31" s="5">
        <f t="shared" ca="1" si="2"/>
        <v>5386.595404165917</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14765</v>
      </c>
      <c r="AE31" s="67">
        <f ca="1">VLOOKUP($B31,'Summary Calculations (hide)'!$D$15:$U$67,18,0)</f>
        <v>892.95000000000073</v>
      </c>
    </row>
    <row r="32" spans="1:31" x14ac:dyDescent="0.2">
      <c r="A32" s="87">
        <f t="shared" ca="1" si="3"/>
        <v>44627</v>
      </c>
      <c r="B32" s="67">
        <f t="shared" ca="1" si="0"/>
        <v>10</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14765</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892.95000000000073</v>
      </c>
      <c r="E32" s="5">
        <f ca="1">VLOOKUP($B32,'Summary Calculations (hide)'!$D$15:$U$67,15,0)</f>
        <v>4984.4800195505322</v>
      </c>
      <c r="F32" s="5">
        <f ca="1">VLOOKUP($B32,'Summary Calculations (hide)'!$D$15:$U$67,16,0)</f>
        <v>402.11538461538464</v>
      </c>
      <c r="G32" s="5">
        <f t="shared" ca="1" si="1"/>
        <v>5386.595404165917</v>
      </c>
      <c r="H32" s="5">
        <f t="shared" ca="1" si="2"/>
        <v>5386.595404165917</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14765</v>
      </c>
      <c r="AE32" s="67">
        <f ca="1">VLOOKUP($B32,'Summary Calculations (hide)'!$D$15:$U$67,18,0)</f>
        <v>892.95000000000073</v>
      </c>
    </row>
    <row r="33" spans="1:31" x14ac:dyDescent="0.2">
      <c r="A33" s="87">
        <f t="shared" ca="1" si="3"/>
        <v>44634</v>
      </c>
      <c r="B33" s="67">
        <f t="shared" ca="1" si="0"/>
        <v>11</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14765</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892.95000000000073</v>
      </c>
      <c r="E33" s="5">
        <f ca="1">VLOOKUP($B33,'Summary Calculations (hide)'!$D$15:$U$67,15,0)</f>
        <v>4984.4800195505322</v>
      </c>
      <c r="F33" s="5">
        <f ca="1">VLOOKUP($B33,'Summary Calculations (hide)'!$D$15:$U$67,16,0)</f>
        <v>402.11538461538464</v>
      </c>
      <c r="G33" s="5">
        <f t="shared" ca="1" si="1"/>
        <v>5386.595404165917</v>
      </c>
      <c r="H33" s="5">
        <f t="shared" ca="1" si="2"/>
        <v>5386.595404165917</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14765</v>
      </c>
      <c r="AE33" s="67">
        <f ca="1">VLOOKUP($B33,'Summary Calculations (hide)'!$D$15:$U$67,18,0)</f>
        <v>892.95000000000073</v>
      </c>
    </row>
    <row r="34" spans="1:31" x14ac:dyDescent="0.2">
      <c r="A34" s="87">
        <f t="shared" ca="1" si="3"/>
        <v>44641</v>
      </c>
      <c r="B34" s="67">
        <f t="shared" ca="1" si="0"/>
        <v>12</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14765</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892.95000000000073</v>
      </c>
      <c r="E34" s="5">
        <f ca="1">VLOOKUP($B34,'Summary Calculations (hide)'!$D$15:$U$67,15,0)</f>
        <v>4984.4800195505322</v>
      </c>
      <c r="F34" s="5">
        <f ca="1">VLOOKUP($B34,'Summary Calculations (hide)'!$D$15:$U$67,16,0)</f>
        <v>402.11538461538464</v>
      </c>
      <c r="G34" s="5">
        <f t="shared" ca="1" si="1"/>
        <v>5386.595404165917</v>
      </c>
      <c r="H34" s="5">
        <f t="shared" ca="1" si="2"/>
        <v>5386.595404165917</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14765</v>
      </c>
      <c r="AE34" s="67">
        <f ca="1">VLOOKUP($B34,'Summary Calculations (hide)'!$D$15:$U$67,18,0)</f>
        <v>892.95000000000073</v>
      </c>
    </row>
    <row r="35" spans="1:31" x14ac:dyDescent="0.2">
      <c r="A35" s="87">
        <f t="shared" ca="1" si="3"/>
        <v>44648</v>
      </c>
      <c r="B35" s="67">
        <f t="shared" ca="1" si="0"/>
        <v>13</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14765</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892.95000000000073</v>
      </c>
      <c r="E35" s="5">
        <f ca="1">VLOOKUP($B35,'Summary Calculations (hide)'!$D$15:$U$67,15,0)</f>
        <v>4984.4800195505322</v>
      </c>
      <c r="F35" s="5">
        <f ca="1">VLOOKUP($B35,'Summary Calculations (hide)'!$D$15:$U$67,16,0)</f>
        <v>402.11538461538464</v>
      </c>
      <c r="G35" s="5">
        <f t="shared" ca="1" si="1"/>
        <v>5386.595404165917</v>
      </c>
      <c r="H35" s="5">
        <f t="shared" ca="1" si="2"/>
        <v>5386.595404165917</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14765</v>
      </c>
      <c r="AE35" s="67">
        <f ca="1">VLOOKUP($B35,'Summary Calculations (hide)'!$D$15:$U$67,18,0)</f>
        <v>892.95000000000073</v>
      </c>
    </row>
    <row r="36" spans="1:31" x14ac:dyDescent="0.2">
      <c r="A36" s="87">
        <f t="shared" ca="1" si="3"/>
        <v>44655</v>
      </c>
      <c r="B36" s="67">
        <f t="shared" ca="1" si="0"/>
        <v>14</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14765</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892.95000000000073</v>
      </c>
      <c r="E36" s="5">
        <f ca="1">VLOOKUP($B36,'Summary Calculations (hide)'!$D$15:$U$67,15,0)</f>
        <v>4984.4800195505322</v>
      </c>
      <c r="F36" s="5">
        <f ca="1">VLOOKUP($B36,'Summary Calculations (hide)'!$D$15:$U$67,16,0)</f>
        <v>402.11538461538464</v>
      </c>
      <c r="G36" s="5">
        <f t="shared" ca="1" si="1"/>
        <v>5386.595404165917</v>
      </c>
      <c r="H36" s="5">
        <f t="shared" ca="1" si="2"/>
        <v>5386.595404165917</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14765</v>
      </c>
      <c r="AE36" s="67">
        <f ca="1">VLOOKUP($B36,'Summary Calculations (hide)'!$D$15:$U$67,18,0)</f>
        <v>892.95000000000073</v>
      </c>
    </row>
    <row r="37" spans="1:31" x14ac:dyDescent="0.2">
      <c r="A37" s="87">
        <f t="shared" ca="1" si="3"/>
        <v>44662</v>
      </c>
      <c r="B37" s="67">
        <f t="shared" ca="1" si="0"/>
        <v>15</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14765</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892.95000000000073</v>
      </c>
      <c r="E37" s="5">
        <f ca="1">VLOOKUP($B37,'Summary Calculations (hide)'!$D$15:$U$67,15,0)</f>
        <v>4984.4800195505322</v>
      </c>
      <c r="F37" s="5">
        <f ca="1">VLOOKUP($B37,'Summary Calculations (hide)'!$D$15:$U$67,16,0)</f>
        <v>402.11538461538464</v>
      </c>
      <c r="G37" s="5">
        <f t="shared" ca="1" si="1"/>
        <v>5386.595404165917</v>
      </c>
      <c r="H37" s="5">
        <f t="shared" ca="1" si="2"/>
        <v>5386.595404165917</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14765</v>
      </c>
      <c r="AE37" s="67">
        <f ca="1">VLOOKUP($B37,'Summary Calculations (hide)'!$D$15:$U$67,18,0)</f>
        <v>892.95000000000073</v>
      </c>
    </row>
    <row r="38" spans="1:31" x14ac:dyDescent="0.2">
      <c r="A38" s="87">
        <f t="shared" ca="1" si="3"/>
        <v>44669</v>
      </c>
      <c r="B38" s="67">
        <f t="shared" ca="1" si="0"/>
        <v>16</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14765</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892.95000000000073</v>
      </c>
      <c r="E38" s="5">
        <f ca="1">VLOOKUP($B38,'Summary Calculations (hide)'!$D$15:$U$67,15,0)</f>
        <v>4984.4800195505322</v>
      </c>
      <c r="F38" s="5">
        <f ca="1">VLOOKUP($B38,'Summary Calculations (hide)'!$D$15:$U$67,16,0)</f>
        <v>402.11538461538464</v>
      </c>
      <c r="G38" s="5">
        <f t="shared" ca="1" si="1"/>
        <v>5386.595404165917</v>
      </c>
      <c r="H38" s="5">
        <f t="shared" ca="1" si="2"/>
        <v>5386.595404165917</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14765</v>
      </c>
      <c r="AE38" s="67">
        <f ca="1">VLOOKUP($B38,'Summary Calculations (hide)'!$D$15:$U$67,18,0)</f>
        <v>892.95000000000073</v>
      </c>
    </row>
    <row r="39" spans="1:31" x14ac:dyDescent="0.2">
      <c r="A39" s="87">
        <f t="shared" ca="1" si="3"/>
        <v>44676</v>
      </c>
      <c r="B39" s="67">
        <f t="shared" ca="1" si="0"/>
        <v>17</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14765</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892.95000000000073</v>
      </c>
      <c r="E39" s="5">
        <f ca="1">VLOOKUP($B39,'Summary Calculations (hide)'!$D$15:$U$67,15,0)</f>
        <v>4984.4800195505322</v>
      </c>
      <c r="F39" s="5">
        <f ca="1">VLOOKUP($B39,'Summary Calculations (hide)'!$D$15:$U$67,16,0)</f>
        <v>402.11538461538464</v>
      </c>
      <c r="G39" s="5">
        <f t="shared" ca="1" si="1"/>
        <v>5386.595404165917</v>
      </c>
      <c r="H39" s="5">
        <f t="shared" ca="1" si="2"/>
        <v>5386.595404165917</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14765</v>
      </c>
      <c r="AE39" s="67">
        <f ca="1">VLOOKUP($B39,'Summary Calculations (hide)'!$D$15:$U$67,18,0)</f>
        <v>892.95000000000073</v>
      </c>
    </row>
    <row r="40" spans="1:31" x14ac:dyDescent="0.2">
      <c r="A40" s="87">
        <f t="shared" ca="1" si="3"/>
        <v>44683</v>
      </c>
      <c r="B40" s="67">
        <f t="shared" ca="1" si="0"/>
        <v>18</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14765</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892.95000000000073</v>
      </c>
      <c r="E40" s="5">
        <f ca="1">VLOOKUP($B40,'Summary Calculations (hide)'!$D$15:$U$67,15,0)</f>
        <v>4984.4800195505322</v>
      </c>
      <c r="F40" s="5">
        <f ca="1">VLOOKUP($B40,'Summary Calculations (hide)'!$D$15:$U$67,16,0)</f>
        <v>402.11538461538464</v>
      </c>
      <c r="G40" s="5">
        <f t="shared" ca="1" si="1"/>
        <v>5386.595404165917</v>
      </c>
      <c r="H40" s="5">
        <f t="shared" ca="1" si="2"/>
        <v>5386.595404165917</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14765</v>
      </c>
      <c r="AE40" s="67">
        <f ca="1">VLOOKUP($B40,'Summary Calculations (hide)'!$D$15:$U$67,18,0)</f>
        <v>892.95000000000073</v>
      </c>
    </row>
    <row r="41" spans="1:31" x14ac:dyDescent="0.2">
      <c r="A41" s="87">
        <f t="shared" ca="1" si="3"/>
        <v>44690</v>
      </c>
      <c r="B41" s="67">
        <f t="shared" ca="1" si="0"/>
        <v>19</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14765</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892.95000000000073</v>
      </c>
      <c r="E41" s="5">
        <f ca="1">VLOOKUP($B41,'Summary Calculations (hide)'!$D$15:$U$67,15,0)</f>
        <v>4984.4800195505322</v>
      </c>
      <c r="F41" s="5">
        <f ca="1">VLOOKUP($B41,'Summary Calculations (hide)'!$D$15:$U$67,16,0)</f>
        <v>402.11538461538464</v>
      </c>
      <c r="G41" s="5">
        <f t="shared" ca="1" si="1"/>
        <v>5386.595404165917</v>
      </c>
      <c r="H41" s="5">
        <f t="shared" ca="1" si="2"/>
        <v>5386.595404165917</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14765</v>
      </c>
      <c r="AE41" s="67">
        <f ca="1">VLOOKUP($B41,'Summary Calculations (hide)'!$D$15:$U$67,18,0)</f>
        <v>892.95000000000073</v>
      </c>
    </row>
    <row r="42" spans="1:31" x14ac:dyDescent="0.2">
      <c r="A42" s="87">
        <f ca="1">A41+7</f>
        <v>44697</v>
      </c>
      <c r="B42" s="67">
        <f t="shared" ca="1" si="0"/>
        <v>20</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14765</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892.95000000000073</v>
      </c>
      <c r="E42" s="5">
        <f ca="1">VLOOKUP($B42,'Summary Calculations (hide)'!$D$15:$U$67,15,0)</f>
        <v>4984.4800195505322</v>
      </c>
      <c r="F42" s="5">
        <f ca="1">VLOOKUP($B42,'Summary Calculations (hide)'!$D$15:$U$67,16,0)</f>
        <v>402.11538461538464</v>
      </c>
      <c r="G42" s="5">
        <f t="shared" ca="1" si="1"/>
        <v>5386.595404165917</v>
      </c>
      <c r="H42" s="5">
        <f t="shared" ca="1" si="2"/>
        <v>5386.595404165917</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14765</v>
      </c>
      <c r="AE42" s="67">
        <f ca="1">VLOOKUP($B42,'Summary Calculations (hide)'!$D$15:$U$67,18,0)</f>
        <v>892.95000000000073</v>
      </c>
    </row>
    <row r="43" spans="1:31" x14ac:dyDescent="0.2">
      <c r="A43" s="87">
        <f t="shared" ca="1" si="3"/>
        <v>44704</v>
      </c>
      <c r="B43" s="67">
        <f t="shared" ca="1" si="0"/>
        <v>21</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14765</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892.95000000000073</v>
      </c>
      <c r="E43" s="5">
        <f ca="1">VLOOKUP($B43,'Summary Calculations (hide)'!$D$15:$U$67,15,0)</f>
        <v>4984.4800195505322</v>
      </c>
      <c r="F43" s="5">
        <f ca="1">VLOOKUP($B43,'Summary Calculations (hide)'!$D$15:$U$67,16,0)</f>
        <v>402.11538461538464</v>
      </c>
      <c r="G43" s="5">
        <f t="shared" ca="1" si="1"/>
        <v>5386.595404165917</v>
      </c>
      <c r="H43" s="5">
        <f t="shared" ca="1" si="2"/>
        <v>5386.595404165917</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14765</v>
      </c>
      <c r="AE43" s="67">
        <f ca="1">VLOOKUP($B43,'Summary Calculations (hide)'!$D$15:$U$67,18,0)</f>
        <v>892.95000000000073</v>
      </c>
    </row>
    <row r="44" spans="1:31" x14ac:dyDescent="0.2">
      <c r="A44" s="87">
        <f t="shared" ca="1" si="3"/>
        <v>44711</v>
      </c>
      <c r="B44" s="67">
        <f t="shared" ca="1" si="0"/>
        <v>22</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14765</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892.95000000000073</v>
      </c>
      <c r="E44" s="5">
        <f ca="1">VLOOKUP($B44,'Summary Calculations (hide)'!$D$15:$U$67,15,0)</f>
        <v>4984.4800195505322</v>
      </c>
      <c r="F44" s="5">
        <f ca="1">VLOOKUP($B44,'Summary Calculations (hide)'!$D$15:$U$67,16,0)</f>
        <v>402.11538461538464</v>
      </c>
      <c r="G44" s="5">
        <f t="shared" ca="1" si="1"/>
        <v>5386.595404165917</v>
      </c>
      <c r="H44" s="5">
        <f t="shared" ca="1" si="2"/>
        <v>5386.595404165917</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14765</v>
      </c>
      <c r="AE44" s="67">
        <f ca="1">VLOOKUP($B44,'Summary Calculations (hide)'!$D$15:$U$67,18,0)</f>
        <v>892.95000000000073</v>
      </c>
    </row>
    <row r="45" spans="1:31" x14ac:dyDescent="0.2">
      <c r="A45" s="87">
        <f t="shared" ca="1" si="3"/>
        <v>44718</v>
      </c>
      <c r="B45" s="67">
        <f t="shared" ca="1" si="0"/>
        <v>23</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14765</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892.95000000000073</v>
      </c>
      <c r="E45" s="5">
        <f ca="1">VLOOKUP($B45,'Summary Calculations (hide)'!$D$15:$U$67,15,0)</f>
        <v>4984.4800195505322</v>
      </c>
      <c r="F45" s="5">
        <f ca="1">VLOOKUP($B45,'Summary Calculations (hide)'!$D$15:$U$67,16,0)</f>
        <v>402.11538461538464</v>
      </c>
      <c r="G45" s="5">
        <f t="shared" ca="1" si="1"/>
        <v>5386.595404165917</v>
      </c>
      <c r="H45" s="5">
        <f t="shared" ca="1" si="2"/>
        <v>5386.595404165917</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14765</v>
      </c>
      <c r="AE45" s="67">
        <f ca="1">VLOOKUP($B45,'Summary Calculations (hide)'!$D$15:$U$67,18,0)</f>
        <v>892.95000000000073</v>
      </c>
    </row>
    <row r="46" spans="1:31" x14ac:dyDescent="0.2">
      <c r="A46" s="87">
        <f t="shared" ca="1" si="3"/>
        <v>44725</v>
      </c>
      <c r="B46" s="67">
        <f t="shared" ca="1" si="0"/>
        <v>24</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14765</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892.95000000000073</v>
      </c>
      <c r="E46" s="5">
        <f ca="1">VLOOKUP($B46,'Summary Calculations (hide)'!$D$15:$U$67,15,0)</f>
        <v>4984.4800195505322</v>
      </c>
      <c r="F46" s="5">
        <f ca="1">VLOOKUP($B46,'Summary Calculations (hide)'!$D$15:$U$67,16,0)</f>
        <v>402.11538461538464</v>
      </c>
      <c r="G46" s="5">
        <f t="shared" ca="1" si="1"/>
        <v>5386.595404165917</v>
      </c>
      <c r="H46" s="5">
        <f t="shared" ca="1" si="2"/>
        <v>5386.595404165917</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14765</v>
      </c>
      <c r="AE46" s="67">
        <f ca="1">VLOOKUP($B46,'Summary Calculations (hide)'!$D$15:$U$67,18,0)</f>
        <v>892.95000000000073</v>
      </c>
    </row>
    <row r="47" spans="1:31" x14ac:dyDescent="0.2">
      <c r="A47" s="87">
        <f t="shared" ca="1" si="3"/>
        <v>44732</v>
      </c>
      <c r="B47" s="67">
        <f t="shared" ca="1" si="0"/>
        <v>25</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14765</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892.95000000000073</v>
      </c>
      <c r="E47" s="5">
        <f ca="1">VLOOKUP($B47,'Summary Calculations (hide)'!$D$15:$U$67,15,0)</f>
        <v>4984.4800195505322</v>
      </c>
      <c r="F47" s="5">
        <f ca="1">VLOOKUP($B47,'Summary Calculations (hide)'!$D$15:$U$67,16,0)</f>
        <v>402.11538461538464</v>
      </c>
      <c r="G47" s="5">
        <f t="shared" ca="1" si="1"/>
        <v>5386.595404165917</v>
      </c>
      <c r="H47" s="5">
        <f t="shared" ca="1" si="2"/>
        <v>5386.595404165917</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14765</v>
      </c>
      <c r="AE47" s="67">
        <f ca="1">VLOOKUP($B47,'Summary Calculations (hide)'!$D$15:$U$67,18,0)</f>
        <v>892.95000000000073</v>
      </c>
    </row>
    <row r="48" spans="1:31" x14ac:dyDescent="0.2">
      <c r="A48" s="87">
        <f t="shared" ca="1" si="3"/>
        <v>44739</v>
      </c>
      <c r="B48" s="67">
        <f t="shared" ca="1" si="0"/>
        <v>26</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14765</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892.95000000000073</v>
      </c>
      <c r="E48" s="5">
        <f ca="1">VLOOKUP($B48,'Summary Calculations (hide)'!$D$15:$U$67,15,0)</f>
        <v>4984.4800195505322</v>
      </c>
      <c r="F48" s="5">
        <f ca="1">VLOOKUP($B48,'Summary Calculations (hide)'!$D$15:$U$67,16,0)</f>
        <v>402.11538461538464</v>
      </c>
      <c r="G48" s="5">
        <f t="shared" ca="1" si="1"/>
        <v>5386.595404165917</v>
      </c>
      <c r="H48" s="5">
        <f t="shared" ca="1" si="2"/>
        <v>9160.595404165917</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14765</v>
      </c>
      <c r="AE48" s="67">
        <f ca="1">VLOOKUP($B48,'Summary Calculations (hide)'!$D$15:$U$67,18,0)</f>
        <v>892.95000000000073</v>
      </c>
    </row>
    <row r="49" spans="1:31" x14ac:dyDescent="0.2">
      <c r="A49" s="87">
        <f t="shared" ca="1" si="3"/>
        <v>44746</v>
      </c>
      <c r="B49" s="67">
        <f t="shared" ca="1" si="0"/>
        <v>27</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14765</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892.95000000000073</v>
      </c>
      <c r="E49" s="5">
        <f ca="1">VLOOKUP($B49,'Summary Calculations (hide)'!$D$15:$U$67,15,0)</f>
        <v>4984.4800195505322</v>
      </c>
      <c r="F49" s="5">
        <f ca="1">VLOOKUP($B49,'Summary Calculations (hide)'!$D$15:$U$67,16,0)</f>
        <v>402.11538461538464</v>
      </c>
      <c r="G49" s="5">
        <f t="shared" ca="1" si="1"/>
        <v>5386.595404165917</v>
      </c>
      <c r="H49" s="5">
        <f t="shared" ca="1" si="2"/>
        <v>9160.595404165917</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14765</v>
      </c>
      <c r="AE49" s="67">
        <f ca="1">VLOOKUP($B49,'Summary Calculations (hide)'!$D$15:$U$67,18,0)</f>
        <v>892.95000000000073</v>
      </c>
    </row>
    <row r="50" spans="1:31" x14ac:dyDescent="0.2">
      <c r="A50" s="87">
        <f t="shared" ca="1" si="3"/>
        <v>44753</v>
      </c>
      <c r="B50" s="67">
        <f t="shared" ca="1" si="0"/>
        <v>28</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14765</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892.95000000000073</v>
      </c>
      <c r="E50" s="5">
        <f ca="1">VLOOKUP($B50,'Summary Calculations (hide)'!$D$15:$U$67,15,0)</f>
        <v>4984.4800195505322</v>
      </c>
      <c r="F50" s="5">
        <f ca="1">VLOOKUP($B50,'Summary Calculations (hide)'!$D$15:$U$67,16,0)</f>
        <v>402.11538461538464</v>
      </c>
      <c r="G50" s="5">
        <f t="shared" ca="1" si="1"/>
        <v>5386.595404165917</v>
      </c>
      <c r="H50" s="5">
        <f t="shared" ca="1" si="2"/>
        <v>5386.595404165917</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14765</v>
      </c>
      <c r="AE50" s="67">
        <f ca="1">VLOOKUP($B50,'Summary Calculations (hide)'!$D$15:$U$67,18,0)</f>
        <v>892.95000000000073</v>
      </c>
    </row>
    <row r="51" spans="1:31" x14ac:dyDescent="0.2">
      <c r="A51" s="87">
        <f t="shared" ca="1" si="3"/>
        <v>44760</v>
      </c>
      <c r="B51" s="67">
        <f t="shared" ca="1" si="0"/>
        <v>29</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14765</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892.95000000000073</v>
      </c>
      <c r="E51" s="5">
        <f ca="1">VLOOKUP($B51,'Summary Calculations (hide)'!$D$15:$U$67,15,0)</f>
        <v>4984.4800195505322</v>
      </c>
      <c r="F51" s="5">
        <f ca="1">VLOOKUP($B51,'Summary Calculations (hide)'!$D$15:$U$67,16,0)</f>
        <v>402.11538461538464</v>
      </c>
      <c r="G51" s="5">
        <f t="shared" ca="1" si="1"/>
        <v>5386.595404165917</v>
      </c>
      <c r="H51" s="5">
        <f t="shared" ca="1" si="2"/>
        <v>5386.595404165917</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14765</v>
      </c>
      <c r="AE51" s="67">
        <f ca="1">VLOOKUP($B51,'Summary Calculations (hide)'!$D$15:$U$67,18,0)</f>
        <v>892.95000000000073</v>
      </c>
    </row>
    <row r="52" spans="1:31" x14ac:dyDescent="0.2">
      <c r="A52" s="87">
        <f t="shared" ca="1" si="3"/>
        <v>44767</v>
      </c>
      <c r="B52" s="67">
        <f t="shared" ca="1" si="0"/>
        <v>30</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14765</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892.95000000000073</v>
      </c>
      <c r="E52" s="5">
        <f ca="1">VLOOKUP($B52,'Summary Calculations (hide)'!$D$15:$U$67,15,0)</f>
        <v>4984.4800195505322</v>
      </c>
      <c r="F52" s="5">
        <f ca="1">VLOOKUP($B52,'Summary Calculations (hide)'!$D$15:$U$67,16,0)</f>
        <v>402.11538461538464</v>
      </c>
      <c r="G52" s="5">
        <f t="shared" ca="1" si="1"/>
        <v>5386.595404165917</v>
      </c>
      <c r="H52" s="5">
        <f t="shared" ca="1" si="2"/>
        <v>5386.595404165917</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14765</v>
      </c>
      <c r="AE52" s="67">
        <f ca="1">VLOOKUP($B52,'Summary Calculations (hide)'!$D$15:$U$67,18,0)</f>
        <v>892.95000000000073</v>
      </c>
    </row>
    <row r="53" spans="1:31" x14ac:dyDescent="0.2">
      <c r="A53" s="87">
        <f t="shared" ca="1" si="3"/>
        <v>44774</v>
      </c>
      <c r="B53" s="67">
        <f t="shared" ca="1" si="0"/>
        <v>31</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14765</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892.95000000000073</v>
      </c>
      <c r="E53" s="5">
        <f ca="1">VLOOKUP($B53,'Summary Calculations (hide)'!$D$15:$U$67,15,0)</f>
        <v>4984.4800195505322</v>
      </c>
      <c r="F53" s="5">
        <f ca="1">VLOOKUP($B53,'Summary Calculations (hide)'!$D$15:$U$67,16,0)</f>
        <v>402.11538461538464</v>
      </c>
      <c r="G53" s="5">
        <f t="shared" ca="1" si="1"/>
        <v>5386.595404165917</v>
      </c>
      <c r="H53" s="5">
        <f t="shared" ca="1" si="2"/>
        <v>5386.595404165917</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14765</v>
      </c>
      <c r="AE53" s="67">
        <f ca="1">VLOOKUP($B53,'Summary Calculations (hide)'!$D$15:$U$67,18,0)</f>
        <v>892.95000000000073</v>
      </c>
    </row>
    <row r="54" spans="1:31" x14ac:dyDescent="0.2">
      <c r="A54" s="87">
        <f t="shared" ca="1" si="3"/>
        <v>44781</v>
      </c>
      <c r="B54" s="67">
        <f t="shared" ca="1" si="0"/>
        <v>32</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14765</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892.95000000000073</v>
      </c>
      <c r="E54" s="5">
        <f ca="1">VLOOKUP($B54,'Summary Calculations (hide)'!$D$15:$U$67,15,0)</f>
        <v>4984.4800195505322</v>
      </c>
      <c r="F54" s="5">
        <f ca="1">VLOOKUP($B54,'Summary Calculations (hide)'!$D$15:$U$67,16,0)</f>
        <v>402.11538461538464</v>
      </c>
      <c r="G54" s="5">
        <f t="shared" ca="1" si="1"/>
        <v>5386.595404165917</v>
      </c>
      <c r="H54" s="5">
        <f t="shared" ca="1" si="2"/>
        <v>5386.595404165917</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14765</v>
      </c>
      <c r="AE54" s="67">
        <f ca="1">VLOOKUP($B54,'Summary Calculations (hide)'!$D$15:$U$67,18,0)</f>
        <v>892.95000000000073</v>
      </c>
    </row>
    <row r="55" spans="1:31" x14ac:dyDescent="0.2">
      <c r="A55" s="87">
        <f t="shared" ca="1" si="3"/>
        <v>44788</v>
      </c>
      <c r="B55" s="67">
        <f t="shared" ca="1" si="0"/>
        <v>33</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14765</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892.95000000000073</v>
      </c>
      <c r="E55" s="5">
        <f ca="1">VLOOKUP($B55,'Summary Calculations (hide)'!$D$15:$U$67,15,0)</f>
        <v>4984.4800195505322</v>
      </c>
      <c r="F55" s="5">
        <f ca="1">VLOOKUP($B55,'Summary Calculations (hide)'!$D$15:$U$67,16,0)</f>
        <v>402.11538461538464</v>
      </c>
      <c r="G55" s="5">
        <f t="shared" ca="1" si="1"/>
        <v>5386.595404165917</v>
      </c>
      <c r="H55" s="5">
        <f t="shared" ca="1" si="2"/>
        <v>5386.595404165917</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14765</v>
      </c>
      <c r="AE55" s="67">
        <f ca="1">VLOOKUP($B55,'Summary Calculations (hide)'!$D$15:$U$67,18,0)</f>
        <v>892.95000000000073</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f ca="1">'Summary Calculations (hide)'!X72</f>
        <v>14486.884615384623</v>
      </c>
    </row>
    <row r="5" spans="1:3" x14ac:dyDescent="0.2">
      <c r="A5" s="166" t="s">
        <v>531</v>
      </c>
      <c r="B5" s="166" t="s">
        <v>532</v>
      </c>
      <c r="C5" s="5">
        <f ca="1">'Summary Calculations (hide)'!M70</f>
        <v>14765</v>
      </c>
    </row>
    <row r="6" spans="1:3" x14ac:dyDescent="0.2">
      <c r="A6" s="166" t="s">
        <v>533</v>
      </c>
      <c r="B6" s="166" t="s">
        <v>534</v>
      </c>
      <c r="C6" s="5">
        <f ca="1">'Summary Calculations (hide)'!N70</f>
        <v>15657.949999999988</v>
      </c>
    </row>
    <row r="7" spans="1:3" ht="42.75" x14ac:dyDescent="0.2">
      <c r="A7" s="166" t="s">
        <v>99</v>
      </c>
      <c r="B7" s="166" t="s">
        <v>535</v>
      </c>
      <c r="C7">
        <f ca="1">'Parameters calculator (hide)'!B45</f>
        <v>0</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f ca="1">SUM('Summary Calculations (hide)'!R70:S70)</f>
        <v>5386.5954041659206</v>
      </c>
    </row>
    <row r="13" spans="1:3" x14ac:dyDescent="0.2">
      <c r="A13" s="166" t="s">
        <v>545</v>
      </c>
      <c r="B13" s="166" t="s">
        <v>546</v>
      </c>
      <c r="C13" s="5">
        <f ca="1">'Parameters calculator (hide)'!F63</f>
        <v>2265.7984608017205</v>
      </c>
    </row>
    <row r="14" spans="1:3" x14ac:dyDescent="0.2">
      <c r="A14" s="166" t="s">
        <v>547</v>
      </c>
      <c r="B14" s="166" t="s">
        <v>548</v>
      </c>
      <c r="C14" s="5">
        <f ca="1">'Parameters calculator (hide)'!B79</f>
        <v>3034</v>
      </c>
    </row>
    <row r="15" spans="1:3" x14ac:dyDescent="0.2">
      <c r="A15" s="166" t="s">
        <v>75</v>
      </c>
      <c r="B15" s="166" t="s">
        <v>549</v>
      </c>
      <c r="C15">
        <f ca="1">'Parameters calculator (hide)'!B43+'Parameters calculator (hide)'!B44</f>
        <v>0</v>
      </c>
    </row>
    <row r="16" spans="1:3" x14ac:dyDescent="0.2">
      <c r="A16" s="166" t="s">
        <v>550</v>
      </c>
      <c r="B16" s="166" t="s">
        <v>551</v>
      </c>
      <c r="C16">
        <v>0</v>
      </c>
    </row>
    <row r="17" spans="1:3" x14ac:dyDescent="0.2">
      <c r="A17" s="166" t="s">
        <v>552</v>
      </c>
      <c r="B17" s="166" t="s">
        <v>553</v>
      </c>
      <c r="C17">
        <f>IF(Summary!$C$8="Patients",0,1)</f>
        <v>1</v>
      </c>
    </row>
    <row r="18" spans="1:3" ht="28.5" x14ac:dyDescent="0.2">
      <c r="A18" s="166" t="s">
        <v>554</v>
      </c>
      <c r="B18" s="166" t="s">
        <v>555</v>
      </c>
      <c r="C18">
        <f ca="1">IF(C17=0,1,'Summary Calculations (hide)'!$I$9)</f>
        <v>15.875703357147373</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Sai Khunpha</cp:lastModifiedBy>
  <dcterms:created xsi:type="dcterms:W3CDTF">2018-01-30T12:52:20Z</dcterms:created>
  <dcterms:modified xsi:type="dcterms:W3CDTF">2021-08-20T14:17:08Z</dcterms:modified>
</cp:coreProperties>
</file>