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saikp\Documents\GitHub\Covid_modelling\"/>
    </mc:Choice>
  </mc:AlternateContent>
  <xr:revisionPtr revIDLastSave="0" documentId="8_{823180C6-DBC5-47E9-9752-E4D7BC25ADB7}" xr6:coauthVersionLast="47" xr6:coauthVersionMax="47" xr10:uidLastSave="{00000000-0000-0000-0000-000000000000}"/>
  <bookViews>
    <workbookView xWindow="-120" yWindow="-120" windowWidth="29040" windowHeight="15840" tabRatio="794"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E6" i="30"/>
  <c r="D6" i="30"/>
  <c r="B7" i="30"/>
  <c r="A7" i="30" s="1"/>
  <c r="BK1" i="31" l="1"/>
  <c r="A15" i="36"/>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BN110" i="31" l="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H15" i="39" s="1"/>
  <c r="D16" i="17"/>
  <c r="K14" i="39" s="1"/>
  <c r="D10" i="30"/>
  <c r="E10" i="30"/>
  <c r="B11" i="30"/>
  <c r="C55" i="26"/>
  <c r="C56" i="26"/>
  <c r="C57" i="26"/>
  <c r="B55" i="26"/>
  <c r="L55" i="26" s="1"/>
  <c r="B56" i="26"/>
  <c r="L56" i="26" s="1"/>
  <c r="B57" i="26"/>
  <c r="L57" i="26" s="1"/>
  <c r="A8" i="28"/>
  <c r="A7" i="28"/>
  <c r="A6" i="28"/>
  <c r="C20" i="25"/>
  <c r="BO110" i="31" l="1"/>
  <c r="A19" i="36"/>
  <c r="B18" i="36"/>
  <c r="DN43" i="6"/>
  <c r="DM42" i="6"/>
  <c r="F11" i="30"/>
  <c r="BP3" i="31" s="1"/>
  <c r="BP1" i="31" s="1"/>
  <c r="A11" i="30"/>
  <c r="M55" i="26"/>
  <c r="A18" i="17"/>
  <c r="H16" i="39" s="1"/>
  <c r="D17" i="17"/>
  <c r="B17" i="17"/>
  <c r="I15" i="39" s="1"/>
  <c r="C17" i="17"/>
  <c r="J15" i="39" s="1"/>
  <c r="M56" i="26"/>
  <c r="M57" i="26"/>
  <c r="D11" i="30"/>
  <c r="E11" i="30"/>
  <c r="B12" i="30"/>
  <c r="A12" i="30" s="1"/>
  <c r="A27" i="11"/>
  <c r="A10" i="11"/>
  <c r="BP110" i="31" l="1"/>
  <c r="A20" i="36"/>
  <c r="B19" i="36"/>
  <c r="DN44" i="6"/>
  <c r="DM43" i="6"/>
  <c r="F12" i="30"/>
  <c r="BQ3" i="31" s="1"/>
  <c r="BQ1" i="31" s="1"/>
  <c r="K15" i="39"/>
  <c r="A19" i="17"/>
  <c r="H17" i="39" s="1"/>
  <c r="D18" i="17"/>
  <c r="B18" i="17"/>
  <c r="I16" i="39" s="1"/>
  <c r="C18" i="17"/>
  <c r="J16" i="39" s="1"/>
  <c r="D12" i="30"/>
  <c r="E12" i="30"/>
  <c r="B13" i="30"/>
  <c r="B6" i="26"/>
  <c r="B7" i="26"/>
  <c r="B8" i="26"/>
  <c r="B9" i="26"/>
  <c r="B10" i="26"/>
  <c r="B11" i="26"/>
  <c r="B12" i="26"/>
  <c r="B13" i="26"/>
  <c r="B14" i="26"/>
  <c r="B5" i="26"/>
  <c r="BQ110" i="31" l="1"/>
  <c r="A21" i="36"/>
  <c r="B20" i="36"/>
  <c r="DN45" i="6"/>
  <c r="DM44" i="6"/>
  <c r="F13" i="30"/>
  <c r="BR3" i="31" s="1"/>
  <c r="BR1"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BR110" i="31" l="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K3"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 i="31" l="1"/>
  <c r="DJ110" i="31"/>
  <c r="DK110" i="31" s="1"/>
  <c r="DK1" i="3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66" i="17" l="1"/>
  <c r="J65" i="17"/>
  <c r="J60" i="17"/>
  <c r="J63" i="17"/>
  <c r="J64" i="17"/>
  <c r="J38" i="17"/>
  <c r="J51" i="17"/>
  <c r="J54" i="17"/>
  <c r="J26" i="17"/>
  <c r="J30" i="17"/>
  <c r="J58" i="17"/>
  <c r="J28" i="17"/>
  <c r="J37" i="17"/>
  <c r="J42" i="17"/>
  <c r="J18" i="17"/>
  <c r="J52" i="17"/>
  <c r="J55" i="17"/>
  <c r="J20" i="17"/>
  <c r="Q20" i="17" s="1"/>
  <c r="J57" i="17"/>
  <c r="J33" i="17"/>
  <c r="Q33" i="17" s="1"/>
  <c r="J35" i="17"/>
  <c r="J44" i="17"/>
  <c r="J41" i="17"/>
  <c r="J39" i="17"/>
  <c r="J27" i="17"/>
  <c r="J31" i="17"/>
  <c r="J23" i="17"/>
  <c r="J59" i="17"/>
  <c r="J53" i="17"/>
  <c r="J21" i="17"/>
  <c r="J50" i="17"/>
  <c r="J24" i="17"/>
  <c r="J34" i="17"/>
  <c r="Q34" i="17" s="1"/>
  <c r="J47" i="17"/>
  <c r="J43" i="17"/>
  <c r="J32" i="17"/>
  <c r="J45" i="17"/>
  <c r="J29" i="17"/>
  <c r="J46" i="17"/>
  <c r="J22" i="17"/>
  <c r="J19" i="17"/>
  <c r="J36" i="17"/>
  <c r="J40" i="17"/>
  <c r="J17" i="17"/>
  <c r="J48" i="17"/>
  <c r="J25" i="17"/>
  <c r="J15" i="17"/>
  <c r="Q30" i="17"/>
  <c r="A173" i="12"/>
  <c r="B170" i="3"/>
  <c r="AP161" i="6" s="1"/>
  <c r="AQ161" i="6"/>
  <c r="BL111" i="31"/>
  <c r="J61" i="17" s="1"/>
  <c r="J49" i="17" l="1"/>
  <c r="J67" i="17"/>
  <c r="J62" i="17"/>
  <c r="J56" i="17"/>
  <c r="J16" i="17"/>
  <c r="Q16" i="17" s="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H18" i="20"/>
  <c r="DM6" i="31" s="1"/>
  <c r="H19" i="20"/>
  <c r="DM7" i="31" s="1"/>
  <c r="H20" i="20"/>
  <c r="DM8" i="31" s="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I70" i="17" l="1"/>
  <c r="P56" i="17"/>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E5" i="36" l="1"/>
  <c r="R71" i="17"/>
  <c r="E55" i="36"/>
  <c r="AP54" i="15"/>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E32" i="18"/>
  <c r="R70" i="17"/>
  <c r="AR13" i="15"/>
  <c r="AR25" i="15"/>
  <c r="AR26" i="15"/>
  <c r="AR12" i="15"/>
  <c r="AR11" i="15"/>
  <c r="F55" i="36" l="1"/>
  <c r="G55" i="36" s="1"/>
  <c r="H55" i="36" s="1"/>
  <c r="S71" i="17"/>
  <c r="E33" i="18" s="1"/>
  <c r="AR48" i="15"/>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X71" i="17" l="1"/>
  <c r="F62" i="26"/>
  <c r="H62" i="26" s="1"/>
  <c r="X72" i="17"/>
  <c r="C4" i="37" s="1"/>
  <c r="E30" i="18"/>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U5" i="6" s="1"/>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36" i="36" l="1"/>
  <c r="T15" i="17"/>
  <c r="C39" i="36"/>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C38" i="36"/>
  <c r="AD6" i="36"/>
  <c r="C37" i="36"/>
  <c r="AD7" i="36"/>
  <c r="U18" i="17"/>
  <c r="U17" i="17"/>
  <c r="N19" i="17"/>
  <c r="U19" i="17" s="1"/>
  <c r="U20" i="17"/>
  <c r="EE10" i="6"/>
  <c r="EA3" i="6"/>
  <c r="D36" i="40" s="1"/>
  <c r="F36" i="40" s="1"/>
  <c r="DX4" i="6"/>
  <c r="N15" i="17"/>
  <c r="T24" i="17"/>
  <c r="AD55" i="36" s="1"/>
  <c r="T25" i="17"/>
  <c r="C4" i="36" s="1"/>
  <c r="T26" i="17"/>
  <c r="C27" i="36" s="1"/>
  <c r="T22" i="17"/>
  <c r="C23" i="36" s="1"/>
  <c r="T23" i="17"/>
  <c r="U22" i="17"/>
  <c r="U23" i="17"/>
  <c r="U24" i="17"/>
  <c r="U26" i="17"/>
  <c r="U25" i="17"/>
  <c r="C31" i="36" l="1"/>
  <c r="C29" i="36"/>
  <c r="C16" i="36"/>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AE5" i="36" l="1"/>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<sst xmlns="http://schemas.openxmlformats.org/spreadsheetml/2006/main" count="2566" uniqueCount="1307">
  <si>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</si>
  <si>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</si>
  <si>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</si>
  <si>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</si>
  <si>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</si>
  <si>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</si>
  <si>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</si>
  <si>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</si>
  <si>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</si>
  <si>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</si>
  <si>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</si>
  <si>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</si>
  <si>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</si>
  <si>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</si>
  <si>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</si>
  <si>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</si>
  <si>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</si>
  <si>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</si>
  <si>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</si>
  <si>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</si>
  <si>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</si>
  <si>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</si>
  <si>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</si>
  <si>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</si>
  <si>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</si>
  <si>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</si>
  <si>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</si>
  <si>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</si>
  <si>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</si>
  <si>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</si>
  <si>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</si>
  <si>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</si>
  <si>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</si>
  <si>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</si>
  <si>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</si>
  <si>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</si>
  <si>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</si>
  <si>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</si>
  <si>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</si>
  <si>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</si>
  <si>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</si>
  <si>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</si>
  <si>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</si>
  <si>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</si>
  <si>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</si>
  <si>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</si>
  <si>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</si>
  <si>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</si>
  <si>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</si>
  <si>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</si>
  <si>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</si>
  <si>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</si>
  <si>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</si>
  <si>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</si>
  <si>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</si>
  <si>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</si>
  <si>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</si>
  <si>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</si>
  <si>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</si>
  <si>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</si>
  <si>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</si>
  <si>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</si>
  <si>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</si>
  <si>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</si>
  <si>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</si>
  <si>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</si>
  <si>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</si>
  <si>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</si>
  <si>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</si>
  <si>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</si>
  <si>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</si>
  <si>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</si>
  <si>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</si>
  <si>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</si>
  <si>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</si>
  <si>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</si>
  <si>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</si>
  <si>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</si>
  <si>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</si>
  <si>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</si>
  <si>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</si>
  <si>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</si>
  <si>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</si>
  <si>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</si>
  <si>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</si>
  <si>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</si>
  <si>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</si>
  <si>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</si>
  <si>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</si>
  <si>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</si>
  <si>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</si>
  <si>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</si>
  <si>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</si>
  <si>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</si>
  <si>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</si>
  <si>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</si>
  <si>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</si>
  <si>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</si>
  <si>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</si>
  <si>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</si>
  <si>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</si>
  <si>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</si>
  <si>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</si>
  <si>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</si>
  <si>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</si>
  <si>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</si>
  <si>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</si>
  <si>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</si>
  <si>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</si>
  <si>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</si>
  <si>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</si>
  <si>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</si>
  <si>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</si>
  <si>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</si>
  <si>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</si>
  <si>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</si>
  <si>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</si>
  <si>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</si>
  <si>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</si>
  <si>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</si>
  <si>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</si>
  <si>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</si>
  <si>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</si>
  <si>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</si>
  <si>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</si>
  <si>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</si>
  <si>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</si>
  <si>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</si>
  <si>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</si>
  <si>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</si>
  <si>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</si>
  <si>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</si>
  <si>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</si>
  <si>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</si>
  <si>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</si>
  <si>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</si>
  <si>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</si>
  <si>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</si>
  <si>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</si>
  <si>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</si>
  <si>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</si>
  <si>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</si>
  <si>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</si>
  <si>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</si>
  <si>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</si>
  <si>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</si>
  <si>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</si>
  <si>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</si>
  <si>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</si>
  <si>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</si>
  <si>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</si>
  <si>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</si>
  <si>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</si>
  <si>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</si>
  <si>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</si>
  <si>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</si>
  <si>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</si>
  <si>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</si>
  <si>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</si>
  <si>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</si>
  <si>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</si>
  <si>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</si>
  <si>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</si>
  <si>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</si>
  <si>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</si>
  <si>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</si>
  <si>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</si>
  <si>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</si>
  <si>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</si>
  <si>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</si>
  <si>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</si>
  <si>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</si>
  <si>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</si>
  <si>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</si>
  <si>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</si>
  <si>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</si>
  <si>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</si>
  <si>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</si>
  <si>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</si>
  <si>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</si>
  <si>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</si>
  <si>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</si>
  <si>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</si>
  <si>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</si>
  <si>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</si>
  <si>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</si>
  <si>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</si>
  <si>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</si>
  <si>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</si>
  <si>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</si>
  <si>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</si>
  <si>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</si>
  <si>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</si>
  <si>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</si>
  <si>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</si>
  <si>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</si>
  <si>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</si>
  <si>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</si>
  <si>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</si>
  <si>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</si>
  <si>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</si>
  <si>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</si>
  <si>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</si>
  <si>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</si>
  <si>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</si>
  <si>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</si>
  <si>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</si>
  <si>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</si>
  <si>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</si>
  <si>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</si>
  <si>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</si>
  <si>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</si>
  <si>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</si>
  <si>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</si>
  <si>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</si>
  <si>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</si>
  <si>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</si>
  <si>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</si>
  <si>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</si>
  <si>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</si>
  <si>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</si>
  <si>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</si>
  <si>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</si>
  <si>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</si>
  <si>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</si>
  <si>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</si>
  <si>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</si>
  <si>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</si>
  <si>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</si>
  <si>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</si>
  <si>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</si>
  <si>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</si>
  <si>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</si>
  <si>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</si>
  <si>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</si>
  <si>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</si>
  <si>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</si>
  <si>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</si>
  <si>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</si>
  <si>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</si>
  <si>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</si>
  <si>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</si>
  <si>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</si>
  <si>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</si>
  <si>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</si>
  <si>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</si>
  <si>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</si>
  <si>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</si>
  <si>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</si>
  <si>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</si>
  <si>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</si>
  <si>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</si>
  <si>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</si>
  <si>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</si>
  <si>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</si>
  <si>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</si>
  <si>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</si>
  <si>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</si>
  <si>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</si>
  <si>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</si>
  <si>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</si>
  <si>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</si>
  <si>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</si>
  <si>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</si>
  <si>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</si>
  <si>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</si>
  <si>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</si>
  <si>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</si>
  <si>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</si>
  <si>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</si>
  <si>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</si>
  <si>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</si>
  <si>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</si>
  <si>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</si>
  <si>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</si>
  <si>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</si>
  <si>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</si>
  <si>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</si>
  <si>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</si>
  <si>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</si>
  <si>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</si>
  <si>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</si>
  <si>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</si>
  <si>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</si>
  <si>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</si>
  <si>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</si>
  <si>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</si>
  <si>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</si>
  <si>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</si>
  <si>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</si>
  <si>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</si>
  <si>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</si>
  <si>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</si>
  <si>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</si>
  <si>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</si>
  <si>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</si>
  <si>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</si>
  <si>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</si>
  <si>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</si>
  <si>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</si>
  <si>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</si>
  <si>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</si>
  <si>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</si>
  <si>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</si>
  <si>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</si>
  <si>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</si>
  <si>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</si>
  <si>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</si>
  <si>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</si>
  <si>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</si>
  <si>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</si>
  <si>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</si>
  <si>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</si>
  <si>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</si>
  <si>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</si>
  <si>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</si>
  <si>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</si>
  <si>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</si>
  <si>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</si>
  <si>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</si>
  <si>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</si>
  <si>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</si>
  <si>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</si>
  <si>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</si>
  <si>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</si>
  <si>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</si>
  <si>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</si>
  <si>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</si>
  <si>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</si>
  <si>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</si>
  <si>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</si>
  <si>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</si>
  <si>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</si>
  <si>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</si>
  <si>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</si>
  <si>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</si>
  <si>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</si>
  <si>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</si>
  <si>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</si>
  <si>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</si>
  <si>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</si>
  <si>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</si>
  <si>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</si>
  <si>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</si>
  <si>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</si>
  <si>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</si>
  <si>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</si>
  <si>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</si>
  <si>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</si>
  <si>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</si>
  <si>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</si>
  <si>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</si>
  <si>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</si>
  <si>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</si>
  <si>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</si>
  <si>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</si>
  <si>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</si>
  <si>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</si>
  <si>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</si>
  <si>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</si>
  <si>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</si>
  <si>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</si>
  <si>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</si>
  <si>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</si>
  <si>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</si>
  <si>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</si>
  <si>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</si>
  <si>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</si>
  <si>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</si>
  <si>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</si>
  <si>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</si>
  <si>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</si>
  <si>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</si>
  <si>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</si>
  <si>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</si>
  <si>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</si>
  <si>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</si>
  <si>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</si>
  <si>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</si>
  <si>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</si>
  <si>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</si>
  <si>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</si>
  <si>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</si>
  <si>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</si>
  <si>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</si>
  <si>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</si>
  <si>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</si>
  <si>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</si>
  <si>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</si>
  <si>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</si>
  <si>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</si>
  <si>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</si>
  <si>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</si>
  <si>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</si>
  <si>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</si>
  <si>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</si>
  <si>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</si>
  <si>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</si>
  <si>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</si>
  <si>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</si>
  <si>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</si>
  <si>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</si>
  <si>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</si>
  <si>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</si>
  <si>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</si>
  <si>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</si>
  <si>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</si>
  <si>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</si>
  <si>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</si>
  <si>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</si>
  <si>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</si>
  <si>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</si>
  <si>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</si>
  <si>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</si>
  <si>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</si>
  <si>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</si>
  <si>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</si>
  <si>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</si>
  <si>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</si>
  <si>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</si>
  <si>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</si>
  <si>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</si>
  <si>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</si>
  <si>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</si>
  <si>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</si>
  <si>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</si>
  <si>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</si>
  <si>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</si>
  <si>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</si>
  <si>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</si>
  <si>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</si>
  <si>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</si>
  <si>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</si>
  <si>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</si>
  <si>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</si>
  <si>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</si>
  <si>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</si>
  <si>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</si>
  <si>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</si>
  <si>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</si>
  <si>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</si>
  <si>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</si>
  <si>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</si>
  <si>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</si>
  <si>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</si>
  <si>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</si>
  <si>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</si>
  <si>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</si>
  <si>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</si>
  <si>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</si>
  <si>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</si>
  <si>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</si>
  <si>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</si>
  <si>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</si>
  <si>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</si>
  <si>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</si>
  <si>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</si>
  <si>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</si>
  <si>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</si>
  <si>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</si>
  <si>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</si>
  <si>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</si>
  <si>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</si>
  <si>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</si>
  <si>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</si>
  <si>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</si>
  <si>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</si>
  <si>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</si>
  <si>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</si>
  <si>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</si>
  <si>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</si>
  <si>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</si>
  <si>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</si>
  <si>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</si>
  <si>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</si>
  <si>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</si>
  <si>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</si>
  <si>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</si>
  <si>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</si>
  <si>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</si>
  <si>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</si>
  <si>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</si>
  <si>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</si>
  <si>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</si>
  <si>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</si>
  <si>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</si>
  <si>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</si>
  <si>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</si>
  <si>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</si>
  <si>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</si>
  <si>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</si>
  <si>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</si>
  <si>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</si>
  <si>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</si>
  <si>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</si>
  <si>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</si>
  <si>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</si>
  <si>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</si>
  <si>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</si>
  <si>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</si>
  <si>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</si>
  <si>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</si>
  <si>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</si>
  <si>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</si>
  <si>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</si>
  <si>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</si>
  <si>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</si>
  <si>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</si>
  <si>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</si>
  <si>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</si>
  <si>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</si>
  <si>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</si>
  <si>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</si>
  <si>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</si>
  <si>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</si>
  <si>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</si>
  <si>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</si>
  <si>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</si>
  <si>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</si>
  <si>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</si>
  <si>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</si>
  <si>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</si>
  <si>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</si>
  <si>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</si>
  <si>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</si>
  <si>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</si>
  <si>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</si>
  <si>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</si>
  <si>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</si>
  <si>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</si>
  <si>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</si>
  <si>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</si>
  <si>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</si>
  <si>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</si>
  <si>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</si>
  <si>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</si>
  <si>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</si>
  <si>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</si>
  <si>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</si>
  <si>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</si>
  <si>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</si>
  <si>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</si>
  <si>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</si>
  <si>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</si>
  <si>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</si>
  <si>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</si>
  <si>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</si>
  <si>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</si>
  <si>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</si>
  <si>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</si>
  <si>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</si>
  <si>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</si>
  <si>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</si>
  <si>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</si>
  <si>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</si>
  <si>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</si>
  <si>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</si>
  <si>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</si>
  <si>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</si>
  <si>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</si>
  <si>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</si>
  <si>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</si>
  <si>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</si>
  <si>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</si>
  <si>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</si>
  <si>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</si>
  <si>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</si>
  <si>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</si>
  <si>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</si>
  <si>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</si>
  <si>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</si>
  <si>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</si>
  <si>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</si>
  <si>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</si>
  <si>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</si>
  <si>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</si>
  <si>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</si>
  <si>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</si>
  <si>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</si>
  <si>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</si>
  <si>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</si>
  <si>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</si>
  <si>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</si>
  <si>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</si>
  <si>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</si>
  <si>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</si>
  <si>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</si>
  <si>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</si>
  <si>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</si>
  <si>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</si>
  <si>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</si>
  <si>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</si>
  <si>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</si>
  <si>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</si>
  <si>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</si>
  <si>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</si>
  <si>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</si>
  <si>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</si>
  <si>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</si>
  <si>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</si>
  <si>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</si>
  <si>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</si>
  <si>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</si>
  <si>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</si>
  <si>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</si>
  <si>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</si>
  <si>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</si>
  <si>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</si>
  <si>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</si>
  <si>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</si>
  <si>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</si>
  <si>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</si>
  <si>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</si>
  <si>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</si>
  <si>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</si>
  <si>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</si>
  <si>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</si>
  <si>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</si>
  <si>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</si>
  <si>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</si>
  <si>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</si>
  <si>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</si>
  <si>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</si>
  <si>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</si>
  <si>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</si>
  <si>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</si>
  <si>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</si>
  <si>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</si>
  <si>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</si>
  <si>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</si>
  <si>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</si>
  <si>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</si>
  <si>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</si>
  <si>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</si>
  <si>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</si>
  <si>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</si>
  <si>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</si>
  <si>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</si>
  <si>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</si>
  <si>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</si>
  <si>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</si>
  <si>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</si>
  <si>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</si>
  <si>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</si>
  <si>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</si>
  <si>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</si>
  <si>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</si>
  <si>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</si>
  <si>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</si>
  <si>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</si>
  <si>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</si>
  <si>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</si>
  <si>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</si>
  <si>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</si>
  <si>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</si>
  <si>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</si>
  <si>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</si>
  <si>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</si>
  <si>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</si>
  <si>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</si>
  <si>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</si>
  <si>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</si>
  <si>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</si>
  <si>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</si>
  <si>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</si>
  <si>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</si>
  <si>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</si>
  <si>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</si>
  <si>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</si>
  <si>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</si>
  <si>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</si>
  <si>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</si>
  <si>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</si>
  <si>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</si>
  <si>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</si>
  <si>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</si>
  <si>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</si>
  <si>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</si>
  <si>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</si>
  <si>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</si>
  <si>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</si>
  <si>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</si>
  <si>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</si>
  <si>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</si>
  <si>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</si>
  <si>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</si>
  <si>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</si>
  <si>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</si>
  <si>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</si>
  <si>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</si>
  <si>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</si>
  <si>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</si>
  <si>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</si>
  <si>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</si>
  <si>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</si>
  <si>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</si>
  <si>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</si>
  <si>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</si>
  <si>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</si>
  <si>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</si>
  <si>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</si>
  <si>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</si>
  <si>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</si>
  <si>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</si>
  <si>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</si>
  <si>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</si>
  <si>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</si>
  <si>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</si>
  <si>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</si>
  <si>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</si>
  <si>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</si>
  <si>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</si>
  <si>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</si>
  <si>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</si>
  <si>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</si>
  <si>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</si>
  <si>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</si>
  <si>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</si>
  <si>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</si>
  <si>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</si>
  <si>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</si>
  <si>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</si>
  <si>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</si>
  <si>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</si>
  <si>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</si>
  <si>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</si>
  <si>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</si>
  <si>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</si>
  <si>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</si>
  <si>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</si>
  <si>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</si>
  <si>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</si>
  <si>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</si>
  <si>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</si>
  <si>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</si>
  <si>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</si>
  <si>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</si>
  <si>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</si>
  <si>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</si>
  <si>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</si>
  <si>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</si>
  <si>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</si>
  <si>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</si>
  <si>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</si>
  <si>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</si>
  <si>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</si>
  <si>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</si>
  <si>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</si>
  <si>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</si>
  <si>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</si>
  <si>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</si>
  <si>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</si>
  <si>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</si>
  <si>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</si>
  <si>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</si>
  <si>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</si>
  <si>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</si>
  <si>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</si>
  <si>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</si>
  <si>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</si>
  <si>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</si>
  <si>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</si>
  <si>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</si>
  <si>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</si>
  <si>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</si>
  <si>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</si>
  <si>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</si>
  <si>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</si>
  <si>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</si>
  <si>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</si>
  <si>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</si>
  <si>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</si>
  <si>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</si>
  <si>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</si>
  <si>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</si>
  <si>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</si>
  <si>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</si>
  <si>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</si>
  <si>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</si>
  <si>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</si>
  <si>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</si>
  <si>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</si>
  <si>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</si>
  <si>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</si>
  <si>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</si>
  <si>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</si>
  <si>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</si>
  <si>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</si>
  <si>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</si>
  <si>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</si>
  <si>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</si>
  <si>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</si>
  <si>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</si>
  <si>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</si>
  <si>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</si>
  <si>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</si>
  <si>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</si>
  <si>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</si>
  <si>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</si>
  <si>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</si>
  <si>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</si>
  <si>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</si>
  <si>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</si>
  <si>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</si>
  <si>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</si>
  <si>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</si>
  <si>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</si>
  <si>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</si>
  <si>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</si>
  <si>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</si>
  <si>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</si>
  <si>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</si>
  <si>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</si>
  <si>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</si>
  <si>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</si>
  <si>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</si>
  <si>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</si>
  <si>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</si>
  <si>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</si>
  <si>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</si>
  <si>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</si>
  <si>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</si>
  <si>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</si>
  <si>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</si>
  <si>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</si>
  <si>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</si>
  <si>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</si>
  <si>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</si>
  <si>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</si>
  <si>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</si>
  <si>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</si>
  <si>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</si>
  <si>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</si>
  <si>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</si>
  <si>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</si>
  <si>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</si>
  <si>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</si>
  <si>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</si>
  <si>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</si>
  <si>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</si>
  <si>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</si>
  <si>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</si>
  <si>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</si>
  <si>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</si>
  <si>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</si>
  <si>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</si>
  <si>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</si>
  <si>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</si>
  <si>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</si>
  <si>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</si>
  <si>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</si>
  <si>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</si>
  <si>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</si>
  <si>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</si>
  <si>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</si>
  <si>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</si>
  <si>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</si>
  <si>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</si>
  <si>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</si>
  <si>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</si>
  <si>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</si>
  <si>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</si>
  <si>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</si>
  <si>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</si>
  <si>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</si>
  <si>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</si>
  <si>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</si>
  <si>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</si>
  <si>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</si>
  <si>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</si>
  <si>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</si>
  <si>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</si>
  <si>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</si>
  <si>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</si>
  <si>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</si>
  <si>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</si>
  <si>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</si>
  <si>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</si>
  <si>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</si>
  <si>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</si>
  <si>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</si>
  <si>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</si>
  <si>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</si>
  <si>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</si>
  <si>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</si>
  <si>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</si>
  <si>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</si>
  <si>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</si>
  <si>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</si>
  <si>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</si>
  <si>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</si>
  <si>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</si>
  <si>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</si>
  <si>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</si>
  <si>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</si>
  <si>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</si>
  <si>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</si>
  <si>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</si>
  <si>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</si>
  <si>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</si>
  <si>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</si>
  <si>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</si>
  <si>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</si>
  <si>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</si>
  <si>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</si>
  <si>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</si>
  <si>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</si>
  <si>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</si>
  <si>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</si>
  <si>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</si>
  <si>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</si>
  <si>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</si>
  <si>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</si>
  <si>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</si>
  <si>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</si>
  <si>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</si>
  <si>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</si>
  <si>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</si>
  <si>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</si>
  <si>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</si>
  <si>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</si>
  <si>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</si>
  <si>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</si>
  <si>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</si>
  <si>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</si>
  <si>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</si>
  <si>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</si>
  <si>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</si>
  <si>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</si>
  <si>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</si>
  <si>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</si>
  <si>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</si>
  <si>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</si>
  <si>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</si>
  <si>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</si>
  <si>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</si>
  <si>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</si>
  <si>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</si>
  <si>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</si>
  <si>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</si>
  <si>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</si>
  <si>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</si>
  <si>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</si>
  <si>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</si>
  <si>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</si>
  <si>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</si>
  <si>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</si>
  <si>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</si>
  <si>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</si>
  <si>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</si>
  <si>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</si>
  <si>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</si>
  <si>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</si>
  <si>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</si>
  <si>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</si>
  <si>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</si>
  <si>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</si>
  <si>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</si>
  <si>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</si>
  <si>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</si>
  <si>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</si>
  <si>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</si>
  <si>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</si>
  <si>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</si>
  <si>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</si>
  <si>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</si>
  <si>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</si>
  <si>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</si>
  <si>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</si>
  <si>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</si>
  <si>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</si>
  <si>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</si>
  <si>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</si>
  <si>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</si>
  <si>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</si>
  <si>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</si>
  <si>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</si>
  <si>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</si>
  <si>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</si>
  <si>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</si>
  <si>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</si>
  <si>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</si>
  <si>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</si>
  <si>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</si>
  <si>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</si>
  <si>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</si>
  <si>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</si>
  <si>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</si>
  <si>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</si>
  <si>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</si>
  <si>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</si>
  <si>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</si>
  <si>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</si>
  <si>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</si>
  <si>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</si>
  <si>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</si>
  <si>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</si>
  <si>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</si>
  <si>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</si>
  <si>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</si>
  <si>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</si>
  <si>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</si>
  <si>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</si>
  <si>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</si>
  <si>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</si>
  <si>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</si>
  <si>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</si>
  <si>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</si>
  <si>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</si>
  <si>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</si>
  <si>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</si>
  <si>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</si>
  <si>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</si>
  <si>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</si>
  <si>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</si>
  <si>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</si>
  <si>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</si>
  <si>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</si>
  <si>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</si>
  <si>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</si>
  <si>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</si>
  <si>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</si>
  <si>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</si>
  <si>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</si>
  <si>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</si>
  <si>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</si>
  <si>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</si>
  <si>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</si>
  <si>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</si>
  <si>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</si>
  <si>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</si>
  <si>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</si>
  <si>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</si>
  <si>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</si>
  <si>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</si>
  <si>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</si>
  <si>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</si>
  <si>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</si>
  <si>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</si>
  <si>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</si>
  <si>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</si>
  <si>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</si>
  <si>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</si>
  <si>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</si>
  <si>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</si>
  <si>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</si>
  <si>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</si>
  <si>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</si>
  <si>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</si>
  <si>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</si>
  <si>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</si>
  <si>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</si>
  <si>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</si>
  <si>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</si>
  <si>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</si>
  <si>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</si>
  <si>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</si>
  <si>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</si>
  <si>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</si>
  <si>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</si>
  <si>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</si>
  <si>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</si>
  <si>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</si>
  <si>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</si>
  <si>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</si>
  <si>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</si>
  <si>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</si>
  <si>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</si>
  <si>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</si>
  <si>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</si>
  <si>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</si>
  <si>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</si>
  <si>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</si>
  <si>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</si>
  <si>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</si>
  <si>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</si>
  <si>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</si>
  <si>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</si>
  <si>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</si>
  <si>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</si>
  <si>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</si>
  <si>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</si>
  <si>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</si>
  <si>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</si>
  <si>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</si>
  <si>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</si>
  <si>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</si>
  <si>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</si>
  <si>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</si>
  <si>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</si>
  <si>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</si>
  <si>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</si>
  <si>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</si>
  <si>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</si>
  <si>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</si>
  <si>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</si>
  <si>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</si>
  <si>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</si>
  <si>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</si>
  <si>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</si>
  <si>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</si>
  <si>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</si>
  <si>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</si>
  <si>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</si>
  <si>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</si>
  <si>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</si>
  <si>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</si>
  <si>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</si>
  <si>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</si>
  <si>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</si>
  <si>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</si>
  <si>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</si>
  <si>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</si>
  <si>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</si>
  <si>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</si>
  <si>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</si>
  <si>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</si>
  <si>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</si>
  <si>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</si>
  <si>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</si>
  <si>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</si>
  <si>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</si>
  <si>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</si>
  <si>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</si>
  <si>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</si>
  <si>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</si>
  <si>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</si>
  <si>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</si>
  <si>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</si>
  <si>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</si>
  <si>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</si>
  <si>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</si>
  <si>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</si>
  <si>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</si>
  <si>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</si>
  <si>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</si>
  <si>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</si>
  <si>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</si>
  <si>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</si>
  <si>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</si>
  <si>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</si>
  <si>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</si>
  <si>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</si>
  <si>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</si>
  <si>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</si>
  <si>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</si>
  <si>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</si>
  <si>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</si>
  <si>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</si>
  <si>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</si>
  <si>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</si>
  <si>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</si>
  <si>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</si>
  <si>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</si>
  <si>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</si>
  <si>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</si>
  <si>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</si>
  <si>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</si>
  <si>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</si>
  <si>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</si>
  <si>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</si>
  <si>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</si>
  <si>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</si>
  <si>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</si>
  <si>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</si>
  <si>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</si>
  <si>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</si>
  <si>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</si>
  <si>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</si>
  <si>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</si>
  <si>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</si>
  <si>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</si>
  <si>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</si>
  <si>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</si>
  <si>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</si>
  <si>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</si>
  <si>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</si>
  <si>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</si>
  <si>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</si>
  <si>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</si>
  <si>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</si>
  <si>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</si>
  <si>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</si>
  <si>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</si>
  <si>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</si>
  <si>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</si>
  <si>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</si>
  <si>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</si>
  <si>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</si>
  <si>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</si>
  <si>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</si>
  <si>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</si>
  <si>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</si>
  <si>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</si>
  <si>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</si>
  <si>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</si>
  <si>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</si>
  <si>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</si>
  <si>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</si>
  <si>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</si>
  <si>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</si>
  <si>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</si>
  <si>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</si>
  <si>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</si>
  <si>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</si>
  <si>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</si>
  <si>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</si>
  <si>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</si>
  <si>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</si>
  <si>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</si>
  <si>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</si>
  <si>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</si>
  <si>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</si>
  <si>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</si>
  <si>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</si>
  <si>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</si>
  <si>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</si>
  <si>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</si>
  <si>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</si>
  <si>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</si>
  <si>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</si>
  <si>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</si>
  <si>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</si>
  <si>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</si>
  <si>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</si>
  <si>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</si>
  <si>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</si>
  <si>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</si>
  <si>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</si>
  <si>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</si>
  <si>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</si>
  <si>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</si>
  <si>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</si>
  <si>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</si>
  <si>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</si>
  <si>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</si>
  <si>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</si>
  <si>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</si>
  <si>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</si>
  <si>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</si>
  <si>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</si>
  <si>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</si>
  <si>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</si>
  <si>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</si>
  <si>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</si>
  <si>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</si>
  <si>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</si>
  <si>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</si>
  <si>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</si>
  <si>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</si>
  <si>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</si>
  <si>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</si>
  <si>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</si>
  <si>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</si>
  <si>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</si>
  <si>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</si>
  <si>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</si>
  <si>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</si>
  <si>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</si>
  <si>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</si>
  <si>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</si>
  <si>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</si>
  <si>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</si>
  <si>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</si>
  <si>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</si>
  <si>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</si>
  <si>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</si>
  <si>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</si>
  <si>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</si>
  <si>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</si>
  <si>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</si>
  <si>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</si>
  <si>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Required Capacity</t>
  </si>
  <si>
    <t>Core session</t>
  </si>
  <si>
    <t>3.4h</t>
  </si>
  <si>
    <t>Bug fix:
Capacity conversion from patients -&gt; other units and vice versa not working as expected, corrected so that it is now calculating correctly.</t>
  </si>
  <si>
    <t>3.4i</t>
  </si>
  <si>
    <t>Test name 1</t>
  </si>
  <si>
    <t>Test name 2</t>
  </si>
  <si>
    <t>Another modality</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</si>
  <si>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</si>
  <si>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</si>
  <si>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</si>
  <si>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</si>
  <si>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</si>
  <si>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</si>
  <si>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</si>
  <si>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</si>
  <si>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</si>
  <si>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</si>
  <si>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</si>
  <si>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</si>
  <si>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</si>
  <si>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</si>
  <si>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</si>
  <si>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</si>
  <si>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</si>
  <si>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</si>
  <si>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</si>
  <si>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</si>
  <si>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</si>
  <si>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</si>
  <si>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</si>
  <si>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</si>
  <si>
    <t>Bug fix
Capacity calculation headers patched to cover cases that were previously not expected (ie. wk 53 logic).
Required capacity summary patched - was previously summing 53 weeks, corrected to 52.</t>
  </si>
  <si>
    <t>Version: 3.5</t>
  </si>
  <si>
    <t>new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</si>
</sst>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_-* #,##0_-;\-* #,##0_-;_-* &quot;-&quot;??_-;_-@_-"/>
    <numFmt numFmtId="166" formatCode="0.0"/>
    <numFmt numFmtId="167" formatCode="#,##0.0"/>
    <numFmt numFmtId="168" formatCode="\+0%;\-0%;0%"/>
    <numFmt numFmtId="169" formatCode="dd/mm/yyyy"/>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2">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14" fontId="0" fillId="68" borderId="48" xfId="0" applyNumberFormat="1" applyFill="1" applyBorder="1" applyProtection="1">
      <protection locked="0"/>
    </xf>
    <xf numFmtId="14" fontId="14" fillId="0" borderId="82" xfId="0" applyNumberFormat="1" applyFont="1" applyFill="1" applyBorder="1" applyAlignment="1" applyProtection="1">
      <alignment horizontal="center" vertical="center"/>
      <protection locked="0"/>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0" fontId="59" fillId="0" borderId="0" xfId="0" applyFont="1"/>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4" fillId="0" borderId="60" xfId="0" applyFont="1" applyBorder="1" applyAlignment="1"/>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xf numFmtId="169" fontId="61" fillId="0" borderId="15" xfId="0" applyNumberFormat="1" applyFont="1" applyBorder="1" applyProtection="1">
      <protection hidden="1"/>
    </xf>
    <xf numFmtId="169" fontId="61" fillId="0" borderId="16" xfId="0" applyNumberFormat="1" applyFont="1" applyBorder="1" applyProtection="1">
      <protection hidden="1"/>
    </xf>
    <xf numFmtId="169" fontId="61" fillId="0" borderId="17" xfId="0" applyNumberFormat="1" applyFont="1" applyBorder="1" applyProtection="1">
      <protection hidden="1"/>
    </xf>
    <xf numFmtId="169" fontId="61" fillId="9" borderId="0" xfId="0" applyNumberFormat="1" applyFont="1" applyFill="1" applyProtection="1">
      <protection hidden="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1164</c:v>
                </c:pt>
                <c:pt idx="28">
                  <c:v>1164</c:v>
                </c:pt>
                <c:pt idx="29">
                  <c:v>1164</c:v>
                </c:pt>
                <c:pt idx="30">
                  <c:v>1164</c:v>
                </c:pt>
                <c:pt idx="31">
                  <c:v>1164</c:v>
                </c:pt>
                <c:pt idx="32">
                  <c:v>1164</c:v>
                </c:pt>
                <c:pt idx="33">
                  <c:v>1164</c:v>
                </c:pt>
                <c:pt idx="34">
                  <c:v>1164</c:v>
                </c:pt>
                <c:pt idx="35">
                  <c:v>1164</c:v>
                </c:pt>
                <c:pt idx="36">
                  <c:v>1164</c:v>
                </c:pt>
                <c:pt idx="37">
                  <c:v>664</c:v>
                </c:pt>
                <c:pt idx="38">
                  <c:v>664</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(minutes)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44424</c:v>
                </c:pt>
                <c:pt idx="1">
                  <c:v>44431</c:v>
                </c:pt>
                <c:pt idx="2">
                  <c:v>44438</c:v>
                </c:pt>
                <c:pt idx="3">
                  <c:v>44445</c:v>
                </c:pt>
                <c:pt idx="4">
                  <c:v>44452</c:v>
                </c:pt>
                <c:pt idx="5">
                  <c:v>44459</c:v>
                </c:pt>
                <c:pt idx="6">
                  <c:v>44466</c:v>
                </c:pt>
                <c:pt idx="7">
                  <c:v>44473</c:v>
                </c:pt>
                <c:pt idx="8">
                  <c:v>44480</c:v>
                </c:pt>
                <c:pt idx="9">
                  <c:v>44487</c:v>
                </c:pt>
                <c:pt idx="10">
                  <c:v>44494</c:v>
                </c:pt>
                <c:pt idx="11">
                  <c:v>44501</c:v>
                </c:pt>
                <c:pt idx="12">
                  <c:v>44508</c:v>
                </c:pt>
                <c:pt idx="13">
                  <c:v>44515</c:v>
                </c:pt>
                <c:pt idx="14">
                  <c:v>44522</c:v>
                </c:pt>
                <c:pt idx="15">
                  <c:v>44529</c:v>
                </c:pt>
                <c:pt idx="16">
                  <c:v>44536</c:v>
                </c:pt>
                <c:pt idx="17">
                  <c:v>44543</c:v>
                </c:pt>
                <c:pt idx="18">
                  <c:v>44550</c:v>
                </c:pt>
                <c:pt idx="19">
                  <c:v>44557</c:v>
                </c:pt>
                <c:pt idx="20">
                  <c:v>44564</c:v>
                </c:pt>
                <c:pt idx="21">
                  <c:v>44571</c:v>
                </c:pt>
                <c:pt idx="22">
                  <c:v>44578</c:v>
                </c:pt>
                <c:pt idx="23">
                  <c:v>44585</c:v>
                </c:pt>
                <c:pt idx="24">
                  <c:v>44592</c:v>
                </c:pt>
                <c:pt idx="25">
                  <c:v>44599</c:v>
                </c:pt>
                <c:pt idx="26">
                  <c:v>44606</c:v>
                </c:pt>
                <c:pt idx="27">
                  <c:v>44613</c:v>
                </c:pt>
                <c:pt idx="28">
                  <c:v>44620</c:v>
                </c:pt>
                <c:pt idx="29">
                  <c:v>44627</c:v>
                </c:pt>
                <c:pt idx="30">
                  <c:v>44634</c:v>
                </c:pt>
                <c:pt idx="31">
                  <c:v>44641</c:v>
                </c:pt>
                <c:pt idx="32">
                  <c:v>44648</c:v>
                </c:pt>
                <c:pt idx="33">
                  <c:v>44655</c:v>
                </c:pt>
                <c:pt idx="34">
                  <c:v>44662</c:v>
                </c:pt>
                <c:pt idx="35">
                  <c:v>44669</c:v>
                </c:pt>
                <c:pt idx="36">
                  <c:v>44676</c:v>
                </c:pt>
                <c:pt idx="37">
                  <c:v>44683</c:v>
                </c:pt>
                <c:pt idx="38">
                  <c:v>44690</c:v>
                </c:pt>
                <c:pt idx="39">
                  <c:v>44697</c:v>
                </c:pt>
                <c:pt idx="40">
                  <c:v>44704</c:v>
                </c:pt>
                <c:pt idx="41">
                  <c:v>44711</c:v>
                </c:pt>
                <c:pt idx="42">
                  <c:v>44718</c:v>
                </c:pt>
                <c:pt idx="43">
                  <c:v>44725</c:v>
                </c:pt>
                <c:pt idx="44">
                  <c:v>44732</c:v>
                </c:pt>
                <c:pt idx="45">
                  <c:v>44739</c:v>
                </c:pt>
                <c:pt idx="46">
                  <c:v>44746</c:v>
                </c:pt>
                <c:pt idx="47">
                  <c:v>44753</c:v>
                </c:pt>
                <c:pt idx="48">
                  <c:v>44760</c:v>
                </c:pt>
                <c:pt idx="49">
                  <c:v>44767</c:v>
                </c:pt>
                <c:pt idx="50">
                  <c:v>44774</c:v>
                </c:pt>
                <c:pt idx="51">
                  <c:v>44781</c:v>
                </c:pt>
              </c:numCache>
            </c:numRef>
          </c:cat>
          <c:val>
            <c:numRef>
              <c:f>[0]!Cap_Chart_Core_Range</c:f>
              <c:numCache>
                <c:formatCode>#,##0</c:formatCode>
                <c:ptCount val="52"/>
                <c:pt idx="0">
                  <c:v>13.038461538461538</c:v>
                </c:pt>
                <c:pt idx="1">
                  <c:v>13.038461538461538</c:v>
                </c:pt>
                <c:pt idx="2">
                  <c:v>13.038461538461538</c:v>
                </c:pt>
                <c:pt idx="3">
                  <c:v>13.038461538461538</c:v>
                </c:pt>
                <c:pt idx="4">
                  <c:v>13.038461538461538</c:v>
                </c:pt>
                <c:pt idx="5">
                  <c:v>13.038461538461538</c:v>
                </c:pt>
                <c:pt idx="6">
                  <c:v>13.038461538461538</c:v>
                </c:pt>
                <c:pt idx="7">
                  <c:v>13.038461538461538</c:v>
                </c:pt>
                <c:pt idx="8">
                  <c:v>13.038461538461538</c:v>
                </c:pt>
                <c:pt idx="9">
                  <c:v>13.038461538461538</c:v>
                </c:pt>
                <c:pt idx="10">
                  <c:v>13.038461538461538</c:v>
                </c:pt>
                <c:pt idx="11">
                  <c:v>13.038461538461538</c:v>
                </c:pt>
                <c:pt idx="12">
                  <c:v>13.038461538461538</c:v>
                </c:pt>
                <c:pt idx="13">
                  <c:v>13.038461538461538</c:v>
                </c:pt>
                <c:pt idx="14">
                  <c:v>13.038461538461538</c:v>
                </c:pt>
                <c:pt idx="15">
                  <c:v>13.038461538461538</c:v>
                </c:pt>
                <c:pt idx="16">
                  <c:v>13.038461538461538</c:v>
                </c:pt>
                <c:pt idx="17">
                  <c:v>13.038461538461538</c:v>
                </c:pt>
                <c:pt idx="18">
                  <c:v>13.038461538461538</c:v>
                </c:pt>
                <c:pt idx="19">
                  <c:v>13.038461538461538</c:v>
                </c:pt>
                <c:pt idx="20">
                  <c:v>13.038461538461538</c:v>
                </c:pt>
                <c:pt idx="21">
                  <c:v>13.038461538461538</c:v>
                </c:pt>
                <c:pt idx="22">
                  <c:v>13.038461538461538</c:v>
                </c:pt>
                <c:pt idx="23">
                  <c:v>13.038461538461538</c:v>
                </c:pt>
                <c:pt idx="24">
                  <c:v>13.038461538461538</c:v>
                </c:pt>
                <c:pt idx="25">
                  <c:v>13.038461538461538</c:v>
                </c:pt>
                <c:pt idx="26">
                  <c:v>13.038461538461538</c:v>
                </c:pt>
                <c:pt idx="27">
                  <c:v>13.038461538461538</c:v>
                </c:pt>
                <c:pt idx="28">
                  <c:v>13.038461538461538</c:v>
                </c:pt>
                <c:pt idx="29">
                  <c:v>13.038461538461538</c:v>
                </c:pt>
                <c:pt idx="30">
                  <c:v>13.038461538461538</c:v>
                </c:pt>
                <c:pt idx="31">
                  <c:v>13.038461538461538</c:v>
                </c:pt>
                <c:pt idx="32">
                  <c:v>13.038461538461538</c:v>
                </c:pt>
                <c:pt idx="33">
                  <c:v>13.038461538461538</c:v>
                </c:pt>
                <c:pt idx="34">
                  <c:v>13.038461538461538</c:v>
                </c:pt>
                <c:pt idx="35">
                  <c:v>13.038461538461538</c:v>
                </c:pt>
                <c:pt idx="36">
                  <c:v>13.038461538461538</c:v>
                </c:pt>
                <c:pt idx="37">
                  <c:v>13.038461538461538</c:v>
                </c:pt>
                <c:pt idx="38">
                  <c:v>13.038461538461538</c:v>
                </c:pt>
                <c:pt idx="39">
                  <c:v>13.038461538461538</c:v>
                </c:pt>
                <c:pt idx="40">
                  <c:v>13.038461538461538</c:v>
                </c:pt>
                <c:pt idx="41">
                  <c:v>13.038461538461538</c:v>
                </c:pt>
                <c:pt idx="42">
                  <c:v>13.038461538461538</c:v>
                </c:pt>
                <c:pt idx="43">
                  <c:v>13.038461538461538</c:v>
                </c:pt>
                <c:pt idx="44">
                  <c:v>13.038461538461538</c:v>
                </c:pt>
                <c:pt idx="45">
                  <c:v>13.038461538461538</c:v>
                </c:pt>
                <c:pt idx="46">
                  <c:v>13.038461538461538</c:v>
                </c:pt>
                <c:pt idx="47">
                  <c:v>13.038461538461538</c:v>
                </c:pt>
                <c:pt idx="48">
                  <c:v>13.038461538461538</c:v>
                </c:pt>
                <c:pt idx="49">
                  <c:v>13.038461538461538</c:v>
                </c:pt>
                <c:pt idx="50">
                  <c:v>13.038461538461538</c:v>
                </c:pt>
                <c:pt idx="51">
                  <c:v>13.038461538461538</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44424</c:v>
                </c:pt>
                <c:pt idx="1">
                  <c:v>44431</c:v>
                </c:pt>
                <c:pt idx="2">
                  <c:v>44438</c:v>
                </c:pt>
                <c:pt idx="3">
                  <c:v>44445</c:v>
                </c:pt>
                <c:pt idx="4">
                  <c:v>44452</c:v>
                </c:pt>
                <c:pt idx="5">
                  <c:v>44459</c:v>
                </c:pt>
                <c:pt idx="6">
                  <c:v>44466</c:v>
                </c:pt>
                <c:pt idx="7">
                  <c:v>44473</c:v>
                </c:pt>
                <c:pt idx="8">
                  <c:v>44480</c:v>
                </c:pt>
                <c:pt idx="9">
                  <c:v>44487</c:v>
                </c:pt>
                <c:pt idx="10">
                  <c:v>44494</c:v>
                </c:pt>
                <c:pt idx="11">
                  <c:v>44501</c:v>
                </c:pt>
                <c:pt idx="12">
                  <c:v>44508</c:v>
                </c:pt>
                <c:pt idx="13">
                  <c:v>44515</c:v>
                </c:pt>
                <c:pt idx="14">
                  <c:v>44522</c:v>
                </c:pt>
                <c:pt idx="15">
                  <c:v>44529</c:v>
                </c:pt>
                <c:pt idx="16">
                  <c:v>44536</c:v>
                </c:pt>
                <c:pt idx="17">
                  <c:v>44543</c:v>
                </c:pt>
                <c:pt idx="18">
                  <c:v>44550</c:v>
                </c:pt>
                <c:pt idx="19">
                  <c:v>44557</c:v>
                </c:pt>
                <c:pt idx="20">
                  <c:v>44564</c:v>
                </c:pt>
                <c:pt idx="21">
                  <c:v>44571</c:v>
                </c:pt>
                <c:pt idx="22">
                  <c:v>44578</c:v>
                </c:pt>
                <c:pt idx="23">
                  <c:v>44585</c:v>
                </c:pt>
                <c:pt idx="24">
                  <c:v>44592</c:v>
                </c:pt>
                <c:pt idx="25">
                  <c:v>44599</c:v>
                </c:pt>
                <c:pt idx="26">
                  <c:v>44606</c:v>
                </c:pt>
                <c:pt idx="27">
                  <c:v>44613</c:v>
                </c:pt>
                <c:pt idx="28">
                  <c:v>44620</c:v>
                </c:pt>
                <c:pt idx="29">
                  <c:v>44627</c:v>
                </c:pt>
                <c:pt idx="30">
                  <c:v>44634</c:v>
                </c:pt>
                <c:pt idx="31">
                  <c:v>44641</c:v>
                </c:pt>
                <c:pt idx="32">
                  <c:v>44648</c:v>
                </c:pt>
                <c:pt idx="33">
                  <c:v>44655</c:v>
                </c:pt>
                <c:pt idx="34">
                  <c:v>44662</c:v>
                </c:pt>
                <c:pt idx="35">
                  <c:v>44669</c:v>
                </c:pt>
                <c:pt idx="36">
                  <c:v>44676</c:v>
                </c:pt>
                <c:pt idx="37">
                  <c:v>44683</c:v>
                </c:pt>
                <c:pt idx="38">
                  <c:v>44690</c:v>
                </c:pt>
                <c:pt idx="39">
                  <c:v>44697</c:v>
                </c:pt>
                <c:pt idx="40">
                  <c:v>44704</c:v>
                </c:pt>
                <c:pt idx="41">
                  <c:v>44711</c:v>
                </c:pt>
                <c:pt idx="42">
                  <c:v>44718</c:v>
                </c:pt>
                <c:pt idx="43">
                  <c:v>44725</c:v>
                </c:pt>
                <c:pt idx="44">
                  <c:v>44732</c:v>
                </c:pt>
                <c:pt idx="45">
                  <c:v>44739</c:v>
                </c:pt>
                <c:pt idx="46">
                  <c:v>44746</c:v>
                </c:pt>
                <c:pt idx="47">
                  <c:v>44753</c:v>
                </c:pt>
                <c:pt idx="48">
                  <c:v>44760</c:v>
                </c:pt>
                <c:pt idx="49">
                  <c:v>44767</c:v>
                </c:pt>
                <c:pt idx="50">
                  <c:v>44774</c:v>
                </c:pt>
                <c:pt idx="51">
                  <c:v>44781</c:v>
                </c:pt>
              </c:numCache>
            </c:numRef>
          </c:cat>
          <c:val>
            <c:numRef>
              <c:f>[0]!Cap_Chart_Adhoc_Range</c:f>
              <c:numCache>
                <c:formatCode>#,##0</c:formatCode>
                <c:ptCount val="52"/>
                <c:pt idx="0">
                  <c:v>2.1153846153846154</c:v>
                </c:pt>
                <c:pt idx="1">
                  <c:v>2.1153846153846154</c:v>
                </c:pt>
                <c:pt idx="2">
                  <c:v>2.1153846153846154</c:v>
                </c:pt>
                <c:pt idx="3">
                  <c:v>2.1153846153846154</c:v>
                </c:pt>
                <c:pt idx="4">
                  <c:v>2.1153846153846154</c:v>
                </c:pt>
                <c:pt idx="5">
                  <c:v>2.1153846153846154</c:v>
                </c:pt>
                <c:pt idx="6">
                  <c:v>2.1153846153846154</c:v>
                </c:pt>
                <c:pt idx="7">
                  <c:v>2.1153846153846154</c:v>
                </c:pt>
                <c:pt idx="8">
                  <c:v>2.1153846153846154</c:v>
                </c:pt>
                <c:pt idx="9">
                  <c:v>2.1153846153846154</c:v>
                </c:pt>
                <c:pt idx="10">
                  <c:v>2.1153846153846154</c:v>
                </c:pt>
                <c:pt idx="11">
                  <c:v>2.1153846153846154</c:v>
                </c:pt>
                <c:pt idx="12">
                  <c:v>2.1153846153846154</c:v>
                </c:pt>
                <c:pt idx="13">
                  <c:v>2.1153846153846154</c:v>
                </c:pt>
                <c:pt idx="14">
                  <c:v>2.1153846153846154</c:v>
                </c:pt>
                <c:pt idx="15">
                  <c:v>2.1153846153846154</c:v>
                </c:pt>
                <c:pt idx="16">
                  <c:v>2.1153846153846154</c:v>
                </c:pt>
                <c:pt idx="17">
                  <c:v>2.1153846153846154</c:v>
                </c:pt>
                <c:pt idx="18">
                  <c:v>2.1153846153846154</c:v>
                </c:pt>
                <c:pt idx="19">
                  <c:v>2.1153846153846154</c:v>
                </c:pt>
                <c:pt idx="20">
                  <c:v>2.1153846153846154</c:v>
                </c:pt>
                <c:pt idx="21">
                  <c:v>2.1153846153846154</c:v>
                </c:pt>
                <c:pt idx="22">
                  <c:v>2.1153846153846154</c:v>
                </c:pt>
                <c:pt idx="23">
                  <c:v>2.1153846153846154</c:v>
                </c:pt>
                <c:pt idx="24">
                  <c:v>2.1153846153846154</c:v>
                </c:pt>
                <c:pt idx="25">
                  <c:v>2.1153846153846154</c:v>
                </c:pt>
                <c:pt idx="26">
                  <c:v>2.1153846153846154</c:v>
                </c:pt>
                <c:pt idx="27">
                  <c:v>2.1153846153846154</c:v>
                </c:pt>
                <c:pt idx="28">
                  <c:v>2.1153846153846154</c:v>
                </c:pt>
                <c:pt idx="29">
                  <c:v>2.1153846153846154</c:v>
                </c:pt>
                <c:pt idx="30">
                  <c:v>2.1153846153846154</c:v>
                </c:pt>
                <c:pt idx="31">
                  <c:v>2.1153846153846154</c:v>
                </c:pt>
                <c:pt idx="32">
                  <c:v>2.1153846153846154</c:v>
                </c:pt>
                <c:pt idx="33">
                  <c:v>2.1153846153846154</c:v>
                </c:pt>
                <c:pt idx="34">
                  <c:v>2.1153846153846154</c:v>
                </c:pt>
                <c:pt idx="35">
                  <c:v>2.1153846153846154</c:v>
                </c:pt>
                <c:pt idx="36">
                  <c:v>2.1153846153846154</c:v>
                </c:pt>
                <c:pt idx="37">
                  <c:v>2.1153846153846154</c:v>
                </c:pt>
                <c:pt idx="38">
                  <c:v>2.1153846153846154</c:v>
                </c:pt>
                <c:pt idx="39">
                  <c:v>2.1153846153846154</c:v>
                </c:pt>
                <c:pt idx="40">
                  <c:v>2.1153846153846154</c:v>
                </c:pt>
                <c:pt idx="41">
                  <c:v>2.1153846153846154</c:v>
                </c:pt>
                <c:pt idx="42">
                  <c:v>2.1153846153846154</c:v>
                </c:pt>
                <c:pt idx="43">
                  <c:v>2.1153846153846154</c:v>
                </c:pt>
                <c:pt idx="44">
                  <c:v>2.1153846153846154</c:v>
                </c:pt>
                <c:pt idx="45">
                  <c:v>2.1153846153846154</c:v>
                </c:pt>
                <c:pt idx="46">
                  <c:v>2.1153846153846154</c:v>
                </c:pt>
                <c:pt idx="47">
                  <c:v>2.1153846153846154</c:v>
                </c:pt>
                <c:pt idx="48">
                  <c:v>2.1153846153846154</c:v>
                </c:pt>
                <c:pt idx="49">
                  <c:v>2.1153846153846154</c:v>
                </c:pt>
                <c:pt idx="50">
                  <c:v>2.1153846153846154</c:v>
                </c:pt>
                <c:pt idx="51">
                  <c:v>2.1153846153846154</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496.35</c:v>
                </c:pt>
                <c:pt idx="1">
                  <c:v>496.35</c:v>
                </c:pt>
                <c:pt idx="2">
                  <c:v>496.35</c:v>
                </c:pt>
                <c:pt idx="3">
                  <c:v>496.35</c:v>
                </c:pt>
                <c:pt idx="4">
                  <c:v>496.35</c:v>
                </c:pt>
                <c:pt idx="5">
                  <c:v>496.35</c:v>
                </c:pt>
                <c:pt idx="6">
                  <c:v>496.35</c:v>
                </c:pt>
                <c:pt idx="7">
                  <c:v>496.35</c:v>
                </c:pt>
                <c:pt idx="8">
                  <c:v>496.35</c:v>
                </c:pt>
                <c:pt idx="9">
                  <c:v>496.35</c:v>
                </c:pt>
                <c:pt idx="10">
                  <c:v>496.35</c:v>
                </c:pt>
                <c:pt idx="11">
                  <c:v>496.35</c:v>
                </c:pt>
                <c:pt idx="12">
                  <c:v>496.35</c:v>
                </c:pt>
                <c:pt idx="13">
                  <c:v>496.35</c:v>
                </c:pt>
                <c:pt idx="14">
                  <c:v>496.35</c:v>
                </c:pt>
                <c:pt idx="15">
                  <c:v>496.35</c:v>
                </c:pt>
                <c:pt idx="16">
                  <c:v>496.35</c:v>
                </c:pt>
                <c:pt idx="17">
                  <c:v>496.35</c:v>
                </c:pt>
                <c:pt idx="18">
                  <c:v>496.35</c:v>
                </c:pt>
                <c:pt idx="19">
                  <c:v>496.35</c:v>
                </c:pt>
                <c:pt idx="20">
                  <c:v>496.35</c:v>
                </c:pt>
                <c:pt idx="21">
                  <c:v>496.35</c:v>
                </c:pt>
                <c:pt idx="22">
                  <c:v>496.35</c:v>
                </c:pt>
                <c:pt idx="23">
                  <c:v>496.35</c:v>
                </c:pt>
                <c:pt idx="24">
                  <c:v>496.35</c:v>
                </c:pt>
                <c:pt idx="25">
                  <c:v>496.35</c:v>
                </c:pt>
                <c:pt idx="26">
                  <c:v>496.35</c:v>
                </c:pt>
                <c:pt idx="27">
                  <c:v>496.35</c:v>
                </c:pt>
                <c:pt idx="28">
                  <c:v>496.35</c:v>
                </c:pt>
                <c:pt idx="29">
                  <c:v>496.35</c:v>
                </c:pt>
                <c:pt idx="30">
                  <c:v>496.35</c:v>
                </c:pt>
                <c:pt idx="31">
                  <c:v>496.35</c:v>
                </c:pt>
                <c:pt idx="32">
                  <c:v>496.35</c:v>
                </c:pt>
                <c:pt idx="33">
                  <c:v>496.35</c:v>
                </c:pt>
                <c:pt idx="34">
                  <c:v>496.35</c:v>
                </c:pt>
                <c:pt idx="35">
                  <c:v>496.35</c:v>
                </c:pt>
                <c:pt idx="36">
                  <c:v>496.35</c:v>
                </c:pt>
                <c:pt idx="37">
                  <c:v>496.35</c:v>
                </c:pt>
                <c:pt idx="38">
                  <c:v>496.35</c:v>
                </c:pt>
                <c:pt idx="39">
                  <c:v>496.35</c:v>
                </c:pt>
                <c:pt idx="40">
                  <c:v>496.35</c:v>
                </c:pt>
                <c:pt idx="41">
                  <c:v>496.35</c:v>
                </c:pt>
                <c:pt idx="42">
                  <c:v>496.35</c:v>
                </c:pt>
                <c:pt idx="43">
                  <c:v>496.35</c:v>
                </c:pt>
                <c:pt idx="44">
                  <c:v>496.35</c:v>
                </c:pt>
                <c:pt idx="45">
                  <c:v>496.35</c:v>
                </c:pt>
                <c:pt idx="46">
                  <c:v>496.35</c:v>
                </c:pt>
                <c:pt idx="47">
                  <c:v>496.35</c:v>
                </c:pt>
                <c:pt idx="48">
                  <c:v>496.35</c:v>
                </c:pt>
                <c:pt idx="49">
                  <c:v>496.35</c:v>
                </c:pt>
                <c:pt idx="50">
                  <c:v>496.35</c:v>
                </c:pt>
                <c:pt idx="51">
                  <c:v>496.35</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101.25</c:v>
                </c:pt>
                <c:pt idx="1">
                  <c:v>101.25</c:v>
                </c:pt>
                <c:pt idx="2">
                  <c:v>101.25</c:v>
                </c:pt>
                <c:pt idx="3">
                  <c:v>101.25</c:v>
                </c:pt>
                <c:pt idx="4">
                  <c:v>101.25</c:v>
                </c:pt>
                <c:pt idx="5">
                  <c:v>101.25</c:v>
                </c:pt>
                <c:pt idx="6">
                  <c:v>101.25</c:v>
                </c:pt>
                <c:pt idx="7">
                  <c:v>101.25</c:v>
                </c:pt>
                <c:pt idx="8">
                  <c:v>101.25</c:v>
                </c:pt>
                <c:pt idx="9">
                  <c:v>101.25</c:v>
                </c:pt>
                <c:pt idx="10">
                  <c:v>101.25</c:v>
                </c:pt>
                <c:pt idx="11">
                  <c:v>101.25</c:v>
                </c:pt>
                <c:pt idx="12">
                  <c:v>101.25</c:v>
                </c:pt>
                <c:pt idx="13">
                  <c:v>101.25</c:v>
                </c:pt>
                <c:pt idx="14">
                  <c:v>101.25</c:v>
                </c:pt>
                <c:pt idx="15">
                  <c:v>101.25</c:v>
                </c:pt>
                <c:pt idx="16">
                  <c:v>101.25</c:v>
                </c:pt>
                <c:pt idx="17">
                  <c:v>101.25</c:v>
                </c:pt>
                <c:pt idx="18">
                  <c:v>101.25</c:v>
                </c:pt>
                <c:pt idx="19">
                  <c:v>101.25</c:v>
                </c:pt>
                <c:pt idx="20">
                  <c:v>101.25</c:v>
                </c:pt>
                <c:pt idx="21">
                  <c:v>101.25</c:v>
                </c:pt>
                <c:pt idx="22">
                  <c:v>101.25</c:v>
                </c:pt>
                <c:pt idx="23">
                  <c:v>101.25</c:v>
                </c:pt>
                <c:pt idx="24">
                  <c:v>101.25</c:v>
                </c:pt>
                <c:pt idx="25">
                  <c:v>101.25</c:v>
                </c:pt>
                <c:pt idx="26">
                  <c:v>101.25</c:v>
                </c:pt>
                <c:pt idx="27">
                  <c:v>101.25</c:v>
                </c:pt>
                <c:pt idx="28">
                  <c:v>101.25</c:v>
                </c:pt>
                <c:pt idx="29">
                  <c:v>101.25</c:v>
                </c:pt>
                <c:pt idx="30">
                  <c:v>101.25</c:v>
                </c:pt>
                <c:pt idx="31">
                  <c:v>101.25</c:v>
                </c:pt>
                <c:pt idx="32">
                  <c:v>101.25</c:v>
                </c:pt>
                <c:pt idx="33">
                  <c:v>101.25</c:v>
                </c:pt>
                <c:pt idx="34">
                  <c:v>101.25</c:v>
                </c:pt>
                <c:pt idx="35">
                  <c:v>101.25</c:v>
                </c:pt>
                <c:pt idx="36">
                  <c:v>101.25</c:v>
                </c:pt>
                <c:pt idx="37">
                  <c:v>101.25</c:v>
                </c:pt>
                <c:pt idx="38">
                  <c:v>101.25</c:v>
                </c:pt>
                <c:pt idx="39">
                  <c:v>101.25</c:v>
                </c:pt>
                <c:pt idx="40">
                  <c:v>101.25</c:v>
                </c:pt>
                <c:pt idx="41">
                  <c:v>101.25</c:v>
                </c:pt>
                <c:pt idx="42">
                  <c:v>101.25</c:v>
                </c:pt>
                <c:pt idx="43">
                  <c:v>101.25</c:v>
                </c:pt>
                <c:pt idx="44">
                  <c:v>101.25</c:v>
                </c:pt>
                <c:pt idx="45">
                  <c:v>101.25</c:v>
                </c:pt>
                <c:pt idx="46">
                  <c:v>101.25</c:v>
                </c:pt>
                <c:pt idx="47">
                  <c:v>101.25</c:v>
                </c:pt>
                <c:pt idx="48">
                  <c:v>101.25</c:v>
                </c:pt>
                <c:pt idx="49">
                  <c:v>101.25</c:v>
                </c:pt>
                <c:pt idx="50">
                  <c:v>101.25</c:v>
                </c:pt>
                <c:pt idx="51">
                  <c:v>101.25</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(minutes)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496.34999999999962</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101.24999999999983</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13.038461538461545</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2.1153846153846141</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(minutes)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1574.0769230769231</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165.69230769230762</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2100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(Minutes)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[0]!Summary_Blank</c:f>
              <c:numCache>
                <c:formatCode>#,##0</c:formatCode>
                <c:ptCount val="52"/>
                <c:pt idx="0">
                  <c:v>496.35</c:v>
                </c:pt>
                <c:pt idx="1">
                  <c:v>496.35</c:v>
                </c:pt>
                <c:pt idx="2">
                  <c:v>496.35</c:v>
                </c:pt>
                <c:pt idx="3">
                  <c:v>496.35</c:v>
                </c:pt>
                <c:pt idx="4">
                  <c:v>496.35</c:v>
                </c:pt>
                <c:pt idx="5">
                  <c:v>496.35</c:v>
                </c:pt>
                <c:pt idx="6">
                  <c:v>496.35</c:v>
                </c:pt>
                <c:pt idx="7">
                  <c:v>496.35</c:v>
                </c:pt>
                <c:pt idx="8">
                  <c:v>496.35</c:v>
                </c:pt>
                <c:pt idx="9">
                  <c:v>496.35</c:v>
                </c:pt>
                <c:pt idx="10">
                  <c:v>496.35</c:v>
                </c:pt>
                <c:pt idx="11">
                  <c:v>496.35</c:v>
                </c:pt>
                <c:pt idx="12">
                  <c:v>496.35</c:v>
                </c:pt>
                <c:pt idx="13">
                  <c:v>496.35</c:v>
                </c:pt>
                <c:pt idx="14">
                  <c:v>496.35</c:v>
                </c:pt>
                <c:pt idx="15">
                  <c:v>496.35</c:v>
                </c:pt>
                <c:pt idx="16">
                  <c:v>496.35</c:v>
                </c:pt>
                <c:pt idx="17">
                  <c:v>496.35</c:v>
                </c:pt>
                <c:pt idx="18">
                  <c:v>496.35</c:v>
                </c:pt>
                <c:pt idx="19">
                  <c:v>496.35</c:v>
                </c:pt>
                <c:pt idx="20">
                  <c:v>496.35</c:v>
                </c:pt>
                <c:pt idx="21">
                  <c:v>496.35</c:v>
                </c:pt>
                <c:pt idx="22">
                  <c:v>496.35</c:v>
                </c:pt>
                <c:pt idx="23">
                  <c:v>496.35</c:v>
                </c:pt>
                <c:pt idx="24">
                  <c:v>496.35</c:v>
                </c:pt>
                <c:pt idx="25">
                  <c:v>496.35</c:v>
                </c:pt>
                <c:pt idx="26">
                  <c:v>496.35</c:v>
                </c:pt>
                <c:pt idx="27">
                  <c:v>496.35</c:v>
                </c:pt>
                <c:pt idx="28">
                  <c:v>496.35</c:v>
                </c:pt>
                <c:pt idx="29">
                  <c:v>496.35</c:v>
                </c:pt>
                <c:pt idx="30">
                  <c:v>496.35</c:v>
                </c:pt>
                <c:pt idx="31">
                  <c:v>496.35</c:v>
                </c:pt>
                <c:pt idx="32">
                  <c:v>496.35</c:v>
                </c:pt>
                <c:pt idx="33">
                  <c:v>496.35</c:v>
                </c:pt>
                <c:pt idx="34">
                  <c:v>496.35</c:v>
                </c:pt>
                <c:pt idx="35">
                  <c:v>496.35</c:v>
                </c:pt>
                <c:pt idx="36">
                  <c:v>496.35</c:v>
                </c:pt>
                <c:pt idx="37">
                  <c:v>496.35</c:v>
                </c:pt>
                <c:pt idx="38">
                  <c:v>496.35</c:v>
                </c:pt>
                <c:pt idx="39">
                  <c:v>496.35</c:v>
                </c:pt>
                <c:pt idx="40">
                  <c:v>496.35</c:v>
                </c:pt>
                <c:pt idx="41">
                  <c:v>496.35</c:v>
                </c:pt>
                <c:pt idx="42">
                  <c:v>496.35</c:v>
                </c:pt>
                <c:pt idx="43">
                  <c:v>496.35</c:v>
                </c:pt>
                <c:pt idx="44">
                  <c:v>496.35</c:v>
                </c:pt>
                <c:pt idx="45">
                  <c:v>496.35</c:v>
                </c:pt>
                <c:pt idx="46">
                  <c:v>496.35</c:v>
                </c:pt>
                <c:pt idx="47">
                  <c:v>496.35</c:v>
                </c:pt>
                <c:pt idx="48">
                  <c:v>496.35</c:v>
                </c:pt>
                <c:pt idx="49">
                  <c:v>496.35</c:v>
                </c:pt>
                <c:pt idx="50">
                  <c:v>496.35</c:v>
                </c:pt>
                <c:pt idx="51">
                  <c:v>496.35</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[0]!Summary_Req</c:f>
              <c:numCache>
                <c:formatCode>#,##0</c:formatCode>
                <c:ptCount val="52"/>
                <c:pt idx="0">
                  <c:v>101.25</c:v>
                </c:pt>
                <c:pt idx="1">
                  <c:v>101.25</c:v>
                </c:pt>
                <c:pt idx="2">
                  <c:v>101.25</c:v>
                </c:pt>
                <c:pt idx="3">
                  <c:v>101.25</c:v>
                </c:pt>
                <c:pt idx="4">
                  <c:v>101.25</c:v>
                </c:pt>
                <c:pt idx="5">
                  <c:v>101.25</c:v>
                </c:pt>
                <c:pt idx="6">
                  <c:v>101.25</c:v>
                </c:pt>
                <c:pt idx="7">
                  <c:v>101.25</c:v>
                </c:pt>
                <c:pt idx="8">
                  <c:v>101.25</c:v>
                </c:pt>
                <c:pt idx="9">
                  <c:v>101.25</c:v>
                </c:pt>
                <c:pt idx="10">
                  <c:v>101.25</c:v>
                </c:pt>
                <c:pt idx="11">
                  <c:v>101.25</c:v>
                </c:pt>
                <c:pt idx="12">
                  <c:v>101.25</c:v>
                </c:pt>
                <c:pt idx="13">
                  <c:v>101.25</c:v>
                </c:pt>
                <c:pt idx="14">
                  <c:v>101.25</c:v>
                </c:pt>
                <c:pt idx="15">
                  <c:v>101.25</c:v>
                </c:pt>
                <c:pt idx="16">
                  <c:v>101.25</c:v>
                </c:pt>
                <c:pt idx="17">
                  <c:v>101.25</c:v>
                </c:pt>
                <c:pt idx="18">
                  <c:v>101.25</c:v>
                </c:pt>
                <c:pt idx="19">
                  <c:v>101.25</c:v>
                </c:pt>
                <c:pt idx="20">
                  <c:v>101.25</c:v>
                </c:pt>
                <c:pt idx="21">
                  <c:v>101.25</c:v>
                </c:pt>
                <c:pt idx="22">
                  <c:v>101.25</c:v>
                </c:pt>
                <c:pt idx="23">
                  <c:v>101.25</c:v>
                </c:pt>
                <c:pt idx="24">
                  <c:v>101.25</c:v>
                </c:pt>
                <c:pt idx="25">
                  <c:v>101.25</c:v>
                </c:pt>
                <c:pt idx="26">
                  <c:v>101.25</c:v>
                </c:pt>
                <c:pt idx="27">
                  <c:v>101.25</c:v>
                </c:pt>
                <c:pt idx="28">
                  <c:v>101.25</c:v>
                </c:pt>
                <c:pt idx="29">
                  <c:v>101.25</c:v>
                </c:pt>
                <c:pt idx="30">
                  <c:v>101.25</c:v>
                </c:pt>
                <c:pt idx="31">
                  <c:v>101.25</c:v>
                </c:pt>
                <c:pt idx="32">
                  <c:v>101.25</c:v>
                </c:pt>
                <c:pt idx="33">
                  <c:v>101.25</c:v>
                </c:pt>
                <c:pt idx="34">
                  <c:v>101.25</c:v>
                </c:pt>
                <c:pt idx="35">
                  <c:v>101.25</c:v>
                </c:pt>
                <c:pt idx="36">
                  <c:v>101.25</c:v>
                </c:pt>
                <c:pt idx="37">
                  <c:v>101.25</c:v>
                </c:pt>
                <c:pt idx="38">
                  <c:v>101.25</c:v>
                </c:pt>
                <c:pt idx="39">
                  <c:v>101.25</c:v>
                </c:pt>
                <c:pt idx="40">
                  <c:v>101.25</c:v>
                </c:pt>
                <c:pt idx="41">
                  <c:v>101.25</c:v>
                </c:pt>
                <c:pt idx="42">
                  <c:v>101.25</c:v>
                </c:pt>
                <c:pt idx="43">
                  <c:v>101.25</c:v>
                </c:pt>
                <c:pt idx="44">
                  <c:v>101.25</c:v>
                </c:pt>
                <c:pt idx="45">
                  <c:v>101.25</c:v>
                </c:pt>
                <c:pt idx="46">
                  <c:v>101.25</c:v>
                </c:pt>
                <c:pt idx="47">
                  <c:v>101.25</c:v>
                </c:pt>
                <c:pt idx="48">
                  <c:v>101.25</c:v>
                </c:pt>
                <c:pt idx="49">
                  <c:v>101.25</c:v>
                </c:pt>
                <c:pt idx="50">
                  <c:v>101.25</c:v>
                </c:pt>
                <c:pt idx="51">
                  <c:v>101.25</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13.038461538461538</c:v>
                </c:pt>
                <c:pt idx="1">
                  <c:v>13.038461538461538</c:v>
                </c:pt>
                <c:pt idx="2">
                  <c:v>13.038461538461538</c:v>
                </c:pt>
                <c:pt idx="3">
                  <c:v>13.038461538461538</c:v>
                </c:pt>
                <c:pt idx="4">
                  <c:v>13.038461538461538</c:v>
                </c:pt>
                <c:pt idx="5">
                  <c:v>13.038461538461538</c:v>
                </c:pt>
                <c:pt idx="6">
                  <c:v>13.038461538461538</c:v>
                </c:pt>
                <c:pt idx="7">
                  <c:v>13.038461538461538</c:v>
                </c:pt>
                <c:pt idx="8">
                  <c:v>13.038461538461538</c:v>
                </c:pt>
                <c:pt idx="9">
                  <c:v>13.038461538461538</c:v>
                </c:pt>
                <c:pt idx="10">
                  <c:v>13.038461538461538</c:v>
                </c:pt>
                <c:pt idx="11">
                  <c:v>13.038461538461538</c:v>
                </c:pt>
                <c:pt idx="12">
                  <c:v>13.038461538461538</c:v>
                </c:pt>
                <c:pt idx="13">
                  <c:v>13.038461538461538</c:v>
                </c:pt>
                <c:pt idx="14">
                  <c:v>13.038461538461538</c:v>
                </c:pt>
                <c:pt idx="15">
                  <c:v>13.038461538461538</c:v>
                </c:pt>
                <c:pt idx="16">
                  <c:v>13.038461538461538</c:v>
                </c:pt>
                <c:pt idx="17">
                  <c:v>13.038461538461538</c:v>
                </c:pt>
                <c:pt idx="18">
                  <c:v>13.038461538461538</c:v>
                </c:pt>
                <c:pt idx="19">
                  <c:v>13.038461538461538</c:v>
                </c:pt>
                <c:pt idx="20">
                  <c:v>13.038461538461538</c:v>
                </c:pt>
                <c:pt idx="21">
                  <c:v>13.038461538461538</c:v>
                </c:pt>
                <c:pt idx="22">
                  <c:v>13.038461538461538</c:v>
                </c:pt>
                <c:pt idx="23">
                  <c:v>13.038461538461538</c:v>
                </c:pt>
                <c:pt idx="24">
                  <c:v>13.038461538461538</c:v>
                </c:pt>
                <c:pt idx="25">
                  <c:v>13.038461538461538</c:v>
                </c:pt>
                <c:pt idx="26">
                  <c:v>13.038461538461538</c:v>
                </c:pt>
                <c:pt idx="27">
                  <c:v>13.038461538461538</c:v>
                </c:pt>
                <c:pt idx="28">
                  <c:v>13.038461538461538</c:v>
                </c:pt>
                <c:pt idx="29">
                  <c:v>13.038461538461538</c:v>
                </c:pt>
                <c:pt idx="30">
                  <c:v>13.038461538461538</c:v>
                </c:pt>
                <c:pt idx="31">
                  <c:v>13.038461538461538</c:v>
                </c:pt>
                <c:pt idx="32">
                  <c:v>13.038461538461538</c:v>
                </c:pt>
                <c:pt idx="33">
                  <c:v>13.038461538461538</c:v>
                </c:pt>
                <c:pt idx="34">
                  <c:v>13.038461538461538</c:v>
                </c:pt>
                <c:pt idx="35">
                  <c:v>13.038461538461538</c:v>
                </c:pt>
                <c:pt idx="36">
                  <c:v>13.038461538461538</c:v>
                </c:pt>
                <c:pt idx="37">
                  <c:v>13.038461538461538</c:v>
                </c:pt>
                <c:pt idx="38">
                  <c:v>13.038461538461538</c:v>
                </c:pt>
                <c:pt idx="39">
                  <c:v>13.038461538461538</c:v>
                </c:pt>
                <c:pt idx="40">
                  <c:v>13.038461538461538</c:v>
                </c:pt>
                <c:pt idx="41">
                  <c:v>13.038461538461538</c:v>
                </c:pt>
                <c:pt idx="42">
                  <c:v>13.038461538461538</c:v>
                </c:pt>
                <c:pt idx="43">
                  <c:v>13.038461538461538</c:v>
                </c:pt>
                <c:pt idx="44">
                  <c:v>13.038461538461538</c:v>
                </c:pt>
                <c:pt idx="45">
                  <c:v>13.038461538461538</c:v>
                </c:pt>
                <c:pt idx="46">
                  <c:v>13.038461538461538</c:v>
                </c:pt>
                <c:pt idx="47">
                  <c:v>13.038461538461538</c:v>
                </c:pt>
                <c:pt idx="48">
                  <c:v>13.038461538461538</c:v>
                </c:pt>
                <c:pt idx="49">
                  <c:v>13.038461538461538</c:v>
                </c:pt>
                <c:pt idx="50">
                  <c:v>13.038461538461538</c:v>
                </c:pt>
                <c:pt idx="51">
                  <c:v>13.038461538461538</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2.1153846153846154</c:v>
                </c:pt>
                <c:pt idx="1">
                  <c:v>2.1153846153846154</c:v>
                </c:pt>
                <c:pt idx="2">
                  <c:v>2.1153846153846154</c:v>
                </c:pt>
                <c:pt idx="3">
                  <c:v>2.1153846153846154</c:v>
                </c:pt>
                <c:pt idx="4">
                  <c:v>2.1153846153846154</c:v>
                </c:pt>
                <c:pt idx="5">
                  <c:v>2.1153846153846154</c:v>
                </c:pt>
                <c:pt idx="6">
                  <c:v>2.1153846153846154</c:v>
                </c:pt>
                <c:pt idx="7">
                  <c:v>2.1153846153846154</c:v>
                </c:pt>
                <c:pt idx="8">
                  <c:v>2.1153846153846154</c:v>
                </c:pt>
                <c:pt idx="9">
                  <c:v>2.1153846153846154</c:v>
                </c:pt>
                <c:pt idx="10">
                  <c:v>2.1153846153846154</c:v>
                </c:pt>
                <c:pt idx="11">
                  <c:v>2.1153846153846154</c:v>
                </c:pt>
                <c:pt idx="12">
                  <c:v>2.1153846153846154</c:v>
                </c:pt>
                <c:pt idx="13">
                  <c:v>2.1153846153846154</c:v>
                </c:pt>
                <c:pt idx="14">
                  <c:v>2.1153846153846154</c:v>
                </c:pt>
                <c:pt idx="15">
                  <c:v>2.1153846153846154</c:v>
                </c:pt>
                <c:pt idx="16">
                  <c:v>2.1153846153846154</c:v>
                </c:pt>
                <c:pt idx="17">
                  <c:v>2.1153846153846154</c:v>
                </c:pt>
                <c:pt idx="18">
                  <c:v>2.1153846153846154</c:v>
                </c:pt>
                <c:pt idx="19">
                  <c:v>2.1153846153846154</c:v>
                </c:pt>
                <c:pt idx="20">
                  <c:v>2.1153846153846154</c:v>
                </c:pt>
                <c:pt idx="21">
                  <c:v>2.1153846153846154</c:v>
                </c:pt>
                <c:pt idx="22">
                  <c:v>2.1153846153846154</c:v>
                </c:pt>
                <c:pt idx="23">
                  <c:v>2.1153846153846154</c:v>
                </c:pt>
                <c:pt idx="24">
                  <c:v>2.1153846153846154</c:v>
                </c:pt>
                <c:pt idx="25">
                  <c:v>2.1153846153846154</c:v>
                </c:pt>
                <c:pt idx="26">
                  <c:v>2.1153846153846154</c:v>
                </c:pt>
                <c:pt idx="27">
                  <c:v>2.1153846153846154</c:v>
                </c:pt>
                <c:pt idx="28">
                  <c:v>2.1153846153846154</c:v>
                </c:pt>
                <c:pt idx="29">
                  <c:v>2.1153846153846154</c:v>
                </c:pt>
                <c:pt idx="30">
                  <c:v>2.1153846153846154</c:v>
                </c:pt>
                <c:pt idx="31">
                  <c:v>2.1153846153846154</c:v>
                </c:pt>
                <c:pt idx="32">
                  <c:v>2.1153846153846154</c:v>
                </c:pt>
                <c:pt idx="33">
                  <c:v>2.1153846153846154</c:v>
                </c:pt>
                <c:pt idx="34">
                  <c:v>2.1153846153846154</c:v>
                </c:pt>
                <c:pt idx="35">
                  <c:v>2.1153846153846154</c:v>
                </c:pt>
                <c:pt idx="36">
                  <c:v>2.1153846153846154</c:v>
                </c:pt>
                <c:pt idx="37">
                  <c:v>2.1153846153846154</c:v>
                </c:pt>
                <c:pt idx="38">
                  <c:v>2.1153846153846154</c:v>
                </c:pt>
                <c:pt idx="39">
                  <c:v>2.1153846153846154</c:v>
                </c:pt>
                <c:pt idx="40">
                  <c:v>2.1153846153846154</c:v>
                </c:pt>
                <c:pt idx="41">
                  <c:v>2.1153846153846154</c:v>
                </c:pt>
                <c:pt idx="42">
                  <c:v>2.1153846153846154</c:v>
                </c:pt>
                <c:pt idx="43">
                  <c:v>2.1153846153846154</c:v>
                </c:pt>
                <c:pt idx="44">
                  <c:v>2.1153846153846154</c:v>
                </c:pt>
                <c:pt idx="45">
                  <c:v>2.1153846153846154</c:v>
                </c:pt>
                <c:pt idx="46">
                  <c:v>2.1153846153846154</c:v>
                </c:pt>
                <c:pt idx="47">
                  <c:v>2.1153846153846154</c:v>
                </c:pt>
                <c:pt idx="48">
                  <c:v>2.1153846153846154</c:v>
                </c:pt>
                <c:pt idx="49">
                  <c:v>2.1153846153846154</c:v>
                </c:pt>
                <c:pt idx="50">
                  <c:v>2.1153846153846154</c:v>
                </c:pt>
                <c:pt idx="51">
                  <c:v>2.1153846153846154</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'WL PI Backing (hide)'!$AA$13:$AA$64</c:f>
              <c:numCache>
                <c:formatCode>General</c:formatCode>
                <c:ptCount val="52"/>
                <c:pt idx="0">
                  <c:v>1574.0769230769231</c:v>
                </c:pt>
                <c:pt idx="1">
                  <c:v>1574.0769230769231</c:v>
                </c:pt>
                <c:pt idx="2">
                  <c:v>1574.0769230769231</c:v>
                </c:pt>
                <c:pt idx="3">
                  <c:v>1574.0769230769231</c:v>
                </c:pt>
                <c:pt idx="4">
                  <c:v>1574.0769230769231</c:v>
                </c:pt>
                <c:pt idx="5">
                  <c:v>1574.0769230769231</c:v>
                </c:pt>
                <c:pt idx="6">
                  <c:v>1574.0769230769231</c:v>
                </c:pt>
                <c:pt idx="7">
                  <c:v>1574.0769230769231</c:v>
                </c:pt>
                <c:pt idx="8">
                  <c:v>1574.0769230769231</c:v>
                </c:pt>
                <c:pt idx="9">
                  <c:v>1574.0769230769231</c:v>
                </c:pt>
                <c:pt idx="10">
                  <c:v>1574.0769230769231</c:v>
                </c:pt>
                <c:pt idx="11">
                  <c:v>1574.0769230769231</c:v>
                </c:pt>
                <c:pt idx="12">
                  <c:v>1574.0769230769231</c:v>
                </c:pt>
                <c:pt idx="13">
                  <c:v>1574.0769230769231</c:v>
                </c:pt>
                <c:pt idx="14">
                  <c:v>1574.0769230769231</c:v>
                </c:pt>
                <c:pt idx="15">
                  <c:v>1574.0769230769231</c:v>
                </c:pt>
                <c:pt idx="16">
                  <c:v>1574.0769230769231</c:v>
                </c:pt>
                <c:pt idx="17">
                  <c:v>1574.0769230769231</c:v>
                </c:pt>
                <c:pt idx="18">
                  <c:v>1574.0769230769231</c:v>
                </c:pt>
                <c:pt idx="19">
                  <c:v>1574.0769230769231</c:v>
                </c:pt>
                <c:pt idx="20">
                  <c:v>1574.0769230769231</c:v>
                </c:pt>
                <c:pt idx="21">
                  <c:v>1574.0769230769231</c:v>
                </c:pt>
                <c:pt idx="22">
                  <c:v>1574.0769230769231</c:v>
                </c:pt>
                <c:pt idx="23">
                  <c:v>1574.0769230769231</c:v>
                </c:pt>
                <c:pt idx="24">
                  <c:v>1574.0769230769231</c:v>
                </c:pt>
                <c:pt idx="25">
                  <c:v>1574.0769230769231</c:v>
                </c:pt>
                <c:pt idx="26">
                  <c:v>1574.0769230769231</c:v>
                </c:pt>
                <c:pt idx="27">
                  <c:v>1574.0769230769231</c:v>
                </c:pt>
                <c:pt idx="28">
                  <c:v>1574.0769230769231</c:v>
                </c:pt>
                <c:pt idx="29">
                  <c:v>1574.0769230769231</c:v>
                </c:pt>
                <c:pt idx="30">
                  <c:v>1574.0769230769231</c:v>
                </c:pt>
                <c:pt idx="31">
                  <c:v>1574.0769230769231</c:v>
                </c:pt>
                <c:pt idx="32">
                  <c:v>1574.0769230769231</c:v>
                </c:pt>
                <c:pt idx="33">
                  <c:v>1574.0769230769231</c:v>
                </c:pt>
                <c:pt idx="34">
                  <c:v>1574.0769230769231</c:v>
                </c:pt>
                <c:pt idx="35">
                  <c:v>1574.0769230769231</c:v>
                </c:pt>
                <c:pt idx="36">
                  <c:v>1574.0769230769231</c:v>
                </c:pt>
                <c:pt idx="37">
                  <c:v>1574.0769230769231</c:v>
                </c:pt>
                <c:pt idx="38">
                  <c:v>1574.0769230769231</c:v>
                </c:pt>
                <c:pt idx="39">
                  <c:v>1574.0769230769231</c:v>
                </c:pt>
                <c:pt idx="40">
                  <c:v>1574.0769230769231</c:v>
                </c:pt>
                <c:pt idx="41">
                  <c:v>1574.0769230769231</c:v>
                </c:pt>
                <c:pt idx="42">
                  <c:v>1574.0769230769231</c:v>
                </c:pt>
                <c:pt idx="43">
                  <c:v>1574.0769230769231</c:v>
                </c:pt>
                <c:pt idx="44">
                  <c:v>1574.0769230769231</c:v>
                </c:pt>
                <c:pt idx="45">
                  <c:v>1574.0769230769231</c:v>
                </c:pt>
                <c:pt idx="46">
                  <c:v>1574.0769230769231</c:v>
                </c:pt>
                <c:pt idx="47">
                  <c:v>1574.0769230769231</c:v>
                </c:pt>
                <c:pt idx="48">
                  <c:v>1574.0769230769231</c:v>
                </c:pt>
                <c:pt idx="49">
                  <c:v>1574.0769230769231</c:v>
                </c:pt>
                <c:pt idx="50">
                  <c:v>1574.0769230769231</c:v>
                </c:pt>
                <c:pt idx="51">
                  <c:v>1574.0769230769231</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'WL PI Backing (hide)'!$AC$13:$AC$64</c:f>
              <c:numCache>
                <c:formatCode>General</c:formatCode>
                <c:ptCount val="52"/>
                <c:pt idx="0">
                  <c:v>165.69230769230762</c:v>
                </c:pt>
                <c:pt idx="1">
                  <c:v>165.69230769230762</c:v>
                </c:pt>
                <c:pt idx="2">
                  <c:v>165.69230769230762</c:v>
                </c:pt>
                <c:pt idx="3">
                  <c:v>165.69230769230762</c:v>
                </c:pt>
                <c:pt idx="4">
                  <c:v>165.69230769230762</c:v>
                </c:pt>
                <c:pt idx="5">
                  <c:v>165.69230769230762</c:v>
                </c:pt>
                <c:pt idx="6">
                  <c:v>165.69230769230762</c:v>
                </c:pt>
                <c:pt idx="7">
                  <c:v>165.69230769230762</c:v>
                </c:pt>
                <c:pt idx="8">
                  <c:v>165.69230769230762</c:v>
                </c:pt>
                <c:pt idx="9">
                  <c:v>165.69230769230762</c:v>
                </c:pt>
                <c:pt idx="10">
                  <c:v>165.69230769230762</c:v>
                </c:pt>
                <c:pt idx="11">
                  <c:v>165.69230769230762</c:v>
                </c:pt>
                <c:pt idx="12">
                  <c:v>165.69230769230762</c:v>
                </c:pt>
                <c:pt idx="13">
                  <c:v>165.69230769230762</c:v>
                </c:pt>
                <c:pt idx="14">
                  <c:v>165.69230769230762</c:v>
                </c:pt>
                <c:pt idx="15">
                  <c:v>165.69230769230762</c:v>
                </c:pt>
                <c:pt idx="16">
                  <c:v>165.69230769230762</c:v>
                </c:pt>
                <c:pt idx="17">
                  <c:v>165.69230769230762</c:v>
                </c:pt>
                <c:pt idx="18">
                  <c:v>165.69230769230762</c:v>
                </c:pt>
                <c:pt idx="19">
                  <c:v>165.69230769230762</c:v>
                </c:pt>
                <c:pt idx="20">
                  <c:v>165.69230769230762</c:v>
                </c:pt>
                <c:pt idx="21">
                  <c:v>165.69230769230762</c:v>
                </c:pt>
                <c:pt idx="22">
                  <c:v>165.69230769230762</c:v>
                </c:pt>
                <c:pt idx="23">
                  <c:v>165.69230769230762</c:v>
                </c:pt>
                <c:pt idx="24">
                  <c:v>165.69230769230762</c:v>
                </c:pt>
                <c:pt idx="25">
                  <c:v>165.69230769230762</c:v>
                </c:pt>
                <c:pt idx="26">
                  <c:v>165.69230769230762</c:v>
                </c:pt>
                <c:pt idx="27">
                  <c:v>165.69230769230762</c:v>
                </c:pt>
                <c:pt idx="28">
                  <c:v>165.69230769230762</c:v>
                </c:pt>
                <c:pt idx="29">
                  <c:v>165.69230769230762</c:v>
                </c:pt>
                <c:pt idx="30">
                  <c:v>165.69230769230762</c:v>
                </c:pt>
                <c:pt idx="31">
                  <c:v>165.69230769230762</c:v>
                </c:pt>
                <c:pt idx="32">
                  <c:v>165.69230769230762</c:v>
                </c:pt>
                <c:pt idx="33">
                  <c:v>165.69230769230762</c:v>
                </c:pt>
                <c:pt idx="34">
                  <c:v>165.69230769230762</c:v>
                </c:pt>
                <c:pt idx="35">
                  <c:v>165.69230769230762</c:v>
                </c:pt>
                <c:pt idx="36">
                  <c:v>165.69230769230762</c:v>
                </c:pt>
                <c:pt idx="37">
                  <c:v>165.69230769230762</c:v>
                </c:pt>
                <c:pt idx="38">
                  <c:v>165.69230769230762</c:v>
                </c:pt>
                <c:pt idx="39">
                  <c:v>165.69230769230762</c:v>
                </c:pt>
                <c:pt idx="40">
                  <c:v>165.69230769230762</c:v>
                </c:pt>
                <c:pt idx="41">
                  <c:v>165.69230769230762</c:v>
                </c:pt>
                <c:pt idx="42">
                  <c:v>165.69230769230762</c:v>
                </c:pt>
                <c:pt idx="43">
                  <c:v>165.69230769230762</c:v>
                </c:pt>
                <c:pt idx="44">
                  <c:v>165.69230769230762</c:v>
                </c:pt>
                <c:pt idx="45">
                  <c:v>165.69230769230762</c:v>
                </c:pt>
                <c:pt idx="46">
                  <c:v>165.69230769230762</c:v>
                </c:pt>
                <c:pt idx="47">
                  <c:v>165.69230769230762</c:v>
                </c:pt>
                <c:pt idx="48">
                  <c:v>165.69230769230762</c:v>
                </c:pt>
                <c:pt idx="49">
                  <c:v>165.69230769230762</c:v>
                </c:pt>
                <c:pt idx="50">
                  <c:v>165.69230769230762</c:v>
                </c:pt>
                <c:pt idx="51">
                  <c:v>165.69230769230762</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44431</c:v>
                </c:pt>
                <c:pt idx="1">
                  <c:v>44438</c:v>
                </c:pt>
                <c:pt idx="2">
                  <c:v>44445</c:v>
                </c:pt>
                <c:pt idx="3">
                  <c:v>44452</c:v>
                </c:pt>
                <c:pt idx="4">
                  <c:v>44459</c:v>
                </c:pt>
                <c:pt idx="5">
                  <c:v>44466</c:v>
                </c:pt>
                <c:pt idx="6">
                  <c:v>44473</c:v>
                </c:pt>
                <c:pt idx="7">
                  <c:v>44480</c:v>
                </c:pt>
                <c:pt idx="8">
                  <c:v>44487</c:v>
                </c:pt>
                <c:pt idx="9">
                  <c:v>44494</c:v>
                </c:pt>
                <c:pt idx="10">
                  <c:v>44501</c:v>
                </c:pt>
                <c:pt idx="11">
                  <c:v>44508</c:v>
                </c:pt>
                <c:pt idx="12">
                  <c:v>44515</c:v>
                </c:pt>
                <c:pt idx="13">
                  <c:v>44522</c:v>
                </c:pt>
                <c:pt idx="14">
                  <c:v>44529</c:v>
                </c:pt>
                <c:pt idx="15">
                  <c:v>44536</c:v>
                </c:pt>
                <c:pt idx="16">
                  <c:v>44543</c:v>
                </c:pt>
                <c:pt idx="17">
                  <c:v>44550</c:v>
                </c:pt>
                <c:pt idx="18">
                  <c:v>44557</c:v>
                </c:pt>
                <c:pt idx="19">
                  <c:v>44564</c:v>
                </c:pt>
                <c:pt idx="20">
                  <c:v>44571</c:v>
                </c:pt>
                <c:pt idx="21">
                  <c:v>44578</c:v>
                </c:pt>
                <c:pt idx="22">
                  <c:v>44585</c:v>
                </c:pt>
                <c:pt idx="23">
                  <c:v>44592</c:v>
                </c:pt>
                <c:pt idx="24">
                  <c:v>44599</c:v>
                </c:pt>
                <c:pt idx="25">
                  <c:v>44606</c:v>
                </c:pt>
                <c:pt idx="26">
                  <c:v>44613</c:v>
                </c:pt>
                <c:pt idx="27">
                  <c:v>44620</c:v>
                </c:pt>
                <c:pt idx="28">
                  <c:v>44627</c:v>
                </c:pt>
                <c:pt idx="29">
                  <c:v>44634</c:v>
                </c:pt>
                <c:pt idx="30">
                  <c:v>44641</c:v>
                </c:pt>
                <c:pt idx="31">
                  <c:v>44648</c:v>
                </c:pt>
                <c:pt idx="32">
                  <c:v>44655</c:v>
                </c:pt>
                <c:pt idx="33">
                  <c:v>44662</c:v>
                </c:pt>
                <c:pt idx="34">
                  <c:v>44669</c:v>
                </c:pt>
                <c:pt idx="35">
                  <c:v>44676</c:v>
                </c:pt>
                <c:pt idx="36">
                  <c:v>44683</c:v>
                </c:pt>
                <c:pt idx="37">
                  <c:v>44690</c:v>
                </c:pt>
                <c:pt idx="38">
                  <c:v>44697</c:v>
                </c:pt>
                <c:pt idx="39">
                  <c:v>44704</c:v>
                </c:pt>
                <c:pt idx="40">
                  <c:v>44711</c:v>
                </c:pt>
                <c:pt idx="41">
                  <c:v>44718</c:v>
                </c:pt>
                <c:pt idx="42">
                  <c:v>44725</c:v>
                </c:pt>
                <c:pt idx="43">
                  <c:v>44732</c:v>
                </c:pt>
                <c:pt idx="44">
                  <c:v>44739</c:v>
                </c:pt>
                <c:pt idx="45">
                  <c:v>44746</c:v>
                </c:pt>
                <c:pt idx="46">
                  <c:v>44753</c:v>
                </c:pt>
                <c:pt idx="47">
                  <c:v>44760</c:v>
                </c:pt>
                <c:pt idx="48">
                  <c:v>44767</c:v>
                </c:pt>
                <c:pt idx="49">
                  <c:v>44774</c:v>
                </c:pt>
                <c:pt idx="50">
                  <c:v>44781</c:v>
                </c:pt>
                <c:pt idx="51">
                  <c:v>44788</c:v>
                </c:pt>
              </c:numCache>
            </c:numRef>
          </c:cat>
          <c:val>
            <c:numRef>
              <c:f>'Planning (hide)'!$AD$4:$AD$55</c:f>
              <c:numCache>
                <c:formatCode>General</c:formatCode>
                <c:ptCount val="52"/>
                <c:pt idx="0">
                  <c:v>496.35</c:v>
                </c:pt>
                <c:pt idx="1">
                  <c:v>496.35</c:v>
                </c:pt>
                <c:pt idx="2">
                  <c:v>496.35</c:v>
                </c:pt>
                <c:pt idx="3">
                  <c:v>496.35</c:v>
                </c:pt>
                <c:pt idx="4">
                  <c:v>496.35</c:v>
                </c:pt>
                <c:pt idx="5">
                  <c:v>496.35</c:v>
                </c:pt>
                <c:pt idx="6">
                  <c:v>496.35</c:v>
                </c:pt>
                <c:pt idx="7">
                  <c:v>496.35</c:v>
                </c:pt>
                <c:pt idx="8">
                  <c:v>496.35</c:v>
                </c:pt>
                <c:pt idx="9">
                  <c:v>496.35</c:v>
                </c:pt>
                <c:pt idx="10">
                  <c:v>496.35</c:v>
                </c:pt>
                <c:pt idx="11">
                  <c:v>496.35</c:v>
                </c:pt>
                <c:pt idx="12">
                  <c:v>496.35</c:v>
                </c:pt>
                <c:pt idx="13">
                  <c:v>496.35</c:v>
                </c:pt>
                <c:pt idx="14">
                  <c:v>496.35</c:v>
                </c:pt>
                <c:pt idx="15">
                  <c:v>496.35</c:v>
                </c:pt>
                <c:pt idx="16">
                  <c:v>496.35</c:v>
                </c:pt>
                <c:pt idx="17">
                  <c:v>496.35</c:v>
                </c:pt>
                <c:pt idx="18">
                  <c:v>496.35</c:v>
                </c:pt>
                <c:pt idx="19">
                  <c:v>496.35</c:v>
                </c:pt>
                <c:pt idx="20">
                  <c:v>496.35</c:v>
                </c:pt>
                <c:pt idx="21">
                  <c:v>496.35</c:v>
                </c:pt>
                <c:pt idx="22">
                  <c:v>496.35</c:v>
                </c:pt>
                <c:pt idx="23">
                  <c:v>496.35</c:v>
                </c:pt>
                <c:pt idx="24">
                  <c:v>496.35</c:v>
                </c:pt>
                <c:pt idx="25">
                  <c:v>496.35</c:v>
                </c:pt>
                <c:pt idx="26">
                  <c:v>496.35</c:v>
                </c:pt>
                <c:pt idx="27">
                  <c:v>496.35</c:v>
                </c:pt>
                <c:pt idx="28">
                  <c:v>496.35</c:v>
                </c:pt>
                <c:pt idx="29">
                  <c:v>496.35</c:v>
                </c:pt>
                <c:pt idx="30">
                  <c:v>496.35</c:v>
                </c:pt>
                <c:pt idx="31">
                  <c:v>496.35</c:v>
                </c:pt>
                <c:pt idx="32">
                  <c:v>496.35</c:v>
                </c:pt>
                <c:pt idx="33">
                  <c:v>496.35</c:v>
                </c:pt>
                <c:pt idx="34">
                  <c:v>496.35</c:v>
                </c:pt>
                <c:pt idx="35">
                  <c:v>496.35</c:v>
                </c:pt>
                <c:pt idx="36">
                  <c:v>496.35</c:v>
                </c:pt>
                <c:pt idx="37">
                  <c:v>496.35</c:v>
                </c:pt>
                <c:pt idx="38">
                  <c:v>496.35</c:v>
                </c:pt>
                <c:pt idx="39">
                  <c:v>496.35</c:v>
                </c:pt>
                <c:pt idx="40">
                  <c:v>496.35</c:v>
                </c:pt>
                <c:pt idx="41">
                  <c:v>496.35</c:v>
                </c:pt>
                <c:pt idx="42">
                  <c:v>496.35</c:v>
                </c:pt>
                <c:pt idx="43">
                  <c:v>496.35</c:v>
                </c:pt>
                <c:pt idx="44">
                  <c:v>496.35</c:v>
                </c:pt>
                <c:pt idx="45">
                  <c:v>496.35</c:v>
                </c:pt>
                <c:pt idx="46">
                  <c:v>496.35</c:v>
                </c:pt>
                <c:pt idx="47">
                  <c:v>496.35</c:v>
                </c:pt>
                <c:pt idx="48">
                  <c:v>496.35</c:v>
                </c:pt>
                <c:pt idx="49">
                  <c:v>496.35</c:v>
                </c:pt>
                <c:pt idx="50">
                  <c:v>496.35</c:v>
                </c:pt>
                <c:pt idx="51">
                  <c:v>496.35</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44431</c:v>
                </c:pt>
                <c:pt idx="1">
                  <c:v>44438</c:v>
                </c:pt>
                <c:pt idx="2">
                  <c:v>44445</c:v>
                </c:pt>
                <c:pt idx="3">
                  <c:v>44452</c:v>
                </c:pt>
                <c:pt idx="4">
                  <c:v>44459</c:v>
                </c:pt>
                <c:pt idx="5">
                  <c:v>44466</c:v>
                </c:pt>
                <c:pt idx="6">
                  <c:v>44473</c:v>
                </c:pt>
                <c:pt idx="7">
                  <c:v>44480</c:v>
                </c:pt>
                <c:pt idx="8">
                  <c:v>44487</c:v>
                </c:pt>
                <c:pt idx="9">
                  <c:v>44494</c:v>
                </c:pt>
                <c:pt idx="10">
                  <c:v>44501</c:v>
                </c:pt>
                <c:pt idx="11">
                  <c:v>44508</c:v>
                </c:pt>
                <c:pt idx="12">
                  <c:v>44515</c:v>
                </c:pt>
                <c:pt idx="13">
                  <c:v>44522</c:v>
                </c:pt>
                <c:pt idx="14">
                  <c:v>44529</c:v>
                </c:pt>
                <c:pt idx="15">
                  <c:v>44536</c:v>
                </c:pt>
                <c:pt idx="16">
                  <c:v>44543</c:v>
                </c:pt>
                <c:pt idx="17">
                  <c:v>44550</c:v>
                </c:pt>
                <c:pt idx="18">
                  <c:v>44557</c:v>
                </c:pt>
                <c:pt idx="19">
                  <c:v>44564</c:v>
                </c:pt>
                <c:pt idx="20">
                  <c:v>44571</c:v>
                </c:pt>
                <c:pt idx="21">
                  <c:v>44578</c:v>
                </c:pt>
                <c:pt idx="22">
                  <c:v>44585</c:v>
                </c:pt>
                <c:pt idx="23">
                  <c:v>44592</c:v>
                </c:pt>
                <c:pt idx="24">
                  <c:v>44599</c:v>
                </c:pt>
                <c:pt idx="25">
                  <c:v>44606</c:v>
                </c:pt>
                <c:pt idx="26">
                  <c:v>44613</c:v>
                </c:pt>
                <c:pt idx="27">
                  <c:v>44620</c:v>
                </c:pt>
                <c:pt idx="28">
                  <c:v>44627</c:v>
                </c:pt>
                <c:pt idx="29">
                  <c:v>44634</c:v>
                </c:pt>
                <c:pt idx="30">
                  <c:v>44641</c:v>
                </c:pt>
                <c:pt idx="31">
                  <c:v>44648</c:v>
                </c:pt>
                <c:pt idx="32">
                  <c:v>44655</c:v>
                </c:pt>
                <c:pt idx="33">
                  <c:v>44662</c:v>
                </c:pt>
                <c:pt idx="34">
                  <c:v>44669</c:v>
                </c:pt>
                <c:pt idx="35">
                  <c:v>44676</c:v>
                </c:pt>
                <c:pt idx="36">
                  <c:v>44683</c:v>
                </c:pt>
                <c:pt idx="37">
                  <c:v>44690</c:v>
                </c:pt>
                <c:pt idx="38">
                  <c:v>44697</c:v>
                </c:pt>
                <c:pt idx="39">
                  <c:v>44704</c:v>
                </c:pt>
                <c:pt idx="40">
                  <c:v>44711</c:v>
                </c:pt>
                <c:pt idx="41">
                  <c:v>44718</c:v>
                </c:pt>
                <c:pt idx="42">
                  <c:v>44725</c:v>
                </c:pt>
                <c:pt idx="43">
                  <c:v>44732</c:v>
                </c:pt>
                <c:pt idx="44">
                  <c:v>44739</c:v>
                </c:pt>
                <c:pt idx="45">
                  <c:v>44746</c:v>
                </c:pt>
                <c:pt idx="46">
                  <c:v>44753</c:v>
                </c:pt>
                <c:pt idx="47">
                  <c:v>44760</c:v>
                </c:pt>
                <c:pt idx="48">
                  <c:v>44767</c:v>
                </c:pt>
                <c:pt idx="49">
                  <c:v>44774</c:v>
                </c:pt>
                <c:pt idx="50">
                  <c:v>44781</c:v>
                </c:pt>
                <c:pt idx="51">
                  <c:v>44788</c:v>
                </c:pt>
              </c:numCache>
            </c:numRef>
          </c:cat>
          <c:val>
            <c:numRef>
              <c:f>'Planning (hide)'!$AE$4:$AE$55</c:f>
              <c:numCache>
                <c:formatCode>General</c:formatCode>
                <c:ptCount val="52"/>
                <c:pt idx="0">
                  <c:v>101.25</c:v>
                </c:pt>
                <c:pt idx="1">
                  <c:v>101.25</c:v>
                </c:pt>
                <c:pt idx="2">
                  <c:v>101.25</c:v>
                </c:pt>
                <c:pt idx="3">
                  <c:v>101.25</c:v>
                </c:pt>
                <c:pt idx="4">
                  <c:v>101.25</c:v>
                </c:pt>
                <c:pt idx="5">
                  <c:v>101.25</c:v>
                </c:pt>
                <c:pt idx="6">
                  <c:v>101.25</c:v>
                </c:pt>
                <c:pt idx="7">
                  <c:v>101.25</c:v>
                </c:pt>
                <c:pt idx="8">
                  <c:v>101.25</c:v>
                </c:pt>
                <c:pt idx="9">
                  <c:v>101.25</c:v>
                </c:pt>
                <c:pt idx="10">
                  <c:v>101.25</c:v>
                </c:pt>
                <c:pt idx="11">
                  <c:v>101.25</c:v>
                </c:pt>
                <c:pt idx="12">
                  <c:v>101.25</c:v>
                </c:pt>
                <c:pt idx="13">
                  <c:v>101.25</c:v>
                </c:pt>
                <c:pt idx="14">
                  <c:v>101.25</c:v>
                </c:pt>
                <c:pt idx="15">
                  <c:v>101.25</c:v>
                </c:pt>
                <c:pt idx="16">
                  <c:v>101.25</c:v>
                </c:pt>
                <c:pt idx="17">
                  <c:v>101.25</c:v>
                </c:pt>
                <c:pt idx="18">
                  <c:v>101.25</c:v>
                </c:pt>
                <c:pt idx="19">
                  <c:v>101.25</c:v>
                </c:pt>
                <c:pt idx="20">
                  <c:v>101.25</c:v>
                </c:pt>
                <c:pt idx="21">
                  <c:v>101.25</c:v>
                </c:pt>
                <c:pt idx="22">
                  <c:v>101.25</c:v>
                </c:pt>
                <c:pt idx="23">
                  <c:v>101.25</c:v>
                </c:pt>
                <c:pt idx="24">
                  <c:v>101.25</c:v>
                </c:pt>
                <c:pt idx="25">
                  <c:v>101.25</c:v>
                </c:pt>
                <c:pt idx="26">
                  <c:v>101.25</c:v>
                </c:pt>
                <c:pt idx="27">
                  <c:v>101.25</c:v>
                </c:pt>
                <c:pt idx="28">
                  <c:v>101.25</c:v>
                </c:pt>
                <c:pt idx="29">
                  <c:v>101.25</c:v>
                </c:pt>
                <c:pt idx="30">
                  <c:v>101.25</c:v>
                </c:pt>
                <c:pt idx="31">
                  <c:v>101.25</c:v>
                </c:pt>
                <c:pt idx="32">
                  <c:v>101.25</c:v>
                </c:pt>
                <c:pt idx="33">
                  <c:v>101.25</c:v>
                </c:pt>
                <c:pt idx="34">
                  <c:v>101.25</c:v>
                </c:pt>
                <c:pt idx="35">
                  <c:v>101.25</c:v>
                </c:pt>
                <c:pt idx="36">
                  <c:v>101.25</c:v>
                </c:pt>
                <c:pt idx="37">
                  <c:v>101.25</c:v>
                </c:pt>
                <c:pt idx="38">
                  <c:v>101.25</c:v>
                </c:pt>
                <c:pt idx="39">
                  <c:v>101.25</c:v>
                </c:pt>
                <c:pt idx="40">
                  <c:v>101.25</c:v>
                </c:pt>
                <c:pt idx="41">
                  <c:v>101.25</c:v>
                </c:pt>
                <c:pt idx="42">
                  <c:v>101.25</c:v>
                </c:pt>
                <c:pt idx="43">
                  <c:v>101.25</c:v>
                </c:pt>
                <c:pt idx="44">
                  <c:v>101.25</c:v>
                </c:pt>
                <c:pt idx="45">
                  <c:v>101.25</c:v>
                </c:pt>
                <c:pt idx="46">
                  <c:v>101.25</c:v>
                </c:pt>
                <c:pt idx="47">
                  <c:v>101.25</c:v>
                </c:pt>
                <c:pt idx="48">
                  <c:v>101.25</c:v>
                </c:pt>
                <c:pt idx="49">
                  <c:v>101.25</c:v>
                </c:pt>
                <c:pt idx="50">
                  <c:v>101.25</c:v>
                </c:pt>
                <c:pt idx="51">
                  <c:v>101.25</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44431</c:v>
                </c:pt>
                <c:pt idx="1">
                  <c:v>44438</c:v>
                </c:pt>
                <c:pt idx="2">
                  <c:v>44445</c:v>
                </c:pt>
                <c:pt idx="3">
                  <c:v>44452</c:v>
                </c:pt>
                <c:pt idx="4">
                  <c:v>44459</c:v>
                </c:pt>
                <c:pt idx="5">
                  <c:v>44466</c:v>
                </c:pt>
                <c:pt idx="6">
                  <c:v>44473</c:v>
                </c:pt>
                <c:pt idx="7">
                  <c:v>44480</c:v>
                </c:pt>
                <c:pt idx="8">
                  <c:v>44487</c:v>
                </c:pt>
                <c:pt idx="9">
                  <c:v>44494</c:v>
                </c:pt>
                <c:pt idx="10">
                  <c:v>44501</c:v>
                </c:pt>
                <c:pt idx="11">
                  <c:v>44508</c:v>
                </c:pt>
                <c:pt idx="12">
                  <c:v>44515</c:v>
                </c:pt>
                <c:pt idx="13">
                  <c:v>44522</c:v>
                </c:pt>
                <c:pt idx="14">
                  <c:v>44529</c:v>
                </c:pt>
                <c:pt idx="15">
                  <c:v>44536</c:v>
                </c:pt>
                <c:pt idx="16">
                  <c:v>44543</c:v>
                </c:pt>
                <c:pt idx="17">
                  <c:v>44550</c:v>
                </c:pt>
                <c:pt idx="18">
                  <c:v>44557</c:v>
                </c:pt>
                <c:pt idx="19">
                  <c:v>44564</c:v>
                </c:pt>
                <c:pt idx="20">
                  <c:v>44571</c:v>
                </c:pt>
                <c:pt idx="21">
                  <c:v>44578</c:v>
                </c:pt>
                <c:pt idx="22">
                  <c:v>44585</c:v>
                </c:pt>
                <c:pt idx="23">
                  <c:v>44592</c:v>
                </c:pt>
                <c:pt idx="24">
                  <c:v>44599</c:v>
                </c:pt>
                <c:pt idx="25">
                  <c:v>44606</c:v>
                </c:pt>
                <c:pt idx="26">
                  <c:v>44613</c:v>
                </c:pt>
                <c:pt idx="27">
                  <c:v>44620</c:v>
                </c:pt>
                <c:pt idx="28">
                  <c:v>44627</c:v>
                </c:pt>
                <c:pt idx="29">
                  <c:v>44634</c:v>
                </c:pt>
                <c:pt idx="30">
                  <c:v>44641</c:v>
                </c:pt>
                <c:pt idx="31">
                  <c:v>44648</c:v>
                </c:pt>
                <c:pt idx="32">
                  <c:v>44655</c:v>
                </c:pt>
                <c:pt idx="33">
                  <c:v>44662</c:v>
                </c:pt>
                <c:pt idx="34">
                  <c:v>44669</c:v>
                </c:pt>
                <c:pt idx="35">
                  <c:v>44676</c:v>
                </c:pt>
                <c:pt idx="36">
                  <c:v>44683</c:v>
                </c:pt>
                <c:pt idx="37">
                  <c:v>44690</c:v>
                </c:pt>
                <c:pt idx="38">
                  <c:v>44697</c:v>
                </c:pt>
                <c:pt idx="39">
                  <c:v>44704</c:v>
                </c:pt>
                <c:pt idx="40">
                  <c:v>44711</c:v>
                </c:pt>
                <c:pt idx="41">
                  <c:v>44718</c:v>
                </c:pt>
                <c:pt idx="42">
                  <c:v>44725</c:v>
                </c:pt>
                <c:pt idx="43">
                  <c:v>44732</c:v>
                </c:pt>
                <c:pt idx="44">
                  <c:v>44739</c:v>
                </c:pt>
                <c:pt idx="45">
                  <c:v>44746</c:v>
                </c:pt>
                <c:pt idx="46">
                  <c:v>44753</c:v>
                </c:pt>
                <c:pt idx="47">
                  <c:v>44760</c:v>
                </c:pt>
                <c:pt idx="48">
                  <c:v>44767</c:v>
                </c:pt>
                <c:pt idx="49">
                  <c:v>44774</c:v>
                </c:pt>
                <c:pt idx="50">
                  <c:v>44781</c:v>
                </c:pt>
                <c:pt idx="51">
                  <c:v>44788</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44431</c:v>
                </c:pt>
                <c:pt idx="1">
                  <c:v>44438</c:v>
                </c:pt>
                <c:pt idx="2">
                  <c:v>44445</c:v>
                </c:pt>
                <c:pt idx="3">
                  <c:v>44452</c:v>
                </c:pt>
                <c:pt idx="4">
                  <c:v>44459</c:v>
                </c:pt>
                <c:pt idx="5">
                  <c:v>44466</c:v>
                </c:pt>
                <c:pt idx="6">
                  <c:v>44473</c:v>
                </c:pt>
                <c:pt idx="7">
                  <c:v>44480</c:v>
                </c:pt>
                <c:pt idx="8">
                  <c:v>44487</c:v>
                </c:pt>
                <c:pt idx="9">
                  <c:v>44494</c:v>
                </c:pt>
                <c:pt idx="10">
                  <c:v>44501</c:v>
                </c:pt>
                <c:pt idx="11">
                  <c:v>44508</c:v>
                </c:pt>
                <c:pt idx="12">
                  <c:v>44515</c:v>
                </c:pt>
                <c:pt idx="13">
                  <c:v>44522</c:v>
                </c:pt>
                <c:pt idx="14">
                  <c:v>44529</c:v>
                </c:pt>
                <c:pt idx="15">
                  <c:v>44536</c:v>
                </c:pt>
                <c:pt idx="16">
                  <c:v>44543</c:v>
                </c:pt>
                <c:pt idx="17">
                  <c:v>44550</c:v>
                </c:pt>
                <c:pt idx="18">
                  <c:v>44557</c:v>
                </c:pt>
                <c:pt idx="19">
                  <c:v>44564</c:v>
                </c:pt>
                <c:pt idx="20">
                  <c:v>44571</c:v>
                </c:pt>
                <c:pt idx="21">
                  <c:v>44578</c:v>
                </c:pt>
                <c:pt idx="22">
                  <c:v>44585</c:v>
                </c:pt>
                <c:pt idx="23">
                  <c:v>44592</c:v>
                </c:pt>
                <c:pt idx="24">
                  <c:v>44599</c:v>
                </c:pt>
                <c:pt idx="25">
                  <c:v>44606</c:v>
                </c:pt>
                <c:pt idx="26">
                  <c:v>44613</c:v>
                </c:pt>
                <c:pt idx="27">
                  <c:v>44620</c:v>
                </c:pt>
                <c:pt idx="28">
                  <c:v>44627</c:v>
                </c:pt>
                <c:pt idx="29">
                  <c:v>44634</c:v>
                </c:pt>
                <c:pt idx="30">
                  <c:v>44641</c:v>
                </c:pt>
                <c:pt idx="31">
                  <c:v>44648</c:v>
                </c:pt>
                <c:pt idx="32">
                  <c:v>44655</c:v>
                </c:pt>
                <c:pt idx="33">
                  <c:v>44662</c:v>
                </c:pt>
                <c:pt idx="34">
                  <c:v>44669</c:v>
                </c:pt>
                <c:pt idx="35">
                  <c:v>44676</c:v>
                </c:pt>
                <c:pt idx="36">
                  <c:v>44683</c:v>
                </c:pt>
                <c:pt idx="37">
                  <c:v>44690</c:v>
                </c:pt>
                <c:pt idx="38">
                  <c:v>44697</c:v>
                </c:pt>
                <c:pt idx="39">
                  <c:v>44704</c:v>
                </c:pt>
                <c:pt idx="40">
                  <c:v>44711</c:v>
                </c:pt>
                <c:pt idx="41">
                  <c:v>44718</c:v>
                </c:pt>
                <c:pt idx="42">
                  <c:v>44725</c:v>
                </c:pt>
                <c:pt idx="43">
                  <c:v>44732</c:v>
                </c:pt>
                <c:pt idx="44">
                  <c:v>44739</c:v>
                </c:pt>
                <c:pt idx="45">
                  <c:v>44746</c:v>
                </c:pt>
                <c:pt idx="46">
                  <c:v>44753</c:v>
                </c:pt>
                <c:pt idx="47">
                  <c:v>44760</c:v>
                </c:pt>
                <c:pt idx="48">
                  <c:v>44767</c:v>
                </c:pt>
                <c:pt idx="49">
                  <c:v>44774</c:v>
                </c:pt>
                <c:pt idx="50">
                  <c:v>44781</c:v>
                </c:pt>
                <c:pt idx="51">
                  <c:v>44788</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15.153846153846153</c:v>
                </c:pt>
                <c:pt idx="1">
                  <c:v>15.153846153846153</c:v>
                </c:pt>
                <c:pt idx="2">
                  <c:v>15.153846153846153</c:v>
                </c:pt>
                <c:pt idx="3">
                  <c:v>15.153846153846153</c:v>
                </c:pt>
                <c:pt idx="4">
                  <c:v>15.153846153846153</c:v>
                </c:pt>
                <c:pt idx="5">
                  <c:v>15.153846153846153</c:v>
                </c:pt>
                <c:pt idx="6">
                  <c:v>15.153846153846153</c:v>
                </c:pt>
                <c:pt idx="7">
                  <c:v>15.153846153846153</c:v>
                </c:pt>
                <c:pt idx="8">
                  <c:v>15.153846153846153</c:v>
                </c:pt>
                <c:pt idx="9">
                  <c:v>15.153846153846153</c:v>
                </c:pt>
                <c:pt idx="10">
                  <c:v>15.153846153846153</c:v>
                </c:pt>
                <c:pt idx="11">
                  <c:v>15.153846153846153</c:v>
                </c:pt>
                <c:pt idx="12">
                  <c:v>15.153846153846153</c:v>
                </c:pt>
                <c:pt idx="13">
                  <c:v>15.153846153846153</c:v>
                </c:pt>
                <c:pt idx="14">
                  <c:v>15.153846153846153</c:v>
                </c:pt>
                <c:pt idx="15">
                  <c:v>15.153846153846153</c:v>
                </c:pt>
                <c:pt idx="16">
                  <c:v>15.153846153846153</c:v>
                </c:pt>
                <c:pt idx="17">
                  <c:v>15.153846153846153</c:v>
                </c:pt>
                <c:pt idx="18">
                  <c:v>15.153846153846153</c:v>
                </c:pt>
                <c:pt idx="19">
                  <c:v>15.153846153846153</c:v>
                </c:pt>
                <c:pt idx="20">
                  <c:v>15.153846153846153</c:v>
                </c:pt>
                <c:pt idx="21">
                  <c:v>15.153846153846153</c:v>
                </c:pt>
                <c:pt idx="22">
                  <c:v>15.153846153846153</c:v>
                </c:pt>
                <c:pt idx="23">
                  <c:v>15.153846153846153</c:v>
                </c:pt>
                <c:pt idx="24">
                  <c:v>15.153846153846153</c:v>
                </c:pt>
                <c:pt idx="25">
                  <c:v>15.153846153846153</c:v>
                </c:pt>
                <c:pt idx="26">
                  <c:v>15.153846153846153</c:v>
                </c:pt>
                <c:pt idx="27">
                  <c:v>15.153846153846153</c:v>
                </c:pt>
                <c:pt idx="28">
                  <c:v>15.153846153846153</c:v>
                </c:pt>
                <c:pt idx="29">
                  <c:v>15.153846153846153</c:v>
                </c:pt>
                <c:pt idx="30">
                  <c:v>15.153846153846153</c:v>
                </c:pt>
                <c:pt idx="31">
                  <c:v>15.153846153846153</c:v>
                </c:pt>
                <c:pt idx="32">
                  <c:v>15.153846153846153</c:v>
                </c:pt>
                <c:pt idx="33">
                  <c:v>15.153846153846153</c:v>
                </c:pt>
                <c:pt idx="34">
                  <c:v>15.153846153846153</c:v>
                </c:pt>
                <c:pt idx="35">
                  <c:v>15.153846153846153</c:v>
                </c:pt>
                <c:pt idx="36">
                  <c:v>15.153846153846153</c:v>
                </c:pt>
                <c:pt idx="37">
                  <c:v>15.153846153846153</c:v>
                </c:pt>
                <c:pt idx="38">
                  <c:v>15.153846153846153</c:v>
                </c:pt>
                <c:pt idx="39">
                  <c:v>15.153846153846153</c:v>
                </c:pt>
                <c:pt idx="40">
                  <c:v>15.153846153846153</c:v>
                </c:pt>
                <c:pt idx="41">
                  <c:v>15.153846153846153</c:v>
                </c:pt>
                <c:pt idx="42">
                  <c:v>15.153846153846153</c:v>
                </c:pt>
                <c:pt idx="43">
                  <c:v>15.153846153846153</c:v>
                </c:pt>
                <c:pt idx="44">
                  <c:v>15.153846153846153</c:v>
                </c:pt>
                <c:pt idx="45">
                  <c:v>15.153846153846153</c:v>
                </c:pt>
                <c:pt idx="46">
                  <c:v>15.153846153846153</c:v>
                </c:pt>
                <c:pt idx="47">
                  <c:v>15.153846153846153</c:v>
                </c:pt>
                <c:pt idx="48">
                  <c:v>15.153846153846153</c:v>
                </c:pt>
                <c:pt idx="49">
                  <c:v>15.153846153846153</c:v>
                </c:pt>
                <c:pt idx="50">
                  <c:v>15.153846153846153</c:v>
                </c:pt>
                <c:pt idx="51">
                  <c:v>15.153846153846153</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40"/>
  <sheetViews>
    <sheetView showGridLines="0" workbookViewId="0">
      <selection activeCell="D4" sqref="D4"/>
    </sheetView>
  </sheetViews>
  <sheetFormatPr defaultRowHeight="14.25" x14ac:dyDescent="0.2"/>
  <cols>
    <col min="1" max="1" width="9.625" bestFit="1" customWidth="1"/>
    <col min="2" max="2" width="9.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85.5" x14ac:dyDescent="0.2">
      <c r="A3" s="289">
        <v>3.5</v>
      </c>
      <c r="B3" s="290">
        <v>44418</v>
      </c>
      <c r="C3" s="289" t="s">
        <v>5</v>
      </c>
      <c r="D3" s="292" t="s">
        <v>1304</v>
      </c>
      <c r="E3" s="289"/>
    </row>
    <row r="4" spans="1:5" s="67" customFormat="1" ht="171.75" x14ac:dyDescent="0.25">
      <c r="A4" s="289" t="s">
        <v>1292</v>
      </c>
      <c r="B4" s="290">
        <v>44145</v>
      </c>
      <c r="C4" s="289" t="s">
        <v>276</v>
      </c>
      <c r="D4" s="292" t="s">
        <v>1303</v>
      </c>
      <c r="E4" s="285"/>
    </row>
    <row r="5" spans="1:5" s="67" customFormat="1" ht="42.75" x14ac:dyDescent="0.2">
      <c r="A5" s="292" t="s">
        <v>1276</v>
      </c>
      <c r="B5" s="379">
        <v>44061</v>
      </c>
      <c r="C5" s="292" t="s">
        <v>1270</v>
      </c>
      <c r="D5" s="292" t="s">
        <v>1275</v>
      </c>
      <c r="E5" s="292"/>
    </row>
    <row r="6" spans="1:5" s="67" customFormat="1" ht="57" x14ac:dyDescent="0.2">
      <c r="A6" s="289" t="s">
        <v>1274</v>
      </c>
      <c r="B6" s="290">
        <v>44057</v>
      </c>
      <c r="C6" s="292" t="s">
        <v>1270</v>
      </c>
      <c r="D6" s="292" t="s">
        <v>1271</v>
      </c>
      <c r="E6" s="289"/>
    </row>
    <row r="7" spans="1:5" s="67" customFormat="1" ht="57" x14ac:dyDescent="0.2">
      <c r="A7" s="289" t="s">
        <v>1240</v>
      </c>
      <c r="B7" s="290">
        <v>44027</v>
      </c>
      <c r="C7" s="289" t="s">
        <v>5</v>
      </c>
      <c r="D7" s="292" t="s">
        <v>1241</v>
      </c>
      <c r="E7" s="289"/>
    </row>
    <row r="8" spans="1:5" s="67" customFormat="1" ht="156.75" x14ac:dyDescent="0.2">
      <c r="A8" s="289" t="s">
        <v>1233</v>
      </c>
      <c r="B8" s="290">
        <v>44025</v>
      </c>
      <c r="C8" s="289" t="s">
        <v>5</v>
      </c>
      <c r="D8" s="292" t="s">
        <v>1239</v>
      </c>
      <c r="E8" s="292"/>
    </row>
    <row r="9" spans="1:5" s="67" customFormat="1" ht="71.25" x14ac:dyDescent="0.2">
      <c r="A9" s="289" t="s">
        <v>1232</v>
      </c>
      <c r="B9" s="290">
        <v>43997</v>
      </c>
      <c r="C9" s="289" t="s">
        <v>5</v>
      </c>
      <c r="D9" s="292" t="s">
        <v>1234</v>
      </c>
      <c r="E9" s="289"/>
    </row>
    <row r="10" spans="1:5" s="67" customFormat="1" ht="156.75" x14ac:dyDescent="0.2">
      <c r="A10" s="289">
        <v>3.4</v>
      </c>
      <c r="B10" s="290">
        <v>43993</v>
      </c>
      <c r="C10" s="289" t="s">
        <v>5</v>
      </c>
      <c r="D10" s="292" t="s">
        <v>1230</v>
      </c>
      <c r="E10" s="292"/>
    </row>
    <row r="11" spans="1:5" s="67" customFormat="1" ht="142.5" x14ac:dyDescent="0.2">
      <c r="A11" s="289">
        <v>3.3</v>
      </c>
      <c r="B11" s="290">
        <v>43980</v>
      </c>
      <c r="C11" s="289" t="s">
        <v>5</v>
      </c>
      <c r="D11" s="292" t="s">
        <v>1228</v>
      </c>
      <c r="E11" s="289"/>
    </row>
    <row r="12" spans="1:5" s="67" customFormat="1" ht="42.75" x14ac:dyDescent="0.2">
      <c r="A12" s="334">
        <v>3.2</v>
      </c>
      <c r="B12" s="290">
        <v>43965</v>
      </c>
      <c r="C12" s="289" t="s">
        <v>5</v>
      </c>
      <c r="D12" s="292" t="s">
        <v>1211</v>
      </c>
      <c r="E12" s="292"/>
    </row>
    <row r="13" spans="1:5" s="67" customFormat="1" ht="42.75" x14ac:dyDescent="0.2">
      <c r="A13" s="334">
        <v>3.1</v>
      </c>
      <c r="B13" s="290">
        <v>43964</v>
      </c>
      <c r="C13" s="289" t="s">
        <v>5</v>
      </c>
      <c r="D13" s="292" t="s">
        <v>1206</v>
      </c>
      <c r="E13" s="292"/>
    </row>
    <row r="14" spans="1:5" s="67" customFormat="1" ht="99.75" x14ac:dyDescent="0.2">
      <c r="A14" s="334">
        <v>3</v>
      </c>
      <c r="B14" s="290">
        <v>43963</v>
      </c>
      <c r="C14" s="289" t="s">
        <v>5</v>
      </c>
      <c r="D14" s="292" t="s">
        <v>1202</v>
      </c>
      <c r="E14" s="292" t="s">
        <v>1203</v>
      </c>
    </row>
    <row r="15" spans="1:5" s="67" customFormat="1" ht="72" x14ac:dyDescent="0.25">
      <c r="A15" s="289">
        <v>2.13</v>
      </c>
      <c r="B15" s="290">
        <v>43903</v>
      </c>
      <c r="C15" s="289" t="s">
        <v>5</v>
      </c>
      <c r="D15" s="292" t="s">
        <v>1174</v>
      </c>
      <c r="E15" s="285"/>
    </row>
    <row r="16" spans="1:5" s="67" customFormat="1" ht="29.25" x14ac:dyDescent="0.25">
      <c r="A16" s="289">
        <v>2.12</v>
      </c>
      <c r="B16" s="290">
        <v>43887</v>
      </c>
      <c r="C16" s="289" t="s">
        <v>276</v>
      </c>
      <c r="D16" s="292" t="s">
        <v>1175</v>
      </c>
      <c r="E16" s="285"/>
    </row>
    <row r="17" spans="1:5" s="67" customFormat="1" ht="57" x14ac:dyDescent="0.2">
      <c r="A17" s="289">
        <v>2.11</v>
      </c>
      <c r="B17" s="290">
        <v>43846</v>
      </c>
      <c r="C17" s="292" t="s">
        <v>1166</v>
      </c>
      <c r="D17" s="292" t="s">
        <v>1173</v>
      </c>
      <c r="E17" s="292" t="s">
        <v>1171</v>
      </c>
    </row>
    <row r="18" spans="1:5" s="67" customFormat="1" ht="43.5" x14ac:dyDescent="0.25">
      <c r="A18" s="327">
        <v>2.1</v>
      </c>
      <c r="B18" s="290">
        <v>43756</v>
      </c>
      <c r="C18" s="289" t="s">
        <v>276</v>
      </c>
      <c r="D18" s="292" t="s">
        <v>1170</v>
      </c>
      <c r="E18" s="285"/>
    </row>
    <row r="19" spans="1:5" s="67" customFormat="1" ht="57.75" x14ac:dyDescent="0.25">
      <c r="A19" s="289">
        <v>2.02</v>
      </c>
      <c r="B19" s="290">
        <v>43718</v>
      </c>
      <c r="C19" s="289" t="s">
        <v>5</v>
      </c>
      <c r="D19" s="292" t="s">
        <v>1169</v>
      </c>
      <c r="E19" s="285"/>
    </row>
    <row r="20" spans="1:5" s="67" customFormat="1" ht="57.75" x14ac:dyDescent="0.25">
      <c r="A20" s="289">
        <v>2.0099999999999998</v>
      </c>
      <c r="B20" s="290">
        <v>43693</v>
      </c>
      <c r="C20" s="289" t="s">
        <v>1108</v>
      </c>
      <c r="D20" s="292" t="s">
        <v>1168</v>
      </c>
      <c r="E20" s="285"/>
    </row>
    <row r="21" spans="1:5" s="67" customFormat="1" ht="100.5" x14ac:dyDescent="0.25">
      <c r="A21" s="323">
        <v>2</v>
      </c>
      <c r="B21" s="313">
        <v>43665</v>
      </c>
      <c r="C21" s="292" t="s">
        <v>1166</v>
      </c>
      <c r="D21" s="292" t="s">
        <v>1167</v>
      </c>
      <c r="E21" s="285"/>
    </row>
    <row r="22" spans="1:5" s="67" customFormat="1" ht="257.25" x14ac:dyDescent="0.25">
      <c r="A22" s="285">
        <v>1.05</v>
      </c>
      <c r="B22" s="313">
        <v>43570</v>
      </c>
      <c r="C22" s="292" t="s">
        <v>1165</v>
      </c>
      <c r="D22" s="292" t="s">
        <v>1160</v>
      </c>
      <c r="E22" s="315" t="s">
        <v>1159</v>
      </c>
    </row>
    <row r="23" spans="1:5" s="67" customFormat="1" ht="85.5" x14ac:dyDescent="0.2">
      <c r="A23" s="289">
        <v>1.04</v>
      </c>
      <c r="B23" s="290">
        <v>43516</v>
      </c>
      <c r="C23" s="289" t="s">
        <v>1108</v>
      </c>
      <c r="D23" s="292" t="s">
        <v>1111</v>
      </c>
      <c r="E23" s="292"/>
    </row>
    <row r="24" spans="1:5" s="67" customFormat="1" ht="128.25" x14ac:dyDescent="0.2">
      <c r="A24" s="289" t="s">
        <v>1107</v>
      </c>
      <c r="B24" s="290">
        <v>43486</v>
      </c>
      <c r="C24" s="289" t="s">
        <v>1108</v>
      </c>
      <c r="D24" s="292" t="s">
        <v>1109</v>
      </c>
      <c r="E24" s="292" t="s">
        <v>1110</v>
      </c>
    </row>
    <row r="25" spans="1:5" s="291" customFormat="1" ht="171" x14ac:dyDescent="0.2">
      <c r="A25" s="289" t="s">
        <v>1107</v>
      </c>
      <c r="B25" s="290">
        <v>43395</v>
      </c>
      <c r="C25" s="289" t="s">
        <v>5</v>
      </c>
      <c r="D25" s="292" t="s">
        <v>1106</v>
      </c>
      <c r="E25" s="292" t="s">
        <v>1105</v>
      </c>
    </row>
    <row r="26" spans="1:5" s="291" customFormat="1" ht="171" x14ac:dyDescent="0.2">
      <c r="A26" s="289">
        <v>1.03</v>
      </c>
      <c r="B26" s="290">
        <v>43319</v>
      </c>
      <c r="C26" s="289" t="s">
        <v>5</v>
      </c>
      <c r="D26" s="292" t="s">
        <v>1104</v>
      </c>
      <c r="E26" s="289"/>
    </row>
    <row r="27" spans="1:5" ht="409.5" x14ac:dyDescent="0.2">
      <c r="A27" s="286">
        <v>1.02</v>
      </c>
      <c r="B27" s="287">
        <v>43292</v>
      </c>
      <c r="C27" s="286" t="s">
        <v>5</v>
      </c>
      <c r="D27" s="288" t="s">
        <v>1103</v>
      </c>
      <c r="E27" s="288" t="s">
        <v>944</v>
      </c>
    </row>
    <row r="28" spans="1:5" ht="42.75" x14ac:dyDescent="0.2">
      <c r="A28" s="286" t="s">
        <v>932</v>
      </c>
      <c r="B28" s="287">
        <v>43291</v>
      </c>
      <c r="C28" s="286" t="s">
        <v>5</v>
      </c>
      <c r="D28" s="288" t="s">
        <v>933</v>
      </c>
      <c r="E28" s="286"/>
    </row>
    <row r="29" spans="1:5" ht="156.75" x14ac:dyDescent="0.2">
      <c r="A29" s="286" t="s">
        <v>880</v>
      </c>
      <c r="B29" s="287">
        <v>43255</v>
      </c>
      <c r="C29" s="286" t="s">
        <v>5</v>
      </c>
      <c r="D29" s="288" t="s">
        <v>881</v>
      </c>
      <c r="E29" s="286"/>
    </row>
    <row r="30" spans="1:5" ht="42.75" x14ac:dyDescent="0.2">
      <c r="A30" s="286" t="s">
        <v>873</v>
      </c>
      <c r="B30" s="287">
        <v>43247</v>
      </c>
      <c r="C30" s="286" t="s">
        <v>5</v>
      </c>
      <c r="D30" s="288" t="s">
        <v>874</v>
      </c>
      <c r="E30" s="286"/>
    </row>
    <row r="31" spans="1:5" ht="142.5" x14ac:dyDescent="0.2">
      <c r="A31" s="286">
        <v>0.4</v>
      </c>
      <c r="B31" s="287">
        <v>43229</v>
      </c>
      <c r="C31" s="286" t="s">
        <v>5</v>
      </c>
      <c r="D31" s="288" t="s">
        <v>491</v>
      </c>
      <c r="E31" s="288" t="s">
        <v>492</v>
      </c>
    </row>
    <row r="32" spans="1:5" ht="114" x14ac:dyDescent="0.2">
      <c r="A32" s="286" t="s">
        <v>324</v>
      </c>
      <c r="B32" s="287">
        <v>43206</v>
      </c>
      <c r="C32" s="286" t="s">
        <v>5</v>
      </c>
      <c r="D32" s="288" t="s">
        <v>325</v>
      </c>
      <c r="E32" s="288" t="s">
        <v>339</v>
      </c>
    </row>
    <row r="33" spans="1:5" ht="57" x14ac:dyDescent="0.2">
      <c r="A33" s="286" t="s">
        <v>300</v>
      </c>
      <c r="B33" s="287">
        <v>43185</v>
      </c>
      <c r="C33" s="286" t="s">
        <v>5</v>
      </c>
      <c r="D33" s="286"/>
      <c r="E33" s="288" t="s">
        <v>301</v>
      </c>
    </row>
    <row r="34" spans="1:5" ht="71.25" x14ac:dyDescent="0.2">
      <c r="A34" s="286" t="s">
        <v>298</v>
      </c>
      <c r="B34" s="287">
        <v>43178</v>
      </c>
      <c r="C34" s="286" t="s">
        <v>276</v>
      </c>
      <c r="D34" s="288" t="s">
        <v>299</v>
      </c>
      <c r="E34" s="286"/>
    </row>
    <row r="35" spans="1:5" ht="128.25" x14ac:dyDescent="0.2">
      <c r="A35" s="286" t="s">
        <v>288</v>
      </c>
      <c r="B35" s="287">
        <v>43172</v>
      </c>
      <c r="C35" s="286" t="s">
        <v>5</v>
      </c>
      <c r="D35" s="288" t="s">
        <v>289</v>
      </c>
      <c r="E35" s="288" t="s">
        <v>291</v>
      </c>
    </row>
    <row r="36" spans="1:5" ht="57" x14ac:dyDescent="0.2">
      <c r="A36" s="286" t="s">
        <v>275</v>
      </c>
      <c r="B36" s="287">
        <v>43167</v>
      </c>
      <c r="C36" s="286" t="s">
        <v>276</v>
      </c>
      <c r="D36" s="286" t="s">
        <v>277</v>
      </c>
      <c r="E36" s="288" t="s">
        <v>282</v>
      </c>
    </row>
    <row r="37" spans="1:5" x14ac:dyDescent="0.2">
      <c r="A37" s="286"/>
      <c r="B37" s="287">
        <v>43147</v>
      </c>
      <c r="C37" s="286" t="s">
        <v>5</v>
      </c>
      <c r="D37" s="286" t="s">
        <v>127</v>
      </c>
      <c r="E37" s="286"/>
    </row>
    <row r="38" spans="1:5" ht="99.75" x14ac:dyDescent="0.2">
      <c r="A38" s="286" t="s">
        <v>9</v>
      </c>
      <c r="B38" s="287">
        <v>43130</v>
      </c>
      <c r="C38" s="286" t="s">
        <v>5</v>
      </c>
      <c r="D38" s="288" t="s">
        <v>10</v>
      </c>
      <c r="E38" s="288" t="s">
        <v>12</v>
      </c>
    </row>
    <row r="39" spans="1:5" x14ac:dyDescent="0.2">
      <c r="A39" s="286" t="s">
        <v>7</v>
      </c>
      <c r="B39" s="287">
        <v>43068</v>
      </c>
      <c r="C39" s="286" t="s">
        <v>5</v>
      </c>
      <c r="D39" s="286" t="s">
        <v>8</v>
      </c>
      <c r="E39" s="286"/>
    </row>
    <row r="40" spans="1:5" x14ac:dyDescent="0.2">
      <c r="A40" s="286" t="s">
        <v>4</v>
      </c>
      <c r="B40" s="287">
        <v>42852</v>
      </c>
      <c r="C40" s="286" t="s">
        <v>5</v>
      </c>
      <c r="D40" s="286" t="s">
        <v>6</v>
      </c>
      <c r="E40" s="286"/>
    </row>
  </sheetData>
  <sheetProtection algorithmName="SHA-512" hashValue="zZLTBWKAgYo3aj9D0ZiNjxyoAc4DNp0ykAUnVlYn5/ssLq5DH+VWe2LNuM9shDMa4BkhEsmlYnj2FXE/6dDdxg==" saltValue="1gAoPa9vtCD7opC7U2ps0g==" spinCount="100000" sheet="1" objects="1" scenarios="1"/>
  <sortState xmlns:xlrd2="http://schemas.microsoft.com/office/spreadsheetml/2017/richdata2" ref="A23:E36">
    <sortCondition descending="1" ref="B23:B3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947</v>
      </c>
      <c r="K7" s="2" t="s">
        <v>1102</v>
      </c>
    </row>
    <row r="9" spans="1:18" ht="15" x14ac:dyDescent="0.25">
      <c r="A9" s="67">
        <f>COUNTA(B10:B1048576)</f>
        <v>236</v>
      </c>
      <c r="B9" s="2" t="s">
        <v>526</v>
      </c>
      <c r="C9" s="2"/>
      <c r="D9" s="2" t="s">
        <v>527</v>
      </c>
      <c r="K9" s="2" t="s">
        <v>1100</v>
      </c>
      <c r="R9" s="2" t="s">
        <v>1101</v>
      </c>
    </row>
    <row r="10" spans="1:18" x14ac:dyDescent="0.2">
      <c r="A10" s="67">
        <f>COUNTA(D10:D1048576)</f>
        <v>79</v>
      </c>
      <c r="B10" s="67" t="s">
        <v>557</v>
      </c>
      <c r="D10" s="67" t="s">
        <v>827</v>
      </c>
      <c r="K10" t="s">
        <v>948</v>
      </c>
      <c r="R10" t="s">
        <v>827</v>
      </c>
    </row>
    <row r="11" spans="1:18" x14ac:dyDescent="0.2">
      <c r="B11" s="67" t="s">
        <v>558</v>
      </c>
      <c r="D11" s="67" t="s">
        <v>853</v>
      </c>
      <c r="K11" t="s">
        <v>949</v>
      </c>
      <c r="R11" t="s">
        <v>853</v>
      </c>
    </row>
    <row r="12" spans="1:18" x14ac:dyDescent="0.2">
      <c r="B12" s="67" t="s">
        <v>559</v>
      </c>
      <c r="D12" s="67" t="s">
        <v>811</v>
      </c>
      <c r="K12" t="s">
        <v>950</v>
      </c>
      <c r="R12" t="s">
        <v>811</v>
      </c>
    </row>
    <row r="13" spans="1:18" x14ac:dyDescent="0.2">
      <c r="B13" s="67" t="s">
        <v>560</v>
      </c>
      <c r="D13" s="67" t="s">
        <v>819</v>
      </c>
      <c r="K13" t="s">
        <v>951</v>
      </c>
      <c r="R13" t="s">
        <v>819</v>
      </c>
    </row>
    <row r="14" spans="1:18" x14ac:dyDescent="0.2">
      <c r="B14" s="67" t="s">
        <v>561</v>
      </c>
      <c r="D14" s="67" t="s">
        <v>861</v>
      </c>
      <c r="K14" t="s">
        <v>952</v>
      </c>
      <c r="R14" t="s">
        <v>861</v>
      </c>
    </row>
    <row r="15" spans="1:18" x14ac:dyDescent="0.2">
      <c r="B15" s="67" t="s">
        <v>562</v>
      </c>
      <c r="D15" s="67" t="s">
        <v>824</v>
      </c>
      <c r="K15" t="s">
        <v>953</v>
      </c>
      <c r="R15" t="s">
        <v>824</v>
      </c>
    </row>
    <row r="16" spans="1:18" x14ac:dyDescent="0.2">
      <c r="B16" s="67" t="s">
        <v>563</v>
      </c>
      <c r="D16" s="67" t="s">
        <v>809</v>
      </c>
      <c r="K16" t="s">
        <v>954</v>
      </c>
      <c r="R16" t="s">
        <v>809</v>
      </c>
    </row>
    <row r="17" spans="2:18" x14ac:dyDescent="0.2">
      <c r="B17" s="67" t="s">
        <v>564</v>
      </c>
      <c r="D17" s="67" t="s">
        <v>862</v>
      </c>
      <c r="K17" t="s">
        <v>955</v>
      </c>
      <c r="R17" t="s">
        <v>862</v>
      </c>
    </row>
    <row r="18" spans="2:18" x14ac:dyDescent="0.2">
      <c r="B18" s="67" t="s">
        <v>565</v>
      </c>
      <c r="D18" s="67" t="s">
        <v>854</v>
      </c>
      <c r="K18" t="s">
        <v>956</v>
      </c>
      <c r="R18" t="s">
        <v>854</v>
      </c>
    </row>
    <row r="19" spans="2:18" x14ac:dyDescent="0.2">
      <c r="B19" s="67" t="s">
        <v>566</v>
      </c>
      <c r="D19" s="67" t="s">
        <v>820</v>
      </c>
      <c r="K19" t="s">
        <v>957</v>
      </c>
      <c r="R19" t="s">
        <v>820</v>
      </c>
    </row>
    <row r="20" spans="2:18" x14ac:dyDescent="0.2">
      <c r="B20" s="67" t="s">
        <v>567</v>
      </c>
      <c r="D20" s="67" t="s">
        <v>816</v>
      </c>
      <c r="K20" t="s">
        <v>958</v>
      </c>
      <c r="R20" t="s">
        <v>816</v>
      </c>
    </row>
    <row r="21" spans="2:18" x14ac:dyDescent="0.2">
      <c r="B21" s="67" t="s">
        <v>568</v>
      </c>
      <c r="D21" s="67" t="s">
        <v>821</v>
      </c>
      <c r="K21" t="s">
        <v>959</v>
      </c>
      <c r="R21" t="s">
        <v>821</v>
      </c>
    </row>
    <row r="22" spans="2:18" x14ac:dyDescent="0.2">
      <c r="B22" s="67" t="s">
        <v>569</v>
      </c>
      <c r="D22" s="67" t="s">
        <v>837</v>
      </c>
      <c r="K22" t="s">
        <v>960</v>
      </c>
      <c r="R22" t="s">
        <v>837</v>
      </c>
    </row>
    <row r="23" spans="2:18" x14ac:dyDescent="0.2">
      <c r="B23" s="67" t="s">
        <v>570</v>
      </c>
      <c r="D23" s="67" t="s">
        <v>858</v>
      </c>
      <c r="K23" t="s">
        <v>961</v>
      </c>
      <c r="R23" t="s">
        <v>858</v>
      </c>
    </row>
    <row r="24" spans="2:18" x14ac:dyDescent="0.2">
      <c r="B24" s="67" t="s">
        <v>571</v>
      </c>
      <c r="D24" s="67" t="s">
        <v>818</v>
      </c>
      <c r="K24" t="s">
        <v>962</v>
      </c>
      <c r="R24" t="s">
        <v>818</v>
      </c>
    </row>
    <row r="25" spans="2:18" x14ac:dyDescent="0.2">
      <c r="B25" s="67" t="s">
        <v>572</v>
      </c>
      <c r="D25" s="67" t="s">
        <v>817</v>
      </c>
      <c r="K25" t="s">
        <v>963</v>
      </c>
      <c r="R25" t="s">
        <v>817</v>
      </c>
    </row>
    <row r="26" spans="2:18" x14ac:dyDescent="0.2">
      <c r="B26" s="67" t="s">
        <v>573</v>
      </c>
      <c r="D26" s="67" t="s">
        <v>871</v>
      </c>
      <c r="K26" t="s">
        <v>964</v>
      </c>
      <c r="R26" t="s">
        <v>871</v>
      </c>
    </row>
    <row r="27" spans="2:18" x14ac:dyDescent="0.2">
      <c r="B27" s="67" t="s">
        <v>574</v>
      </c>
      <c r="D27" s="67" t="s">
        <v>869</v>
      </c>
      <c r="K27" t="s">
        <v>965</v>
      </c>
      <c r="R27" t="s">
        <v>869</v>
      </c>
    </row>
    <row r="28" spans="2:18" x14ac:dyDescent="0.2">
      <c r="B28" s="67" t="s">
        <v>575</v>
      </c>
      <c r="D28" s="67" t="s">
        <v>848</v>
      </c>
      <c r="K28" t="s">
        <v>966</v>
      </c>
      <c r="R28" t="s">
        <v>848</v>
      </c>
    </row>
    <row r="29" spans="2:18" x14ac:dyDescent="0.2">
      <c r="B29" s="67" t="s">
        <v>576</v>
      </c>
      <c r="D29" s="67" t="s">
        <v>812</v>
      </c>
      <c r="K29" t="s">
        <v>967</v>
      </c>
      <c r="R29" t="s">
        <v>812</v>
      </c>
    </row>
    <row r="30" spans="2:18" x14ac:dyDescent="0.2">
      <c r="B30" s="67" t="s">
        <v>577</v>
      </c>
      <c r="D30" s="67" t="s">
        <v>842</v>
      </c>
      <c r="K30" t="s">
        <v>968</v>
      </c>
      <c r="R30" t="s">
        <v>842</v>
      </c>
    </row>
    <row r="31" spans="2:18" x14ac:dyDescent="0.2">
      <c r="B31" s="67" t="s">
        <v>578</v>
      </c>
      <c r="D31" s="67" t="s">
        <v>828</v>
      </c>
      <c r="K31" t="s">
        <v>969</v>
      </c>
      <c r="R31" t="s">
        <v>828</v>
      </c>
    </row>
    <row r="32" spans="2:18" x14ac:dyDescent="0.2">
      <c r="B32" s="67" t="s">
        <v>579</v>
      </c>
      <c r="D32" s="67" t="s">
        <v>815</v>
      </c>
      <c r="K32" t="s">
        <v>970</v>
      </c>
      <c r="R32" t="s">
        <v>815</v>
      </c>
    </row>
    <row r="33" spans="2:18" x14ac:dyDescent="0.2">
      <c r="B33" s="67" t="s">
        <v>580</v>
      </c>
      <c r="D33" s="67" t="s">
        <v>803</v>
      </c>
      <c r="K33" t="s">
        <v>971</v>
      </c>
      <c r="R33" t="s">
        <v>803</v>
      </c>
    </row>
    <row r="34" spans="2:18" x14ac:dyDescent="0.2">
      <c r="B34" s="67" t="s">
        <v>581</v>
      </c>
      <c r="D34" s="67" t="s">
        <v>796</v>
      </c>
      <c r="K34" t="s">
        <v>972</v>
      </c>
      <c r="R34" t="s">
        <v>796</v>
      </c>
    </row>
    <row r="35" spans="2:18" x14ac:dyDescent="0.2">
      <c r="B35" s="67" t="s">
        <v>582</v>
      </c>
      <c r="D35" s="67" t="s">
        <v>855</v>
      </c>
      <c r="K35" t="s">
        <v>973</v>
      </c>
      <c r="R35" t="s">
        <v>855</v>
      </c>
    </row>
    <row r="36" spans="2:18" x14ac:dyDescent="0.2">
      <c r="B36" s="67" t="s">
        <v>583</v>
      </c>
      <c r="D36" s="67" t="s">
        <v>814</v>
      </c>
      <c r="K36" t="s">
        <v>974</v>
      </c>
      <c r="R36" t="s">
        <v>814</v>
      </c>
    </row>
    <row r="37" spans="2:18" x14ac:dyDescent="0.2">
      <c r="B37" s="67" t="s">
        <v>584</v>
      </c>
      <c r="D37" s="67" t="s">
        <v>851</v>
      </c>
      <c r="K37" t="s">
        <v>975</v>
      </c>
      <c r="R37" t="s">
        <v>851</v>
      </c>
    </row>
    <row r="38" spans="2:18" x14ac:dyDescent="0.2">
      <c r="B38" s="67" t="s">
        <v>585</v>
      </c>
      <c r="D38" s="67" t="s">
        <v>850</v>
      </c>
      <c r="K38" t="s">
        <v>976</v>
      </c>
      <c r="R38" t="s">
        <v>850</v>
      </c>
    </row>
    <row r="39" spans="2:18" x14ac:dyDescent="0.2">
      <c r="B39" s="67" t="s">
        <v>586</v>
      </c>
      <c r="D39" s="67" t="s">
        <v>813</v>
      </c>
      <c r="K39" t="s">
        <v>977</v>
      </c>
      <c r="R39" t="s">
        <v>813</v>
      </c>
    </row>
    <row r="40" spans="2:18" x14ac:dyDescent="0.2">
      <c r="B40" s="67" t="s">
        <v>587</v>
      </c>
      <c r="D40" t="s">
        <v>860</v>
      </c>
      <c r="K40" t="s">
        <v>978</v>
      </c>
      <c r="R40" t="s">
        <v>860</v>
      </c>
    </row>
    <row r="41" spans="2:18" x14ac:dyDescent="0.2">
      <c r="B41" s="67" t="s">
        <v>588</v>
      </c>
      <c r="D41" t="s">
        <v>793</v>
      </c>
      <c r="K41" t="s">
        <v>979</v>
      </c>
      <c r="R41" t="s">
        <v>793</v>
      </c>
    </row>
    <row r="42" spans="2:18" x14ac:dyDescent="0.2">
      <c r="B42" s="67" t="s">
        <v>589</v>
      </c>
      <c r="D42" t="s">
        <v>832</v>
      </c>
      <c r="K42" t="s">
        <v>980</v>
      </c>
      <c r="R42" t="s">
        <v>832</v>
      </c>
    </row>
    <row r="43" spans="2:18" x14ac:dyDescent="0.2">
      <c r="B43" s="67" t="s">
        <v>590</v>
      </c>
      <c r="D43" t="s">
        <v>841</v>
      </c>
      <c r="K43" t="s">
        <v>981</v>
      </c>
      <c r="R43" t="s">
        <v>841</v>
      </c>
    </row>
    <row r="44" spans="2:18" x14ac:dyDescent="0.2">
      <c r="B44" s="67" t="s">
        <v>591</v>
      </c>
      <c r="D44" t="s">
        <v>847</v>
      </c>
      <c r="K44" t="s">
        <v>982</v>
      </c>
      <c r="R44" t="s">
        <v>847</v>
      </c>
    </row>
    <row r="45" spans="2:18" x14ac:dyDescent="0.2">
      <c r="B45" s="67" t="s">
        <v>592</v>
      </c>
      <c r="D45" t="s">
        <v>863</v>
      </c>
      <c r="K45" t="s">
        <v>983</v>
      </c>
      <c r="R45" t="s">
        <v>863</v>
      </c>
    </row>
    <row r="46" spans="2:18" x14ac:dyDescent="0.2">
      <c r="B46" s="67" t="s">
        <v>593</v>
      </c>
      <c r="D46" t="s">
        <v>864</v>
      </c>
      <c r="K46" t="s">
        <v>984</v>
      </c>
      <c r="R46" t="s">
        <v>864</v>
      </c>
    </row>
    <row r="47" spans="2:18" x14ac:dyDescent="0.2">
      <c r="B47" s="67" t="s">
        <v>594</v>
      </c>
      <c r="D47" t="s">
        <v>865</v>
      </c>
      <c r="K47" t="s">
        <v>985</v>
      </c>
      <c r="R47" t="s">
        <v>865</v>
      </c>
    </row>
    <row r="48" spans="2:18" x14ac:dyDescent="0.2">
      <c r="B48" s="67" t="s">
        <v>595</v>
      </c>
      <c r="D48" t="s">
        <v>830</v>
      </c>
      <c r="K48" t="s">
        <v>986</v>
      </c>
      <c r="R48" t="s">
        <v>830</v>
      </c>
    </row>
    <row r="49" spans="2:18" x14ac:dyDescent="0.2">
      <c r="B49" s="67" t="s">
        <v>596</v>
      </c>
      <c r="D49" t="s">
        <v>852</v>
      </c>
      <c r="K49" t="s">
        <v>987</v>
      </c>
      <c r="R49" t="s">
        <v>852</v>
      </c>
    </row>
    <row r="50" spans="2:18" x14ac:dyDescent="0.2">
      <c r="B50" s="67" t="s">
        <v>597</v>
      </c>
      <c r="D50" t="s">
        <v>867</v>
      </c>
      <c r="K50" t="s">
        <v>988</v>
      </c>
      <c r="R50" t="s">
        <v>867</v>
      </c>
    </row>
    <row r="51" spans="2:18" x14ac:dyDescent="0.2">
      <c r="B51" s="67" t="s">
        <v>598</v>
      </c>
      <c r="D51" t="s">
        <v>866</v>
      </c>
      <c r="K51" t="s">
        <v>989</v>
      </c>
      <c r="R51" t="s">
        <v>866</v>
      </c>
    </row>
    <row r="52" spans="2:18" x14ac:dyDescent="0.2">
      <c r="B52" s="67" t="s">
        <v>599</v>
      </c>
      <c r="D52" t="s">
        <v>834</v>
      </c>
      <c r="K52" t="s">
        <v>990</v>
      </c>
      <c r="R52" t="s">
        <v>834</v>
      </c>
    </row>
    <row r="53" spans="2:18" x14ac:dyDescent="0.2">
      <c r="B53" s="67" t="s">
        <v>600</v>
      </c>
      <c r="D53" t="s">
        <v>844</v>
      </c>
      <c r="K53" t="s">
        <v>991</v>
      </c>
      <c r="R53" t="s">
        <v>844</v>
      </c>
    </row>
    <row r="54" spans="2:18" x14ac:dyDescent="0.2">
      <c r="B54" s="67" t="s">
        <v>601</v>
      </c>
      <c r="D54" t="s">
        <v>868</v>
      </c>
      <c r="K54" t="s">
        <v>992</v>
      </c>
      <c r="R54" t="s">
        <v>868</v>
      </c>
    </row>
    <row r="55" spans="2:18" x14ac:dyDescent="0.2">
      <c r="B55" s="67" t="s">
        <v>602</v>
      </c>
      <c r="D55" t="s">
        <v>849</v>
      </c>
      <c r="K55" t="s">
        <v>993</v>
      </c>
      <c r="R55" t="s">
        <v>849</v>
      </c>
    </row>
    <row r="56" spans="2:18" x14ac:dyDescent="0.2">
      <c r="B56" s="67" t="s">
        <v>603</v>
      </c>
      <c r="D56" t="s">
        <v>833</v>
      </c>
      <c r="K56" t="s">
        <v>994</v>
      </c>
      <c r="R56" t="s">
        <v>833</v>
      </c>
    </row>
    <row r="57" spans="2:18" x14ac:dyDescent="0.2">
      <c r="B57" s="67" t="s">
        <v>604</v>
      </c>
      <c r="D57" t="s">
        <v>836</v>
      </c>
      <c r="K57" t="s">
        <v>995</v>
      </c>
      <c r="R57" t="s">
        <v>836</v>
      </c>
    </row>
    <row r="58" spans="2:18" x14ac:dyDescent="0.2">
      <c r="B58" s="67" t="s">
        <v>605</v>
      </c>
      <c r="D58" t="s">
        <v>807</v>
      </c>
      <c r="K58" t="s">
        <v>996</v>
      </c>
      <c r="R58" t="s">
        <v>807</v>
      </c>
    </row>
    <row r="59" spans="2:18" x14ac:dyDescent="0.2">
      <c r="B59" s="67" t="s">
        <v>606</v>
      </c>
      <c r="D59" t="s">
        <v>835</v>
      </c>
      <c r="K59" t="s">
        <v>997</v>
      </c>
      <c r="R59" t="s">
        <v>835</v>
      </c>
    </row>
    <row r="60" spans="2:18" x14ac:dyDescent="0.2">
      <c r="B60" s="67" t="s">
        <v>607</v>
      </c>
      <c r="D60" t="s">
        <v>846</v>
      </c>
      <c r="K60" t="s">
        <v>998</v>
      </c>
      <c r="R60" t="s">
        <v>846</v>
      </c>
    </row>
    <row r="61" spans="2:18" x14ac:dyDescent="0.2">
      <c r="B61" s="67" t="s">
        <v>608</v>
      </c>
      <c r="D61" t="s">
        <v>845</v>
      </c>
      <c r="K61" t="s">
        <v>999</v>
      </c>
      <c r="R61" t="s">
        <v>845</v>
      </c>
    </row>
    <row r="62" spans="2:18" x14ac:dyDescent="0.2">
      <c r="B62" s="67" t="s">
        <v>609</v>
      </c>
      <c r="D62" t="s">
        <v>870</v>
      </c>
      <c r="K62" t="s">
        <v>1000</v>
      </c>
      <c r="R62" t="s">
        <v>870</v>
      </c>
    </row>
    <row r="63" spans="2:18" x14ac:dyDescent="0.2">
      <c r="B63" s="67" t="s">
        <v>610</v>
      </c>
      <c r="D63" t="s">
        <v>857</v>
      </c>
      <c r="K63" t="s">
        <v>1001</v>
      </c>
      <c r="R63" t="s">
        <v>857</v>
      </c>
    </row>
    <row r="64" spans="2:18" x14ac:dyDescent="0.2">
      <c r="B64" s="67" t="s">
        <v>611</v>
      </c>
      <c r="D64" t="s">
        <v>797</v>
      </c>
      <c r="K64" t="s">
        <v>1002</v>
      </c>
      <c r="R64" t="s">
        <v>797</v>
      </c>
    </row>
    <row r="65" spans="2:18" x14ac:dyDescent="0.2">
      <c r="B65" s="67" t="s">
        <v>612</v>
      </c>
      <c r="D65" t="s">
        <v>802</v>
      </c>
      <c r="K65" t="s">
        <v>1003</v>
      </c>
      <c r="R65" t="s">
        <v>802</v>
      </c>
    </row>
    <row r="66" spans="2:18" x14ac:dyDescent="0.2">
      <c r="B66" s="67" t="s">
        <v>613</v>
      </c>
      <c r="D66" t="s">
        <v>798</v>
      </c>
      <c r="K66" t="s">
        <v>1004</v>
      </c>
      <c r="R66" t="s">
        <v>798</v>
      </c>
    </row>
    <row r="67" spans="2:18" x14ac:dyDescent="0.2">
      <c r="B67" s="67" t="s">
        <v>614</v>
      </c>
      <c r="D67" t="s">
        <v>801</v>
      </c>
      <c r="K67" t="s">
        <v>1005</v>
      </c>
      <c r="R67" t="s">
        <v>801</v>
      </c>
    </row>
    <row r="68" spans="2:18" x14ac:dyDescent="0.2">
      <c r="B68" s="67" t="s">
        <v>615</v>
      </c>
      <c r="D68" t="s">
        <v>825</v>
      </c>
      <c r="K68" t="s">
        <v>1006</v>
      </c>
      <c r="R68" t="s">
        <v>825</v>
      </c>
    </row>
    <row r="69" spans="2:18" x14ac:dyDescent="0.2">
      <c r="B69" s="67" t="s">
        <v>616</v>
      </c>
      <c r="D69" t="s">
        <v>800</v>
      </c>
      <c r="K69" t="s">
        <v>1007</v>
      </c>
      <c r="R69" t="s">
        <v>800</v>
      </c>
    </row>
    <row r="70" spans="2:18" x14ac:dyDescent="0.2">
      <c r="B70" s="67" t="s">
        <v>617</v>
      </c>
      <c r="D70" t="s">
        <v>840</v>
      </c>
      <c r="K70" t="s">
        <v>1008</v>
      </c>
      <c r="R70" t="s">
        <v>840</v>
      </c>
    </row>
    <row r="71" spans="2:18" x14ac:dyDescent="0.2">
      <c r="B71" s="67" t="s">
        <v>618</v>
      </c>
      <c r="D71" t="s">
        <v>810</v>
      </c>
      <c r="K71" t="s">
        <v>1009</v>
      </c>
      <c r="R71" t="s">
        <v>810</v>
      </c>
    </row>
    <row r="72" spans="2:18" x14ac:dyDescent="0.2">
      <c r="B72" s="67" t="s">
        <v>619</v>
      </c>
      <c r="D72" t="s">
        <v>839</v>
      </c>
      <c r="K72" t="s">
        <v>1010</v>
      </c>
      <c r="R72" t="s">
        <v>839</v>
      </c>
    </row>
    <row r="73" spans="2:18" x14ac:dyDescent="0.2">
      <c r="B73" s="67" t="s">
        <v>620</v>
      </c>
      <c r="D73" t="s">
        <v>823</v>
      </c>
      <c r="K73" t="s">
        <v>1011</v>
      </c>
      <c r="R73" t="s">
        <v>823</v>
      </c>
    </row>
    <row r="74" spans="2:18" x14ac:dyDescent="0.2">
      <c r="B74" s="67" t="s">
        <v>621</v>
      </c>
      <c r="D74" t="s">
        <v>804</v>
      </c>
      <c r="K74" t="s">
        <v>1012</v>
      </c>
      <c r="R74" t="s">
        <v>804</v>
      </c>
    </row>
    <row r="75" spans="2:18" x14ac:dyDescent="0.2">
      <c r="B75" s="67" t="s">
        <v>622</v>
      </c>
      <c r="D75" t="s">
        <v>808</v>
      </c>
      <c r="K75" t="s">
        <v>1013</v>
      </c>
      <c r="R75" t="s">
        <v>808</v>
      </c>
    </row>
    <row r="76" spans="2:18" x14ac:dyDescent="0.2">
      <c r="B76" s="67" t="s">
        <v>623</v>
      </c>
      <c r="D76" t="s">
        <v>805</v>
      </c>
      <c r="K76" t="s">
        <v>1014</v>
      </c>
      <c r="R76" t="s">
        <v>805</v>
      </c>
    </row>
    <row r="77" spans="2:18" x14ac:dyDescent="0.2">
      <c r="B77" s="67" t="s">
        <v>624</v>
      </c>
      <c r="D77" t="s">
        <v>856</v>
      </c>
      <c r="K77" t="s">
        <v>1015</v>
      </c>
      <c r="R77" t="s">
        <v>856</v>
      </c>
    </row>
    <row r="78" spans="2:18" x14ac:dyDescent="0.2">
      <c r="B78" s="67" t="s">
        <v>625</v>
      </c>
      <c r="D78" t="s">
        <v>859</v>
      </c>
      <c r="K78" t="s">
        <v>1016</v>
      </c>
      <c r="R78" t="s">
        <v>859</v>
      </c>
    </row>
    <row r="79" spans="2:18" x14ac:dyDescent="0.2">
      <c r="B79" s="67" t="s">
        <v>626</v>
      </c>
      <c r="D79" t="s">
        <v>822</v>
      </c>
      <c r="K79" t="s">
        <v>1017</v>
      </c>
      <c r="R79" t="s">
        <v>822</v>
      </c>
    </row>
    <row r="80" spans="2:18" x14ac:dyDescent="0.2">
      <c r="B80" s="67" t="s">
        <v>627</v>
      </c>
      <c r="D80" t="s">
        <v>829</v>
      </c>
      <c r="K80" t="s">
        <v>1018</v>
      </c>
      <c r="R80" t="s">
        <v>829</v>
      </c>
    </row>
    <row r="81" spans="2:18" x14ac:dyDescent="0.2">
      <c r="B81" s="67" t="s">
        <v>628</v>
      </c>
      <c r="D81" t="s">
        <v>799</v>
      </c>
      <c r="K81" t="s">
        <v>1019</v>
      </c>
      <c r="R81" t="s">
        <v>799</v>
      </c>
    </row>
    <row r="82" spans="2:18" x14ac:dyDescent="0.2">
      <c r="B82" s="67" t="s">
        <v>629</v>
      </c>
      <c r="D82" t="s">
        <v>838</v>
      </c>
      <c r="K82" t="s">
        <v>1020</v>
      </c>
      <c r="R82" t="s">
        <v>838</v>
      </c>
    </row>
    <row r="83" spans="2:18" x14ac:dyDescent="0.2">
      <c r="B83" s="67" t="s">
        <v>630</v>
      </c>
      <c r="D83" t="s">
        <v>843</v>
      </c>
      <c r="K83" t="s">
        <v>1021</v>
      </c>
      <c r="R83" t="s">
        <v>843</v>
      </c>
    </row>
    <row r="84" spans="2:18" x14ac:dyDescent="0.2">
      <c r="B84" s="67" t="s">
        <v>631</v>
      </c>
      <c r="D84" t="s">
        <v>826</v>
      </c>
      <c r="K84" t="s">
        <v>1022</v>
      </c>
      <c r="R84" t="s">
        <v>826</v>
      </c>
    </row>
    <row r="85" spans="2:18" x14ac:dyDescent="0.2">
      <c r="B85" s="67" t="s">
        <v>632</v>
      </c>
      <c r="D85" t="s">
        <v>806</v>
      </c>
      <c r="K85" t="s">
        <v>1023</v>
      </c>
      <c r="R85" t="s">
        <v>806</v>
      </c>
    </row>
    <row r="86" spans="2:18" x14ac:dyDescent="0.2">
      <c r="B86" s="67" t="s">
        <v>633</v>
      </c>
      <c r="D86" t="s">
        <v>795</v>
      </c>
      <c r="K86" t="s">
        <v>1024</v>
      </c>
      <c r="R86" t="s">
        <v>795</v>
      </c>
    </row>
    <row r="87" spans="2:18" x14ac:dyDescent="0.2">
      <c r="B87" s="67" t="s">
        <v>634</v>
      </c>
      <c r="D87" t="s">
        <v>831</v>
      </c>
      <c r="K87" t="s">
        <v>1025</v>
      </c>
      <c r="R87" t="s">
        <v>831</v>
      </c>
    </row>
    <row r="88" spans="2:18" x14ac:dyDescent="0.2">
      <c r="B88" s="67" t="s">
        <v>635</v>
      </c>
      <c r="D88" t="s">
        <v>794</v>
      </c>
      <c r="K88" t="s">
        <v>1026</v>
      </c>
      <c r="R88" t="s">
        <v>794</v>
      </c>
    </row>
    <row r="89" spans="2:18" x14ac:dyDescent="0.2">
      <c r="B89" s="67" t="s">
        <v>636</v>
      </c>
      <c r="K89" t="s">
        <v>1027</v>
      </c>
    </row>
    <row r="90" spans="2:18" x14ac:dyDescent="0.2">
      <c r="B90" s="67" t="s">
        <v>637</v>
      </c>
      <c r="K90" t="s">
        <v>1028</v>
      </c>
    </row>
    <row r="91" spans="2:18" x14ac:dyDescent="0.2">
      <c r="B91" s="67" t="s">
        <v>638</v>
      </c>
      <c r="K91" t="s">
        <v>1029</v>
      </c>
    </row>
    <row r="92" spans="2:18" x14ac:dyDescent="0.2">
      <c r="B92" s="67" t="s">
        <v>639</v>
      </c>
      <c r="K92" t="s">
        <v>1030</v>
      </c>
    </row>
    <row r="93" spans="2:18" x14ac:dyDescent="0.2">
      <c r="B93" s="67" t="s">
        <v>640</v>
      </c>
      <c r="K93" t="s">
        <v>1031</v>
      </c>
    </row>
    <row r="94" spans="2:18" x14ac:dyDescent="0.2">
      <c r="B94" s="67" t="s">
        <v>641</v>
      </c>
      <c r="K94" t="s">
        <v>1032</v>
      </c>
    </row>
    <row r="95" spans="2:18" x14ac:dyDescent="0.2">
      <c r="B95" s="67" t="s">
        <v>642</v>
      </c>
      <c r="K95" t="s">
        <v>1033</v>
      </c>
    </row>
    <row r="96" spans="2:18" x14ac:dyDescent="0.2">
      <c r="B96" s="67" t="s">
        <v>643</v>
      </c>
      <c r="K96" t="s">
        <v>1034</v>
      </c>
    </row>
    <row r="97" spans="2:11" x14ac:dyDescent="0.2">
      <c r="B97" s="67" t="s">
        <v>644</v>
      </c>
      <c r="K97" t="s">
        <v>1035</v>
      </c>
    </row>
    <row r="98" spans="2:11" x14ac:dyDescent="0.2">
      <c r="B98" s="67" t="s">
        <v>645</v>
      </c>
      <c r="K98" t="s">
        <v>1036</v>
      </c>
    </row>
    <row r="99" spans="2:11" x14ac:dyDescent="0.2">
      <c r="B99" s="67" t="s">
        <v>646</v>
      </c>
      <c r="K99" t="s">
        <v>1037</v>
      </c>
    </row>
    <row r="100" spans="2:11" x14ac:dyDescent="0.2">
      <c r="B100" s="67" t="s">
        <v>647</v>
      </c>
      <c r="K100" t="s">
        <v>1038</v>
      </c>
    </row>
    <row r="101" spans="2:11" x14ac:dyDescent="0.2">
      <c r="B101" s="67" t="s">
        <v>648</v>
      </c>
      <c r="K101" t="s">
        <v>1039</v>
      </c>
    </row>
    <row r="102" spans="2:11" x14ac:dyDescent="0.2">
      <c r="B102" s="67" t="s">
        <v>649</v>
      </c>
      <c r="K102" t="s">
        <v>1040</v>
      </c>
    </row>
    <row r="103" spans="2:11" x14ac:dyDescent="0.2">
      <c r="B103" s="67" t="s">
        <v>650</v>
      </c>
      <c r="K103" t="s">
        <v>1041</v>
      </c>
    </row>
    <row r="104" spans="2:11" x14ac:dyDescent="0.2">
      <c r="B104" s="67" t="s">
        <v>651</v>
      </c>
      <c r="K104" t="s">
        <v>1042</v>
      </c>
    </row>
    <row r="105" spans="2:11" x14ac:dyDescent="0.2">
      <c r="B105" s="67" t="s">
        <v>652</v>
      </c>
      <c r="K105" t="s">
        <v>1043</v>
      </c>
    </row>
    <row r="106" spans="2:11" x14ac:dyDescent="0.2">
      <c r="B106" s="67" t="s">
        <v>653</v>
      </c>
      <c r="K106" t="s">
        <v>1044</v>
      </c>
    </row>
    <row r="107" spans="2:11" x14ac:dyDescent="0.2">
      <c r="B107" s="67" t="s">
        <v>654</v>
      </c>
      <c r="K107" t="s">
        <v>1045</v>
      </c>
    </row>
    <row r="108" spans="2:11" x14ac:dyDescent="0.2">
      <c r="B108" s="67" t="s">
        <v>655</v>
      </c>
      <c r="K108" t="s">
        <v>1046</v>
      </c>
    </row>
    <row r="109" spans="2:11" x14ac:dyDescent="0.2">
      <c r="B109" s="67" t="s">
        <v>656</v>
      </c>
      <c r="K109" t="s">
        <v>1047</v>
      </c>
    </row>
    <row r="110" spans="2:11" x14ac:dyDescent="0.2">
      <c r="B110" s="67" t="s">
        <v>657</v>
      </c>
      <c r="K110" t="s">
        <v>1048</v>
      </c>
    </row>
    <row r="111" spans="2:11" x14ac:dyDescent="0.2">
      <c r="B111" s="67" t="s">
        <v>658</v>
      </c>
      <c r="K111" t="s">
        <v>1049</v>
      </c>
    </row>
    <row r="112" spans="2:11" x14ac:dyDescent="0.2">
      <c r="B112" s="67" t="s">
        <v>659</v>
      </c>
      <c r="K112" t="s">
        <v>1050</v>
      </c>
    </row>
    <row r="113" spans="2:11" x14ac:dyDescent="0.2">
      <c r="B113" s="67" t="s">
        <v>660</v>
      </c>
      <c r="K113" t="s">
        <v>1051</v>
      </c>
    </row>
    <row r="114" spans="2:11" x14ac:dyDescent="0.2">
      <c r="B114" s="67" t="s">
        <v>661</v>
      </c>
      <c r="K114" t="s">
        <v>1052</v>
      </c>
    </row>
    <row r="115" spans="2:11" x14ac:dyDescent="0.2">
      <c r="B115" s="67" t="s">
        <v>662</v>
      </c>
      <c r="K115" t="s">
        <v>1053</v>
      </c>
    </row>
    <row r="116" spans="2:11" x14ac:dyDescent="0.2">
      <c r="B116" s="67" t="s">
        <v>663</v>
      </c>
      <c r="K116" t="s">
        <v>1054</v>
      </c>
    </row>
    <row r="117" spans="2:11" x14ac:dyDescent="0.2">
      <c r="B117" s="67" t="s">
        <v>664</v>
      </c>
      <c r="K117" t="s">
        <v>1055</v>
      </c>
    </row>
    <row r="118" spans="2:11" x14ac:dyDescent="0.2">
      <c r="B118" s="67" t="s">
        <v>665</v>
      </c>
      <c r="K118" t="s">
        <v>1056</v>
      </c>
    </row>
    <row r="119" spans="2:11" x14ac:dyDescent="0.2">
      <c r="B119" s="67" t="s">
        <v>666</v>
      </c>
      <c r="K119" t="s">
        <v>1057</v>
      </c>
    </row>
    <row r="120" spans="2:11" x14ac:dyDescent="0.2">
      <c r="B120" s="67" t="s">
        <v>667</v>
      </c>
      <c r="K120" t="s">
        <v>1058</v>
      </c>
    </row>
    <row r="121" spans="2:11" x14ac:dyDescent="0.2">
      <c r="B121" s="67" t="s">
        <v>668</v>
      </c>
      <c r="K121" t="s">
        <v>1059</v>
      </c>
    </row>
    <row r="122" spans="2:11" x14ac:dyDescent="0.2">
      <c r="B122" s="67" t="s">
        <v>669</v>
      </c>
      <c r="K122" t="s">
        <v>1060</v>
      </c>
    </row>
    <row r="123" spans="2:11" x14ac:dyDescent="0.2">
      <c r="B123" s="67" t="s">
        <v>670</v>
      </c>
      <c r="K123" t="s">
        <v>1061</v>
      </c>
    </row>
    <row r="124" spans="2:11" x14ac:dyDescent="0.2">
      <c r="B124" s="67" t="s">
        <v>671</v>
      </c>
      <c r="K124" t="s">
        <v>1062</v>
      </c>
    </row>
    <row r="125" spans="2:11" x14ac:dyDescent="0.2">
      <c r="B125" s="67" t="s">
        <v>672</v>
      </c>
      <c r="K125" t="s">
        <v>1063</v>
      </c>
    </row>
    <row r="126" spans="2:11" x14ac:dyDescent="0.2">
      <c r="B126" s="67" t="s">
        <v>673</v>
      </c>
      <c r="K126" t="s">
        <v>1064</v>
      </c>
    </row>
    <row r="127" spans="2:11" x14ac:dyDescent="0.2">
      <c r="B127" s="67" t="s">
        <v>674</v>
      </c>
      <c r="K127" t="s">
        <v>1065</v>
      </c>
    </row>
    <row r="128" spans="2:11" x14ac:dyDescent="0.2">
      <c r="B128" s="67" t="s">
        <v>675</v>
      </c>
      <c r="K128" t="s">
        <v>1066</v>
      </c>
    </row>
    <row r="129" spans="2:11" x14ac:dyDescent="0.2">
      <c r="B129" s="67" t="s">
        <v>676</v>
      </c>
      <c r="K129" t="s">
        <v>1067</v>
      </c>
    </row>
    <row r="130" spans="2:11" x14ac:dyDescent="0.2">
      <c r="B130" s="67" t="s">
        <v>677</v>
      </c>
      <c r="K130" t="s">
        <v>1068</v>
      </c>
    </row>
    <row r="131" spans="2:11" x14ac:dyDescent="0.2">
      <c r="B131" s="67" t="s">
        <v>678</v>
      </c>
      <c r="K131" t="s">
        <v>1069</v>
      </c>
    </row>
    <row r="132" spans="2:11" x14ac:dyDescent="0.2">
      <c r="B132" s="67" t="s">
        <v>679</v>
      </c>
      <c r="K132" t="s">
        <v>1070</v>
      </c>
    </row>
    <row r="133" spans="2:11" x14ac:dyDescent="0.2">
      <c r="B133" s="67" t="s">
        <v>680</v>
      </c>
      <c r="K133" t="s">
        <v>1071</v>
      </c>
    </row>
    <row r="134" spans="2:11" x14ac:dyDescent="0.2">
      <c r="B134" s="67" t="s">
        <v>681</v>
      </c>
      <c r="K134" t="s">
        <v>1072</v>
      </c>
    </row>
    <row r="135" spans="2:11" x14ac:dyDescent="0.2">
      <c r="B135" s="67" t="s">
        <v>682</v>
      </c>
      <c r="K135" t="s">
        <v>1073</v>
      </c>
    </row>
    <row r="136" spans="2:11" x14ac:dyDescent="0.2">
      <c r="B136" s="67" t="s">
        <v>683</v>
      </c>
      <c r="K136" t="s">
        <v>1074</v>
      </c>
    </row>
    <row r="137" spans="2:11" x14ac:dyDescent="0.2">
      <c r="B137" s="67" t="s">
        <v>684</v>
      </c>
      <c r="K137" t="s">
        <v>1075</v>
      </c>
    </row>
    <row r="138" spans="2:11" x14ac:dyDescent="0.2">
      <c r="B138" s="67" t="s">
        <v>685</v>
      </c>
      <c r="K138" t="s">
        <v>1076</v>
      </c>
    </row>
    <row r="139" spans="2:11" x14ac:dyDescent="0.2">
      <c r="B139" s="67" t="s">
        <v>686</v>
      </c>
      <c r="K139" t="s">
        <v>1077</v>
      </c>
    </row>
    <row r="140" spans="2:11" x14ac:dyDescent="0.2">
      <c r="B140" s="67" t="s">
        <v>687</v>
      </c>
      <c r="K140" t="s">
        <v>1078</v>
      </c>
    </row>
    <row r="141" spans="2:11" x14ac:dyDescent="0.2">
      <c r="B141" s="67" t="s">
        <v>688</v>
      </c>
      <c r="K141" t="s">
        <v>1079</v>
      </c>
    </row>
    <row r="142" spans="2:11" x14ac:dyDescent="0.2">
      <c r="B142" s="67" t="s">
        <v>689</v>
      </c>
      <c r="K142" t="s">
        <v>1080</v>
      </c>
    </row>
    <row r="143" spans="2:11" x14ac:dyDescent="0.2">
      <c r="B143" s="67" t="s">
        <v>690</v>
      </c>
      <c r="K143" t="s">
        <v>1081</v>
      </c>
    </row>
    <row r="144" spans="2:11" x14ac:dyDescent="0.2">
      <c r="B144" s="67" t="s">
        <v>691</v>
      </c>
      <c r="K144" t="s">
        <v>1082</v>
      </c>
    </row>
    <row r="145" spans="2:11" x14ac:dyDescent="0.2">
      <c r="B145" s="67" t="s">
        <v>692</v>
      </c>
      <c r="K145" t="s">
        <v>1083</v>
      </c>
    </row>
    <row r="146" spans="2:11" x14ac:dyDescent="0.2">
      <c r="B146" s="67" t="s">
        <v>693</v>
      </c>
      <c r="K146" t="s">
        <v>1084</v>
      </c>
    </row>
    <row r="147" spans="2:11" x14ac:dyDescent="0.2">
      <c r="B147" s="67" t="s">
        <v>694</v>
      </c>
      <c r="K147" t="s">
        <v>1085</v>
      </c>
    </row>
    <row r="148" spans="2:11" x14ac:dyDescent="0.2">
      <c r="B148" s="67" t="s">
        <v>695</v>
      </c>
      <c r="K148" t="s">
        <v>1086</v>
      </c>
    </row>
    <row r="149" spans="2:11" x14ac:dyDescent="0.2">
      <c r="B149" s="67" t="s">
        <v>696</v>
      </c>
      <c r="K149" t="s">
        <v>1087</v>
      </c>
    </row>
    <row r="150" spans="2:11" x14ac:dyDescent="0.2">
      <c r="B150" s="67" t="s">
        <v>697</v>
      </c>
      <c r="K150" t="s">
        <v>1088</v>
      </c>
    </row>
    <row r="151" spans="2:11" x14ac:dyDescent="0.2">
      <c r="B151" s="67" t="s">
        <v>698</v>
      </c>
      <c r="K151" t="s">
        <v>1089</v>
      </c>
    </row>
    <row r="152" spans="2:11" x14ac:dyDescent="0.2">
      <c r="B152" s="67" t="s">
        <v>699</v>
      </c>
      <c r="K152" t="s">
        <v>1090</v>
      </c>
    </row>
    <row r="153" spans="2:11" x14ac:dyDescent="0.2">
      <c r="B153" s="67" t="s">
        <v>700</v>
      </c>
      <c r="K153" t="s">
        <v>1091</v>
      </c>
    </row>
    <row r="154" spans="2:11" x14ac:dyDescent="0.2">
      <c r="B154" s="67" t="s">
        <v>701</v>
      </c>
      <c r="K154" t="s">
        <v>1092</v>
      </c>
    </row>
    <row r="155" spans="2:11" x14ac:dyDescent="0.2">
      <c r="B155" s="67" t="s">
        <v>702</v>
      </c>
      <c r="K155" t="s">
        <v>1093</v>
      </c>
    </row>
    <row r="156" spans="2:11" x14ac:dyDescent="0.2">
      <c r="B156" s="67" t="s">
        <v>703</v>
      </c>
      <c r="K156" t="s">
        <v>1094</v>
      </c>
    </row>
    <row r="157" spans="2:11" x14ac:dyDescent="0.2">
      <c r="B157" s="67" t="s">
        <v>704</v>
      </c>
      <c r="K157" t="s">
        <v>1095</v>
      </c>
    </row>
    <row r="158" spans="2:11" x14ac:dyDescent="0.2">
      <c r="B158" s="67" t="s">
        <v>705</v>
      </c>
      <c r="K158" t="s">
        <v>1096</v>
      </c>
    </row>
    <row r="159" spans="2:11" x14ac:dyDescent="0.2">
      <c r="B159" s="67" t="s">
        <v>706</v>
      </c>
      <c r="K159" t="s">
        <v>1097</v>
      </c>
    </row>
    <row r="160" spans="2:11" x14ac:dyDescent="0.2">
      <c r="B160" s="67" t="s">
        <v>707</v>
      </c>
      <c r="K160" t="s">
        <v>1098</v>
      </c>
    </row>
    <row r="161" spans="2:11" x14ac:dyDescent="0.2">
      <c r="B161" s="67" t="s">
        <v>708</v>
      </c>
      <c r="K161" t="s">
        <v>1099</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1184</v>
      </c>
      <c r="S1" t="s">
        <v>17</v>
      </c>
      <c r="V1" t="s">
        <v>18</v>
      </c>
      <c r="Y1" t="s">
        <v>207</v>
      </c>
      <c r="AE1" t="s">
        <v>297</v>
      </c>
      <c r="AI1" t="s">
        <v>327</v>
      </c>
    </row>
    <row r="2" spans="1:35" x14ac:dyDescent="0.2">
      <c r="A2">
        <v>0</v>
      </c>
      <c r="E2" t="s">
        <v>19</v>
      </c>
      <c r="F2">
        <v>1</v>
      </c>
      <c r="H2">
        <v>65</v>
      </c>
      <c r="I2">
        <v>0.65</v>
      </c>
      <c r="K2" s="317">
        <v>43892</v>
      </c>
      <c r="L2" s="317"/>
      <c r="M2" s="317"/>
      <c r="S2" s="7">
        <f>IF(Demand!$C$6="","",Demand!$C$6)</f>
        <v>42461</v>
      </c>
      <c r="V2">
        <v>1</v>
      </c>
      <c r="Y2" t="s">
        <v>210</v>
      </c>
      <c r="Z2" t="s">
        <v>208</v>
      </c>
      <c r="AA2" t="s">
        <v>209</v>
      </c>
      <c r="AE2" t="s">
        <v>57</v>
      </c>
      <c r="AI2" t="str">
        <f ca="1">"Baseline: "&amp;TEXT(MAX('SPC background (hide)'!$I$5:$I$11),"#")&amp;" wks"</f>
        <v>Baseline: 52 wks</v>
      </c>
    </row>
    <row r="3" spans="1:35" x14ac:dyDescent="0.2">
      <c r="A3">
        <v>1</v>
      </c>
      <c r="C3" t="s">
        <v>20</v>
      </c>
      <c r="E3" t="s">
        <v>21</v>
      </c>
      <c r="F3">
        <v>2</v>
      </c>
      <c r="H3">
        <v>70</v>
      </c>
      <c r="I3">
        <v>0.7</v>
      </c>
      <c r="K3" s="317">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
      <c r="A4">
        <v>2</v>
      </c>
      <c r="C4" t="s">
        <v>22</v>
      </c>
      <c r="E4" t="s">
        <v>23</v>
      </c>
      <c r="F4">
        <v>3</v>
      </c>
      <c r="H4">
        <v>75</v>
      </c>
      <c r="I4">
        <v>0.75</v>
      </c>
      <c r="K4" s="317">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
      <c r="A5">
        <v>3</v>
      </c>
      <c r="H5">
        <v>80</v>
      </c>
      <c r="I5">
        <v>0.8</v>
      </c>
      <c r="K5" s="317">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
      <c r="A6">
        <v>4</v>
      </c>
      <c r="C6" t="s">
        <v>22</v>
      </c>
      <c r="E6" t="s">
        <v>19</v>
      </c>
      <c r="I6">
        <v>0.85</v>
      </c>
      <c r="K6" s="317">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
      <c r="A7">
        <v>5</v>
      </c>
      <c r="C7" t="s">
        <v>20</v>
      </c>
      <c r="E7" t="s">
        <v>23</v>
      </c>
      <c r="K7" s="317">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2">
      <c r="A8">
        <v>6</v>
      </c>
      <c r="K8" s="317">
        <f t="shared" si="0"/>
        <v>43934</v>
      </c>
      <c r="S8" s="7">
        <f t="shared" si="1"/>
        <v>42503</v>
      </c>
      <c r="V8">
        <v>4</v>
      </c>
      <c r="Y8" t="s">
        <v>42</v>
      </c>
      <c r="Z8" t="str">
        <f>Setup!C32</f>
        <v>Modality 6</v>
      </c>
      <c r="AA8" t="str">
        <f t="shared" si="2"/>
        <v>Modality 6</v>
      </c>
      <c r="AE8" s="67" t="str">
        <f>IF(Capacity!B22="","",ROW(A6)&amp;". "&amp;Capacity!B22)</f>
        <v>6. new</v>
      </c>
      <c r="AF8" s="67"/>
      <c r="AI8" s="67">
        <v>25</v>
      </c>
    </row>
    <row r="9" spans="1:35" x14ac:dyDescent="0.2">
      <c r="A9">
        <v>7</v>
      </c>
      <c r="E9" t="s">
        <v>19</v>
      </c>
      <c r="H9" t="s">
        <v>137</v>
      </c>
      <c r="I9">
        <f>VLOOKUP(Setup!I19,'Control sheet (hide)'!H2:I5,2,0)</f>
        <v>0.65</v>
      </c>
      <c r="K9" s="317">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7">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
      <c r="A11">
        <v>9</v>
      </c>
      <c r="C11" t="s">
        <v>1178</v>
      </c>
      <c r="K11" s="317">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
      <c r="A12">
        <v>10</v>
      </c>
      <c r="K12" s="317">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875</v>
      </c>
      <c r="K13" s="317">
        <f t="shared" si="0"/>
        <v>43969</v>
      </c>
      <c r="S13" s="7">
        <f t="shared" si="1"/>
        <v>42538</v>
      </c>
      <c r="V13">
        <v>6.5</v>
      </c>
      <c r="AA13" t="s">
        <v>211</v>
      </c>
      <c r="AE13" s="67" t="str">
        <f>IF(Capacity!B27="","",ROW(A11)&amp;". "&amp;Capacity!B27)</f>
        <v/>
      </c>
      <c r="AF13" s="67"/>
      <c r="AI13" s="67">
        <v>30</v>
      </c>
    </row>
    <row r="14" spans="1:35" x14ac:dyDescent="0.2">
      <c r="A14">
        <v>12</v>
      </c>
      <c r="E14" t="s">
        <v>25</v>
      </c>
      <c r="H14" t="s">
        <v>876</v>
      </c>
      <c r="K14" s="317">
        <f t="shared" si="0"/>
        <v>43976</v>
      </c>
      <c r="S14" s="7">
        <f t="shared" si="1"/>
        <v>42545</v>
      </c>
      <c r="V14">
        <v>7</v>
      </c>
      <c r="AE14" s="67" t="str">
        <f>IF(Capacity!B28="","",ROW(A12)&amp;". "&amp;Capacity!B28)</f>
        <v/>
      </c>
      <c r="AF14" s="67"/>
      <c r="AI14" s="67">
        <v>31</v>
      </c>
    </row>
    <row r="15" spans="1:35" x14ac:dyDescent="0.2">
      <c r="A15">
        <v>13</v>
      </c>
      <c r="K15" s="317">
        <f t="shared" si="0"/>
        <v>43983</v>
      </c>
      <c r="S15" s="7">
        <f t="shared" si="1"/>
        <v>42552</v>
      </c>
      <c r="V15">
        <v>7.5</v>
      </c>
      <c r="AE15" s="67" t="str">
        <f>IF(Capacity!B29="","",ROW(A13)&amp;". "&amp;Capacity!B29)</f>
        <v/>
      </c>
      <c r="AF15" s="67"/>
      <c r="AI15" s="67">
        <v>32</v>
      </c>
    </row>
    <row r="16" spans="1:35" x14ac:dyDescent="0.2">
      <c r="A16">
        <v>14</v>
      </c>
      <c r="E16" t="s">
        <v>88</v>
      </c>
      <c r="K16" s="317">
        <f t="shared" si="0"/>
        <v>43990</v>
      </c>
      <c r="S16" s="7">
        <f t="shared" si="1"/>
        <v>42559</v>
      </c>
      <c r="V16">
        <v>8</v>
      </c>
      <c r="AE16" s="67" t="str">
        <f>IF(Capacity!B30="","",ROW(A14)&amp;". "&amp;Capacity!B30)</f>
        <v/>
      </c>
      <c r="AF16" s="67"/>
      <c r="AI16" s="67">
        <v>33</v>
      </c>
    </row>
    <row r="17" spans="1:35" x14ac:dyDescent="0.2">
      <c r="A17">
        <v>15</v>
      </c>
      <c r="E17" t="s">
        <v>87</v>
      </c>
      <c r="K17" s="317">
        <f t="shared" si="0"/>
        <v>43997</v>
      </c>
      <c r="S17" s="7">
        <f t="shared" si="1"/>
        <v>42566</v>
      </c>
      <c r="V17">
        <v>8.5</v>
      </c>
      <c r="AE17" s="67" t="str">
        <f>IF(Capacity!B31="","",ROW(A15)&amp;". "&amp;Capacity!B31)</f>
        <v/>
      </c>
      <c r="AF17" s="67"/>
      <c r="AI17" s="67">
        <v>34</v>
      </c>
    </row>
    <row r="18" spans="1:35" x14ac:dyDescent="0.2">
      <c r="A18">
        <v>16</v>
      </c>
      <c r="K18" s="317">
        <f t="shared" si="0"/>
        <v>44004</v>
      </c>
      <c r="S18" s="7">
        <f t="shared" si="1"/>
        <v>42573</v>
      </c>
      <c r="V18">
        <v>9</v>
      </c>
      <c r="AE18" s="67" t="str">
        <f>IF(Capacity!B32="","",ROW(A16)&amp;". "&amp;Capacity!B32)</f>
        <v/>
      </c>
      <c r="AF18" s="67"/>
      <c r="AI18" s="67">
        <v>35</v>
      </c>
    </row>
    <row r="19" spans="1:35" x14ac:dyDescent="0.2">
      <c r="A19">
        <v>17</v>
      </c>
      <c r="E19" t="s">
        <v>402</v>
      </c>
      <c r="K19" s="317">
        <f t="shared" si="0"/>
        <v>44011</v>
      </c>
      <c r="S19" s="7">
        <f t="shared" si="1"/>
        <v>42580</v>
      </c>
      <c r="V19">
        <v>9.5</v>
      </c>
      <c r="AE19" s="67" t="str">
        <f>IF(Capacity!B33="","",ROW(A17)&amp;". "&amp;Capacity!B33)</f>
        <v/>
      </c>
      <c r="AF19" s="67"/>
      <c r="AI19" s="67">
        <v>36</v>
      </c>
    </row>
    <row r="20" spans="1:35" x14ac:dyDescent="0.2">
      <c r="A20">
        <v>18</v>
      </c>
      <c r="E20" t="s">
        <v>401</v>
      </c>
      <c r="K20" s="317">
        <f t="shared" si="0"/>
        <v>44018</v>
      </c>
      <c r="S20" s="7">
        <f t="shared" si="1"/>
        <v>42587</v>
      </c>
      <c r="V20">
        <v>10</v>
      </c>
      <c r="AE20" s="67" t="str">
        <f>IF(Capacity!B34="","",ROW(A18)&amp;". "&amp;Capacity!B34)</f>
        <v/>
      </c>
      <c r="AF20" s="67"/>
      <c r="AI20" s="67">
        <v>37</v>
      </c>
    </row>
    <row r="21" spans="1:35" x14ac:dyDescent="0.2">
      <c r="A21">
        <v>19</v>
      </c>
      <c r="K21" s="317">
        <f t="shared" si="0"/>
        <v>44025</v>
      </c>
      <c r="S21" s="7">
        <f t="shared" si="1"/>
        <v>42594</v>
      </c>
      <c r="V21">
        <v>10.5</v>
      </c>
      <c r="AE21" s="67" t="str">
        <f>IF(Capacity!B35="","",ROW(A19)&amp;". "&amp;Capacity!B35)</f>
        <v/>
      </c>
      <c r="AF21" s="67"/>
      <c r="AI21" s="67">
        <v>38</v>
      </c>
    </row>
    <row r="22" spans="1:35" x14ac:dyDescent="0.2">
      <c r="A22">
        <v>20</v>
      </c>
      <c r="E22" t="s">
        <v>24</v>
      </c>
      <c r="K22" s="317">
        <f t="shared" si="0"/>
        <v>44032</v>
      </c>
      <c r="S22" s="7">
        <f t="shared" si="1"/>
        <v>42601</v>
      </c>
      <c r="V22">
        <v>11</v>
      </c>
      <c r="AE22" s="67" t="str">
        <f>IF(Capacity!B36="","",ROW(A20)&amp;". "&amp;Capacity!B36)</f>
        <v/>
      </c>
      <c r="AF22" s="67"/>
      <c r="AI22" s="67">
        <v>39</v>
      </c>
    </row>
    <row r="23" spans="1:35" x14ac:dyDescent="0.2">
      <c r="A23">
        <v>21</v>
      </c>
      <c r="E23" t="s">
        <v>421</v>
      </c>
      <c r="K23" s="317">
        <f t="shared" si="0"/>
        <v>44039</v>
      </c>
      <c r="S23" s="7">
        <f t="shared" si="1"/>
        <v>42608</v>
      </c>
      <c r="V23">
        <v>11.5</v>
      </c>
      <c r="AE23" s="67" t="str">
        <f>IF(Capacity!B37="","",ROW(A21)&amp;". "&amp;Capacity!B37)</f>
        <v/>
      </c>
      <c r="AF23" s="67"/>
      <c r="AI23" s="67">
        <v>40</v>
      </c>
    </row>
    <row r="24" spans="1:35" x14ac:dyDescent="0.2">
      <c r="A24">
        <v>22</v>
      </c>
      <c r="H24" t="s">
        <v>249</v>
      </c>
      <c r="K24" s="317">
        <f t="shared" si="0"/>
        <v>44046</v>
      </c>
      <c r="S24" s="7">
        <f t="shared" si="1"/>
        <v>42615</v>
      </c>
      <c r="V24">
        <v>12</v>
      </c>
      <c r="AE24" s="67" t="str">
        <f>IF(Capacity!B38="","",ROW(A22)&amp;". "&amp;Capacity!B38)</f>
        <v/>
      </c>
      <c r="AF24" s="67"/>
      <c r="AI24" s="67">
        <v>41</v>
      </c>
    </row>
    <row r="25" spans="1:35" x14ac:dyDescent="0.2">
      <c r="A25">
        <v>23</v>
      </c>
      <c r="E25" t="s">
        <v>480</v>
      </c>
      <c r="H25" t="s">
        <v>1229</v>
      </c>
      <c r="K25" s="317">
        <f t="shared" si="0"/>
        <v>44053</v>
      </c>
      <c r="S25" s="7">
        <f t="shared" si="1"/>
        <v>42622</v>
      </c>
      <c r="AE25" s="67" t="str">
        <f>IF(Capacity!B39="","",ROW(A23)&amp;". "&amp;Capacity!B39)</f>
        <v/>
      </c>
      <c r="AF25" s="67"/>
      <c r="AI25" s="67">
        <v>42</v>
      </c>
    </row>
    <row r="26" spans="1:35" x14ac:dyDescent="0.2">
      <c r="A26">
        <v>24</v>
      </c>
      <c r="E26" t="s">
        <v>481</v>
      </c>
      <c r="K26" s="317">
        <f t="shared" si="0"/>
        <v>44060</v>
      </c>
      <c r="S26" s="7">
        <f t="shared" si="1"/>
        <v>42629</v>
      </c>
      <c r="AE26" s="67" t="str">
        <f>IF(Capacity!B40="","",ROW(A24)&amp;". "&amp;Capacity!B40)</f>
        <v/>
      </c>
      <c r="AF26" s="67"/>
      <c r="AI26" s="67">
        <v>43</v>
      </c>
    </row>
    <row r="27" spans="1:35" x14ac:dyDescent="0.2">
      <c r="A27">
        <v>25</v>
      </c>
      <c r="K27" s="317">
        <f t="shared" si="0"/>
        <v>44067</v>
      </c>
      <c r="S27" s="7">
        <f t="shared" si="1"/>
        <v>42636</v>
      </c>
      <c r="AE27" s="67" t="str">
        <f>IF(Capacity!B41="","",ROW(A25)&amp;". "&amp;Capacity!B41)</f>
        <v/>
      </c>
      <c r="AF27" s="67"/>
      <c r="AI27" s="67">
        <v>44</v>
      </c>
    </row>
    <row r="28" spans="1:35" x14ac:dyDescent="0.2">
      <c r="A28">
        <v>26</v>
      </c>
      <c r="K28" s="317">
        <f t="shared" si="0"/>
        <v>44074</v>
      </c>
      <c r="S28" s="7">
        <f t="shared" si="1"/>
        <v>42643</v>
      </c>
      <c r="AE28" s="67" t="str">
        <f>IF(Capacity!B42="","",ROW(A26)&amp;". "&amp;Capacity!B42)</f>
        <v/>
      </c>
      <c r="AF28" s="67"/>
      <c r="AI28" s="67">
        <v>45</v>
      </c>
    </row>
    <row r="29" spans="1:35" x14ac:dyDescent="0.2">
      <c r="A29">
        <v>27</v>
      </c>
      <c r="C29" t="s">
        <v>194</v>
      </c>
      <c r="E29" t="s">
        <v>482</v>
      </c>
      <c r="K29" s="317">
        <f t="shared" si="0"/>
        <v>44081</v>
      </c>
      <c r="S29" s="7">
        <f t="shared" si="1"/>
        <v>42650</v>
      </c>
      <c r="AE29" s="67" t="str">
        <f>IF(Capacity!B43="","",ROW(A27)&amp;". "&amp;Capacity!B43)</f>
        <v/>
      </c>
      <c r="AF29" s="67"/>
      <c r="AI29" s="67">
        <v>46</v>
      </c>
    </row>
    <row r="30" spans="1:35" x14ac:dyDescent="0.2">
      <c r="A30">
        <v>28</v>
      </c>
      <c r="C30" t="s">
        <v>192</v>
      </c>
      <c r="K30" s="317">
        <f t="shared" si="0"/>
        <v>44088</v>
      </c>
      <c r="S30" s="7">
        <f t="shared" si="1"/>
        <v>42657</v>
      </c>
      <c r="AE30" s="67" t="str">
        <f>IF(Capacity!B44="","",ROW(A28)&amp;". "&amp;Capacity!B44)</f>
        <v/>
      </c>
      <c r="AF30" s="67"/>
      <c r="AI30" s="67">
        <v>47</v>
      </c>
    </row>
    <row r="31" spans="1:35" x14ac:dyDescent="0.2">
      <c r="A31">
        <v>29</v>
      </c>
      <c r="C31" t="s">
        <v>193</v>
      </c>
      <c r="K31" s="317">
        <f t="shared" si="0"/>
        <v>44095</v>
      </c>
      <c r="S31" s="7">
        <f t="shared" si="1"/>
        <v>42664</v>
      </c>
      <c r="AE31" s="67" t="str">
        <f>IF(Capacity!B45="","",ROW(A29)&amp;". "&amp;Capacity!B45)</f>
        <v/>
      </c>
      <c r="AF31" s="67"/>
      <c r="AI31" s="67">
        <v>48</v>
      </c>
    </row>
    <row r="32" spans="1:35" x14ac:dyDescent="0.2">
      <c r="A32">
        <v>30</v>
      </c>
      <c r="K32" s="317">
        <f t="shared" si="0"/>
        <v>44102</v>
      </c>
      <c r="S32" s="7">
        <f t="shared" si="1"/>
        <v>42671</v>
      </c>
      <c r="AE32" s="67" t="str">
        <f>IF(Capacity!B46="","",ROW(A30)&amp;". "&amp;Capacity!B46)</f>
        <v/>
      </c>
      <c r="AF32" s="67"/>
      <c r="AI32" s="67">
        <v>49</v>
      </c>
    </row>
    <row r="33" spans="1:35" x14ac:dyDescent="0.2">
      <c r="A33">
        <v>31</v>
      </c>
      <c r="K33" s="317">
        <f t="shared" si="0"/>
        <v>44109</v>
      </c>
      <c r="S33" s="7">
        <f t="shared" si="1"/>
        <v>42678</v>
      </c>
      <c r="AE33" s="67" t="str">
        <f>IF(Capacity!B47="","",ROW(A31)&amp;". "&amp;Capacity!B47)</f>
        <v/>
      </c>
      <c r="AF33" s="67"/>
      <c r="AI33" s="67">
        <v>50</v>
      </c>
    </row>
    <row r="34" spans="1:35" x14ac:dyDescent="0.2">
      <c r="A34">
        <v>32</v>
      </c>
      <c r="C34" t="s">
        <v>24</v>
      </c>
      <c r="K34" s="317">
        <f t="shared" si="0"/>
        <v>44116</v>
      </c>
      <c r="S34" s="7">
        <f t="shared" si="1"/>
        <v>42685</v>
      </c>
      <c r="AE34" s="67" t="str">
        <f>IF(Capacity!B48="","",ROW(A32)&amp;". "&amp;Capacity!B48)</f>
        <v/>
      </c>
      <c r="AF34" s="67"/>
      <c r="AI34" s="67">
        <v>51</v>
      </c>
    </row>
    <row r="35" spans="1:35" x14ac:dyDescent="0.2">
      <c r="A35">
        <v>33</v>
      </c>
      <c r="C35" t="s">
        <v>102</v>
      </c>
      <c r="K35" s="317">
        <f t="shared" si="0"/>
        <v>44123</v>
      </c>
      <c r="S35" s="7">
        <f t="shared" si="1"/>
        <v>42692</v>
      </c>
      <c r="AE35" s="67" t="str">
        <f>IF(Capacity!B49="","",ROW(A33)&amp;". "&amp;Capacity!B49)</f>
        <v/>
      </c>
      <c r="AF35" s="67"/>
      <c r="AI35" s="67">
        <v>52</v>
      </c>
    </row>
    <row r="36" spans="1:35" x14ac:dyDescent="0.2">
      <c r="A36">
        <v>34</v>
      </c>
      <c r="K36" s="317">
        <f t="shared" si="0"/>
        <v>44130</v>
      </c>
      <c r="S36" s="7">
        <f t="shared" si="1"/>
        <v>42699</v>
      </c>
      <c r="AE36" s="67" t="str">
        <f>IF(Capacity!B50="","",ROW(A34)&amp;". "&amp;Capacity!B50)</f>
        <v/>
      </c>
      <c r="AF36" s="67"/>
    </row>
    <row r="37" spans="1:35" x14ac:dyDescent="0.2">
      <c r="A37">
        <v>35</v>
      </c>
      <c r="K37" s="317">
        <f t="shared" si="0"/>
        <v>44137</v>
      </c>
      <c r="S37" s="7">
        <f t="shared" si="1"/>
        <v>42706</v>
      </c>
      <c r="AE37" s="67" t="str">
        <f>IF(Capacity!B51="","",ROW(A35)&amp;". "&amp;Capacity!B51)</f>
        <v/>
      </c>
      <c r="AF37" s="67"/>
    </row>
    <row r="38" spans="1:35" x14ac:dyDescent="0.2">
      <c r="A38">
        <v>36</v>
      </c>
      <c r="K38" s="317">
        <f t="shared" si="0"/>
        <v>44144</v>
      </c>
      <c r="S38" s="7">
        <f t="shared" si="1"/>
        <v>42713</v>
      </c>
      <c r="AE38" s="67" t="str">
        <f>IF(Capacity!B52="","",ROW(A36)&amp;". "&amp;Capacity!B52)</f>
        <v/>
      </c>
      <c r="AF38" s="67"/>
    </row>
    <row r="39" spans="1:35" x14ac:dyDescent="0.2">
      <c r="A39">
        <v>37</v>
      </c>
      <c r="K39" s="317">
        <f t="shared" si="0"/>
        <v>44151</v>
      </c>
      <c r="S39" s="7">
        <f t="shared" si="1"/>
        <v>42720</v>
      </c>
      <c r="AE39" s="67" t="str">
        <f>IF(Capacity!B53="","",ROW(A37)&amp;". "&amp;Capacity!B53)</f>
        <v/>
      </c>
      <c r="AF39" s="67"/>
    </row>
    <row r="40" spans="1:35" x14ac:dyDescent="0.2">
      <c r="A40">
        <v>38</v>
      </c>
      <c r="K40" s="317">
        <f t="shared" si="0"/>
        <v>44158</v>
      </c>
      <c r="S40" s="7">
        <f t="shared" si="1"/>
        <v>42727</v>
      </c>
      <c r="AE40" s="67" t="str">
        <f>IF(Capacity!B54="","",ROW(A38)&amp;". "&amp;Capacity!B54)</f>
        <v/>
      </c>
      <c r="AF40" s="67"/>
    </row>
    <row r="41" spans="1:35" x14ac:dyDescent="0.2">
      <c r="A41">
        <v>39</v>
      </c>
      <c r="K41" s="317">
        <f t="shared" si="0"/>
        <v>44165</v>
      </c>
      <c r="S41" s="7">
        <f t="shared" si="1"/>
        <v>42734</v>
      </c>
      <c r="AE41" s="67" t="str">
        <f>IF(Capacity!B55="","",ROW(A39)&amp;". "&amp;Capacity!B55)</f>
        <v/>
      </c>
      <c r="AF41" s="67"/>
    </row>
    <row r="42" spans="1:35" x14ac:dyDescent="0.2">
      <c r="A42">
        <v>40</v>
      </c>
      <c r="K42" s="317">
        <f t="shared" si="0"/>
        <v>44172</v>
      </c>
      <c r="S42" s="7">
        <f t="shared" si="1"/>
        <v>42741</v>
      </c>
      <c r="AE42" s="67" t="str">
        <f>IF(Capacity!B56="","",ROW(A40)&amp;". "&amp;Capacity!B56)</f>
        <v/>
      </c>
      <c r="AF42" s="67"/>
    </row>
    <row r="43" spans="1:35" x14ac:dyDescent="0.2">
      <c r="A43">
        <v>41</v>
      </c>
      <c r="K43" s="317">
        <f t="shared" si="0"/>
        <v>44179</v>
      </c>
      <c r="S43" s="7">
        <f t="shared" si="1"/>
        <v>42748</v>
      </c>
      <c r="AE43" s="67" t="str">
        <f>IF(Capacity!B57="","",ROW(A41)&amp;". "&amp;Capacity!B57)</f>
        <v/>
      </c>
      <c r="AF43" s="67"/>
    </row>
    <row r="44" spans="1:35" x14ac:dyDescent="0.2">
      <c r="A44">
        <v>42</v>
      </c>
      <c r="K44" s="317">
        <f t="shared" si="0"/>
        <v>44186</v>
      </c>
      <c r="S44" s="7">
        <f t="shared" si="1"/>
        <v>42755</v>
      </c>
      <c r="AE44" s="67" t="str">
        <f>IF(Capacity!B58="","",ROW(A42)&amp;". "&amp;Capacity!B58)</f>
        <v/>
      </c>
      <c r="AF44" s="67"/>
    </row>
    <row r="45" spans="1:35" x14ac:dyDescent="0.2">
      <c r="A45">
        <v>43</v>
      </c>
      <c r="K45" s="317">
        <f t="shared" si="0"/>
        <v>44193</v>
      </c>
      <c r="S45" s="7">
        <f t="shared" si="1"/>
        <v>42762</v>
      </c>
      <c r="AE45" s="67" t="str">
        <f>IF(Capacity!B59="","",ROW(A43)&amp;". "&amp;Capacity!B59)</f>
        <v/>
      </c>
      <c r="AF45" s="67"/>
    </row>
    <row r="46" spans="1:35" x14ac:dyDescent="0.2">
      <c r="A46">
        <v>44</v>
      </c>
      <c r="K46" s="317">
        <f t="shared" si="0"/>
        <v>44200</v>
      </c>
      <c r="S46" s="7">
        <f t="shared" si="1"/>
        <v>42769</v>
      </c>
      <c r="AE46" s="67" t="str">
        <f>IF(Capacity!B60="","",ROW(A44)&amp;". "&amp;Capacity!B60)</f>
        <v/>
      </c>
      <c r="AF46" s="67"/>
    </row>
    <row r="47" spans="1:35" x14ac:dyDescent="0.2">
      <c r="A47">
        <v>45</v>
      </c>
      <c r="K47" s="317">
        <f t="shared" si="0"/>
        <v>44207</v>
      </c>
      <c r="S47" s="7">
        <f t="shared" si="1"/>
        <v>42776</v>
      </c>
      <c r="AE47" s="67" t="str">
        <f>IF(Capacity!B61="","",ROW(A45)&amp;". "&amp;Capacity!B61)</f>
        <v/>
      </c>
      <c r="AF47" s="67"/>
    </row>
    <row r="48" spans="1:35" x14ac:dyDescent="0.2">
      <c r="A48">
        <v>46</v>
      </c>
      <c r="K48" s="317">
        <f t="shared" si="0"/>
        <v>44214</v>
      </c>
      <c r="S48" s="7">
        <f t="shared" si="1"/>
        <v>42783</v>
      </c>
      <c r="AE48" s="67" t="str">
        <f>IF(Capacity!B62="","",ROW(A46)&amp;". "&amp;Capacity!B62)</f>
        <v/>
      </c>
      <c r="AF48" s="67"/>
    </row>
    <row r="49" spans="1:32" x14ac:dyDescent="0.2">
      <c r="A49">
        <v>47</v>
      </c>
      <c r="K49" s="317">
        <f t="shared" si="0"/>
        <v>44221</v>
      </c>
      <c r="S49" s="7">
        <f t="shared" si="1"/>
        <v>42790</v>
      </c>
      <c r="AE49" s="67" t="str">
        <f>IF(Capacity!B63="","",ROW(A47)&amp;". "&amp;Capacity!B63)</f>
        <v/>
      </c>
      <c r="AF49" s="67"/>
    </row>
    <row r="50" spans="1:32" x14ac:dyDescent="0.2">
      <c r="A50">
        <v>48</v>
      </c>
      <c r="K50" s="317">
        <f t="shared" si="0"/>
        <v>44228</v>
      </c>
      <c r="S50" s="7">
        <f t="shared" si="1"/>
        <v>42797</v>
      </c>
      <c r="AE50" s="67" t="str">
        <f>IF(Capacity!B64="","",ROW(A48)&amp;". "&amp;Capacity!B64)</f>
        <v/>
      </c>
      <c r="AF50" s="67"/>
    </row>
    <row r="51" spans="1:32" x14ac:dyDescent="0.2">
      <c r="A51">
        <v>49</v>
      </c>
      <c r="K51" s="317">
        <f t="shared" si="0"/>
        <v>44235</v>
      </c>
      <c r="S51" s="7">
        <f t="shared" si="1"/>
        <v>42804</v>
      </c>
      <c r="AE51" s="67" t="str">
        <f>IF(Capacity!B65="","",ROW(A49)&amp;". "&amp;Capacity!B65)</f>
        <v/>
      </c>
      <c r="AF51" s="67"/>
    </row>
    <row r="52" spans="1:32" x14ac:dyDescent="0.2">
      <c r="A52">
        <v>50</v>
      </c>
      <c r="K52" s="317">
        <f t="shared" si="0"/>
        <v>44242</v>
      </c>
      <c r="S52" s="7">
        <f t="shared" si="1"/>
        <v>42811</v>
      </c>
      <c r="AE52" s="67" t="str">
        <f>IF(Capacity!B66="","",ROW(A50)&amp;". "&amp;Capacity!B66)</f>
        <v/>
      </c>
      <c r="AF52" s="67"/>
    </row>
    <row r="53" spans="1:32" x14ac:dyDescent="0.2">
      <c r="A53">
        <v>51</v>
      </c>
      <c r="K53" s="317">
        <f t="shared" si="0"/>
        <v>44249</v>
      </c>
      <c r="S53" s="7">
        <f t="shared" si="1"/>
        <v>42818</v>
      </c>
      <c r="AE53" s="67" t="str">
        <f>IF(Capacity!B67="","",ROW(A51)&amp;". "&amp;Capacity!B67)</f>
        <v/>
      </c>
      <c r="AF53" s="67"/>
    </row>
    <row r="54" spans="1:32" x14ac:dyDescent="0.2">
      <c r="A54">
        <v>52</v>
      </c>
      <c r="K54" s="317">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4.25" x14ac:dyDescent="0.2"/>
  <cols>
    <col min="2" max="2" width="129.125" customWidth="1"/>
  </cols>
  <sheetData>
    <row r="2" spans="2:17" ht="15" x14ac:dyDescent="0.25">
      <c r="B2" s="284" t="str">
        <f>"Demand and capacity analysis notes for "&amp;Setup!C5&amp;", "&amp;Setup!C7</f>
        <v>Demand and capacity analysis notes for A. N. Other Trust, Test Service</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election activeCell="A4" sqref="A4"/>
    </sheetView>
  </sheetViews>
  <sheetFormatPr defaultRowHeight="14.25" x14ac:dyDescent="0.2"/>
  <cols>
    <col min="57" max="57" width="0" hidden="1" customWidth="1"/>
  </cols>
  <sheetData>
    <row r="2" spans="1:9" ht="15" x14ac:dyDescent="0.25">
      <c r="A2" s="2" t="s">
        <v>879</v>
      </c>
    </row>
    <row r="3" spans="1:9" x14ac:dyDescent="0.2">
      <c r="A3" s="273" t="s">
        <v>1305</v>
      </c>
    </row>
    <row r="4" spans="1:9" x14ac:dyDescent="0.2">
      <c r="A4" s="8"/>
      <c r="B4" s="8"/>
      <c r="C4" s="8"/>
      <c r="D4" s="8"/>
      <c r="E4" s="8"/>
      <c r="F4" s="8"/>
      <c r="G4" s="8"/>
      <c r="H4" s="8"/>
      <c r="I4" s="8"/>
    </row>
    <row r="5" spans="1:9" ht="15" x14ac:dyDescent="0.25">
      <c r="A5" s="2" t="s">
        <v>27</v>
      </c>
      <c r="C5" s="407" t="s">
        <v>872</v>
      </c>
      <c r="D5" s="408"/>
      <c r="E5" s="408"/>
      <c r="F5" s="408"/>
      <c r="G5" s="409"/>
    </row>
    <row r="7" spans="1:9" ht="15" x14ac:dyDescent="0.25">
      <c r="A7" s="2" t="s">
        <v>28</v>
      </c>
      <c r="C7" s="407" t="s">
        <v>898</v>
      </c>
      <c r="D7" s="408"/>
      <c r="E7" s="408"/>
      <c r="F7" s="408"/>
      <c r="G7" s="409"/>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399" t="s">
        <v>925</v>
      </c>
      <c r="B11" s="399"/>
      <c r="C11" s="399"/>
      <c r="D11" s="399"/>
      <c r="E11" s="399"/>
      <c r="F11" s="399"/>
      <c r="G11" s="399"/>
      <c r="H11" s="400"/>
      <c r="I11" s="209">
        <v>2</v>
      </c>
    </row>
    <row r="12" spans="1:9" x14ac:dyDescent="0.2">
      <c r="I12" s="4"/>
    </row>
    <row r="13" spans="1:9" ht="15" x14ac:dyDescent="0.25">
      <c r="A13" s="399" t="s">
        <v>424</v>
      </c>
      <c r="B13" s="399"/>
      <c r="C13" s="399"/>
      <c r="D13" s="399"/>
      <c r="E13" s="399"/>
      <c r="F13" s="399"/>
      <c r="G13" s="399"/>
      <c r="H13" s="400"/>
      <c r="I13" s="209" t="s">
        <v>22</v>
      </c>
    </row>
    <row r="14" spans="1:9" x14ac:dyDescent="0.2">
      <c r="I14" s="4"/>
    </row>
    <row r="15" spans="1:9" ht="15" x14ac:dyDescent="0.25">
      <c r="A15" s="399" t="s">
        <v>425</v>
      </c>
      <c r="B15" s="399"/>
      <c r="C15" s="399"/>
      <c r="D15" s="399"/>
      <c r="E15" s="399"/>
      <c r="F15" s="399"/>
      <c r="G15" s="399"/>
      <c r="H15" s="400"/>
      <c r="I15" s="209" t="s">
        <v>22</v>
      </c>
    </row>
    <row r="16" spans="1:9" x14ac:dyDescent="0.2">
      <c r="I16" s="4"/>
    </row>
    <row r="17" spans="1:9" x14ac:dyDescent="0.2">
      <c r="A17" s="399" t="s">
        <v>29</v>
      </c>
      <c r="B17" s="399"/>
      <c r="C17" s="399"/>
      <c r="D17" s="399"/>
      <c r="E17" s="399"/>
      <c r="F17" s="399"/>
      <c r="G17" s="399"/>
      <c r="H17" s="400"/>
      <c r="I17" s="209" t="s">
        <v>21</v>
      </c>
    </row>
    <row r="18" spans="1:9" x14ac:dyDescent="0.2">
      <c r="I18" s="4"/>
    </row>
    <row r="19" spans="1:9" x14ac:dyDescent="0.2">
      <c r="A19" s="399" t="s">
        <v>30</v>
      </c>
      <c r="B19" s="399"/>
      <c r="C19" s="399"/>
      <c r="D19" s="399"/>
      <c r="E19" s="399"/>
      <c r="F19" s="399"/>
      <c r="G19" s="399"/>
      <c r="H19" s="400"/>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01" t="s">
        <v>926</v>
      </c>
      <c r="H26" s="402"/>
      <c r="I26" s="403"/>
    </row>
    <row r="27" spans="1:9" ht="19.5" customHeight="1" x14ac:dyDescent="0.2">
      <c r="A27" s="394" t="s">
        <v>31</v>
      </c>
      <c r="B27" s="395"/>
      <c r="C27" s="396" t="s">
        <v>1277</v>
      </c>
      <c r="D27" s="397"/>
      <c r="E27" s="397"/>
      <c r="F27" s="398"/>
      <c r="G27" s="404">
        <v>30</v>
      </c>
      <c r="H27" s="405"/>
      <c r="I27" s="406"/>
    </row>
    <row r="28" spans="1:9" ht="19.5" customHeight="1" x14ac:dyDescent="0.2">
      <c r="A28" s="394" t="s">
        <v>33</v>
      </c>
      <c r="B28" s="395"/>
      <c r="C28" s="396" t="s">
        <v>1278</v>
      </c>
      <c r="D28" s="397"/>
      <c r="E28" s="397"/>
      <c r="F28" s="398"/>
      <c r="G28" s="404">
        <v>30</v>
      </c>
      <c r="H28" s="405"/>
      <c r="I28" s="406"/>
    </row>
    <row r="29" spans="1:9" ht="19.5" hidden="1" customHeight="1" x14ac:dyDescent="0.2">
      <c r="A29" s="394" t="s">
        <v>35</v>
      </c>
      <c r="B29" s="395"/>
      <c r="C29" s="396" t="s">
        <v>1279</v>
      </c>
      <c r="D29" s="397"/>
      <c r="E29" s="397"/>
      <c r="F29" s="398"/>
      <c r="G29" s="404">
        <v>20</v>
      </c>
      <c r="H29" s="405"/>
      <c r="I29" s="406"/>
    </row>
    <row r="30" spans="1:9" ht="19.5" hidden="1" customHeight="1" x14ac:dyDescent="0.2">
      <c r="A30" s="394" t="s">
        <v>37</v>
      </c>
      <c r="B30" s="395"/>
      <c r="C30" s="396" t="s">
        <v>38</v>
      </c>
      <c r="D30" s="397"/>
      <c r="E30" s="397"/>
      <c r="F30" s="398"/>
      <c r="G30" s="404">
        <v>2</v>
      </c>
      <c r="H30" s="405"/>
      <c r="I30" s="406"/>
    </row>
    <row r="31" spans="1:9" ht="19.5" hidden="1" customHeight="1" x14ac:dyDescent="0.2">
      <c r="A31" s="394" t="s">
        <v>39</v>
      </c>
      <c r="B31" s="395"/>
      <c r="C31" s="396" t="s">
        <v>40</v>
      </c>
      <c r="D31" s="397"/>
      <c r="E31" s="397"/>
      <c r="F31" s="398"/>
      <c r="G31" s="404">
        <v>4</v>
      </c>
      <c r="H31" s="405"/>
      <c r="I31" s="406"/>
    </row>
    <row r="32" spans="1:9" ht="19.5" hidden="1" customHeight="1" x14ac:dyDescent="0.2">
      <c r="A32" s="394" t="s">
        <v>41</v>
      </c>
      <c r="B32" s="395"/>
      <c r="C32" s="396" t="s">
        <v>42</v>
      </c>
      <c r="D32" s="397"/>
      <c r="E32" s="397"/>
      <c r="F32" s="398"/>
      <c r="G32" s="404">
        <v>8</v>
      </c>
      <c r="H32" s="405"/>
      <c r="I32" s="406"/>
    </row>
    <row r="33" spans="1:9" ht="19.5" hidden="1" customHeight="1" x14ac:dyDescent="0.2">
      <c r="A33" s="394" t="s">
        <v>43</v>
      </c>
      <c r="B33" s="395"/>
      <c r="C33" s="396" t="s">
        <v>44</v>
      </c>
      <c r="D33" s="397"/>
      <c r="E33" s="397"/>
      <c r="F33" s="398"/>
      <c r="G33" s="404">
        <v>16</v>
      </c>
      <c r="H33" s="405"/>
      <c r="I33" s="406"/>
    </row>
    <row r="34" spans="1:9" ht="19.5" hidden="1" customHeight="1" x14ac:dyDescent="0.2">
      <c r="A34" s="394" t="s">
        <v>45</v>
      </c>
      <c r="B34" s="395"/>
      <c r="C34" s="396" t="s">
        <v>46</v>
      </c>
      <c r="D34" s="397"/>
      <c r="E34" s="397"/>
      <c r="F34" s="398"/>
      <c r="G34" s="404">
        <v>32</v>
      </c>
      <c r="H34" s="405"/>
      <c r="I34" s="406"/>
    </row>
    <row r="35" spans="1:9" ht="19.5" hidden="1" customHeight="1" x14ac:dyDescent="0.2">
      <c r="A35" s="394" t="s">
        <v>47</v>
      </c>
      <c r="B35" s="395"/>
      <c r="C35" s="396" t="s">
        <v>48</v>
      </c>
      <c r="D35" s="397"/>
      <c r="E35" s="397"/>
      <c r="F35" s="398"/>
      <c r="G35" s="404">
        <v>64</v>
      </c>
      <c r="H35" s="405"/>
      <c r="I35" s="406"/>
    </row>
    <row r="36" spans="1:9" ht="19.5" hidden="1" customHeight="1" x14ac:dyDescent="0.2">
      <c r="A36" s="394" t="s">
        <v>49</v>
      </c>
      <c r="B36" s="395"/>
      <c r="C36" s="396" t="s">
        <v>50</v>
      </c>
      <c r="D36" s="397"/>
      <c r="E36" s="397"/>
      <c r="F36" s="398"/>
      <c r="G36" s="404">
        <v>128</v>
      </c>
      <c r="H36" s="405"/>
      <c r="I36" s="406"/>
    </row>
  </sheetData>
  <sheetProtection algorithmName="SHA-512" hashValue="/wluq2JKjcdOqKpmJ9b6Ks4o6PYu+xKhyA1WuLiKj51+wgcqIR3H0jWkxwHlcInCDnskQV4I9DVETELH8JkFeg==" saltValue="cHQFAH+NVMovd09PXrlO2Q=="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6" sqref="C6"/>
    </sheetView>
  </sheetViews>
  <sheetFormatPr defaultRowHeight="14.25" x14ac:dyDescent="0.2"/>
  <cols>
    <col min="1" max="1" width="9" hidden="1" customWidth="1"/>
    <col min="2" max="2" width="15.5" customWidth="1"/>
    <col min="3" max="3" width="14.125" bestFit="1" customWidth="1"/>
    <col min="4" max="4" width="15.75" customWidth="1"/>
    <col min="5" max="7" width="10.625" customWidth="1"/>
    <col min="8" max="8" width="10.625" hidden="1" customWidth="1"/>
    <col min="9" max="12" width="10.625" customWidth="1"/>
    <col min="13" max="13" width="10.625" hidden="1" customWidth="1"/>
    <col min="14" max="14" width="10.625" customWidth="1"/>
    <col min="15" max="53" width="10.625" hidden="1" customWidth="1"/>
    <col min="54" max="54" width="9" hidden="1"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 ca="1">IF(LEFT($C$8,1)="H",MAX(A13:A272),MAX(MAX(A13:A272),52))</f>
        <v>151</v>
      </c>
      <c r="B6" t="s">
        <v>1204</v>
      </c>
      <c r="C6" s="331">
        <v>42461</v>
      </c>
      <c r="K6" s="72"/>
    </row>
    <row r="7" spans="1:57" ht="14.25" hidden="1" customHeight="1" x14ac:dyDescent="0.2">
      <c r="B7" t="s">
        <v>1176</v>
      </c>
      <c r="C7" s="162">
        <v>4</v>
      </c>
    </row>
    <row r="8" spans="1:57" x14ac:dyDescent="0.2">
      <c r="B8" t="s">
        <v>1177</v>
      </c>
      <c r="C8" s="333" t="s">
        <v>1299</v>
      </c>
    </row>
    <row r="9" spans="1:57" x14ac:dyDescent="0.2">
      <c r="B9" s="339" t="str">
        <f>IF(LEFT(C8,1)="M","Note: SPC Chart is disabled when using your own forecast.","")</f>
        <v/>
      </c>
    </row>
    <row r="10" spans="1:57" ht="13.9" customHeight="1" x14ac:dyDescent="0.2">
      <c r="B10" s="413" t="s">
        <v>128</v>
      </c>
      <c r="C10" s="413" t="s">
        <v>56</v>
      </c>
      <c r="D10" s="410" t="s">
        <v>1205</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0" t="str">
        <f>"Total"&amp;IF(Setup!$I$17&lt;&gt;"Patients","
(Patients)","")</f>
        <v>Total
(Patients)</v>
      </c>
      <c r="BD10" s="410" t="str">
        <f>"Total
("&amp;Setup!$I$17&amp;")"</f>
        <v>Total
(Minutes)</v>
      </c>
      <c r="BE10" s="410" t="s">
        <v>111</v>
      </c>
    </row>
    <row r="11" spans="1:57" ht="14.25" customHeight="1" x14ac:dyDescent="0.2">
      <c r="B11" s="413"/>
      <c r="C11" s="413"/>
      <c r="D11" s="410"/>
      <c r="E11" s="6" t="str">
        <f>IF(Setup!$I$17&lt;&gt;"Patients",Setup!$I$17&amp;":","")</f>
        <v>Minutes:</v>
      </c>
      <c r="F11" s="340">
        <v>30</v>
      </c>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0"/>
      <c r="BD11" s="410"/>
      <c r="BE11" s="410"/>
    </row>
    <row r="12" spans="1:57" ht="15" thickBot="1" x14ac:dyDescent="0.25">
      <c r="B12" s="413"/>
      <c r="C12" s="414"/>
      <c r="D12" s="412"/>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1"/>
      <c r="BD12" s="411"/>
      <c r="BE12" s="411"/>
    </row>
    <row r="13" spans="1:57" ht="15" x14ac:dyDescent="0.25">
      <c r="A13">
        <v>1</v>
      </c>
      <c r="B13" s="259">
        <f>IF(C6&lt;&gt;"",YEAR(D13),1)</f>
        <v>2016</v>
      </c>
      <c r="C13" s="260">
        <f>IF(C$6&lt;&gt;"",WEEKNUM($C$6, 21),1)</f>
        <v>13</v>
      </c>
      <c r="D13" s="488">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ht="15"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489">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ht="15" x14ac:dyDescent="0.25">
      <c r="A15">
        <f t="shared" ca="1" si="0"/>
        <v>3</v>
      </c>
      <c r="B15" s="259" t="str">
        <f t="shared" ca="1" si="1"/>
        <v xml:space="preserve"> </v>
      </c>
      <c r="C15" s="261">
        <f t="shared" ca="1" si="2"/>
        <v>15</v>
      </c>
      <c r="D15" s="489">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ht="15" x14ac:dyDescent="0.25">
      <c r="A16">
        <f t="shared" ca="1" si="0"/>
        <v>4</v>
      </c>
      <c r="B16" s="259" t="str">
        <f t="shared" ca="1" si="1"/>
        <v xml:space="preserve"> </v>
      </c>
      <c r="C16" s="261">
        <f t="shared" ca="1" si="2"/>
        <v>16</v>
      </c>
      <c r="D16" s="489">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ht="15" x14ac:dyDescent="0.25">
      <c r="A17">
        <f t="shared" ca="1" si="0"/>
        <v>5</v>
      </c>
      <c r="B17" s="259" t="str">
        <f t="shared" ca="1" si="1"/>
        <v xml:space="preserve"> </v>
      </c>
      <c r="C17" s="261">
        <f t="shared" ca="1" si="2"/>
        <v>17</v>
      </c>
      <c r="D17" s="489">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ht="15" x14ac:dyDescent="0.25">
      <c r="A18">
        <f t="shared" ca="1" si="0"/>
        <v>6</v>
      </c>
      <c r="B18" s="259" t="str">
        <f t="shared" ca="1" si="1"/>
        <v xml:space="preserve"> </v>
      </c>
      <c r="C18" s="261">
        <f t="shared" ca="1" si="2"/>
        <v>18</v>
      </c>
      <c r="D18" s="489">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ht="15" x14ac:dyDescent="0.25">
      <c r="A19">
        <f t="shared" ca="1" si="0"/>
        <v>7</v>
      </c>
      <c r="B19" s="259" t="str">
        <f t="shared" ca="1" si="1"/>
        <v xml:space="preserve"> </v>
      </c>
      <c r="C19" s="261">
        <f t="shared" ca="1" si="2"/>
        <v>19</v>
      </c>
      <c r="D19" s="489">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ht="15" x14ac:dyDescent="0.25">
      <c r="A20">
        <f t="shared" ca="1" si="0"/>
        <v>8</v>
      </c>
      <c r="B20" s="259" t="str">
        <f t="shared" ca="1" si="1"/>
        <v xml:space="preserve"> </v>
      </c>
      <c r="C20" s="261">
        <f t="shared" ca="1" si="2"/>
        <v>20</v>
      </c>
      <c r="D20" s="489">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ht="15" x14ac:dyDescent="0.25">
      <c r="A21">
        <f t="shared" ca="1" si="0"/>
        <v>9</v>
      </c>
      <c r="B21" s="259" t="str">
        <f t="shared" ca="1" si="1"/>
        <v xml:space="preserve"> </v>
      </c>
      <c r="C21" s="261">
        <f t="shared" ca="1" si="2"/>
        <v>21</v>
      </c>
      <c r="D21" s="489">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ht="15" x14ac:dyDescent="0.25">
      <c r="A22">
        <f t="shared" ca="1" si="0"/>
        <v>10</v>
      </c>
      <c r="B22" s="259" t="str">
        <f t="shared" ca="1" si="1"/>
        <v xml:space="preserve"> </v>
      </c>
      <c r="C22" s="261">
        <f t="shared" ca="1" si="2"/>
        <v>22</v>
      </c>
      <c r="D22" s="489">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ht="15" x14ac:dyDescent="0.25">
      <c r="A23">
        <f t="shared" ca="1" si="0"/>
        <v>11</v>
      </c>
      <c r="B23" s="259" t="str">
        <f t="shared" ca="1" si="1"/>
        <v xml:space="preserve"> </v>
      </c>
      <c r="C23" s="261">
        <f t="shared" ca="1" si="2"/>
        <v>23</v>
      </c>
      <c r="D23" s="489">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ht="15" x14ac:dyDescent="0.25">
      <c r="A24">
        <f t="shared" ca="1" si="0"/>
        <v>12</v>
      </c>
      <c r="B24" s="259" t="str">
        <f t="shared" ca="1" si="1"/>
        <v xml:space="preserve"> </v>
      </c>
      <c r="C24" s="261">
        <f t="shared" ca="1" si="2"/>
        <v>24</v>
      </c>
      <c r="D24" s="489">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ht="15" x14ac:dyDescent="0.25">
      <c r="A25">
        <f t="shared" ca="1" si="0"/>
        <v>13</v>
      </c>
      <c r="B25" s="259" t="str">
        <f t="shared" ca="1" si="1"/>
        <v xml:space="preserve"> </v>
      </c>
      <c r="C25" s="261">
        <f t="shared" ca="1" si="2"/>
        <v>25</v>
      </c>
      <c r="D25" s="489">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ht="15" x14ac:dyDescent="0.25">
      <c r="A26">
        <f t="shared" ca="1" si="0"/>
        <v>14</v>
      </c>
      <c r="B26" s="259" t="str">
        <f t="shared" ca="1" si="1"/>
        <v xml:space="preserve"> </v>
      </c>
      <c r="C26" s="261">
        <f t="shared" ca="1" si="2"/>
        <v>26</v>
      </c>
      <c r="D26" s="489">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ht="15" x14ac:dyDescent="0.25">
      <c r="A27">
        <f t="shared" ca="1" si="0"/>
        <v>15</v>
      </c>
      <c r="B27" s="259" t="str">
        <f t="shared" ca="1" si="1"/>
        <v xml:space="preserve"> </v>
      </c>
      <c r="C27" s="261">
        <f t="shared" ca="1" si="2"/>
        <v>27</v>
      </c>
      <c r="D27" s="489">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ht="15" x14ac:dyDescent="0.25">
      <c r="A28">
        <f t="shared" ca="1" si="0"/>
        <v>16</v>
      </c>
      <c r="B28" s="259" t="str">
        <f t="shared" ca="1" si="1"/>
        <v xml:space="preserve"> </v>
      </c>
      <c r="C28" s="261">
        <f t="shared" ca="1" si="2"/>
        <v>28</v>
      </c>
      <c r="D28" s="489">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ht="15" x14ac:dyDescent="0.25">
      <c r="A29">
        <f t="shared" ca="1" si="0"/>
        <v>17</v>
      </c>
      <c r="B29" s="259" t="str">
        <f t="shared" ca="1" si="1"/>
        <v xml:space="preserve"> </v>
      </c>
      <c r="C29" s="261">
        <f t="shared" ca="1" si="2"/>
        <v>29</v>
      </c>
      <c r="D29" s="489">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ht="15" x14ac:dyDescent="0.25">
      <c r="A30">
        <f t="shared" ca="1" si="0"/>
        <v>18</v>
      </c>
      <c r="B30" s="259" t="str">
        <f t="shared" ca="1" si="1"/>
        <v xml:space="preserve"> </v>
      </c>
      <c r="C30" s="261">
        <f t="shared" ca="1" si="2"/>
        <v>30</v>
      </c>
      <c r="D30" s="489">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ht="15" x14ac:dyDescent="0.25">
      <c r="A31">
        <f t="shared" ca="1" si="0"/>
        <v>19</v>
      </c>
      <c r="B31" s="259" t="str">
        <f t="shared" ca="1" si="1"/>
        <v xml:space="preserve"> </v>
      </c>
      <c r="C31" s="261">
        <f t="shared" ca="1" si="2"/>
        <v>31</v>
      </c>
      <c r="D31" s="489">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ht="15" x14ac:dyDescent="0.25">
      <c r="A32">
        <f t="shared" ca="1" si="0"/>
        <v>20</v>
      </c>
      <c r="B32" s="259" t="str">
        <f t="shared" ca="1" si="1"/>
        <v xml:space="preserve"> </v>
      </c>
      <c r="C32" s="261">
        <f t="shared" ca="1" si="2"/>
        <v>32</v>
      </c>
      <c r="D32" s="489">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ht="15" x14ac:dyDescent="0.25">
      <c r="A33">
        <f t="shared" ca="1" si="0"/>
        <v>21</v>
      </c>
      <c r="B33" s="259" t="str">
        <f t="shared" ca="1" si="1"/>
        <v xml:space="preserve"> </v>
      </c>
      <c r="C33" s="261">
        <f t="shared" ca="1" si="2"/>
        <v>33</v>
      </c>
      <c r="D33" s="489">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ht="15" x14ac:dyDescent="0.25">
      <c r="A34">
        <f t="shared" ca="1" si="0"/>
        <v>22</v>
      </c>
      <c r="B34" s="259" t="str">
        <f t="shared" ca="1" si="1"/>
        <v xml:space="preserve"> </v>
      </c>
      <c r="C34" s="261">
        <f t="shared" ca="1" si="2"/>
        <v>34</v>
      </c>
      <c r="D34" s="489">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ht="15" x14ac:dyDescent="0.25">
      <c r="A35">
        <f t="shared" ca="1" si="0"/>
        <v>23</v>
      </c>
      <c r="B35" s="259" t="str">
        <f t="shared" ca="1" si="1"/>
        <v xml:space="preserve"> </v>
      </c>
      <c r="C35" s="261">
        <f t="shared" ca="1" si="2"/>
        <v>35</v>
      </c>
      <c r="D35" s="489">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ht="15" x14ac:dyDescent="0.25">
      <c r="A36">
        <f t="shared" ca="1" si="0"/>
        <v>24</v>
      </c>
      <c r="B36" s="259" t="str">
        <f t="shared" ca="1" si="1"/>
        <v xml:space="preserve"> </v>
      </c>
      <c r="C36" s="261">
        <f t="shared" ca="1" si="2"/>
        <v>36</v>
      </c>
      <c r="D36" s="489">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ht="15" x14ac:dyDescent="0.25">
      <c r="A37">
        <f t="shared" ca="1" si="0"/>
        <v>25</v>
      </c>
      <c r="B37" s="259" t="str">
        <f t="shared" ca="1" si="1"/>
        <v xml:space="preserve"> </v>
      </c>
      <c r="C37" s="261">
        <f t="shared" ca="1" si="2"/>
        <v>37</v>
      </c>
      <c r="D37" s="489">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ht="15" x14ac:dyDescent="0.25">
      <c r="A38">
        <f t="shared" ca="1" si="0"/>
        <v>26</v>
      </c>
      <c r="B38" s="259" t="str">
        <f t="shared" ca="1" si="1"/>
        <v xml:space="preserve"> </v>
      </c>
      <c r="C38" s="261">
        <f t="shared" ca="1" si="2"/>
        <v>38</v>
      </c>
      <c r="D38" s="489">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ht="15" x14ac:dyDescent="0.25">
      <c r="A39">
        <f t="shared" ca="1" si="0"/>
        <v>27</v>
      </c>
      <c r="B39" s="259" t="str">
        <f t="shared" ca="1" si="1"/>
        <v xml:space="preserve"> </v>
      </c>
      <c r="C39" s="261">
        <f t="shared" ca="1" si="2"/>
        <v>39</v>
      </c>
      <c r="D39" s="489">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ht="15" x14ac:dyDescent="0.25">
      <c r="A40">
        <f t="shared" ca="1" si="0"/>
        <v>28</v>
      </c>
      <c r="B40" s="259" t="str">
        <f t="shared" ca="1" si="1"/>
        <v xml:space="preserve"> </v>
      </c>
      <c r="C40" s="261">
        <f t="shared" ca="1" si="2"/>
        <v>40</v>
      </c>
      <c r="D40" s="489">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ht="15" x14ac:dyDescent="0.25">
      <c r="A41">
        <f t="shared" ca="1" si="0"/>
        <v>29</v>
      </c>
      <c r="B41" s="259" t="str">
        <f t="shared" ca="1" si="1"/>
        <v xml:space="preserve"> </v>
      </c>
      <c r="C41" s="261">
        <f t="shared" ca="1" si="2"/>
        <v>41</v>
      </c>
      <c r="D41" s="489">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ht="15" x14ac:dyDescent="0.25">
      <c r="A42">
        <f t="shared" ca="1" si="0"/>
        <v>30</v>
      </c>
      <c r="B42" s="259" t="str">
        <f t="shared" ca="1" si="1"/>
        <v xml:space="preserve"> </v>
      </c>
      <c r="C42" s="261">
        <f t="shared" ca="1" si="2"/>
        <v>42</v>
      </c>
      <c r="D42" s="489">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ht="15" x14ac:dyDescent="0.25">
      <c r="A43">
        <f t="shared" ca="1" si="0"/>
        <v>31</v>
      </c>
      <c r="B43" s="259" t="str">
        <f t="shared" ca="1" si="1"/>
        <v xml:space="preserve"> </v>
      </c>
      <c r="C43" s="261">
        <f t="shared" ca="1" si="2"/>
        <v>43</v>
      </c>
      <c r="D43" s="489">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ht="15" x14ac:dyDescent="0.25">
      <c r="A44">
        <f t="shared" ca="1" si="0"/>
        <v>32</v>
      </c>
      <c r="B44" s="259" t="str">
        <f t="shared" ca="1" si="1"/>
        <v xml:space="preserve"> </v>
      </c>
      <c r="C44" s="261">
        <f t="shared" ca="1" si="2"/>
        <v>44</v>
      </c>
      <c r="D44" s="489">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ht="15" x14ac:dyDescent="0.25">
      <c r="A45">
        <f t="shared" ca="1" si="0"/>
        <v>33</v>
      </c>
      <c r="B45" s="259" t="str">
        <f t="shared" ca="1" si="1"/>
        <v xml:space="preserve"> </v>
      </c>
      <c r="C45" s="261">
        <f t="shared" ca="1" si="2"/>
        <v>45</v>
      </c>
      <c r="D45" s="489">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ht="15" x14ac:dyDescent="0.25">
      <c r="A46">
        <f t="shared" ca="1" si="0"/>
        <v>34</v>
      </c>
      <c r="B46" s="259" t="str">
        <f t="shared" ca="1" si="1"/>
        <v xml:space="preserve"> </v>
      </c>
      <c r="C46" s="261">
        <f t="shared" ca="1" si="2"/>
        <v>46</v>
      </c>
      <c r="D46" s="489">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ht="15" x14ac:dyDescent="0.25">
      <c r="A47">
        <f t="shared" ca="1" si="0"/>
        <v>35</v>
      </c>
      <c r="B47" s="259" t="str">
        <f t="shared" ca="1" si="1"/>
        <v xml:space="preserve"> </v>
      </c>
      <c r="C47" s="261">
        <f t="shared" ca="1" si="2"/>
        <v>47</v>
      </c>
      <c r="D47" s="489">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ht="15" x14ac:dyDescent="0.25">
      <c r="A48">
        <f t="shared" ca="1" si="0"/>
        <v>36</v>
      </c>
      <c r="B48" s="259" t="str">
        <f t="shared" ca="1" si="1"/>
        <v xml:space="preserve"> </v>
      </c>
      <c r="C48" s="261">
        <f t="shared" ca="1" si="2"/>
        <v>48</v>
      </c>
      <c r="D48" s="489">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ht="15" x14ac:dyDescent="0.25">
      <c r="A49">
        <f t="shared" ca="1" si="0"/>
        <v>37</v>
      </c>
      <c r="B49" s="259" t="str">
        <f t="shared" ca="1" si="1"/>
        <v xml:space="preserve"> </v>
      </c>
      <c r="C49" s="261">
        <f t="shared" ca="1" si="2"/>
        <v>49</v>
      </c>
      <c r="D49" s="489">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ht="15" x14ac:dyDescent="0.25">
      <c r="A50">
        <f t="shared" ca="1" si="0"/>
        <v>38</v>
      </c>
      <c r="B50" s="259" t="str">
        <f t="shared" ca="1" si="1"/>
        <v xml:space="preserve"> </v>
      </c>
      <c r="C50" s="261">
        <f t="shared" ca="1" si="2"/>
        <v>50</v>
      </c>
      <c r="D50" s="489">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ht="15" x14ac:dyDescent="0.25">
      <c r="A51">
        <f t="shared" ca="1" si="0"/>
        <v>39</v>
      </c>
      <c r="B51" s="259" t="str">
        <f t="shared" ca="1" si="1"/>
        <v xml:space="preserve"> </v>
      </c>
      <c r="C51" s="261">
        <f t="shared" ca="1" si="2"/>
        <v>51</v>
      </c>
      <c r="D51" s="489">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ht="15" x14ac:dyDescent="0.25">
      <c r="A52">
        <f t="shared" ca="1" si="0"/>
        <v>40</v>
      </c>
      <c r="B52" s="259" t="str">
        <f t="shared" ca="1" si="1"/>
        <v xml:space="preserve"> </v>
      </c>
      <c r="C52" s="261">
        <f t="shared" ca="1" si="2"/>
        <v>52</v>
      </c>
      <c r="D52" s="489">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ht="15" x14ac:dyDescent="0.25">
      <c r="A53">
        <f t="shared" ca="1" si="0"/>
        <v>41</v>
      </c>
      <c r="B53" s="259">
        <f t="shared" ca="1" si="1"/>
        <v>2017</v>
      </c>
      <c r="C53" s="261">
        <f t="shared" ca="1" si="2"/>
        <v>1</v>
      </c>
      <c r="D53" s="489">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ht="15" x14ac:dyDescent="0.25">
      <c r="A54">
        <f t="shared" ca="1" si="0"/>
        <v>42</v>
      </c>
      <c r="B54" s="259" t="str">
        <f t="shared" ca="1" si="1"/>
        <v xml:space="preserve"> </v>
      </c>
      <c r="C54" s="261">
        <f t="shared" ca="1" si="2"/>
        <v>2</v>
      </c>
      <c r="D54" s="489">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ht="15" x14ac:dyDescent="0.25">
      <c r="A55">
        <f t="shared" ca="1" si="0"/>
        <v>43</v>
      </c>
      <c r="B55" s="259" t="str">
        <f t="shared" ca="1" si="1"/>
        <v xml:space="preserve"> </v>
      </c>
      <c r="C55" s="261">
        <f t="shared" ca="1" si="2"/>
        <v>3</v>
      </c>
      <c r="D55" s="489">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ht="15" x14ac:dyDescent="0.25">
      <c r="A56">
        <f t="shared" ca="1" si="0"/>
        <v>44</v>
      </c>
      <c r="B56" s="259" t="str">
        <f t="shared" ca="1" si="1"/>
        <v xml:space="preserve"> </v>
      </c>
      <c r="C56" s="261">
        <f t="shared" ca="1" si="2"/>
        <v>4</v>
      </c>
      <c r="D56" s="489">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ht="15" x14ac:dyDescent="0.25">
      <c r="A57">
        <f t="shared" ca="1" si="0"/>
        <v>45</v>
      </c>
      <c r="B57" s="259" t="str">
        <f t="shared" ca="1" si="1"/>
        <v xml:space="preserve"> </v>
      </c>
      <c r="C57" s="261">
        <f t="shared" ca="1" si="2"/>
        <v>5</v>
      </c>
      <c r="D57" s="489">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ht="15" x14ac:dyDescent="0.25">
      <c r="A58">
        <f t="shared" ca="1" si="0"/>
        <v>46</v>
      </c>
      <c r="B58" s="259" t="str">
        <f t="shared" ca="1" si="1"/>
        <v xml:space="preserve"> </v>
      </c>
      <c r="C58" s="261">
        <f t="shared" ca="1" si="2"/>
        <v>6</v>
      </c>
      <c r="D58" s="489">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ht="15" x14ac:dyDescent="0.25">
      <c r="A59">
        <f t="shared" ca="1" si="0"/>
        <v>47</v>
      </c>
      <c r="B59" s="259" t="str">
        <f t="shared" ca="1" si="1"/>
        <v xml:space="preserve"> </v>
      </c>
      <c r="C59" s="261">
        <f t="shared" ca="1" si="2"/>
        <v>7</v>
      </c>
      <c r="D59" s="489">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ht="15" x14ac:dyDescent="0.25">
      <c r="A60">
        <f t="shared" ca="1" si="0"/>
        <v>48</v>
      </c>
      <c r="B60" s="259" t="str">
        <f t="shared" ca="1" si="1"/>
        <v xml:space="preserve"> </v>
      </c>
      <c r="C60" s="261">
        <f t="shared" ca="1" si="2"/>
        <v>8</v>
      </c>
      <c r="D60" s="489">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ht="15" x14ac:dyDescent="0.25">
      <c r="A61">
        <f t="shared" ca="1" si="0"/>
        <v>49</v>
      </c>
      <c r="B61" s="259" t="str">
        <f t="shared" ca="1" si="1"/>
        <v xml:space="preserve"> </v>
      </c>
      <c r="C61" s="261">
        <f t="shared" ca="1" si="2"/>
        <v>9</v>
      </c>
      <c r="D61" s="489">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ht="15" x14ac:dyDescent="0.25">
      <c r="A62">
        <f t="shared" ca="1" si="0"/>
        <v>50</v>
      </c>
      <c r="B62" s="259" t="str">
        <f t="shared" ca="1" si="1"/>
        <v xml:space="preserve"> </v>
      </c>
      <c r="C62" s="261">
        <f t="shared" ca="1" si="2"/>
        <v>10</v>
      </c>
      <c r="D62" s="489">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ht="15" x14ac:dyDescent="0.25">
      <c r="A63">
        <f t="shared" ca="1" si="0"/>
        <v>51</v>
      </c>
      <c r="B63" s="259" t="str">
        <f t="shared" ca="1" si="1"/>
        <v xml:space="preserve"> </v>
      </c>
      <c r="C63" s="261">
        <f t="shared" ca="1" si="2"/>
        <v>11</v>
      </c>
      <c r="D63" s="489">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5.75" thickBot="1" x14ac:dyDescent="0.3">
      <c r="A64">
        <f t="shared" ca="1" si="0"/>
        <v>52</v>
      </c>
      <c r="B64" s="259" t="str">
        <f t="shared" ca="1" si="1"/>
        <v xml:space="preserve"> </v>
      </c>
      <c r="C64" s="262">
        <f t="shared" ca="1" si="2"/>
        <v>12</v>
      </c>
      <c r="D64" s="490">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ht="15" x14ac:dyDescent="0.25">
      <c r="A65">
        <f t="shared" ca="1" si="0"/>
        <v>53</v>
      </c>
      <c r="B65" s="263" t="str">
        <f t="shared" ca="1" si="1"/>
        <v xml:space="preserve"> </v>
      </c>
      <c r="C65" s="264">
        <f t="shared" ca="1" si="2"/>
        <v>13</v>
      </c>
      <c r="D65" s="491">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ht="15" x14ac:dyDescent="0.25">
      <c r="A66">
        <f t="shared" ca="1" si="0"/>
        <v>54</v>
      </c>
      <c r="B66" s="263" t="str">
        <f t="shared" ca="1" si="1"/>
        <v xml:space="preserve"> </v>
      </c>
      <c r="C66" s="264">
        <f t="shared" ca="1" si="2"/>
        <v>14</v>
      </c>
      <c r="D66" s="491">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ht="15" x14ac:dyDescent="0.25">
      <c r="A67">
        <f t="shared" ca="1" si="0"/>
        <v>55</v>
      </c>
      <c r="B67" s="263" t="str">
        <f t="shared" ca="1" si="1"/>
        <v xml:space="preserve"> </v>
      </c>
      <c r="C67" s="264">
        <f t="shared" ca="1" si="2"/>
        <v>15</v>
      </c>
      <c r="D67" s="491">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ht="15" x14ac:dyDescent="0.25">
      <c r="A68">
        <f t="shared" ca="1" si="0"/>
        <v>56</v>
      </c>
      <c r="B68" s="263" t="str">
        <f t="shared" ca="1" si="1"/>
        <v xml:space="preserve"> </v>
      </c>
      <c r="C68" s="264">
        <f t="shared" ca="1" si="2"/>
        <v>16</v>
      </c>
      <c r="D68" s="491">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ht="15" x14ac:dyDescent="0.25">
      <c r="A69">
        <f t="shared" ca="1" si="0"/>
        <v>57</v>
      </c>
      <c r="B69" s="263" t="str">
        <f t="shared" ca="1" si="1"/>
        <v xml:space="preserve"> </v>
      </c>
      <c r="C69" s="264">
        <f t="shared" ca="1" si="2"/>
        <v>17</v>
      </c>
      <c r="D69" s="491">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ht="15" x14ac:dyDescent="0.25">
      <c r="A70">
        <f t="shared" ca="1" si="0"/>
        <v>58</v>
      </c>
      <c r="B70" s="263" t="str">
        <f t="shared" ca="1" si="1"/>
        <v xml:space="preserve"> </v>
      </c>
      <c r="C70" s="264">
        <f t="shared" ca="1" si="2"/>
        <v>18</v>
      </c>
      <c r="D70" s="491">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ht="15" x14ac:dyDescent="0.25">
      <c r="A71">
        <f t="shared" ca="1" si="0"/>
        <v>59</v>
      </c>
      <c r="B71" s="263" t="str">
        <f t="shared" ca="1" si="1"/>
        <v xml:space="preserve"> </v>
      </c>
      <c r="C71" s="264">
        <f t="shared" ca="1" si="2"/>
        <v>19</v>
      </c>
      <c r="D71" s="491">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ht="15" x14ac:dyDescent="0.25">
      <c r="A72">
        <f t="shared" ca="1" si="0"/>
        <v>60</v>
      </c>
      <c r="B72" s="263" t="str">
        <f t="shared" ca="1" si="1"/>
        <v xml:space="preserve"> </v>
      </c>
      <c r="C72" s="264">
        <f t="shared" ca="1" si="2"/>
        <v>20</v>
      </c>
      <c r="D72" s="491">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ht="15" x14ac:dyDescent="0.25">
      <c r="A73">
        <f t="shared" ca="1" si="0"/>
        <v>61</v>
      </c>
      <c r="B73" s="263" t="str">
        <f t="shared" ca="1" si="1"/>
        <v xml:space="preserve"> </v>
      </c>
      <c r="C73" s="264">
        <f t="shared" ca="1" si="2"/>
        <v>21</v>
      </c>
      <c r="D73" s="491">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ht="15" x14ac:dyDescent="0.25">
      <c r="A74">
        <f t="shared" ca="1" si="0"/>
        <v>62</v>
      </c>
      <c r="B74" s="263" t="str">
        <f t="shared" ca="1" si="1"/>
        <v xml:space="preserve"> </v>
      </c>
      <c r="C74" s="264">
        <f t="shared" ca="1" si="2"/>
        <v>22</v>
      </c>
      <c r="D74" s="491">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ht="15" x14ac:dyDescent="0.25">
      <c r="A75">
        <f t="shared" ca="1" si="0"/>
        <v>63</v>
      </c>
      <c r="B75" s="263" t="str">
        <f t="shared" ca="1" si="1"/>
        <v xml:space="preserve"> </v>
      </c>
      <c r="C75" s="264">
        <f t="shared" ca="1" si="2"/>
        <v>23</v>
      </c>
      <c r="D75" s="491">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ht="15" x14ac:dyDescent="0.25">
      <c r="A76">
        <f t="shared" ca="1" si="0"/>
        <v>64</v>
      </c>
      <c r="B76" s="263" t="str">
        <f t="shared" ca="1" si="1"/>
        <v xml:space="preserve"> </v>
      </c>
      <c r="C76" s="264">
        <f t="shared" ca="1" si="2"/>
        <v>24</v>
      </c>
      <c r="D76" s="491">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ht="15" x14ac:dyDescent="0.25">
      <c r="A77">
        <f t="shared" ref="A77:A140" ca="1" si="4">IF(BC77&lt;&gt;"",ROW(A65),"")</f>
        <v>65</v>
      </c>
      <c r="B77" s="263" t="str">
        <f t="shared" ca="1" si="1"/>
        <v xml:space="preserve"> </v>
      </c>
      <c r="C77" s="264">
        <f t="shared" ca="1" si="2"/>
        <v>25</v>
      </c>
      <c r="D77" s="491">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ht="15"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491">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ht="15" x14ac:dyDescent="0.25">
      <c r="A79">
        <f t="shared" ca="1" si="4"/>
        <v>67</v>
      </c>
      <c r="B79" s="263" t="str">
        <f t="shared" ca="1" si="5"/>
        <v xml:space="preserve"> </v>
      </c>
      <c r="C79" s="264">
        <f t="shared" ca="1" si="6"/>
        <v>27</v>
      </c>
      <c r="D79" s="491">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ht="15" x14ac:dyDescent="0.25">
      <c r="A80">
        <f t="shared" ca="1" si="4"/>
        <v>68</v>
      </c>
      <c r="B80" s="263" t="str">
        <f t="shared" ca="1" si="5"/>
        <v xml:space="preserve"> </v>
      </c>
      <c r="C80" s="264">
        <f t="shared" ca="1" si="6"/>
        <v>28</v>
      </c>
      <c r="D80" s="491">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ht="15" x14ac:dyDescent="0.25">
      <c r="A81">
        <f t="shared" ca="1" si="4"/>
        <v>69</v>
      </c>
      <c r="B81" s="263" t="str">
        <f t="shared" ca="1" si="5"/>
        <v xml:space="preserve"> </v>
      </c>
      <c r="C81" s="264">
        <f t="shared" ca="1" si="6"/>
        <v>29</v>
      </c>
      <c r="D81" s="491">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ht="15" x14ac:dyDescent="0.25">
      <c r="A82">
        <f t="shared" ca="1" si="4"/>
        <v>70</v>
      </c>
      <c r="B82" s="263" t="str">
        <f t="shared" ca="1" si="5"/>
        <v xml:space="preserve"> </v>
      </c>
      <c r="C82" s="264">
        <f t="shared" ca="1" si="6"/>
        <v>30</v>
      </c>
      <c r="D82" s="491">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ht="15" x14ac:dyDescent="0.25">
      <c r="A83">
        <f t="shared" ca="1" si="4"/>
        <v>71</v>
      </c>
      <c r="B83" s="263" t="str">
        <f t="shared" ca="1" si="5"/>
        <v xml:space="preserve"> </v>
      </c>
      <c r="C83" s="264">
        <f t="shared" ca="1" si="6"/>
        <v>31</v>
      </c>
      <c r="D83" s="491">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ht="15" x14ac:dyDescent="0.25">
      <c r="A84">
        <f t="shared" ca="1" si="4"/>
        <v>72</v>
      </c>
      <c r="B84" s="263" t="str">
        <f t="shared" ca="1" si="5"/>
        <v xml:space="preserve"> </v>
      </c>
      <c r="C84" s="264">
        <f t="shared" ca="1" si="6"/>
        <v>32</v>
      </c>
      <c r="D84" s="491">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ht="15" x14ac:dyDescent="0.25">
      <c r="A85">
        <f t="shared" ca="1" si="4"/>
        <v>73</v>
      </c>
      <c r="B85" s="263" t="str">
        <f t="shared" ca="1" si="5"/>
        <v xml:space="preserve"> </v>
      </c>
      <c r="C85" s="264">
        <f t="shared" ca="1" si="6"/>
        <v>33</v>
      </c>
      <c r="D85" s="491">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ht="15" x14ac:dyDescent="0.25">
      <c r="A86">
        <f t="shared" ca="1" si="4"/>
        <v>74</v>
      </c>
      <c r="B86" s="263" t="str">
        <f t="shared" ca="1" si="5"/>
        <v xml:space="preserve"> </v>
      </c>
      <c r="C86" s="264">
        <f t="shared" ca="1" si="6"/>
        <v>34</v>
      </c>
      <c r="D86" s="491">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ht="15" x14ac:dyDescent="0.25">
      <c r="A87">
        <f t="shared" ca="1" si="4"/>
        <v>75</v>
      </c>
      <c r="B87" s="263" t="str">
        <f t="shared" ca="1" si="5"/>
        <v xml:space="preserve"> </v>
      </c>
      <c r="C87" s="264">
        <f t="shared" ca="1" si="6"/>
        <v>35</v>
      </c>
      <c r="D87" s="491">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ht="15" x14ac:dyDescent="0.25">
      <c r="A88">
        <f t="shared" ca="1" si="4"/>
        <v>76</v>
      </c>
      <c r="B88" s="263" t="str">
        <f t="shared" ca="1" si="5"/>
        <v xml:space="preserve"> </v>
      </c>
      <c r="C88" s="264">
        <f t="shared" ca="1" si="6"/>
        <v>36</v>
      </c>
      <c r="D88" s="491">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ht="15" x14ac:dyDescent="0.25">
      <c r="A89">
        <f t="shared" ca="1" si="4"/>
        <v>77</v>
      </c>
      <c r="B89" s="263" t="str">
        <f t="shared" ca="1" si="5"/>
        <v xml:space="preserve"> </v>
      </c>
      <c r="C89" s="264">
        <f t="shared" ca="1" si="6"/>
        <v>37</v>
      </c>
      <c r="D89" s="491">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ht="15" x14ac:dyDescent="0.25">
      <c r="A90">
        <f t="shared" ca="1" si="4"/>
        <v>78</v>
      </c>
      <c r="B90" s="263" t="str">
        <f t="shared" ca="1" si="5"/>
        <v xml:space="preserve"> </v>
      </c>
      <c r="C90" s="264">
        <f t="shared" ca="1" si="6"/>
        <v>38</v>
      </c>
      <c r="D90" s="491">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ht="15" x14ac:dyDescent="0.25">
      <c r="A91">
        <f t="shared" ca="1" si="4"/>
        <v>79</v>
      </c>
      <c r="B91" s="263" t="str">
        <f t="shared" ca="1" si="5"/>
        <v xml:space="preserve"> </v>
      </c>
      <c r="C91" s="264">
        <f t="shared" ca="1" si="6"/>
        <v>39</v>
      </c>
      <c r="D91" s="491">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ht="15" x14ac:dyDescent="0.25">
      <c r="A92">
        <f t="shared" ca="1" si="4"/>
        <v>80</v>
      </c>
      <c r="B92" s="263" t="str">
        <f t="shared" ca="1" si="5"/>
        <v xml:space="preserve"> </v>
      </c>
      <c r="C92" s="264">
        <f t="shared" ca="1" si="6"/>
        <v>40</v>
      </c>
      <c r="D92" s="491">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ht="15" x14ac:dyDescent="0.25">
      <c r="A93">
        <f t="shared" ca="1" si="4"/>
        <v>81</v>
      </c>
      <c r="B93" s="263" t="str">
        <f t="shared" ca="1" si="5"/>
        <v xml:space="preserve"> </v>
      </c>
      <c r="C93" s="264">
        <f t="shared" ca="1" si="6"/>
        <v>41</v>
      </c>
      <c r="D93" s="491">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ht="15" x14ac:dyDescent="0.25">
      <c r="A94">
        <f t="shared" ca="1" si="4"/>
        <v>82</v>
      </c>
      <c r="B94" s="263" t="str">
        <f t="shared" ca="1" si="5"/>
        <v xml:space="preserve"> </v>
      </c>
      <c r="C94" s="264">
        <f t="shared" ca="1" si="6"/>
        <v>42</v>
      </c>
      <c r="D94" s="491">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ht="15" x14ac:dyDescent="0.25">
      <c r="A95">
        <f t="shared" ca="1" si="4"/>
        <v>83</v>
      </c>
      <c r="B95" s="263" t="str">
        <f t="shared" ca="1" si="5"/>
        <v xml:space="preserve"> </v>
      </c>
      <c r="C95" s="264">
        <f t="shared" ca="1" si="6"/>
        <v>43</v>
      </c>
      <c r="D95" s="491">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ht="15" x14ac:dyDescent="0.25">
      <c r="A96">
        <f t="shared" ca="1" si="4"/>
        <v>84</v>
      </c>
      <c r="B96" s="263" t="str">
        <f t="shared" ca="1" si="5"/>
        <v xml:space="preserve"> </v>
      </c>
      <c r="C96" s="264">
        <f t="shared" ca="1" si="6"/>
        <v>44</v>
      </c>
      <c r="D96" s="491">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ht="15" x14ac:dyDescent="0.25">
      <c r="A97">
        <f t="shared" ca="1" si="4"/>
        <v>85</v>
      </c>
      <c r="B97" s="263" t="str">
        <f t="shared" ca="1" si="5"/>
        <v xml:space="preserve"> </v>
      </c>
      <c r="C97" s="264">
        <f t="shared" ca="1" si="6"/>
        <v>45</v>
      </c>
      <c r="D97" s="491">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ht="15" x14ac:dyDescent="0.25">
      <c r="A98">
        <f t="shared" ca="1" si="4"/>
        <v>86</v>
      </c>
      <c r="B98" s="263" t="str">
        <f t="shared" ca="1" si="5"/>
        <v xml:space="preserve"> </v>
      </c>
      <c r="C98" s="264">
        <f t="shared" ca="1" si="6"/>
        <v>46</v>
      </c>
      <c r="D98" s="491">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ht="15" x14ac:dyDescent="0.25">
      <c r="A99">
        <f t="shared" ca="1" si="4"/>
        <v>87</v>
      </c>
      <c r="B99" s="263" t="str">
        <f t="shared" ca="1" si="5"/>
        <v xml:space="preserve"> </v>
      </c>
      <c r="C99" s="264">
        <f t="shared" ca="1" si="6"/>
        <v>47</v>
      </c>
      <c r="D99" s="491">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ht="15" x14ac:dyDescent="0.25">
      <c r="A100">
        <f t="shared" ca="1" si="4"/>
        <v>88</v>
      </c>
      <c r="B100" s="263" t="str">
        <f t="shared" ca="1" si="5"/>
        <v xml:space="preserve"> </v>
      </c>
      <c r="C100" s="264">
        <f t="shared" ca="1" si="6"/>
        <v>48</v>
      </c>
      <c r="D100" s="491">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ht="15" x14ac:dyDescent="0.25">
      <c r="A101">
        <f t="shared" ca="1" si="4"/>
        <v>89</v>
      </c>
      <c r="B101" s="263" t="str">
        <f t="shared" ca="1" si="5"/>
        <v xml:space="preserve"> </v>
      </c>
      <c r="C101" s="264">
        <f t="shared" ca="1" si="6"/>
        <v>49</v>
      </c>
      <c r="D101" s="491">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ht="15" x14ac:dyDescent="0.25">
      <c r="A102">
        <f t="shared" ca="1" si="4"/>
        <v>90</v>
      </c>
      <c r="B102" s="263" t="str">
        <f t="shared" ca="1" si="5"/>
        <v xml:space="preserve"> </v>
      </c>
      <c r="C102" s="264">
        <f t="shared" ca="1" si="6"/>
        <v>50</v>
      </c>
      <c r="D102" s="491">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ht="15" x14ac:dyDescent="0.25">
      <c r="A103">
        <f t="shared" ca="1" si="4"/>
        <v>91</v>
      </c>
      <c r="B103" s="263" t="str">
        <f t="shared" ca="1" si="5"/>
        <v xml:space="preserve"> </v>
      </c>
      <c r="C103" s="264">
        <f t="shared" ca="1" si="6"/>
        <v>51</v>
      </c>
      <c r="D103" s="491">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ht="15" x14ac:dyDescent="0.25">
      <c r="A104">
        <f t="shared" ca="1" si="4"/>
        <v>92</v>
      </c>
      <c r="B104" s="263" t="str">
        <f t="shared" ca="1" si="5"/>
        <v xml:space="preserve"> </v>
      </c>
      <c r="C104" s="264">
        <f t="shared" ca="1" si="6"/>
        <v>52</v>
      </c>
      <c r="D104" s="491">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ht="15" x14ac:dyDescent="0.25">
      <c r="A105">
        <f t="shared" ca="1" si="4"/>
        <v>93</v>
      </c>
      <c r="B105" s="263">
        <f t="shared" ca="1" si="5"/>
        <v>2018</v>
      </c>
      <c r="C105" s="264">
        <f t="shared" ca="1" si="6"/>
        <v>1</v>
      </c>
      <c r="D105" s="491">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ht="15" x14ac:dyDescent="0.25">
      <c r="A106">
        <f t="shared" ca="1" si="4"/>
        <v>94</v>
      </c>
      <c r="B106" s="263" t="str">
        <f t="shared" ca="1" si="5"/>
        <v xml:space="preserve"> </v>
      </c>
      <c r="C106" s="264">
        <f t="shared" ca="1" si="6"/>
        <v>2</v>
      </c>
      <c r="D106" s="491">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ht="15" x14ac:dyDescent="0.25">
      <c r="A107">
        <f t="shared" ca="1" si="4"/>
        <v>95</v>
      </c>
      <c r="B107" s="263" t="str">
        <f t="shared" ca="1" si="5"/>
        <v xml:space="preserve"> </v>
      </c>
      <c r="C107" s="264">
        <f t="shared" ca="1" si="6"/>
        <v>3</v>
      </c>
      <c r="D107" s="491">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ht="15" x14ac:dyDescent="0.25">
      <c r="A108">
        <f t="shared" ca="1" si="4"/>
        <v>96</v>
      </c>
      <c r="B108" s="263" t="str">
        <f t="shared" ca="1" si="5"/>
        <v xml:space="preserve"> </v>
      </c>
      <c r="C108" s="264">
        <f t="shared" ca="1" si="6"/>
        <v>4</v>
      </c>
      <c r="D108" s="491">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ht="15" x14ac:dyDescent="0.25">
      <c r="A109">
        <f t="shared" ca="1" si="4"/>
        <v>97</v>
      </c>
      <c r="B109" s="263" t="str">
        <f t="shared" ca="1" si="5"/>
        <v xml:space="preserve"> </v>
      </c>
      <c r="C109" s="264">
        <f t="shared" ca="1" si="6"/>
        <v>5</v>
      </c>
      <c r="D109" s="491">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ht="15" x14ac:dyDescent="0.25">
      <c r="A110">
        <f t="shared" ca="1" si="4"/>
        <v>98</v>
      </c>
      <c r="B110" s="263" t="str">
        <f t="shared" ca="1" si="5"/>
        <v xml:space="preserve"> </v>
      </c>
      <c r="C110" s="264">
        <f t="shared" ca="1" si="6"/>
        <v>6</v>
      </c>
      <c r="D110" s="491">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ht="15" x14ac:dyDescent="0.25">
      <c r="A111">
        <f t="shared" ca="1" si="4"/>
        <v>99</v>
      </c>
      <c r="B111" s="263" t="str">
        <f t="shared" ca="1" si="5"/>
        <v xml:space="preserve"> </v>
      </c>
      <c r="C111" s="264">
        <f t="shared" ca="1" si="6"/>
        <v>7</v>
      </c>
      <c r="D111" s="491">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ht="15" x14ac:dyDescent="0.25">
      <c r="A112">
        <f t="shared" ca="1" si="4"/>
        <v>100</v>
      </c>
      <c r="B112" s="263" t="str">
        <f t="shared" ca="1" si="5"/>
        <v xml:space="preserve"> </v>
      </c>
      <c r="C112" s="264">
        <f t="shared" ca="1" si="6"/>
        <v>8</v>
      </c>
      <c r="D112" s="491">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ht="15" x14ac:dyDescent="0.25">
      <c r="A113">
        <f t="shared" ca="1" si="4"/>
        <v>101</v>
      </c>
      <c r="B113" s="263" t="str">
        <f t="shared" ca="1" si="5"/>
        <v xml:space="preserve"> </v>
      </c>
      <c r="C113" s="264">
        <f t="shared" ca="1" si="6"/>
        <v>9</v>
      </c>
      <c r="D113" s="491">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ht="15" x14ac:dyDescent="0.25">
      <c r="A114">
        <f t="shared" ca="1" si="4"/>
        <v>102</v>
      </c>
      <c r="B114" s="263" t="str">
        <f t="shared" ca="1" si="5"/>
        <v xml:space="preserve"> </v>
      </c>
      <c r="C114" s="264">
        <f t="shared" ca="1" si="6"/>
        <v>10</v>
      </c>
      <c r="D114" s="491">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ht="15" x14ac:dyDescent="0.25">
      <c r="A115">
        <f t="shared" ca="1" si="4"/>
        <v>103</v>
      </c>
      <c r="B115" s="263" t="str">
        <f t="shared" ca="1" si="5"/>
        <v xml:space="preserve"> </v>
      </c>
      <c r="C115" s="264">
        <f t="shared" ca="1" si="6"/>
        <v>11</v>
      </c>
      <c r="D115" s="491">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ht="15" x14ac:dyDescent="0.25">
      <c r="A116">
        <f t="shared" ca="1" si="4"/>
        <v>104</v>
      </c>
      <c r="B116" s="263" t="str">
        <f t="shared" ca="1" si="5"/>
        <v xml:space="preserve"> </v>
      </c>
      <c r="C116" s="264">
        <f t="shared" ca="1" si="6"/>
        <v>12</v>
      </c>
      <c r="D116" s="491">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ht="15" x14ac:dyDescent="0.25">
      <c r="A117">
        <f t="shared" ca="1" si="4"/>
        <v>105</v>
      </c>
      <c r="B117" s="263" t="str">
        <f t="shared" ca="1" si="5"/>
        <v xml:space="preserve"> </v>
      </c>
      <c r="C117" s="264">
        <f t="shared" ca="1" si="6"/>
        <v>13</v>
      </c>
      <c r="D117" s="491">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ht="15" x14ac:dyDescent="0.25">
      <c r="A118">
        <f t="shared" ca="1" si="4"/>
        <v>106</v>
      </c>
      <c r="B118" s="263" t="str">
        <f t="shared" ca="1" si="5"/>
        <v xml:space="preserve"> </v>
      </c>
      <c r="C118" s="264">
        <f t="shared" ca="1" si="6"/>
        <v>14</v>
      </c>
      <c r="D118" s="491">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ht="15" x14ac:dyDescent="0.25">
      <c r="A119">
        <f t="shared" ca="1" si="4"/>
        <v>107</v>
      </c>
      <c r="B119" s="263" t="str">
        <f t="shared" ca="1" si="5"/>
        <v xml:space="preserve"> </v>
      </c>
      <c r="C119" s="264">
        <f t="shared" ca="1" si="6"/>
        <v>15</v>
      </c>
      <c r="D119" s="491">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ht="15" x14ac:dyDescent="0.25">
      <c r="A120">
        <f t="shared" ca="1" si="4"/>
        <v>108</v>
      </c>
      <c r="B120" s="263" t="str">
        <f t="shared" ca="1" si="5"/>
        <v xml:space="preserve"> </v>
      </c>
      <c r="C120" s="264">
        <f t="shared" ca="1" si="6"/>
        <v>16</v>
      </c>
      <c r="D120" s="491">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ht="15" x14ac:dyDescent="0.25">
      <c r="A121">
        <f t="shared" ca="1" si="4"/>
        <v>109</v>
      </c>
      <c r="B121" s="263" t="str">
        <f t="shared" ca="1" si="5"/>
        <v xml:space="preserve"> </v>
      </c>
      <c r="C121" s="264">
        <f t="shared" ca="1" si="6"/>
        <v>17</v>
      </c>
      <c r="D121" s="491">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ht="15" x14ac:dyDescent="0.25">
      <c r="A122">
        <f t="shared" ca="1" si="4"/>
        <v>110</v>
      </c>
      <c r="B122" s="263" t="str">
        <f t="shared" ca="1" si="5"/>
        <v xml:space="preserve"> </v>
      </c>
      <c r="C122" s="264">
        <f t="shared" ca="1" si="6"/>
        <v>18</v>
      </c>
      <c r="D122" s="491">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ht="15" x14ac:dyDescent="0.25">
      <c r="A123">
        <f t="shared" ca="1" si="4"/>
        <v>111</v>
      </c>
      <c r="B123" s="263" t="str">
        <f t="shared" ca="1" si="5"/>
        <v xml:space="preserve"> </v>
      </c>
      <c r="C123" s="264">
        <f t="shared" ca="1" si="6"/>
        <v>19</v>
      </c>
      <c r="D123" s="491">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ht="15" x14ac:dyDescent="0.25">
      <c r="A124">
        <f t="shared" ca="1" si="4"/>
        <v>112</v>
      </c>
      <c r="B124" s="263" t="str">
        <f t="shared" ca="1" si="5"/>
        <v xml:space="preserve"> </v>
      </c>
      <c r="C124" s="264">
        <f t="shared" ca="1" si="6"/>
        <v>20</v>
      </c>
      <c r="D124" s="491">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ht="15" x14ac:dyDescent="0.25">
      <c r="A125">
        <f t="shared" ca="1" si="4"/>
        <v>113</v>
      </c>
      <c r="B125" s="263" t="str">
        <f t="shared" ca="1" si="5"/>
        <v xml:space="preserve"> </v>
      </c>
      <c r="C125" s="264">
        <f t="shared" ca="1" si="6"/>
        <v>21</v>
      </c>
      <c r="D125" s="491">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ht="15" x14ac:dyDescent="0.25">
      <c r="A126">
        <f t="shared" ca="1" si="4"/>
        <v>114</v>
      </c>
      <c r="B126" s="263" t="str">
        <f t="shared" ca="1" si="5"/>
        <v xml:space="preserve"> </v>
      </c>
      <c r="C126" s="264">
        <f t="shared" ca="1" si="6"/>
        <v>22</v>
      </c>
      <c r="D126" s="491">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ht="15" x14ac:dyDescent="0.25">
      <c r="A127">
        <f t="shared" ca="1" si="4"/>
        <v>115</v>
      </c>
      <c r="B127" s="263" t="str">
        <f t="shared" ca="1" si="5"/>
        <v xml:space="preserve"> </v>
      </c>
      <c r="C127" s="264">
        <f t="shared" ca="1" si="6"/>
        <v>23</v>
      </c>
      <c r="D127" s="491">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ht="15" x14ac:dyDescent="0.25">
      <c r="A128">
        <f t="shared" ca="1" si="4"/>
        <v>116</v>
      </c>
      <c r="B128" s="263" t="str">
        <f t="shared" ca="1" si="5"/>
        <v xml:space="preserve"> </v>
      </c>
      <c r="C128" s="264">
        <f t="shared" ca="1" si="6"/>
        <v>24</v>
      </c>
      <c r="D128" s="491">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ht="15" x14ac:dyDescent="0.25">
      <c r="A129">
        <f t="shared" ca="1" si="4"/>
        <v>117</v>
      </c>
      <c r="B129" s="263" t="str">
        <f t="shared" ca="1" si="5"/>
        <v xml:space="preserve"> </v>
      </c>
      <c r="C129" s="264">
        <f t="shared" ca="1" si="6"/>
        <v>25</v>
      </c>
      <c r="D129" s="491">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ht="15" x14ac:dyDescent="0.25">
      <c r="A130">
        <f t="shared" ca="1" si="4"/>
        <v>118</v>
      </c>
      <c r="B130" s="263" t="str">
        <f t="shared" ca="1" si="5"/>
        <v xml:space="preserve"> </v>
      </c>
      <c r="C130" s="264">
        <f t="shared" ca="1" si="6"/>
        <v>26</v>
      </c>
      <c r="D130" s="491">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ht="15" x14ac:dyDescent="0.25">
      <c r="A131">
        <f t="shared" ca="1" si="4"/>
        <v>119</v>
      </c>
      <c r="B131" s="263" t="str">
        <f t="shared" ca="1" si="5"/>
        <v xml:space="preserve"> </v>
      </c>
      <c r="C131" s="264">
        <f t="shared" ca="1" si="6"/>
        <v>27</v>
      </c>
      <c r="D131" s="491">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ht="15" x14ac:dyDescent="0.25">
      <c r="A132">
        <f t="shared" ca="1" si="4"/>
        <v>120</v>
      </c>
      <c r="B132" s="263" t="str">
        <f t="shared" ca="1" si="5"/>
        <v xml:space="preserve"> </v>
      </c>
      <c r="C132" s="264">
        <f t="shared" ca="1" si="6"/>
        <v>28</v>
      </c>
      <c r="D132" s="491">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ht="15" x14ac:dyDescent="0.25">
      <c r="A133">
        <f t="shared" ca="1" si="4"/>
        <v>121</v>
      </c>
      <c r="B133" s="263" t="str">
        <f t="shared" ca="1" si="5"/>
        <v xml:space="preserve"> </v>
      </c>
      <c r="C133" s="264">
        <f t="shared" ca="1" si="6"/>
        <v>29</v>
      </c>
      <c r="D133" s="491">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ht="15" x14ac:dyDescent="0.25">
      <c r="A134">
        <f t="shared" ca="1" si="4"/>
        <v>122</v>
      </c>
      <c r="B134" s="263" t="str">
        <f t="shared" ca="1" si="5"/>
        <v xml:space="preserve"> </v>
      </c>
      <c r="C134" s="264">
        <f t="shared" ca="1" si="6"/>
        <v>30</v>
      </c>
      <c r="D134" s="491">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ht="15" x14ac:dyDescent="0.25">
      <c r="A135">
        <f t="shared" ca="1" si="4"/>
        <v>123</v>
      </c>
      <c r="B135" s="263" t="str">
        <f t="shared" ca="1" si="5"/>
        <v xml:space="preserve"> </v>
      </c>
      <c r="C135" s="264">
        <f t="shared" ca="1" si="6"/>
        <v>31</v>
      </c>
      <c r="D135" s="491">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ht="15" x14ac:dyDescent="0.25">
      <c r="A136">
        <f t="shared" ca="1" si="4"/>
        <v>124</v>
      </c>
      <c r="B136" s="263" t="str">
        <f t="shared" ca="1" si="5"/>
        <v xml:space="preserve"> </v>
      </c>
      <c r="C136" s="264">
        <f t="shared" ca="1" si="6"/>
        <v>32</v>
      </c>
      <c r="D136" s="491">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ht="15" x14ac:dyDescent="0.25">
      <c r="A137">
        <f t="shared" ca="1" si="4"/>
        <v>125</v>
      </c>
      <c r="B137" s="263" t="str">
        <f t="shared" ca="1" si="5"/>
        <v xml:space="preserve"> </v>
      </c>
      <c r="C137" s="264">
        <f t="shared" ca="1" si="6"/>
        <v>33</v>
      </c>
      <c r="D137" s="491">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ht="15" x14ac:dyDescent="0.25">
      <c r="A138">
        <f t="shared" ca="1" si="4"/>
        <v>126</v>
      </c>
      <c r="B138" s="263" t="str">
        <f t="shared" ca="1" si="5"/>
        <v xml:space="preserve"> </v>
      </c>
      <c r="C138" s="264">
        <f t="shared" ca="1" si="6"/>
        <v>34</v>
      </c>
      <c r="D138" s="491">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ht="15" x14ac:dyDescent="0.25">
      <c r="A139">
        <f t="shared" ca="1" si="4"/>
        <v>127</v>
      </c>
      <c r="B139" s="263" t="str">
        <f t="shared" ca="1" si="5"/>
        <v xml:space="preserve"> </v>
      </c>
      <c r="C139" s="264">
        <f t="shared" ca="1" si="6"/>
        <v>35</v>
      </c>
      <c r="D139" s="491">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ht="15" x14ac:dyDescent="0.25">
      <c r="A140">
        <f t="shared" ca="1" si="4"/>
        <v>128</v>
      </c>
      <c r="B140" s="263" t="str">
        <f t="shared" ca="1" si="5"/>
        <v xml:space="preserve"> </v>
      </c>
      <c r="C140" s="264">
        <f t="shared" ca="1" si="6"/>
        <v>36</v>
      </c>
      <c r="D140" s="491">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ht="15" x14ac:dyDescent="0.25">
      <c r="A141">
        <f t="shared" ref="A141:A204" ca="1" si="8">IF(BC141&lt;&gt;"",ROW(A129),"")</f>
        <v>129</v>
      </c>
      <c r="B141" s="263" t="str">
        <f t="shared" ca="1" si="5"/>
        <v xml:space="preserve"> </v>
      </c>
      <c r="C141" s="264">
        <f t="shared" ca="1" si="6"/>
        <v>37</v>
      </c>
      <c r="D141" s="491">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ht="15"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491">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ht="15" x14ac:dyDescent="0.25">
      <c r="A143">
        <f t="shared" ca="1" si="8"/>
        <v>131</v>
      </c>
      <c r="B143" s="263" t="str">
        <f t="shared" ca="1" si="9"/>
        <v xml:space="preserve"> </v>
      </c>
      <c r="C143" s="264">
        <f t="shared" ca="1" si="10"/>
        <v>39</v>
      </c>
      <c r="D143" s="491">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ht="15" x14ac:dyDescent="0.25">
      <c r="A144">
        <f t="shared" ca="1" si="8"/>
        <v>132</v>
      </c>
      <c r="B144" s="263" t="str">
        <f t="shared" ca="1" si="9"/>
        <v xml:space="preserve"> </v>
      </c>
      <c r="C144" s="264">
        <f t="shared" ca="1" si="10"/>
        <v>40</v>
      </c>
      <c r="D144" s="491">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ht="15" x14ac:dyDescent="0.25">
      <c r="A145">
        <f t="shared" ca="1" si="8"/>
        <v>133</v>
      </c>
      <c r="B145" s="263" t="str">
        <f t="shared" ca="1" si="9"/>
        <v xml:space="preserve"> </v>
      </c>
      <c r="C145" s="264">
        <f t="shared" ca="1" si="10"/>
        <v>41</v>
      </c>
      <c r="D145" s="491">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ht="15" x14ac:dyDescent="0.25">
      <c r="A146">
        <f t="shared" ca="1" si="8"/>
        <v>134</v>
      </c>
      <c r="B146" s="263" t="str">
        <f t="shared" ca="1" si="9"/>
        <v xml:space="preserve"> </v>
      </c>
      <c r="C146" s="264">
        <f t="shared" ca="1" si="10"/>
        <v>42</v>
      </c>
      <c r="D146" s="491">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ht="15" x14ac:dyDescent="0.25">
      <c r="A147">
        <f t="shared" ca="1" si="8"/>
        <v>135</v>
      </c>
      <c r="B147" s="263" t="str">
        <f t="shared" ca="1" si="9"/>
        <v xml:space="preserve"> </v>
      </c>
      <c r="C147" s="264">
        <f t="shared" ca="1" si="10"/>
        <v>43</v>
      </c>
      <c r="D147" s="491">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ht="15" x14ac:dyDescent="0.25">
      <c r="A148">
        <f t="shared" ca="1" si="8"/>
        <v>136</v>
      </c>
      <c r="B148" s="263" t="str">
        <f t="shared" ca="1" si="9"/>
        <v xml:space="preserve"> </v>
      </c>
      <c r="C148" s="264">
        <f t="shared" ca="1" si="10"/>
        <v>44</v>
      </c>
      <c r="D148" s="491">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ht="15" x14ac:dyDescent="0.25">
      <c r="A149">
        <f t="shared" ca="1" si="8"/>
        <v>137</v>
      </c>
      <c r="B149" s="263" t="str">
        <f t="shared" ca="1" si="9"/>
        <v xml:space="preserve"> </v>
      </c>
      <c r="C149" s="264">
        <f t="shared" ca="1" si="10"/>
        <v>45</v>
      </c>
      <c r="D149" s="491">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ht="15" x14ac:dyDescent="0.25">
      <c r="A150">
        <f t="shared" ca="1" si="8"/>
        <v>138</v>
      </c>
      <c r="B150" s="263" t="str">
        <f t="shared" ca="1" si="9"/>
        <v xml:space="preserve"> </v>
      </c>
      <c r="C150" s="264">
        <f t="shared" ca="1" si="10"/>
        <v>46</v>
      </c>
      <c r="D150" s="491">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ht="15" x14ac:dyDescent="0.25">
      <c r="A151">
        <f t="shared" ca="1" si="8"/>
        <v>139</v>
      </c>
      <c r="B151" s="263" t="str">
        <f t="shared" ca="1" si="9"/>
        <v xml:space="preserve"> </v>
      </c>
      <c r="C151" s="264">
        <f t="shared" ca="1" si="10"/>
        <v>47</v>
      </c>
      <c r="D151" s="491">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ht="15" x14ac:dyDescent="0.25">
      <c r="A152">
        <f t="shared" ca="1" si="8"/>
        <v>140</v>
      </c>
      <c r="B152" s="263" t="str">
        <f t="shared" ca="1" si="9"/>
        <v xml:space="preserve"> </v>
      </c>
      <c r="C152" s="264">
        <f t="shared" ca="1" si="10"/>
        <v>48</v>
      </c>
      <c r="D152" s="491">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ht="15" x14ac:dyDescent="0.25">
      <c r="A153">
        <f t="shared" ca="1" si="8"/>
        <v>141</v>
      </c>
      <c r="B153" s="263" t="str">
        <f t="shared" ca="1" si="9"/>
        <v xml:space="preserve"> </v>
      </c>
      <c r="C153" s="264">
        <f t="shared" ca="1" si="10"/>
        <v>49</v>
      </c>
      <c r="D153" s="491">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ht="15" x14ac:dyDescent="0.25">
      <c r="A154">
        <f t="shared" ca="1" si="8"/>
        <v>142</v>
      </c>
      <c r="B154" s="263" t="str">
        <f t="shared" ca="1" si="9"/>
        <v xml:space="preserve"> </v>
      </c>
      <c r="C154" s="264">
        <f t="shared" ca="1" si="10"/>
        <v>50</v>
      </c>
      <c r="D154" s="491">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ht="15" x14ac:dyDescent="0.25">
      <c r="A155">
        <f t="shared" ca="1" si="8"/>
        <v>143</v>
      </c>
      <c r="B155" s="263" t="str">
        <f t="shared" ca="1" si="9"/>
        <v xml:space="preserve"> </v>
      </c>
      <c r="C155" s="264">
        <f t="shared" ca="1" si="10"/>
        <v>51</v>
      </c>
      <c r="D155" s="491">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ht="15" x14ac:dyDescent="0.25">
      <c r="A156">
        <f t="shared" ca="1" si="8"/>
        <v>144</v>
      </c>
      <c r="B156" s="263" t="str">
        <f t="shared" ca="1" si="9"/>
        <v xml:space="preserve"> </v>
      </c>
      <c r="C156" s="264">
        <f t="shared" ca="1" si="10"/>
        <v>52</v>
      </c>
      <c r="D156" s="491">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ht="15" x14ac:dyDescent="0.25">
      <c r="A157">
        <f t="shared" ca="1" si="8"/>
        <v>145</v>
      </c>
      <c r="B157" s="263" t="str">
        <f t="shared" ca="1" si="9"/>
        <v xml:space="preserve"> </v>
      </c>
      <c r="C157" s="264">
        <f t="shared" ca="1" si="10"/>
        <v>1</v>
      </c>
      <c r="D157" s="491">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ht="15" x14ac:dyDescent="0.25">
      <c r="A158">
        <f t="shared" ca="1" si="8"/>
        <v>146</v>
      </c>
      <c r="B158" s="263">
        <f t="shared" ca="1" si="9"/>
        <v>2019</v>
      </c>
      <c r="C158" s="264">
        <f t="shared" ca="1" si="10"/>
        <v>2</v>
      </c>
      <c r="D158" s="491">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ht="15" x14ac:dyDescent="0.25">
      <c r="A159">
        <f t="shared" ca="1" si="8"/>
        <v>147</v>
      </c>
      <c r="B159" s="263" t="str">
        <f t="shared" ca="1" si="9"/>
        <v xml:space="preserve"> </v>
      </c>
      <c r="C159" s="264">
        <f t="shared" ca="1" si="10"/>
        <v>3</v>
      </c>
      <c r="D159" s="491">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ht="15" x14ac:dyDescent="0.25">
      <c r="A160">
        <f t="shared" ca="1" si="8"/>
        <v>148</v>
      </c>
      <c r="B160" s="263" t="str">
        <f t="shared" ca="1" si="9"/>
        <v xml:space="preserve"> </v>
      </c>
      <c r="C160" s="264">
        <f t="shared" ca="1" si="10"/>
        <v>4</v>
      </c>
      <c r="D160" s="491">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ht="15" x14ac:dyDescent="0.25">
      <c r="A161">
        <f t="shared" ca="1" si="8"/>
        <v>149</v>
      </c>
      <c r="B161" s="263" t="str">
        <f t="shared" ca="1" si="9"/>
        <v xml:space="preserve"> </v>
      </c>
      <c r="C161" s="264">
        <f t="shared" ca="1" si="10"/>
        <v>5</v>
      </c>
      <c r="D161" s="491">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ht="15" x14ac:dyDescent="0.25">
      <c r="A162">
        <f t="shared" ca="1" si="8"/>
        <v>150</v>
      </c>
      <c r="B162" s="263" t="str">
        <f t="shared" ca="1" si="9"/>
        <v xml:space="preserve"> </v>
      </c>
      <c r="C162" s="264">
        <f t="shared" ca="1" si="10"/>
        <v>6</v>
      </c>
      <c r="D162" s="491">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ht="15" x14ac:dyDescent="0.25">
      <c r="A163">
        <f t="shared" ca="1" si="8"/>
        <v>151</v>
      </c>
      <c r="B163" s="263" t="str">
        <f t="shared" ca="1" si="9"/>
        <v xml:space="preserve"> </v>
      </c>
      <c r="C163" s="264">
        <f t="shared" ca="1" si="10"/>
        <v>7</v>
      </c>
      <c r="D163" s="491">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ht="15" x14ac:dyDescent="0.25">
      <c r="A164" t="str">
        <f t="shared" ca="1" si="8"/>
        <v/>
      </c>
      <c r="B164" s="263" t="str">
        <f t="shared" ca="1" si="9"/>
        <v xml:space="preserve"> </v>
      </c>
      <c r="C164" s="264" t="str">
        <f t="shared" ca="1" si="10"/>
        <v/>
      </c>
      <c r="D164" s="491"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ht="15" x14ac:dyDescent="0.25">
      <c r="A165" t="str">
        <f t="shared" ca="1" si="8"/>
        <v/>
      </c>
      <c r="B165" s="263" t="str">
        <f t="shared" ca="1" si="9"/>
        <v xml:space="preserve"> </v>
      </c>
      <c r="C165" s="264" t="str">
        <f t="shared" ca="1" si="10"/>
        <v/>
      </c>
      <c r="D165" s="491"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ht="15" x14ac:dyDescent="0.25">
      <c r="A166" t="str">
        <f t="shared" ca="1" si="8"/>
        <v/>
      </c>
      <c r="B166" s="263" t="str">
        <f t="shared" ca="1" si="9"/>
        <v xml:space="preserve"> </v>
      </c>
      <c r="C166" s="264" t="str">
        <f t="shared" ca="1" si="10"/>
        <v/>
      </c>
      <c r="D166" s="491"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ht="15" x14ac:dyDescent="0.25">
      <c r="A167" t="str">
        <f t="shared" ca="1" si="8"/>
        <v/>
      </c>
      <c r="B167" s="263" t="str">
        <f t="shared" ca="1" si="9"/>
        <v xml:space="preserve"> </v>
      </c>
      <c r="C167" s="264" t="str">
        <f t="shared" ca="1" si="10"/>
        <v/>
      </c>
      <c r="D167" s="491"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ht="15" x14ac:dyDescent="0.25">
      <c r="A168" t="str">
        <f t="shared" ca="1" si="8"/>
        <v/>
      </c>
      <c r="B168" s="263" t="str">
        <f t="shared" ca="1" si="9"/>
        <v xml:space="preserve"> </v>
      </c>
      <c r="C168" s="264" t="str">
        <f t="shared" ca="1" si="10"/>
        <v/>
      </c>
      <c r="D168" s="491"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ht="15" x14ac:dyDescent="0.25">
      <c r="A169" t="str">
        <f t="shared" ca="1" si="8"/>
        <v/>
      </c>
      <c r="B169" s="263" t="str">
        <f t="shared" ca="1" si="9"/>
        <v xml:space="preserve"> </v>
      </c>
      <c r="C169" s="264" t="str">
        <f t="shared" ca="1" si="10"/>
        <v/>
      </c>
      <c r="D169" s="491"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ht="15" x14ac:dyDescent="0.25">
      <c r="A170" t="str">
        <f t="shared" ca="1" si="8"/>
        <v/>
      </c>
      <c r="B170" s="263" t="str">
        <f t="shared" ca="1" si="9"/>
        <v xml:space="preserve"> </v>
      </c>
      <c r="C170" s="264" t="str">
        <f t="shared" ca="1" si="10"/>
        <v/>
      </c>
      <c r="D170" s="491"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ht="15" x14ac:dyDescent="0.25">
      <c r="A171" t="str">
        <f t="shared" ca="1" si="8"/>
        <v/>
      </c>
      <c r="B171" s="263" t="str">
        <f t="shared" ca="1" si="9"/>
        <v xml:space="preserve"> </v>
      </c>
      <c r="C171" s="264" t="str">
        <f t="shared" ca="1" si="10"/>
        <v/>
      </c>
      <c r="D171" s="491"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ht="15" x14ac:dyDescent="0.25">
      <c r="A172" t="str">
        <f t="shared" ca="1" si="8"/>
        <v/>
      </c>
      <c r="B172" s="263" t="str">
        <f t="shared" ca="1" si="9"/>
        <v xml:space="preserve"> </v>
      </c>
      <c r="C172" s="264" t="str">
        <f t="shared" ca="1" si="10"/>
        <v/>
      </c>
      <c r="D172" s="491"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ht="15" x14ac:dyDescent="0.25">
      <c r="A173" t="str">
        <f t="shared" ca="1" si="8"/>
        <v/>
      </c>
      <c r="B173" s="263" t="str">
        <f t="shared" ca="1" si="9"/>
        <v xml:space="preserve"> </v>
      </c>
      <c r="C173" s="264" t="str">
        <f t="shared" ca="1" si="10"/>
        <v/>
      </c>
      <c r="D173" s="491"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ht="15" x14ac:dyDescent="0.25">
      <c r="A174" t="str">
        <f t="shared" ca="1" si="8"/>
        <v/>
      </c>
      <c r="B174" s="263" t="str">
        <f t="shared" ca="1" si="9"/>
        <v xml:space="preserve"> </v>
      </c>
      <c r="C174" s="264" t="str">
        <f t="shared" ca="1" si="10"/>
        <v/>
      </c>
      <c r="D174" s="491"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ht="15" x14ac:dyDescent="0.25">
      <c r="A175" t="str">
        <f t="shared" ca="1" si="8"/>
        <v/>
      </c>
      <c r="B175" s="263" t="str">
        <f t="shared" ca="1" si="9"/>
        <v xml:space="preserve"> </v>
      </c>
      <c r="C175" s="264" t="str">
        <f t="shared" ca="1" si="10"/>
        <v/>
      </c>
      <c r="D175" s="491"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ht="15" x14ac:dyDescent="0.25">
      <c r="A176" t="str">
        <f t="shared" ca="1" si="8"/>
        <v/>
      </c>
      <c r="B176" s="263" t="str">
        <f t="shared" ca="1" si="9"/>
        <v xml:space="preserve"> </v>
      </c>
      <c r="C176" s="264" t="str">
        <f t="shared" ca="1" si="10"/>
        <v/>
      </c>
      <c r="D176" s="491"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ht="15" x14ac:dyDescent="0.25">
      <c r="A177" t="str">
        <f t="shared" ca="1" si="8"/>
        <v/>
      </c>
      <c r="B177" s="263" t="str">
        <f t="shared" ca="1" si="9"/>
        <v xml:space="preserve"> </v>
      </c>
      <c r="C177" s="264" t="str">
        <f t="shared" ca="1" si="10"/>
        <v/>
      </c>
      <c r="D177" s="491"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ht="15" x14ac:dyDescent="0.25">
      <c r="A178" t="str">
        <f t="shared" ca="1" si="8"/>
        <v/>
      </c>
      <c r="B178" s="263" t="str">
        <f t="shared" ca="1" si="9"/>
        <v xml:space="preserve"> </v>
      </c>
      <c r="C178" s="264" t="str">
        <f t="shared" ca="1" si="10"/>
        <v/>
      </c>
      <c r="D178" s="491"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ht="15" x14ac:dyDescent="0.25">
      <c r="A179" t="str">
        <f t="shared" ca="1" si="8"/>
        <v/>
      </c>
      <c r="B179" s="263" t="str">
        <f t="shared" ca="1" si="9"/>
        <v xml:space="preserve"> </v>
      </c>
      <c r="C179" s="264" t="str">
        <f t="shared" ca="1" si="10"/>
        <v/>
      </c>
      <c r="D179" s="491"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ht="15" x14ac:dyDescent="0.25">
      <c r="A180" t="str">
        <f t="shared" ca="1" si="8"/>
        <v/>
      </c>
      <c r="B180" s="263" t="str">
        <f t="shared" ca="1" si="9"/>
        <v xml:space="preserve"> </v>
      </c>
      <c r="C180" s="264" t="str">
        <f t="shared" ca="1" si="10"/>
        <v/>
      </c>
      <c r="D180" s="491"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ht="15" x14ac:dyDescent="0.25">
      <c r="A181" t="str">
        <f t="shared" ca="1" si="8"/>
        <v/>
      </c>
      <c r="B181" s="263" t="str">
        <f t="shared" ca="1" si="9"/>
        <v xml:space="preserve"> </v>
      </c>
      <c r="C181" s="264" t="str">
        <f t="shared" ca="1" si="10"/>
        <v/>
      </c>
      <c r="D181" s="491"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ht="15" x14ac:dyDescent="0.25">
      <c r="A182" t="str">
        <f t="shared" ca="1" si="8"/>
        <v/>
      </c>
      <c r="B182" s="263" t="str">
        <f t="shared" ca="1" si="9"/>
        <v xml:space="preserve"> </v>
      </c>
      <c r="C182" s="264" t="str">
        <f t="shared" ca="1" si="10"/>
        <v/>
      </c>
      <c r="D182" s="491"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ht="15" x14ac:dyDescent="0.25">
      <c r="A183" t="str">
        <f t="shared" ca="1" si="8"/>
        <v/>
      </c>
      <c r="B183" s="263" t="str">
        <f t="shared" ca="1" si="9"/>
        <v xml:space="preserve"> </v>
      </c>
      <c r="C183" s="264" t="str">
        <f t="shared" ca="1" si="10"/>
        <v/>
      </c>
      <c r="D183" s="491"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ht="15" x14ac:dyDescent="0.25">
      <c r="A184" t="str">
        <f t="shared" ca="1" si="8"/>
        <v/>
      </c>
      <c r="B184" s="263" t="str">
        <f t="shared" ca="1" si="9"/>
        <v xml:space="preserve"> </v>
      </c>
      <c r="C184" s="264" t="str">
        <f t="shared" ca="1" si="10"/>
        <v/>
      </c>
      <c r="D184" s="491"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ht="15" x14ac:dyDescent="0.25">
      <c r="A185" t="str">
        <f t="shared" ca="1" si="8"/>
        <v/>
      </c>
      <c r="B185" s="263" t="str">
        <f t="shared" ca="1" si="9"/>
        <v xml:space="preserve"> </v>
      </c>
      <c r="C185" s="264" t="str">
        <f t="shared" ca="1" si="10"/>
        <v/>
      </c>
      <c r="D185" s="491"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ht="15" x14ac:dyDescent="0.25">
      <c r="A186" t="str">
        <f t="shared" ca="1" si="8"/>
        <v/>
      </c>
      <c r="B186" s="263" t="str">
        <f t="shared" ca="1" si="9"/>
        <v xml:space="preserve"> </v>
      </c>
      <c r="C186" s="264" t="str">
        <f t="shared" ca="1" si="10"/>
        <v/>
      </c>
      <c r="D186" s="491"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ht="15" x14ac:dyDescent="0.25">
      <c r="A187" t="str">
        <f t="shared" ca="1" si="8"/>
        <v/>
      </c>
      <c r="B187" s="263" t="str">
        <f t="shared" ca="1" si="9"/>
        <v xml:space="preserve"> </v>
      </c>
      <c r="C187" s="264" t="str">
        <f t="shared" ca="1" si="10"/>
        <v/>
      </c>
      <c r="D187" s="491"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ht="15" x14ac:dyDescent="0.25">
      <c r="A188" t="str">
        <f t="shared" ca="1" si="8"/>
        <v/>
      </c>
      <c r="B188" s="263" t="str">
        <f t="shared" ca="1" si="9"/>
        <v xml:space="preserve"> </v>
      </c>
      <c r="C188" s="264" t="str">
        <f t="shared" ca="1" si="10"/>
        <v/>
      </c>
      <c r="D188" s="491"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ht="15" x14ac:dyDescent="0.25">
      <c r="A189" t="str">
        <f t="shared" ca="1" si="8"/>
        <v/>
      </c>
      <c r="B189" s="263" t="str">
        <f t="shared" ca="1" si="9"/>
        <v xml:space="preserve"> </v>
      </c>
      <c r="C189" s="264" t="str">
        <f t="shared" ca="1" si="10"/>
        <v/>
      </c>
      <c r="D189" s="491"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ht="15" x14ac:dyDescent="0.25">
      <c r="A190" t="str">
        <f t="shared" ca="1" si="8"/>
        <v/>
      </c>
      <c r="B190" s="263" t="str">
        <f t="shared" ca="1" si="9"/>
        <v xml:space="preserve"> </v>
      </c>
      <c r="C190" s="264" t="str">
        <f t="shared" ca="1" si="10"/>
        <v/>
      </c>
      <c r="D190" s="491"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ht="15" x14ac:dyDescent="0.25">
      <c r="A191" t="str">
        <f t="shared" ca="1" si="8"/>
        <v/>
      </c>
      <c r="B191" s="263" t="str">
        <f t="shared" ca="1" si="9"/>
        <v xml:space="preserve"> </v>
      </c>
      <c r="C191" s="264" t="str">
        <f t="shared" ca="1" si="10"/>
        <v/>
      </c>
      <c r="D191" s="491"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ht="15" x14ac:dyDescent="0.25">
      <c r="A192" t="str">
        <f t="shared" ca="1" si="8"/>
        <v/>
      </c>
      <c r="B192" s="263" t="str">
        <f t="shared" ca="1" si="9"/>
        <v xml:space="preserve"> </v>
      </c>
      <c r="C192" s="264" t="str">
        <f t="shared" ca="1" si="10"/>
        <v/>
      </c>
      <c r="D192" s="491"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ht="15" x14ac:dyDescent="0.25">
      <c r="A193" t="str">
        <f t="shared" ca="1" si="8"/>
        <v/>
      </c>
      <c r="B193" s="263" t="str">
        <f t="shared" ca="1" si="9"/>
        <v xml:space="preserve"> </v>
      </c>
      <c r="C193" s="264" t="str">
        <f t="shared" ca="1" si="10"/>
        <v/>
      </c>
      <c r="D193" s="491"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ht="15" x14ac:dyDescent="0.25">
      <c r="A194" t="str">
        <f t="shared" ca="1" si="8"/>
        <v/>
      </c>
      <c r="B194" s="263" t="str">
        <f t="shared" ca="1" si="9"/>
        <v xml:space="preserve"> </v>
      </c>
      <c r="C194" s="264" t="str">
        <f t="shared" ca="1" si="10"/>
        <v/>
      </c>
      <c r="D194" s="491"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ht="15" x14ac:dyDescent="0.25">
      <c r="A195" t="str">
        <f t="shared" ca="1" si="8"/>
        <v/>
      </c>
      <c r="B195" s="263" t="str">
        <f t="shared" ca="1" si="9"/>
        <v xml:space="preserve"> </v>
      </c>
      <c r="C195" s="264" t="str">
        <f t="shared" ca="1" si="10"/>
        <v/>
      </c>
      <c r="D195" s="491"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ht="15" x14ac:dyDescent="0.25">
      <c r="A196" t="str">
        <f t="shared" ca="1" si="8"/>
        <v/>
      </c>
      <c r="B196" s="263" t="str">
        <f t="shared" ca="1" si="9"/>
        <v xml:space="preserve"> </v>
      </c>
      <c r="C196" s="264" t="str">
        <f t="shared" ca="1" si="10"/>
        <v/>
      </c>
      <c r="D196" s="491"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ht="15" x14ac:dyDescent="0.25">
      <c r="A197" t="str">
        <f t="shared" ca="1" si="8"/>
        <v/>
      </c>
      <c r="B197" s="263" t="str">
        <f t="shared" ca="1" si="9"/>
        <v xml:space="preserve"> </v>
      </c>
      <c r="C197" s="264" t="str">
        <f t="shared" ca="1" si="10"/>
        <v/>
      </c>
      <c r="D197" s="491"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ht="15" x14ac:dyDescent="0.25">
      <c r="A198" t="str">
        <f t="shared" ca="1" si="8"/>
        <v/>
      </c>
      <c r="B198" s="263" t="str">
        <f t="shared" ca="1" si="9"/>
        <v xml:space="preserve"> </v>
      </c>
      <c r="C198" s="264" t="str">
        <f t="shared" ca="1" si="10"/>
        <v/>
      </c>
      <c r="D198" s="491"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ht="15" x14ac:dyDescent="0.25">
      <c r="A199" t="str">
        <f t="shared" ca="1" si="8"/>
        <v/>
      </c>
      <c r="B199" s="263" t="str">
        <f t="shared" ca="1" si="9"/>
        <v xml:space="preserve"> </v>
      </c>
      <c r="C199" s="264" t="str">
        <f t="shared" ca="1" si="10"/>
        <v/>
      </c>
      <c r="D199" s="491"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ht="15" x14ac:dyDescent="0.25">
      <c r="A200" t="str">
        <f t="shared" ca="1" si="8"/>
        <v/>
      </c>
      <c r="B200" s="263" t="str">
        <f t="shared" ca="1" si="9"/>
        <v xml:space="preserve"> </v>
      </c>
      <c r="C200" s="264" t="str">
        <f t="shared" ca="1" si="10"/>
        <v/>
      </c>
      <c r="D200" s="491"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ht="15" x14ac:dyDescent="0.25">
      <c r="A201" t="str">
        <f t="shared" ca="1" si="8"/>
        <v/>
      </c>
      <c r="B201" s="263" t="str">
        <f t="shared" ca="1" si="9"/>
        <v xml:space="preserve"> </v>
      </c>
      <c r="C201" s="264" t="str">
        <f t="shared" ca="1" si="10"/>
        <v/>
      </c>
      <c r="D201" s="491"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ht="15" x14ac:dyDescent="0.25">
      <c r="A202" t="str">
        <f t="shared" ca="1" si="8"/>
        <v/>
      </c>
      <c r="B202" s="263" t="str">
        <f t="shared" ca="1" si="9"/>
        <v xml:space="preserve"> </v>
      </c>
      <c r="C202" s="264" t="str">
        <f t="shared" ca="1" si="10"/>
        <v/>
      </c>
      <c r="D202" s="491"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ht="15" x14ac:dyDescent="0.25">
      <c r="A203" t="str">
        <f t="shared" ca="1" si="8"/>
        <v/>
      </c>
      <c r="B203" s="263" t="str">
        <f t="shared" ca="1" si="9"/>
        <v xml:space="preserve"> </v>
      </c>
      <c r="C203" s="264" t="str">
        <f t="shared" ca="1" si="10"/>
        <v/>
      </c>
      <c r="D203" s="491"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ht="15" x14ac:dyDescent="0.25">
      <c r="A204" t="str">
        <f t="shared" ca="1" si="8"/>
        <v/>
      </c>
      <c r="B204" s="263" t="str">
        <f t="shared" ca="1" si="9"/>
        <v xml:space="preserve"> </v>
      </c>
      <c r="C204" s="264" t="str">
        <f t="shared" ca="1" si="10"/>
        <v/>
      </c>
      <c r="D204" s="491"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ht="15" x14ac:dyDescent="0.25">
      <c r="A205" t="str">
        <f t="shared" ref="A205:A268" ca="1" si="12">IF(BC205&lt;&gt;"",ROW(A193),"")</f>
        <v/>
      </c>
      <c r="B205" s="263" t="str">
        <f t="shared" ca="1" si="9"/>
        <v xml:space="preserve"> </v>
      </c>
      <c r="C205" s="264" t="str">
        <f t="shared" ca="1" si="10"/>
        <v/>
      </c>
      <c r="D205" s="491"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ht="15"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491"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ht="15" x14ac:dyDescent="0.25">
      <c r="A207" t="str">
        <f t="shared" ca="1" si="12"/>
        <v/>
      </c>
      <c r="B207" s="263" t="str">
        <f t="shared" ca="1" si="13"/>
        <v xml:space="preserve"> </v>
      </c>
      <c r="C207" s="264" t="str">
        <f t="shared" ca="1" si="14"/>
        <v/>
      </c>
      <c r="D207" s="491"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ht="15" x14ac:dyDescent="0.25">
      <c r="A208" t="str">
        <f t="shared" ca="1" si="12"/>
        <v/>
      </c>
      <c r="B208" s="263" t="str">
        <f t="shared" ca="1" si="13"/>
        <v xml:space="preserve"> </v>
      </c>
      <c r="C208" s="264" t="str">
        <f t="shared" ca="1" si="14"/>
        <v/>
      </c>
      <c r="D208" s="491"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ht="15" x14ac:dyDescent="0.25">
      <c r="A209" t="str">
        <f t="shared" ca="1" si="12"/>
        <v/>
      </c>
      <c r="B209" s="263" t="str">
        <f t="shared" ca="1" si="13"/>
        <v xml:space="preserve"> </v>
      </c>
      <c r="C209" s="264" t="str">
        <f t="shared" ca="1" si="14"/>
        <v/>
      </c>
      <c r="D209" s="491"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ht="15" x14ac:dyDescent="0.25">
      <c r="A210" t="str">
        <f t="shared" ca="1" si="12"/>
        <v/>
      </c>
      <c r="B210" s="263" t="str">
        <f t="shared" ca="1" si="13"/>
        <v xml:space="preserve"> </v>
      </c>
      <c r="C210" s="264" t="str">
        <f t="shared" ca="1" si="14"/>
        <v/>
      </c>
      <c r="D210" s="491"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ht="15" x14ac:dyDescent="0.25">
      <c r="A211" t="str">
        <f t="shared" ca="1" si="12"/>
        <v/>
      </c>
      <c r="B211" s="263" t="str">
        <f t="shared" ca="1" si="13"/>
        <v xml:space="preserve"> </v>
      </c>
      <c r="C211" s="264" t="str">
        <f t="shared" ca="1" si="14"/>
        <v/>
      </c>
      <c r="D211" s="491"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ht="15" x14ac:dyDescent="0.25">
      <c r="A212" t="str">
        <f t="shared" ca="1" si="12"/>
        <v/>
      </c>
      <c r="B212" s="263" t="str">
        <f t="shared" ca="1" si="13"/>
        <v xml:space="preserve"> </v>
      </c>
      <c r="C212" s="264" t="str">
        <f t="shared" ca="1" si="14"/>
        <v/>
      </c>
      <c r="D212" s="491"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ht="15" x14ac:dyDescent="0.25">
      <c r="A213" t="str">
        <f t="shared" ca="1" si="12"/>
        <v/>
      </c>
      <c r="B213" s="263" t="str">
        <f t="shared" ca="1" si="13"/>
        <v xml:space="preserve"> </v>
      </c>
      <c r="C213" s="264" t="str">
        <f t="shared" ca="1" si="14"/>
        <v/>
      </c>
      <c r="D213" s="491"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ht="15" x14ac:dyDescent="0.25">
      <c r="A214" t="str">
        <f t="shared" ca="1" si="12"/>
        <v/>
      </c>
      <c r="B214" s="263" t="str">
        <f t="shared" ca="1" si="13"/>
        <v xml:space="preserve"> </v>
      </c>
      <c r="C214" s="264" t="str">
        <f t="shared" ca="1" si="14"/>
        <v/>
      </c>
      <c r="D214" s="491"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ht="15" x14ac:dyDescent="0.25">
      <c r="A215" t="str">
        <f t="shared" ca="1" si="12"/>
        <v/>
      </c>
      <c r="B215" s="263" t="str">
        <f t="shared" ca="1" si="13"/>
        <v xml:space="preserve"> </v>
      </c>
      <c r="C215" s="264" t="str">
        <f t="shared" ca="1" si="14"/>
        <v/>
      </c>
      <c r="D215" s="491"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ht="15" x14ac:dyDescent="0.25">
      <c r="A216" t="str">
        <f t="shared" ca="1" si="12"/>
        <v/>
      </c>
      <c r="B216" s="263" t="str">
        <f t="shared" ca="1" si="13"/>
        <v xml:space="preserve"> </v>
      </c>
      <c r="C216" s="264" t="str">
        <f t="shared" ca="1" si="14"/>
        <v/>
      </c>
      <c r="D216" s="491"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ht="15" x14ac:dyDescent="0.25">
      <c r="A217" t="str">
        <f t="shared" ca="1" si="12"/>
        <v/>
      </c>
      <c r="B217" s="263" t="str">
        <f t="shared" ca="1" si="13"/>
        <v xml:space="preserve"> </v>
      </c>
      <c r="C217" s="264" t="str">
        <f t="shared" ca="1" si="14"/>
        <v/>
      </c>
      <c r="D217" s="491"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ht="15" x14ac:dyDescent="0.25">
      <c r="A218" t="str">
        <f t="shared" ca="1" si="12"/>
        <v/>
      </c>
      <c r="B218" s="263" t="str">
        <f t="shared" ca="1" si="13"/>
        <v xml:space="preserve"> </v>
      </c>
      <c r="C218" s="264" t="str">
        <f t="shared" ca="1" si="14"/>
        <v/>
      </c>
      <c r="D218" s="491"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ht="15" x14ac:dyDescent="0.25">
      <c r="A219" t="str">
        <f t="shared" ca="1" si="12"/>
        <v/>
      </c>
      <c r="B219" s="263" t="str">
        <f t="shared" ca="1" si="13"/>
        <v xml:space="preserve"> </v>
      </c>
      <c r="C219" s="264" t="str">
        <f t="shared" ca="1" si="14"/>
        <v/>
      </c>
      <c r="D219" s="491"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ht="15" x14ac:dyDescent="0.25">
      <c r="A220" t="str">
        <f t="shared" ca="1" si="12"/>
        <v/>
      </c>
      <c r="B220" s="263" t="str">
        <f t="shared" ca="1" si="13"/>
        <v xml:space="preserve"> </v>
      </c>
      <c r="C220" s="264" t="str">
        <f t="shared" ca="1" si="14"/>
        <v/>
      </c>
      <c r="D220" s="491"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ht="15" x14ac:dyDescent="0.25">
      <c r="A221" t="str">
        <f t="shared" ca="1" si="12"/>
        <v/>
      </c>
      <c r="B221" s="263" t="str">
        <f t="shared" ca="1" si="13"/>
        <v xml:space="preserve"> </v>
      </c>
      <c r="C221" s="264" t="str">
        <f t="shared" ca="1" si="14"/>
        <v/>
      </c>
      <c r="D221" s="491"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ht="15" x14ac:dyDescent="0.25">
      <c r="A222" t="str">
        <f t="shared" ca="1" si="12"/>
        <v/>
      </c>
      <c r="B222" s="263" t="str">
        <f t="shared" ca="1" si="13"/>
        <v xml:space="preserve"> </v>
      </c>
      <c r="C222" s="264" t="str">
        <f t="shared" ca="1" si="14"/>
        <v/>
      </c>
      <c r="D222" s="491"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ht="15" x14ac:dyDescent="0.25">
      <c r="A223" t="str">
        <f t="shared" ca="1" si="12"/>
        <v/>
      </c>
      <c r="B223" s="263" t="str">
        <f t="shared" ca="1" si="13"/>
        <v xml:space="preserve"> </v>
      </c>
      <c r="C223" s="264" t="str">
        <f t="shared" ca="1" si="14"/>
        <v/>
      </c>
      <c r="D223" s="491"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ht="15" x14ac:dyDescent="0.25">
      <c r="A224" t="str">
        <f t="shared" ca="1" si="12"/>
        <v/>
      </c>
      <c r="B224" s="263" t="str">
        <f t="shared" ca="1" si="13"/>
        <v xml:space="preserve"> </v>
      </c>
      <c r="C224" s="264" t="str">
        <f t="shared" ca="1" si="14"/>
        <v/>
      </c>
      <c r="D224" s="491"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ht="15" x14ac:dyDescent="0.25">
      <c r="A225" t="str">
        <f t="shared" ca="1" si="12"/>
        <v/>
      </c>
      <c r="B225" s="263" t="str">
        <f t="shared" ca="1" si="13"/>
        <v xml:space="preserve"> </v>
      </c>
      <c r="C225" s="264" t="str">
        <f t="shared" ca="1" si="14"/>
        <v/>
      </c>
      <c r="D225" s="491"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ht="15" x14ac:dyDescent="0.25">
      <c r="A226" t="str">
        <f t="shared" ca="1" si="12"/>
        <v/>
      </c>
      <c r="B226" s="263" t="str">
        <f t="shared" ca="1" si="13"/>
        <v xml:space="preserve"> </v>
      </c>
      <c r="C226" s="264" t="str">
        <f t="shared" ca="1" si="14"/>
        <v/>
      </c>
      <c r="D226" s="491"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ht="15" x14ac:dyDescent="0.25">
      <c r="A227" t="str">
        <f t="shared" ca="1" si="12"/>
        <v/>
      </c>
      <c r="B227" s="263" t="str">
        <f t="shared" ca="1" si="13"/>
        <v xml:space="preserve"> </v>
      </c>
      <c r="C227" s="264" t="str">
        <f t="shared" ca="1" si="14"/>
        <v/>
      </c>
      <c r="D227" s="491"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ht="15" x14ac:dyDescent="0.25">
      <c r="A228" t="str">
        <f t="shared" ca="1" si="12"/>
        <v/>
      </c>
      <c r="B228" s="263" t="str">
        <f t="shared" ca="1" si="13"/>
        <v xml:space="preserve"> </v>
      </c>
      <c r="C228" s="264" t="str">
        <f t="shared" ca="1" si="14"/>
        <v/>
      </c>
      <c r="D228" s="491"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ht="15" x14ac:dyDescent="0.25">
      <c r="A229" t="str">
        <f t="shared" ca="1" si="12"/>
        <v/>
      </c>
      <c r="B229" s="263" t="str">
        <f t="shared" ca="1" si="13"/>
        <v xml:space="preserve"> </v>
      </c>
      <c r="C229" s="264" t="str">
        <f t="shared" ca="1" si="14"/>
        <v/>
      </c>
      <c r="D229" s="491"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ht="15" x14ac:dyDescent="0.25">
      <c r="A230" t="str">
        <f t="shared" ca="1" si="12"/>
        <v/>
      </c>
      <c r="B230" s="263" t="str">
        <f t="shared" ca="1" si="13"/>
        <v xml:space="preserve"> </v>
      </c>
      <c r="C230" s="264" t="str">
        <f t="shared" ca="1" si="14"/>
        <v/>
      </c>
      <c r="D230" s="491"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ht="15" x14ac:dyDescent="0.25">
      <c r="A231" t="str">
        <f t="shared" ca="1" si="12"/>
        <v/>
      </c>
      <c r="B231" s="263" t="str">
        <f t="shared" ca="1" si="13"/>
        <v xml:space="preserve"> </v>
      </c>
      <c r="C231" s="264" t="str">
        <f t="shared" ca="1" si="14"/>
        <v/>
      </c>
      <c r="D231" s="491"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ht="15" x14ac:dyDescent="0.25">
      <c r="A232" t="str">
        <f t="shared" ca="1" si="12"/>
        <v/>
      </c>
      <c r="B232" s="263" t="str">
        <f t="shared" ca="1" si="13"/>
        <v xml:space="preserve"> </v>
      </c>
      <c r="C232" s="264" t="str">
        <f t="shared" ca="1" si="14"/>
        <v/>
      </c>
      <c r="D232" s="491"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ht="15" x14ac:dyDescent="0.25">
      <c r="A233" t="str">
        <f t="shared" ca="1" si="12"/>
        <v/>
      </c>
      <c r="B233" s="263" t="str">
        <f t="shared" ca="1" si="13"/>
        <v xml:space="preserve"> </v>
      </c>
      <c r="C233" s="264" t="str">
        <f t="shared" ca="1" si="14"/>
        <v/>
      </c>
      <c r="D233" s="491"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ht="15" x14ac:dyDescent="0.25">
      <c r="A234" t="str">
        <f t="shared" ca="1" si="12"/>
        <v/>
      </c>
      <c r="B234" s="263" t="str">
        <f t="shared" ca="1" si="13"/>
        <v xml:space="preserve"> </v>
      </c>
      <c r="C234" s="264" t="str">
        <f t="shared" ca="1" si="14"/>
        <v/>
      </c>
      <c r="D234" s="491"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ht="15" x14ac:dyDescent="0.25">
      <c r="A235" t="str">
        <f t="shared" ca="1" si="12"/>
        <v/>
      </c>
      <c r="B235" s="263" t="str">
        <f t="shared" ca="1" si="13"/>
        <v xml:space="preserve"> </v>
      </c>
      <c r="C235" s="264" t="str">
        <f t="shared" ca="1" si="14"/>
        <v/>
      </c>
      <c r="D235" s="491"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ht="15" x14ac:dyDescent="0.25">
      <c r="A236" t="str">
        <f t="shared" ca="1" si="12"/>
        <v/>
      </c>
      <c r="B236" s="263" t="str">
        <f t="shared" ca="1" si="13"/>
        <v xml:space="preserve"> </v>
      </c>
      <c r="C236" s="264" t="str">
        <f t="shared" ca="1" si="14"/>
        <v/>
      </c>
      <c r="D236" s="491"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ht="15" x14ac:dyDescent="0.25">
      <c r="A237" t="str">
        <f t="shared" ca="1" si="12"/>
        <v/>
      </c>
      <c r="B237" s="263" t="str">
        <f t="shared" ca="1" si="13"/>
        <v xml:space="preserve"> </v>
      </c>
      <c r="C237" s="264" t="str">
        <f t="shared" ca="1" si="14"/>
        <v/>
      </c>
      <c r="D237" s="491"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ht="15" x14ac:dyDescent="0.25">
      <c r="A238" t="str">
        <f t="shared" ca="1" si="12"/>
        <v/>
      </c>
      <c r="B238" s="263" t="str">
        <f t="shared" ca="1" si="13"/>
        <v xml:space="preserve"> </v>
      </c>
      <c r="C238" s="264" t="str">
        <f t="shared" ca="1" si="14"/>
        <v/>
      </c>
      <c r="D238" s="491"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ht="15" x14ac:dyDescent="0.25">
      <c r="A239" t="str">
        <f t="shared" ca="1" si="12"/>
        <v/>
      </c>
      <c r="B239" s="263" t="str">
        <f t="shared" ca="1" si="13"/>
        <v xml:space="preserve"> </v>
      </c>
      <c r="C239" s="264" t="str">
        <f t="shared" ca="1" si="14"/>
        <v/>
      </c>
      <c r="D239" s="491"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ht="15" x14ac:dyDescent="0.25">
      <c r="A240" t="str">
        <f t="shared" ca="1" si="12"/>
        <v/>
      </c>
      <c r="B240" s="263" t="str">
        <f t="shared" ca="1" si="13"/>
        <v xml:space="preserve"> </v>
      </c>
      <c r="C240" s="264" t="str">
        <f t="shared" ca="1" si="14"/>
        <v/>
      </c>
      <c r="D240" s="491"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ht="15" x14ac:dyDescent="0.25">
      <c r="A241" t="str">
        <f t="shared" ca="1" si="12"/>
        <v/>
      </c>
      <c r="B241" s="263" t="str">
        <f t="shared" ca="1" si="13"/>
        <v xml:space="preserve"> </v>
      </c>
      <c r="C241" s="264" t="str">
        <f t="shared" ca="1" si="14"/>
        <v/>
      </c>
      <c r="D241" s="491"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ht="15" x14ac:dyDescent="0.25">
      <c r="A242" t="str">
        <f t="shared" ca="1" si="12"/>
        <v/>
      </c>
      <c r="B242" s="263" t="str">
        <f t="shared" ca="1" si="13"/>
        <v xml:space="preserve"> </v>
      </c>
      <c r="C242" s="264" t="str">
        <f t="shared" ca="1" si="14"/>
        <v/>
      </c>
      <c r="D242" s="491"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ht="15" x14ac:dyDescent="0.25">
      <c r="A243" t="str">
        <f t="shared" ca="1" si="12"/>
        <v/>
      </c>
      <c r="B243" s="263" t="str">
        <f t="shared" ca="1" si="13"/>
        <v xml:space="preserve"> </v>
      </c>
      <c r="C243" s="264" t="str">
        <f t="shared" ca="1" si="14"/>
        <v/>
      </c>
      <c r="D243" s="491"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ht="15" x14ac:dyDescent="0.25">
      <c r="A244" t="str">
        <f t="shared" ca="1" si="12"/>
        <v/>
      </c>
      <c r="B244" s="263" t="str">
        <f t="shared" ca="1" si="13"/>
        <v xml:space="preserve"> </v>
      </c>
      <c r="C244" s="264" t="str">
        <f t="shared" ca="1" si="14"/>
        <v/>
      </c>
      <c r="D244" s="491"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ht="15" x14ac:dyDescent="0.25">
      <c r="A245" t="str">
        <f t="shared" ca="1" si="12"/>
        <v/>
      </c>
      <c r="B245" s="263" t="str">
        <f t="shared" ca="1" si="13"/>
        <v xml:space="preserve"> </v>
      </c>
      <c r="C245" s="264" t="str">
        <f t="shared" ca="1" si="14"/>
        <v/>
      </c>
      <c r="D245" s="491"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ht="15" x14ac:dyDescent="0.25">
      <c r="A246" t="str">
        <f t="shared" ca="1" si="12"/>
        <v/>
      </c>
      <c r="B246" s="263" t="str">
        <f t="shared" ca="1" si="13"/>
        <v xml:space="preserve"> </v>
      </c>
      <c r="C246" s="264" t="str">
        <f t="shared" ca="1" si="14"/>
        <v/>
      </c>
      <c r="D246" s="491"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ht="15" x14ac:dyDescent="0.25">
      <c r="A247" t="str">
        <f t="shared" ca="1" si="12"/>
        <v/>
      </c>
      <c r="B247" s="263" t="str">
        <f t="shared" ca="1" si="13"/>
        <v xml:space="preserve"> </v>
      </c>
      <c r="C247" s="264" t="str">
        <f t="shared" ca="1" si="14"/>
        <v/>
      </c>
      <c r="D247" s="491"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ht="15" x14ac:dyDescent="0.25">
      <c r="A248" t="str">
        <f t="shared" ca="1" si="12"/>
        <v/>
      </c>
      <c r="B248" s="263" t="str">
        <f t="shared" ca="1" si="13"/>
        <v xml:space="preserve"> </v>
      </c>
      <c r="C248" s="264" t="str">
        <f t="shared" ca="1" si="14"/>
        <v/>
      </c>
      <c r="D248" s="491"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ht="15" x14ac:dyDescent="0.25">
      <c r="A249" t="str">
        <f t="shared" ca="1" si="12"/>
        <v/>
      </c>
      <c r="B249" s="263" t="str">
        <f t="shared" ca="1" si="13"/>
        <v xml:space="preserve"> </v>
      </c>
      <c r="C249" s="264" t="str">
        <f t="shared" ca="1" si="14"/>
        <v/>
      </c>
      <c r="D249" s="491"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ht="15" x14ac:dyDescent="0.25">
      <c r="A250" t="str">
        <f t="shared" ca="1" si="12"/>
        <v/>
      </c>
      <c r="B250" s="263" t="str">
        <f t="shared" ca="1" si="13"/>
        <v xml:space="preserve"> </v>
      </c>
      <c r="C250" s="264" t="str">
        <f t="shared" ca="1" si="14"/>
        <v/>
      </c>
      <c r="D250" s="491"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ht="15" x14ac:dyDescent="0.25">
      <c r="A251" t="str">
        <f t="shared" ca="1" si="12"/>
        <v/>
      </c>
      <c r="B251" s="263" t="str">
        <f t="shared" ca="1" si="13"/>
        <v xml:space="preserve"> </v>
      </c>
      <c r="C251" s="264" t="str">
        <f t="shared" ca="1" si="14"/>
        <v/>
      </c>
      <c r="D251" s="491"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ht="15" x14ac:dyDescent="0.25">
      <c r="A252" t="str">
        <f t="shared" ca="1" si="12"/>
        <v/>
      </c>
      <c r="B252" s="263" t="str">
        <f t="shared" ca="1" si="13"/>
        <v xml:space="preserve"> </v>
      </c>
      <c r="C252" s="264" t="str">
        <f t="shared" ca="1" si="14"/>
        <v/>
      </c>
      <c r="D252" s="491"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ht="15" x14ac:dyDescent="0.25">
      <c r="A253" t="str">
        <f t="shared" ca="1" si="12"/>
        <v/>
      </c>
      <c r="B253" s="263" t="str">
        <f t="shared" ca="1" si="13"/>
        <v xml:space="preserve"> </v>
      </c>
      <c r="C253" s="264" t="str">
        <f t="shared" ca="1" si="14"/>
        <v/>
      </c>
      <c r="D253" s="491"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ht="15" x14ac:dyDescent="0.25">
      <c r="A254" t="str">
        <f t="shared" ca="1" si="12"/>
        <v/>
      </c>
      <c r="B254" s="263" t="str">
        <f t="shared" ca="1" si="13"/>
        <v xml:space="preserve"> </v>
      </c>
      <c r="C254" s="264" t="str">
        <f t="shared" ca="1" si="14"/>
        <v/>
      </c>
      <c r="D254" s="491"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ht="15" x14ac:dyDescent="0.25">
      <c r="A255" t="str">
        <f t="shared" ca="1" si="12"/>
        <v/>
      </c>
      <c r="B255" s="263" t="str">
        <f t="shared" ca="1" si="13"/>
        <v xml:space="preserve"> </v>
      </c>
      <c r="C255" s="264" t="str">
        <f t="shared" ca="1" si="14"/>
        <v/>
      </c>
      <c r="D255" s="491"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ht="15" x14ac:dyDescent="0.25">
      <c r="A256" t="str">
        <f t="shared" ca="1" si="12"/>
        <v/>
      </c>
      <c r="B256" s="263" t="str">
        <f t="shared" ca="1" si="13"/>
        <v xml:space="preserve"> </v>
      </c>
      <c r="C256" s="264" t="str">
        <f t="shared" ca="1" si="14"/>
        <v/>
      </c>
      <c r="D256" s="491"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ht="15" x14ac:dyDescent="0.25">
      <c r="A257" t="str">
        <f t="shared" ca="1" si="12"/>
        <v/>
      </c>
      <c r="B257" s="263" t="str">
        <f t="shared" ca="1" si="13"/>
        <v xml:space="preserve"> </v>
      </c>
      <c r="C257" s="264" t="str">
        <f t="shared" ca="1" si="14"/>
        <v/>
      </c>
      <c r="D257" s="491"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ht="15" x14ac:dyDescent="0.25">
      <c r="A258" t="str">
        <f t="shared" ca="1" si="12"/>
        <v/>
      </c>
      <c r="B258" s="263" t="str">
        <f t="shared" ca="1" si="13"/>
        <v xml:space="preserve"> </v>
      </c>
      <c r="C258" s="264" t="str">
        <f t="shared" ca="1" si="14"/>
        <v/>
      </c>
      <c r="D258" s="491"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ht="15" x14ac:dyDescent="0.25">
      <c r="A259" t="str">
        <f t="shared" ca="1" si="12"/>
        <v/>
      </c>
      <c r="B259" s="263" t="str">
        <f t="shared" ca="1" si="13"/>
        <v xml:space="preserve"> </v>
      </c>
      <c r="C259" s="264" t="str">
        <f t="shared" ca="1" si="14"/>
        <v/>
      </c>
      <c r="D259" s="491"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ht="15" x14ac:dyDescent="0.25">
      <c r="A260" t="str">
        <f t="shared" ca="1" si="12"/>
        <v/>
      </c>
      <c r="B260" s="263" t="str">
        <f t="shared" ca="1" si="13"/>
        <v xml:space="preserve"> </v>
      </c>
      <c r="C260" s="264" t="str">
        <f t="shared" ca="1" si="14"/>
        <v/>
      </c>
      <c r="D260" s="491"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ht="15" x14ac:dyDescent="0.25">
      <c r="A261" t="str">
        <f t="shared" ca="1" si="12"/>
        <v/>
      </c>
      <c r="B261" s="263" t="str">
        <f t="shared" ca="1" si="13"/>
        <v xml:space="preserve"> </v>
      </c>
      <c r="C261" s="264" t="str">
        <f t="shared" ca="1" si="14"/>
        <v/>
      </c>
      <c r="D261" s="491"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ht="15" x14ac:dyDescent="0.25">
      <c r="A262" t="str">
        <f t="shared" ca="1" si="12"/>
        <v/>
      </c>
      <c r="B262" s="263" t="str">
        <f t="shared" ca="1" si="13"/>
        <v xml:space="preserve"> </v>
      </c>
      <c r="C262" s="264" t="str">
        <f t="shared" ca="1" si="14"/>
        <v/>
      </c>
      <c r="D262" s="491"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ht="15" x14ac:dyDescent="0.25">
      <c r="A263" t="str">
        <f t="shared" ca="1" si="12"/>
        <v/>
      </c>
      <c r="B263" s="263" t="str">
        <f t="shared" ca="1" si="13"/>
        <v xml:space="preserve"> </v>
      </c>
      <c r="C263" s="264" t="str">
        <f t="shared" ca="1" si="14"/>
        <v/>
      </c>
      <c r="D263" s="491"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ht="15" x14ac:dyDescent="0.25">
      <c r="A264" t="str">
        <f t="shared" ca="1" si="12"/>
        <v/>
      </c>
      <c r="B264" s="263" t="str">
        <f t="shared" ca="1" si="13"/>
        <v xml:space="preserve"> </v>
      </c>
      <c r="C264" s="264" t="str">
        <f t="shared" ca="1" si="14"/>
        <v/>
      </c>
      <c r="D264" s="491"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ht="15" x14ac:dyDescent="0.25">
      <c r="A265" t="str">
        <f t="shared" ca="1" si="12"/>
        <v/>
      </c>
      <c r="B265" s="263" t="str">
        <f t="shared" ca="1" si="13"/>
        <v xml:space="preserve"> </v>
      </c>
      <c r="C265" s="264" t="str">
        <f t="shared" ca="1" si="14"/>
        <v/>
      </c>
      <c r="D265" s="491"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ht="15" x14ac:dyDescent="0.25">
      <c r="A266" t="str">
        <f t="shared" ca="1" si="12"/>
        <v/>
      </c>
      <c r="B266" s="263" t="str">
        <f t="shared" ca="1" si="13"/>
        <v xml:space="preserve"> </v>
      </c>
      <c r="C266" s="264" t="str">
        <f t="shared" ca="1" si="14"/>
        <v/>
      </c>
      <c r="D266" s="491"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ht="15" x14ac:dyDescent="0.25">
      <c r="A267" t="str">
        <f t="shared" ca="1" si="12"/>
        <v/>
      </c>
      <c r="B267" s="263" t="str">
        <f t="shared" ca="1" si="13"/>
        <v xml:space="preserve"> </v>
      </c>
      <c r="C267" s="264" t="str">
        <f t="shared" ca="1" si="14"/>
        <v/>
      </c>
      <c r="D267" s="491"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ht="15" x14ac:dyDescent="0.25">
      <c r="A268" t="str">
        <f t="shared" ca="1" si="12"/>
        <v/>
      </c>
      <c r="B268" s="263" t="str">
        <f t="shared" ca="1" si="13"/>
        <v xml:space="preserve"> </v>
      </c>
      <c r="C268" s="264" t="str">
        <f t="shared" ca="1" si="14"/>
        <v/>
      </c>
      <c r="D268" s="491"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ht="15" x14ac:dyDescent="0.25">
      <c r="A269" t="str">
        <f t="shared" ref="A269:A272" ca="1" si="16">IF(BC269&lt;&gt;"",ROW(A257),"")</f>
        <v/>
      </c>
      <c r="B269" s="263" t="str">
        <f t="shared" ca="1" si="13"/>
        <v xml:space="preserve"> </v>
      </c>
      <c r="C269" s="264" t="str">
        <f t="shared" ca="1" si="14"/>
        <v/>
      </c>
      <c r="D269" s="491"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ht="15"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491"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ht="15" x14ac:dyDescent="0.25">
      <c r="A271" t="str">
        <f t="shared" ca="1" si="16"/>
        <v/>
      </c>
      <c r="B271" s="263" t="str">
        <f t="shared" ca="1" si="17"/>
        <v xml:space="preserve"> </v>
      </c>
      <c r="C271" s="264" t="str">
        <f t="shared" ca="1" si="18"/>
        <v/>
      </c>
      <c r="D271" s="491"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ht="15" x14ac:dyDescent="0.25">
      <c r="A272" t="str">
        <f t="shared" ca="1" si="16"/>
        <v/>
      </c>
      <c r="B272" s="263" t="str">
        <f t="shared" ca="1" si="17"/>
        <v xml:space="preserve"> </v>
      </c>
      <c r="C272" s="264" t="str">
        <f t="shared" ca="1" si="18"/>
        <v/>
      </c>
      <c r="D272" s="491"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ummae/0Ur0jEHYGDJ9HiJ1fJRDDYT9QRTrNqw6eRnZHX2elvyL+MS5zub4rOPbZouCV+Ht0mbHeFap5EWa49dg==" saltValue="iB6zq6Q0YnUQ03nRV06/aA=="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1190</v>
      </c>
    </row>
    <row r="2" spans="1:135" x14ac:dyDescent="0.2">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7">
        <f>'Demand adjustments for Covid'!F12</f>
        <v>43969</v>
      </c>
      <c r="DO4" s="5">
        <f ca="1">VLOOKUP(IF($DM4&lt;53,$DM4,52),'Summary Calculations (hide)'!$D$15:$F$67,2,0)</f>
        <v>551.5</v>
      </c>
      <c r="DP4" s="5">
        <f ca="1">VLOOKUP(IF($DM4&lt;53,$DM4,52),'Summary Calculations (hide)'!$D$15:$F$67,3,0)</f>
        <v>664</v>
      </c>
      <c r="DQ4" s="5">
        <f>IF(AND(DN4&gt;='Demand adjustments for Covid'!$F$12,DN4&lt;'Demand adjustments for Covid'!$F$17),'Demand adjustments for Covid'!$F$13,DO4)</f>
        <v>200</v>
      </c>
      <c r="DR4" s="5">
        <f t="shared" ref="DR4:DR35" si="7">IF(AND(ROW(A1)&gt;=$EE$4,ROW(A1)&lt;=$EE$5),1,0)</f>
        <v>0</v>
      </c>
      <c r="DS4" s="5">
        <f ca="1">IF('Demand adjustments for Covid'!$F$9="Yes",IF(DR4=0,DQ4,((SUM(DR$4:DR4)-1)*$EE$8)+'Demand adjustments for Covid'!F$13),'Demand background (hide)'!DO4)</f>
        <v>551.5</v>
      </c>
      <c r="DT4" s="5">
        <f ca="1">IF(AND('Demand adjustments for Covid'!$F$9="Yes",MaxRows&gt;=10),IF(OR(AND(DN4&gt;='Demand adjustments for Covid'!$F$12,DN4&lt;'Demand adjustments for Covid'!$F$17),DR4=1),DS4+3,DP4),'Demand background (hide)'!DP4)</f>
        <v>664</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664</v>
      </c>
      <c r="ED4" s="5" t="s">
        <v>1193</v>
      </c>
      <c r="EE4" s="5">
        <f>MATCH('Demand adjustments for Covid'!$F$17,$DN$4:$DN$55,0)</f>
        <v>7</v>
      </c>
    </row>
    <row r="5" spans="1:135" s="5" customFormat="1" x14ac:dyDescent="0.2">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7">
        <f>DN4+7</f>
        <v>43976</v>
      </c>
      <c r="DO5" s="5">
        <f ca="1">VLOOKUP(IF($DM5&lt;53,$DM5,52),'Summary Calculations (hide)'!$D$15:$F$67,2,0)</f>
        <v>551.5</v>
      </c>
      <c r="DP5" s="5">
        <f ca="1">VLOOKUP(IF($DM5&lt;53,$DM5,52),'Summary Calculations (hide)'!$D$15:$F$67,3,0)</f>
        <v>664</v>
      </c>
      <c r="DQ5" s="5">
        <f>IF(AND(DN5&gt;='Demand adjustments for Covid'!$F$12,DN5&lt;'Demand adjustments for Covid'!$F$17),'Demand adjustments for Covid'!$F$13,DO5)</f>
        <v>200</v>
      </c>
      <c r="DR5" s="5">
        <f t="shared" si="7"/>
        <v>0</v>
      </c>
      <c r="DS5" s="5">
        <f ca="1">IF('Demand adjustments for Covid'!$F$9="Yes",IF(DR5=0,DQ5,((SUM(DR$4:DR5)-1)*$EE$8)+'Demand adjustments for Covid'!F$13),'Demand background (hide)'!DO5)</f>
        <v>551.5</v>
      </c>
      <c r="DT5" s="5">
        <f ca="1">IF('Demand adjustments for Covid'!$F$9="Yes",IF(OR(AND(DN5&gt;='Demand adjustments for Covid'!$F$12,DN5&lt;'Demand adjustments for Covid'!$F$17),DR5=1),DS5+3,DP5),'Demand background (hide)'!DP5)</f>
        <v>664</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664</v>
      </c>
      <c r="DZ5" s="5" t="s">
        <v>1226</v>
      </c>
      <c r="EA5" s="5">
        <f>MATCH('Demand adjustments for Covid'!F17,'Demand background (hide)'!DN4:DN55,0)+'Demand adjustments for Covid'!F18+12</f>
        <v>39</v>
      </c>
      <c r="ED5" s="5" t="s">
        <v>1194</v>
      </c>
      <c r="EE5" s="5">
        <f>EE4+'Demand adjustments for Covid'!$F$18</f>
        <v>27</v>
      </c>
    </row>
    <row r="6" spans="1:135" s="5" customFormat="1" x14ac:dyDescent="0.2">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7">
        <f t="shared" ref="DN6:DN56" si="17">DN5+7</f>
        <v>43983</v>
      </c>
      <c r="DO6" s="5">
        <f ca="1">VLOOKUP(IF($DM6&lt;53,$DM6,52),'Summary Calculations (hide)'!$D$15:$F$67,2,0)</f>
        <v>551.5</v>
      </c>
      <c r="DP6" s="5">
        <f ca="1">VLOOKUP(IF($DM6&lt;53,$DM6,52),'Summary Calculations (hide)'!$D$15:$F$67,3,0)</f>
        <v>664</v>
      </c>
      <c r="DQ6" s="5">
        <f>IF(AND(DN6&gt;='Demand adjustments for Covid'!$F$12,DN6&lt;'Demand adjustments for Covid'!$F$17),'Demand adjustments for Covid'!$F$13,DO6)</f>
        <v>200</v>
      </c>
      <c r="DR6" s="5">
        <f t="shared" si="7"/>
        <v>0</v>
      </c>
      <c r="DS6" s="5">
        <f ca="1">IF('Demand adjustments for Covid'!$F$9="Yes",IF(DR6=0,DQ6,((SUM(DR$4:DR6)-1)*$EE$8)+'Demand adjustments for Covid'!F$13),'Demand background (hide)'!DO6)</f>
        <v>551.5</v>
      </c>
      <c r="DT6" s="5">
        <f ca="1">IF('Demand adjustments for Covid'!$F$9="Yes",IF(OR(AND(DN6&gt;='Demand adjustments for Covid'!$F$12,DN6&lt;'Demand adjustments for Covid'!$F$17),DR6=1),DS6+3,DP6),'Demand background (hide)'!DP6)</f>
        <v>664</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664</v>
      </c>
      <c r="EA6" s="317"/>
    </row>
    <row r="7" spans="1:135" s="5" customFormat="1" x14ac:dyDescent="0.2">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7">
        <f t="shared" si="17"/>
        <v>43990</v>
      </c>
      <c r="DO7" s="5">
        <f ca="1">VLOOKUP(IF($DM7&lt;53,$DM7,52),'Summary Calculations (hide)'!$D$15:$F$67,2,0)</f>
        <v>551.5</v>
      </c>
      <c r="DP7" s="5">
        <f ca="1">VLOOKUP(IF($DM7&lt;53,$DM7,52),'Summary Calculations (hide)'!$D$15:$F$67,3,0)</f>
        <v>664</v>
      </c>
      <c r="DQ7" s="5">
        <f>IF(AND(DN7&gt;='Demand adjustments for Covid'!$F$12,DN7&lt;'Demand adjustments for Covid'!$F$17),'Demand adjustments for Covid'!$F$13,DO7)</f>
        <v>200</v>
      </c>
      <c r="DR7" s="5">
        <f t="shared" si="7"/>
        <v>0</v>
      </c>
      <c r="DS7" s="5">
        <f ca="1">IF('Demand adjustments for Covid'!$F$9="Yes",IF(DR7=0,DQ7,((SUM(DR$4:DR7)-1)*$EE$8)+'Demand adjustments for Covid'!F$13),'Demand background (hide)'!DO7)</f>
        <v>551.5</v>
      </c>
      <c r="DT7" s="5">
        <f ca="1">IF('Demand adjustments for Covid'!$F$9="Yes",IF(OR(AND(DN7&gt;='Demand adjustments for Covid'!$F$12,DN7&lt;'Demand adjustments for Covid'!$F$17),DR7=1),DS7+3,DP7),'Demand background (hide)'!DP7)</f>
        <v>664</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664</v>
      </c>
      <c r="ED7" s="5" t="s">
        <v>1196</v>
      </c>
      <c r="EE7" s="5">
        <f ca="1">INDEX($DO$4:$DO$55,EE5)</f>
        <v>551.5</v>
      </c>
    </row>
    <row r="8" spans="1:135" s="5" customFormat="1" x14ac:dyDescent="0.2">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7">
        <f t="shared" si="17"/>
        <v>43997</v>
      </c>
      <c r="DO8" s="5">
        <f ca="1">VLOOKUP(IF($DM8&lt;53,$DM8,52),'Summary Calculations (hide)'!$D$15:$F$67,2,0)</f>
        <v>551.5</v>
      </c>
      <c r="DP8" s="5">
        <f ca="1">VLOOKUP(IF($DM8&lt;53,$DM8,52),'Summary Calculations (hide)'!$D$15:$F$67,3,0)</f>
        <v>664</v>
      </c>
      <c r="DQ8" s="5">
        <f>IF(AND(DN8&gt;='Demand adjustments for Covid'!$F$12,DN8&lt;'Demand adjustments for Covid'!$F$17),'Demand adjustments for Covid'!$F$13,DO8)</f>
        <v>200</v>
      </c>
      <c r="DR8" s="5">
        <f t="shared" si="7"/>
        <v>0</v>
      </c>
      <c r="DS8" s="5">
        <f ca="1">IF('Demand adjustments for Covid'!$F$9="Yes",IF(DR8=0,DQ8,((SUM(DR$4:DR8)-1)*$EE$8)+'Demand adjustments for Covid'!F$13),'Demand background (hide)'!DO8)</f>
        <v>551.5</v>
      </c>
      <c r="DT8" s="5">
        <f ca="1">IF('Demand adjustments for Covid'!$F$9="Yes",IF(OR(AND(DN8&gt;='Demand adjustments for Covid'!$F$12,DN8&lt;'Demand adjustments for Covid'!$F$17),DR8=1),DS8+3,DP8),'Demand background (hide)'!DP8)</f>
        <v>664</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664</v>
      </c>
      <c r="ED8" s="5" t="s">
        <v>1197</v>
      </c>
      <c r="EE8" s="5">
        <f ca="1">IF('Demand adjustments for Covid'!F18&gt;0,(EE7-'Demand adjustments for Covid'!F13)/'Demand adjustments for Covid'!F18,0)</f>
        <v>17.574999999999999</v>
      </c>
    </row>
    <row r="9" spans="1:135" s="5" customFormat="1" x14ac:dyDescent="0.2">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7">
        <f t="shared" si="17"/>
        <v>44004</v>
      </c>
      <c r="DO9" s="5">
        <f ca="1">VLOOKUP(IF($DM9&lt;53,$DM9,52),'Summary Calculations (hide)'!$D$15:$F$67,2,0)</f>
        <v>551.5</v>
      </c>
      <c r="DP9" s="5">
        <f ca="1">VLOOKUP(IF($DM9&lt;53,$DM9,52),'Summary Calculations (hide)'!$D$15:$F$67,3,0)</f>
        <v>664</v>
      </c>
      <c r="DQ9" s="5">
        <f>IF(AND(DN9&gt;='Demand adjustments for Covid'!$F$12,DN9&lt;'Demand adjustments for Covid'!$F$17),'Demand adjustments for Covid'!$F$13,DO9)</f>
        <v>200</v>
      </c>
      <c r="DR9" s="5">
        <f t="shared" si="7"/>
        <v>0</v>
      </c>
      <c r="DS9" s="5">
        <f ca="1">IF('Demand adjustments for Covid'!$F$9="Yes",IF(DR9=0,DQ9,((SUM(DR$4:DR9)-1)*$EE$8)+'Demand adjustments for Covid'!F$13),'Demand background (hide)'!DO9)</f>
        <v>551.5</v>
      </c>
      <c r="DT9" s="5">
        <f ca="1">IF('Demand adjustments for Covid'!$F$9="Yes",IF(OR(AND(DN9&gt;='Demand adjustments for Covid'!$F$12,DN9&lt;'Demand adjustments for Covid'!$F$17),DR9=1),DS9+3,DP9),'Demand background (hide)'!DP9)</f>
        <v>664</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664</v>
      </c>
    </row>
    <row r="10" spans="1:135" s="5" customFormat="1" x14ac:dyDescent="0.2">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7">
        <f t="shared" si="17"/>
        <v>44011</v>
      </c>
      <c r="DO10" s="5">
        <f ca="1">VLOOKUP(IF($DM10&lt;53,$DM10,52),'Summary Calculations (hide)'!$D$15:$F$67,2,0)</f>
        <v>551.5</v>
      </c>
      <c r="DP10" s="5">
        <f ca="1">VLOOKUP(IF($DM10&lt;53,$DM10,52),'Summary Calculations (hide)'!$D$15:$F$67,3,0)</f>
        <v>664</v>
      </c>
      <c r="DQ10" s="5">
        <f ca="1">IF(AND(DN10&gt;='Demand adjustments for Covid'!$F$12,DN10&lt;'Demand adjustments for Covid'!$F$17),'Demand adjustments for Covid'!$F$13,DO10)</f>
        <v>551.5</v>
      </c>
      <c r="DR10" s="5">
        <f t="shared" si="7"/>
        <v>1</v>
      </c>
      <c r="DS10" s="5">
        <f ca="1">IF('Demand adjustments for Covid'!$F$9="Yes",IF(DR10=0,DQ10,((SUM(DR$4:DR10)-1)*$EE$8)+'Demand adjustments for Covid'!F$13),'Demand background (hide)'!DO10)</f>
        <v>551.5</v>
      </c>
      <c r="DT10" s="5">
        <f ca="1">IF('Demand adjustments for Covid'!$F$9="Yes",IF(OR(AND(DN10&gt;='Demand adjustments for Covid'!$F$12,DN10&lt;'Demand adjustments for Covid'!$F$17),DR10=1),DS10+3,DP10),'Demand background (hide)'!DP10)</f>
        <v>664</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664</v>
      </c>
      <c r="ED10" s="5" t="s">
        <v>1200</v>
      </c>
      <c r="EE10" s="5">
        <f ca="1">SUM(DU4:DU55)</f>
        <v>0</v>
      </c>
    </row>
    <row r="11" spans="1:135" s="5" customFormat="1" x14ac:dyDescent="0.2">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7">
        <f t="shared" si="17"/>
        <v>44018</v>
      </c>
      <c r="DO11" s="5">
        <f ca="1">VLOOKUP(IF($DM11&lt;53,$DM11,52),'Summary Calculations (hide)'!$D$15:$F$67,2,0)</f>
        <v>551.5</v>
      </c>
      <c r="DP11" s="5">
        <f ca="1">VLOOKUP(IF($DM11&lt;53,$DM11,52),'Summary Calculations (hide)'!$D$15:$F$67,3,0)</f>
        <v>664</v>
      </c>
      <c r="DQ11" s="5">
        <f ca="1">IF(AND(DN11&gt;='Demand adjustments for Covid'!$F$12,DN11&lt;'Demand adjustments for Covid'!$F$17),'Demand adjustments for Covid'!$F$13,DO11)</f>
        <v>551.5</v>
      </c>
      <c r="DR11" s="5">
        <f t="shared" si="7"/>
        <v>1</v>
      </c>
      <c r="DS11" s="5">
        <f ca="1">IF('Demand adjustments for Covid'!$F$9="Yes",IF(DR11=0,DQ11,((SUM(DR$4:DR11)-1)*$EE$8)+'Demand adjustments for Covid'!F$13),'Demand background (hide)'!DO11)</f>
        <v>551.5</v>
      </c>
      <c r="DT11" s="5">
        <f ca="1">IF('Demand adjustments for Covid'!$F$9="Yes",IF(OR(AND(DN11&gt;='Demand adjustments for Covid'!$F$12,DN11&lt;'Demand adjustments for Covid'!$F$17),DR11=1),DS11+3,DP11),'Demand background (hide)'!DP11)</f>
        <v>664</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664</v>
      </c>
    </row>
    <row r="12" spans="1:135" s="5" customFormat="1" x14ac:dyDescent="0.2">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7">
        <f t="shared" si="17"/>
        <v>44025</v>
      </c>
      <c r="DO12" s="5">
        <f ca="1">VLOOKUP(IF($DM12&lt;53,$DM12,52),'Summary Calculations (hide)'!$D$15:$F$67,2,0)</f>
        <v>551.5</v>
      </c>
      <c r="DP12" s="5">
        <f ca="1">VLOOKUP(IF($DM12&lt;53,$DM12,52),'Summary Calculations (hide)'!$D$15:$F$67,3,0)</f>
        <v>664</v>
      </c>
      <c r="DQ12" s="5">
        <f ca="1">IF(AND(DN12&gt;='Demand adjustments for Covid'!$F$12,DN12&lt;'Demand adjustments for Covid'!$F$17),'Demand adjustments for Covid'!$F$13,DO12)</f>
        <v>551.5</v>
      </c>
      <c r="DR12" s="5">
        <f t="shared" si="7"/>
        <v>1</v>
      </c>
      <c r="DS12" s="5">
        <f ca="1">IF('Demand adjustments for Covid'!$F$9="Yes",IF(DR12=0,DQ12,((SUM(DR$4:DR12)-1)*$EE$8)+'Demand adjustments for Covid'!F$13),'Demand background (hide)'!DO12)</f>
        <v>551.5</v>
      </c>
      <c r="DT12" s="5">
        <f ca="1">IF('Demand adjustments for Covid'!$F$9="Yes",IF(OR(AND(DN12&gt;='Demand adjustments for Covid'!$F$12,DN12&lt;'Demand adjustments for Covid'!$F$17),DR12=1),DS12+3,DP12),'Demand background (hide)'!DP12)</f>
        <v>664</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664</v>
      </c>
    </row>
    <row r="13" spans="1:135" s="5" customFormat="1" x14ac:dyDescent="0.2">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7">
        <f t="shared" si="17"/>
        <v>44032</v>
      </c>
      <c r="DO13" s="5">
        <f ca="1">VLOOKUP(IF($DM13&lt;53,$DM13,52),'Summary Calculations (hide)'!$D$15:$F$67,2,0)</f>
        <v>551.5</v>
      </c>
      <c r="DP13" s="5">
        <f ca="1">VLOOKUP(IF($DM13&lt;53,$DM13,52),'Summary Calculations (hide)'!$D$15:$F$67,3,0)</f>
        <v>664</v>
      </c>
      <c r="DQ13" s="5">
        <f ca="1">IF(AND(DN13&gt;='Demand adjustments for Covid'!$F$12,DN13&lt;'Demand adjustments for Covid'!$F$17),'Demand adjustments for Covid'!$F$13,DO13)</f>
        <v>551.5</v>
      </c>
      <c r="DR13" s="5">
        <f t="shared" si="7"/>
        <v>1</v>
      </c>
      <c r="DS13" s="5">
        <f ca="1">IF('Demand adjustments for Covid'!$F$9="Yes",IF(DR13=0,DQ13,((SUM(DR$4:DR13)-1)*$EE$8)+'Demand adjustments for Covid'!F$13),'Demand background (hide)'!DO13)</f>
        <v>551.5</v>
      </c>
      <c r="DT13" s="5">
        <f ca="1">IF('Demand adjustments for Covid'!$F$9="Yes",IF(OR(AND(DN13&gt;='Demand adjustments for Covid'!$F$12,DN13&lt;'Demand adjustments for Covid'!$F$17),DR13=1),DS13+3,DP13),'Demand background (hide)'!DP13)</f>
        <v>664</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664</v>
      </c>
    </row>
    <row r="14" spans="1:135" s="5" customFormat="1" x14ac:dyDescent="0.2">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7">
        <f t="shared" si="17"/>
        <v>44039</v>
      </c>
      <c r="DO14" s="5">
        <f ca="1">VLOOKUP(IF($DM14&lt;53,$DM14,52),'Summary Calculations (hide)'!$D$15:$F$67,2,0)</f>
        <v>551.5</v>
      </c>
      <c r="DP14" s="5">
        <f ca="1">VLOOKUP(IF($DM14&lt;53,$DM14,52),'Summary Calculations (hide)'!$D$15:$F$67,3,0)</f>
        <v>664</v>
      </c>
      <c r="DQ14" s="5">
        <f ca="1">IF(AND(DN14&gt;='Demand adjustments for Covid'!$F$12,DN14&lt;'Demand adjustments for Covid'!$F$17),'Demand adjustments for Covid'!$F$13,DO14)</f>
        <v>551.5</v>
      </c>
      <c r="DR14" s="5">
        <f t="shared" si="7"/>
        <v>1</v>
      </c>
      <c r="DS14" s="5">
        <f ca="1">IF('Demand adjustments for Covid'!$F$9="Yes",IF(DR14=0,DQ14,((SUM(DR$4:DR14)-1)*$EE$8)+'Demand adjustments for Covid'!F$13),'Demand background (hide)'!DO14)</f>
        <v>551.5</v>
      </c>
      <c r="DT14" s="5">
        <f ca="1">IF('Demand adjustments for Covid'!$F$9="Yes",IF(OR(AND(DN14&gt;='Demand adjustments for Covid'!$F$12,DN14&lt;'Demand adjustments for Covid'!$F$17),DR14=1),DS14+3,DP14),'Demand background (hide)'!DP14)</f>
        <v>664</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664</v>
      </c>
    </row>
    <row r="15" spans="1:135" s="5" customFormat="1" x14ac:dyDescent="0.2">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7">
        <f t="shared" si="17"/>
        <v>44046</v>
      </c>
      <c r="DO15" s="5">
        <f ca="1">VLOOKUP(IF($DM15&lt;53,$DM15,52),'Summary Calculations (hide)'!$D$15:$F$67,2,0)</f>
        <v>551.5</v>
      </c>
      <c r="DP15" s="5">
        <f ca="1">VLOOKUP(IF($DM15&lt;53,$DM15,52),'Summary Calculations (hide)'!$D$15:$F$67,3,0)</f>
        <v>664</v>
      </c>
      <c r="DQ15" s="5">
        <f ca="1">IF(AND(DN15&gt;='Demand adjustments for Covid'!$F$12,DN15&lt;'Demand adjustments for Covid'!$F$17),'Demand adjustments for Covid'!$F$13,DO15)</f>
        <v>551.5</v>
      </c>
      <c r="DR15" s="5">
        <f t="shared" si="7"/>
        <v>1</v>
      </c>
      <c r="DS15" s="5">
        <f ca="1">IF('Demand adjustments for Covid'!$F$9="Yes",IF(DR15=0,DQ15,((SUM(DR$4:DR15)-1)*$EE$8)+'Demand adjustments for Covid'!F$13),'Demand background (hide)'!DO15)</f>
        <v>551.5</v>
      </c>
      <c r="DT15" s="5">
        <f ca="1">IF('Demand adjustments for Covid'!$F$9="Yes",IF(OR(AND(DN15&gt;='Demand adjustments for Covid'!$F$12,DN15&lt;'Demand adjustments for Covid'!$F$17),DR15=1),DS15+3,DP15),'Demand background (hide)'!DP15)</f>
        <v>664</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664</v>
      </c>
    </row>
    <row r="16" spans="1:135" s="5" customFormat="1" x14ac:dyDescent="0.2">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7">
        <f t="shared" si="17"/>
        <v>44053</v>
      </c>
      <c r="DO16" s="5">
        <f ca="1">VLOOKUP(IF($DM16&lt;53,$DM16,52),'Summary Calculations (hide)'!$D$15:$F$67,2,0)</f>
        <v>551.5</v>
      </c>
      <c r="DP16" s="5">
        <f ca="1">VLOOKUP(IF($DM16&lt;53,$DM16,52),'Summary Calculations (hide)'!$D$15:$F$67,3,0)</f>
        <v>664</v>
      </c>
      <c r="DQ16" s="5">
        <f ca="1">IF(AND(DN16&gt;='Demand adjustments for Covid'!$F$12,DN16&lt;'Demand adjustments for Covid'!$F$17),'Demand adjustments for Covid'!$F$13,DO16)</f>
        <v>551.5</v>
      </c>
      <c r="DR16" s="5">
        <f t="shared" si="7"/>
        <v>1</v>
      </c>
      <c r="DS16" s="5">
        <f ca="1">IF('Demand adjustments for Covid'!$F$9="Yes",IF(DR16=0,DQ16,((SUM(DR$4:DR16)-1)*$EE$8)+'Demand adjustments for Covid'!F$13),'Demand background (hide)'!DO16)</f>
        <v>551.5</v>
      </c>
      <c r="DT16" s="5">
        <f ca="1">IF('Demand adjustments for Covid'!$F$9="Yes",IF(OR(AND(DN16&gt;='Demand adjustments for Covid'!$F$12,DN16&lt;'Demand adjustments for Covid'!$F$17),DR16=1),DS16+3,DP16),'Demand background (hide)'!DP16)</f>
        <v>664</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664</v>
      </c>
    </row>
    <row r="17" spans="1:128" s="5" customFormat="1" x14ac:dyDescent="0.2">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7">
        <f t="shared" si="17"/>
        <v>44060</v>
      </c>
      <c r="DO17" s="5">
        <f ca="1">VLOOKUP(IF($DM17&lt;53,$DM17,52),'Summary Calculations (hide)'!$D$15:$F$67,2,0)</f>
        <v>551.5</v>
      </c>
      <c r="DP17" s="5">
        <f ca="1">VLOOKUP(IF($DM17&lt;53,$DM17,52),'Summary Calculations (hide)'!$D$15:$F$67,3,0)</f>
        <v>664</v>
      </c>
      <c r="DQ17" s="5">
        <f ca="1">IF(AND(DN17&gt;='Demand adjustments for Covid'!$F$12,DN17&lt;'Demand adjustments for Covid'!$F$17),'Demand adjustments for Covid'!$F$13,DO17)</f>
        <v>551.5</v>
      </c>
      <c r="DR17" s="5">
        <f t="shared" si="7"/>
        <v>1</v>
      </c>
      <c r="DS17" s="5">
        <f ca="1">IF('Demand adjustments for Covid'!$F$9="Yes",IF(DR17=0,DQ17,((SUM(DR$4:DR17)-1)*$EE$8)+'Demand adjustments for Covid'!F$13),'Demand background (hide)'!DO17)</f>
        <v>551.5</v>
      </c>
      <c r="DT17" s="5">
        <f ca="1">IF('Demand adjustments for Covid'!$F$9="Yes",IF(OR(AND(DN17&gt;='Demand adjustments for Covid'!$F$12,DN17&lt;'Demand adjustments for Covid'!$F$17),DR17=1),DS17+3,DP17),'Demand background (hide)'!DP17)</f>
        <v>664</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664</v>
      </c>
    </row>
    <row r="18" spans="1:128" s="5" customFormat="1" x14ac:dyDescent="0.2">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7">
        <f t="shared" si="17"/>
        <v>44067</v>
      </c>
      <c r="DO18" s="5">
        <f ca="1">VLOOKUP(IF($DM18&lt;53,$DM18,52),'Summary Calculations (hide)'!$D$15:$F$67,2,0)</f>
        <v>551.5</v>
      </c>
      <c r="DP18" s="5">
        <f ca="1">VLOOKUP(IF($DM18&lt;53,$DM18,52),'Summary Calculations (hide)'!$D$15:$F$67,3,0)</f>
        <v>664</v>
      </c>
      <c r="DQ18" s="5">
        <f ca="1">IF(AND(DN18&gt;='Demand adjustments for Covid'!$F$12,DN18&lt;'Demand adjustments for Covid'!$F$17),'Demand adjustments for Covid'!$F$13,DO18)</f>
        <v>551.5</v>
      </c>
      <c r="DR18" s="5">
        <f t="shared" si="7"/>
        <v>1</v>
      </c>
      <c r="DS18" s="5">
        <f ca="1">IF('Demand adjustments for Covid'!$F$9="Yes",IF(DR18=0,DQ18,((SUM(DR$4:DR18)-1)*$EE$8)+'Demand adjustments for Covid'!F$13),'Demand background (hide)'!DO18)</f>
        <v>551.5</v>
      </c>
      <c r="DT18" s="5">
        <f ca="1">IF('Demand adjustments for Covid'!$F$9="Yes",IF(OR(AND(DN18&gt;='Demand adjustments for Covid'!$F$12,DN18&lt;'Demand adjustments for Covid'!$F$17),DR18=1),DS18+3,DP18),'Demand background (hide)'!DP18)</f>
        <v>664</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664</v>
      </c>
    </row>
    <row r="19" spans="1:128" s="5" customFormat="1" x14ac:dyDescent="0.2">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7">
        <f t="shared" si="17"/>
        <v>44074</v>
      </c>
      <c r="DO19" s="5">
        <f ca="1">VLOOKUP(IF($DM19&lt;53,$DM19,52),'Summary Calculations (hide)'!$D$15:$F$67,2,0)</f>
        <v>551.5</v>
      </c>
      <c r="DP19" s="5">
        <f ca="1">VLOOKUP(IF($DM19&lt;53,$DM19,52),'Summary Calculations (hide)'!$D$15:$F$67,3,0)</f>
        <v>664</v>
      </c>
      <c r="DQ19" s="5">
        <f ca="1">IF(AND(DN19&gt;='Demand adjustments for Covid'!$F$12,DN19&lt;'Demand adjustments for Covid'!$F$17),'Demand adjustments for Covid'!$F$13,DO19)</f>
        <v>551.5</v>
      </c>
      <c r="DR19" s="5">
        <f t="shared" si="7"/>
        <v>1</v>
      </c>
      <c r="DS19" s="5">
        <f ca="1">IF('Demand adjustments for Covid'!$F$9="Yes",IF(DR19=0,DQ19,((SUM(DR$4:DR19)-1)*$EE$8)+'Demand adjustments for Covid'!F$13),'Demand background (hide)'!DO19)</f>
        <v>551.5</v>
      </c>
      <c r="DT19" s="5">
        <f ca="1">IF('Demand adjustments for Covid'!$F$9="Yes",IF(OR(AND(DN19&gt;='Demand adjustments for Covid'!$F$12,DN19&lt;'Demand adjustments for Covid'!$F$17),DR19=1),DS19+3,DP19),'Demand background (hide)'!DP19)</f>
        <v>664</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664</v>
      </c>
    </row>
    <row r="20" spans="1:128" s="5" customFormat="1" x14ac:dyDescent="0.2">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7">
        <f t="shared" si="17"/>
        <v>44081</v>
      </c>
      <c r="DO20" s="5">
        <f ca="1">VLOOKUP(IF($DM20&lt;53,$DM20,52),'Summary Calculations (hide)'!$D$15:$F$67,2,0)</f>
        <v>551.5</v>
      </c>
      <c r="DP20" s="5">
        <f ca="1">VLOOKUP(IF($DM20&lt;53,$DM20,52),'Summary Calculations (hide)'!$D$15:$F$67,3,0)</f>
        <v>664</v>
      </c>
      <c r="DQ20" s="5">
        <f ca="1">IF(AND(DN20&gt;='Demand adjustments for Covid'!$F$12,DN20&lt;'Demand adjustments for Covid'!$F$17),'Demand adjustments for Covid'!$F$13,DO20)</f>
        <v>551.5</v>
      </c>
      <c r="DR20" s="5">
        <f t="shared" si="7"/>
        <v>1</v>
      </c>
      <c r="DS20" s="5">
        <f ca="1">IF('Demand adjustments for Covid'!$F$9="Yes",IF(DR20=0,DQ20,((SUM(DR$4:DR20)-1)*$EE$8)+'Demand adjustments for Covid'!F$13),'Demand background (hide)'!DO20)</f>
        <v>551.5</v>
      </c>
      <c r="DT20" s="5">
        <f ca="1">IF('Demand adjustments for Covid'!$F$9="Yes",IF(OR(AND(DN20&gt;='Demand adjustments for Covid'!$F$12,DN20&lt;'Demand adjustments for Covid'!$F$17),DR20=1),DS20+3,DP20),'Demand background (hide)'!DP20)</f>
        <v>664</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664</v>
      </c>
    </row>
    <row r="21" spans="1:128" s="5" customFormat="1" x14ac:dyDescent="0.2">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7">
        <f t="shared" si="17"/>
        <v>44088</v>
      </c>
      <c r="DO21" s="5">
        <f ca="1">VLOOKUP(IF($DM21&lt;53,$DM21,52),'Summary Calculations (hide)'!$D$15:$F$67,2,0)</f>
        <v>551.5</v>
      </c>
      <c r="DP21" s="5">
        <f ca="1">VLOOKUP(IF($DM21&lt;53,$DM21,52),'Summary Calculations (hide)'!$D$15:$F$67,3,0)</f>
        <v>664</v>
      </c>
      <c r="DQ21" s="5">
        <f ca="1">IF(AND(DN21&gt;='Demand adjustments for Covid'!$F$12,DN21&lt;'Demand adjustments for Covid'!$F$17),'Demand adjustments for Covid'!$F$13,DO21)</f>
        <v>551.5</v>
      </c>
      <c r="DR21" s="5">
        <f t="shared" si="7"/>
        <v>1</v>
      </c>
      <c r="DS21" s="5">
        <f ca="1">IF('Demand adjustments for Covid'!$F$9="Yes",IF(DR21=0,DQ21,((SUM(DR$4:DR21)-1)*$EE$8)+'Demand adjustments for Covid'!F$13),'Demand background (hide)'!DO21)</f>
        <v>551.5</v>
      </c>
      <c r="DT21" s="5">
        <f ca="1">IF('Demand adjustments for Covid'!$F$9="Yes",IF(OR(AND(DN21&gt;='Demand adjustments for Covid'!$F$12,DN21&lt;'Demand adjustments for Covid'!$F$17),DR21=1),DS21+3,DP21),'Demand background (hide)'!DP21)</f>
        <v>664</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664</v>
      </c>
    </row>
    <row r="22" spans="1:128" s="5" customFormat="1" x14ac:dyDescent="0.2">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7">
        <f t="shared" si="17"/>
        <v>44095</v>
      </c>
      <c r="DO22" s="5">
        <f ca="1">VLOOKUP(IF($DM22&lt;53,$DM22,52),'Summary Calculations (hide)'!$D$15:$F$67,2,0)</f>
        <v>551.5</v>
      </c>
      <c r="DP22" s="5">
        <f ca="1">VLOOKUP(IF($DM22&lt;53,$DM22,52),'Summary Calculations (hide)'!$D$15:$F$67,3,0)</f>
        <v>664</v>
      </c>
      <c r="DQ22" s="5">
        <f ca="1">IF(AND(DN22&gt;='Demand adjustments for Covid'!$F$12,DN22&lt;'Demand adjustments for Covid'!$F$17),'Demand adjustments for Covid'!$F$13,DO22)</f>
        <v>551.5</v>
      </c>
      <c r="DR22" s="5">
        <f t="shared" si="7"/>
        <v>1</v>
      </c>
      <c r="DS22" s="5">
        <f ca="1">IF('Demand adjustments for Covid'!$F$9="Yes",IF(DR22=0,DQ22,((SUM(DR$4:DR22)-1)*$EE$8)+'Demand adjustments for Covid'!F$13),'Demand background (hide)'!DO22)</f>
        <v>551.5</v>
      </c>
      <c r="DT22" s="5">
        <f ca="1">IF('Demand adjustments for Covid'!$F$9="Yes",IF(OR(AND(DN22&gt;='Demand adjustments for Covid'!$F$12,DN22&lt;'Demand adjustments for Covid'!$F$17),DR22=1),DS22+3,DP22),'Demand background (hide)'!DP22)</f>
        <v>664</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664</v>
      </c>
    </row>
    <row r="23" spans="1:128" s="5" customFormat="1" x14ac:dyDescent="0.2">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7">
        <f t="shared" si="17"/>
        <v>44102</v>
      </c>
      <c r="DO23" s="5">
        <f ca="1">VLOOKUP(IF($DM23&lt;53,$DM23,52),'Summary Calculations (hide)'!$D$15:$F$67,2,0)</f>
        <v>551.5</v>
      </c>
      <c r="DP23" s="5">
        <f ca="1">VLOOKUP(IF($DM23&lt;53,$DM23,52),'Summary Calculations (hide)'!$D$15:$F$67,3,0)</f>
        <v>664</v>
      </c>
      <c r="DQ23" s="5">
        <f ca="1">IF(AND(DN23&gt;='Demand adjustments for Covid'!$F$12,DN23&lt;'Demand adjustments for Covid'!$F$17),'Demand adjustments for Covid'!$F$13,DO23)</f>
        <v>551.5</v>
      </c>
      <c r="DR23" s="5">
        <f t="shared" si="7"/>
        <v>1</v>
      </c>
      <c r="DS23" s="5">
        <f ca="1">IF('Demand adjustments for Covid'!$F$9="Yes",IF(DR23=0,DQ23,((SUM(DR$4:DR23)-1)*$EE$8)+'Demand adjustments for Covid'!F$13),'Demand background (hide)'!DO23)</f>
        <v>551.5</v>
      </c>
      <c r="DT23" s="5">
        <f ca="1">IF('Demand adjustments for Covid'!$F$9="Yes",IF(OR(AND(DN23&gt;='Demand adjustments for Covid'!$F$12,DN23&lt;'Demand adjustments for Covid'!$F$17),DR23=1),DS23+3,DP23),'Demand background (hide)'!DP23)</f>
        <v>664</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664</v>
      </c>
    </row>
    <row r="24" spans="1:128" s="5" customFormat="1" x14ac:dyDescent="0.2">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7">
        <f t="shared" si="17"/>
        <v>44109</v>
      </c>
      <c r="DO24" s="5">
        <f ca="1">VLOOKUP(IF($DM24&lt;53,$DM24,52),'Summary Calculations (hide)'!$D$15:$F$67,2,0)</f>
        <v>551.5</v>
      </c>
      <c r="DP24" s="5">
        <f ca="1">VLOOKUP(IF($DM24&lt;53,$DM24,52),'Summary Calculations (hide)'!$D$15:$F$67,3,0)</f>
        <v>664</v>
      </c>
      <c r="DQ24" s="5">
        <f ca="1">IF(AND(DN24&gt;='Demand adjustments for Covid'!$F$12,DN24&lt;'Demand adjustments for Covid'!$F$17),'Demand adjustments for Covid'!$F$13,DO24)</f>
        <v>551.5</v>
      </c>
      <c r="DR24" s="5">
        <f t="shared" si="7"/>
        <v>1</v>
      </c>
      <c r="DS24" s="5">
        <f ca="1">IF('Demand adjustments for Covid'!$F$9="Yes",IF(DR24=0,DQ24,((SUM(DR$4:DR24)-1)*$EE$8)+'Demand adjustments for Covid'!F$13),'Demand background (hide)'!DO24)</f>
        <v>551.5</v>
      </c>
      <c r="DT24" s="5">
        <f ca="1">IF('Demand adjustments for Covid'!$F$9="Yes",IF(OR(AND(DN24&gt;='Demand adjustments for Covid'!$F$12,DN24&lt;'Demand adjustments for Covid'!$F$17),DR24=1),DS24+3,DP24),'Demand background (hide)'!DP24)</f>
        <v>664</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664</v>
      </c>
    </row>
    <row r="25" spans="1:128" s="5" customFormat="1" x14ac:dyDescent="0.2">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7">
        <f t="shared" si="17"/>
        <v>44116</v>
      </c>
      <c r="DO25" s="5">
        <f ca="1">VLOOKUP(IF($DM25&lt;53,$DM25,52),'Summary Calculations (hide)'!$D$15:$F$67,2,0)</f>
        <v>551.5</v>
      </c>
      <c r="DP25" s="5">
        <f ca="1">VLOOKUP(IF($DM25&lt;53,$DM25,52),'Summary Calculations (hide)'!$D$15:$F$67,3,0)</f>
        <v>664</v>
      </c>
      <c r="DQ25" s="5">
        <f ca="1">IF(AND(DN25&gt;='Demand adjustments for Covid'!$F$12,DN25&lt;'Demand adjustments for Covid'!$F$17),'Demand adjustments for Covid'!$F$13,DO25)</f>
        <v>551.5</v>
      </c>
      <c r="DR25" s="5">
        <f t="shared" si="7"/>
        <v>1</v>
      </c>
      <c r="DS25" s="5">
        <f ca="1">IF('Demand adjustments for Covid'!$F$9="Yes",IF(DR25=0,DQ25,((SUM(DR$4:DR25)-1)*$EE$8)+'Demand adjustments for Covid'!F$13),'Demand background (hide)'!DO25)</f>
        <v>551.5</v>
      </c>
      <c r="DT25" s="5">
        <f ca="1">IF('Demand adjustments for Covid'!$F$9="Yes",IF(OR(AND(DN25&gt;='Demand adjustments for Covid'!$F$12,DN25&lt;'Demand adjustments for Covid'!$F$17),DR25=1),DS25+3,DP25),'Demand background (hide)'!DP25)</f>
        <v>664</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664</v>
      </c>
    </row>
    <row r="26" spans="1:128" s="5" customFormat="1" x14ac:dyDescent="0.2">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7">
        <f t="shared" si="17"/>
        <v>44123</v>
      </c>
      <c r="DO26" s="5">
        <f ca="1">VLOOKUP(IF($DM26&lt;53,$DM26,52),'Summary Calculations (hide)'!$D$15:$F$67,2,0)</f>
        <v>551.5</v>
      </c>
      <c r="DP26" s="5">
        <f ca="1">VLOOKUP(IF($DM26&lt;53,$DM26,52),'Summary Calculations (hide)'!$D$15:$F$67,3,0)</f>
        <v>664</v>
      </c>
      <c r="DQ26" s="5">
        <f ca="1">IF(AND(DN26&gt;='Demand adjustments for Covid'!$F$12,DN26&lt;'Demand adjustments for Covid'!$F$17),'Demand adjustments for Covid'!$F$13,DO26)</f>
        <v>551.5</v>
      </c>
      <c r="DR26" s="5">
        <f t="shared" si="7"/>
        <v>1</v>
      </c>
      <c r="DS26" s="5">
        <f ca="1">IF('Demand adjustments for Covid'!$F$9="Yes",IF(DR26=0,DQ26,((SUM(DR$4:DR26)-1)*$EE$8)+'Demand adjustments for Covid'!F$13),'Demand background (hide)'!DO26)</f>
        <v>551.5</v>
      </c>
      <c r="DT26" s="5">
        <f ca="1">IF('Demand adjustments for Covid'!$F$9="Yes",IF(OR(AND(DN26&gt;='Demand adjustments for Covid'!$F$12,DN26&lt;'Demand adjustments for Covid'!$F$17),DR26=1),DS26+3,DP26),'Demand background (hide)'!DP26)</f>
        <v>664</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664</v>
      </c>
    </row>
    <row r="27" spans="1:128" s="5" customFormat="1" x14ac:dyDescent="0.2">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7">
        <f t="shared" si="17"/>
        <v>44130</v>
      </c>
      <c r="DO27" s="5">
        <f ca="1">VLOOKUP(IF($DM27&lt;53,$DM27,52),'Summary Calculations (hide)'!$D$15:$F$67,2,0)</f>
        <v>551.5</v>
      </c>
      <c r="DP27" s="5">
        <f ca="1">VLOOKUP(IF($DM27&lt;53,$DM27,52),'Summary Calculations (hide)'!$D$15:$F$67,3,0)</f>
        <v>664</v>
      </c>
      <c r="DQ27" s="5">
        <f ca="1">IF(AND(DN27&gt;='Demand adjustments for Covid'!$F$12,DN27&lt;'Demand adjustments for Covid'!$F$17),'Demand adjustments for Covid'!$F$13,DO27)</f>
        <v>551.5</v>
      </c>
      <c r="DR27" s="5">
        <f t="shared" si="7"/>
        <v>1</v>
      </c>
      <c r="DS27" s="5">
        <f ca="1">IF('Demand adjustments for Covid'!$F$9="Yes",IF(DR27=0,DQ27,((SUM(DR$4:DR27)-1)*$EE$8)+'Demand adjustments for Covid'!F$13),'Demand background (hide)'!DO27)</f>
        <v>551.5</v>
      </c>
      <c r="DT27" s="5">
        <f ca="1">IF('Demand adjustments for Covid'!$F$9="Yes",IF(OR(AND(DN27&gt;='Demand adjustments for Covid'!$F$12,DN27&lt;'Demand adjustments for Covid'!$F$17),DR27=1),DS27+3,DP27),'Demand background (hide)'!DP27)</f>
        <v>664</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664</v>
      </c>
    </row>
    <row r="28" spans="1:128" s="5" customFormat="1" x14ac:dyDescent="0.2">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7">
        <f t="shared" si="17"/>
        <v>44137</v>
      </c>
      <c r="DO28" s="5">
        <f ca="1">VLOOKUP(IF($DM28&lt;53,$DM28,52),'Summary Calculations (hide)'!$D$15:$F$67,2,0)</f>
        <v>551.5</v>
      </c>
      <c r="DP28" s="5">
        <f ca="1">VLOOKUP(IF($DM28&lt;53,$DM28,52),'Summary Calculations (hide)'!$D$15:$F$67,3,0)</f>
        <v>664</v>
      </c>
      <c r="DQ28" s="5">
        <f ca="1">IF(AND(DN28&gt;='Demand adjustments for Covid'!$F$12,DN28&lt;'Demand adjustments for Covid'!$F$17),'Demand adjustments for Covid'!$F$13,DO28)</f>
        <v>551.5</v>
      </c>
      <c r="DR28" s="5">
        <f t="shared" si="7"/>
        <v>1</v>
      </c>
      <c r="DS28" s="5">
        <f ca="1">IF('Demand adjustments for Covid'!$F$9="Yes",IF(DR28=0,DQ28,((SUM(DR$4:DR28)-1)*$EE$8)+'Demand adjustments for Covid'!F$13),'Demand background (hide)'!DO28)</f>
        <v>551.5</v>
      </c>
      <c r="DT28" s="5">
        <f ca="1">IF('Demand adjustments for Covid'!$F$9="Yes",IF(OR(AND(DN28&gt;='Demand adjustments for Covid'!$F$12,DN28&lt;'Demand adjustments for Covid'!$F$17),DR28=1),DS28+3,DP28),'Demand background (hide)'!DP28)</f>
        <v>664</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664</v>
      </c>
    </row>
    <row r="29" spans="1:128" s="5" customFormat="1" x14ac:dyDescent="0.2">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7">
        <f t="shared" si="17"/>
        <v>44144</v>
      </c>
      <c r="DO29" s="5">
        <f ca="1">VLOOKUP(IF($DM29&lt;53,$DM29,52),'Summary Calculations (hide)'!$D$15:$F$67,2,0)</f>
        <v>551.5</v>
      </c>
      <c r="DP29" s="5">
        <f ca="1">VLOOKUP(IF($DM29&lt;53,$DM29,52),'Summary Calculations (hide)'!$D$15:$F$67,3,0)</f>
        <v>664</v>
      </c>
      <c r="DQ29" s="5">
        <f ca="1">IF(AND(DN29&gt;='Demand adjustments for Covid'!$F$12,DN29&lt;'Demand adjustments for Covid'!$F$17),'Demand adjustments for Covid'!$F$13,DO29)</f>
        <v>551.5</v>
      </c>
      <c r="DR29" s="5">
        <f t="shared" si="7"/>
        <v>1</v>
      </c>
      <c r="DS29" s="5">
        <f ca="1">IF('Demand adjustments for Covid'!$F$9="Yes",IF(DR29=0,DQ29,((SUM(DR$4:DR29)-1)*$EE$8)+'Demand adjustments for Covid'!F$13),'Demand background (hide)'!DO29)</f>
        <v>551.5</v>
      </c>
      <c r="DT29" s="5">
        <f ca="1">IF('Demand adjustments for Covid'!$F$9="Yes",IF(OR(AND(DN29&gt;='Demand adjustments for Covid'!$F$12,DN29&lt;'Demand adjustments for Covid'!$F$17),DR29=1),DS29+3,DP29),'Demand background (hide)'!DP29)</f>
        <v>664</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664</v>
      </c>
    </row>
    <row r="30" spans="1:128" s="5" customFormat="1" x14ac:dyDescent="0.2">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7">
        <f t="shared" si="17"/>
        <v>44151</v>
      </c>
      <c r="DO30" s="5">
        <f ca="1">VLOOKUP(IF($DM30&lt;53,$DM30,52),'Summary Calculations (hide)'!$D$15:$F$67,2,0)</f>
        <v>551.5</v>
      </c>
      <c r="DP30" s="5">
        <f ca="1">VLOOKUP(IF($DM30&lt;53,$DM30,52),'Summary Calculations (hide)'!$D$15:$F$67,3,0)</f>
        <v>664</v>
      </c>
      <c r="DQ30" s="5">
        <f ca="1">IF(AND(DN30&gt;='Demand adjustments for Covid'!$F$12,DN30&lt;'Demand adjustments for Covid'!$F$17),'Demand adjustments for Covid'!$F$13,DO30)</f>
        <v>551.5</v>
      </c>
      <c r="DR30" s="5">
        <f t="shared" si="7"/>
        <v>1</v>
      </c>
      <c r="DS30" s="5">
        <f ca="1">IF('Demand adjustments for Covid'!$F$9="Yes",IF(DR30=0,DQ30,((SUM(DR$4:DR30)-1)*$EE$8)+'Demand adjustments for Covid'!F$13),'Demand background (hide)'!DO30)</f>
        <v>551.5</v>
      </c>
      <c r="DT30" s="5">
        <f ca="1">IF('Demand adjustments for Covid'!$F$9="Yes",IF(OR(AND(DN30&gt;='Demand adjustments for Covid'!$F$12,DN30&lt;'Demand adjustments for Covid'!$F$17),DR30=1),DS30+3,DP30),'Demand background (hide)'!DP30)</f>
        <v>664</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664</v>
      </c>
    </row>
    <row r="31" spans="1:128" s="5" customFormat="1" x14ac:dyDescent="0.2">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7">
        <f t="shared" si="17"/>
        <v>44158</v>
      </c>
      <c r="DO31" s="5">
        <f ca="1">VLOOKUP(IF($DM31&lt;53,$DM31,52),'Summary Calculations (hide)'!$D$15:$F$67,2,0)</f>
        <v>551.5</v>
      </c>
      <c r="DP31" s="5">
        <f ca="1">VLOOKUP(IF($DM31&lt;53,$DM31,52),'Summary Calculations (hide)'!$D$15:$F$67,3,0)</f>
        <v>664</v>
      </c>
      <c r="DQ31" s="5">
        <f ca="1">IF(AND(DN31&gt;='Demand adjustments for Covid'!$F$12,DN31&lt;'Demand adjustments for Covid'!$F$17),'Demand adjustments for Covid'!$F$13,DO31)</f>
        <v>551.5</v>
      </c>
      <c r="DR31" s="5">
        <f t="shared" si="7"/>
        <v>0</v>
      </c>
      <c r="DS31" s="5">
        <f ca="1">IF('Demand adjustments for Covid'!$F$9="Yes",IF(DR31=0,DQ31,((SUM(DR$4:DR31)-1)*$EE$8)+'Demand adjustments for Covid'!F$13),'Demand background (hide)'!DO31)</f>
        <v>551.5</v>
      </c>
      <c r="DT31" s="5">
        <f ca="1">IF('Demand adjustments for Covid'!$F$9="Yes",IF(OR(AND(DN31&gt;='Demand adjustments for Covid'!$F$12,DN31&lt;'Demand adjustments for Covid'!$F$17),DR31=1),DS31+3,DP31),'Demand background (hide)'!DP31)</f>
        <v>664</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1164</v>
      </c>
    </row>
    <row r="32" spans="1:128" s="5" customFormat="1" x14ac:dyDescent="0.2">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7">
        <f t="shared" si="17"/>
        <v>44165</v>
      </c>
      <c r="DO32" s="5">
        <f ca="1">VLOOKUP(IF($DM32&lt;53,$DM32,52),'Summary Calculations (hide)'!$D$15:$F$67,2,0)</f>
        <v>551.5</v>
      </c>
      <c r="DP32" s="5">
        <f ca="1">VLOOKUP(IF($DM32&lt;53,$DM32,52),'Summary Calculations (hide)'!$D$15:$F$67,3,0)</f>
        <v>664</v>
      </c>
      <c r="DQ32" s="5">
        <f ca="1">IF(AND(DN32&gt;='Demand adjustments for Covid'!$F$12,DN32&lt;'Demand adjustments for Covid'!$F$17),'Demand adjustments for Covid'!$F$13,DO32)</f>
        <v>551.5</v>
      </c>
      <c r="DR32" s="5">
        <f t="shared" si="7"/>
        <v>0</v>
      </c>
      <c r="DS32" s="5">
        <f ca="1">IF('Demand adjustments for Covid'!$F$9="Yes",IF(DR32=0,DQ32,((SUM(DR$4:DR32)-1)*$EE$8)+'Demand adjustments for Covid'!F$13),'Demand background (hide)'!DO32)</f>
        <v>551.5</v>
      </c>
      <c r="DT32" s="5">
        <f ca="1">IF('Demand adjustments for Covid'!$F$9="Yes",IF(OR(AND(DN32&gt;='Demand adjustments for Covid'!$F$12,DN32&lt;'Demand adjustments for Covid'!$F$17),DR32=1),DS32+3,DP32),'Demand background (hide)'!DP32)</f>
        <v>664</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1164</v>
      </c>
    </row>
    <row r="33" spans="1:128" s="5" customFormat="1" x14ac:dyDescent="0.2">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7">
        <f t="shared" si="17"/>
        <v>44172</v>
      </c>
      <c r="DO33" s="5">
        <f ca="1">VLOOKUP(IF($DM33&lt;53,$DM33,52),'Summary Calculations (hide)'!$D$15:$F$67,2,0)</f>
        <v>551.5</v>
      </c>
      <c r="DP33" s="5">
        <f ca="1">VLOOKUP(IF($DM33&lt;53,$DM33,52),'Summary Calculations (hide)'!$D$15:$F$67,3,0)</f>
        <v>664</v>
      </c>
      <c r="DQ33" s="5">
        <f ca="1">IF(AND(DN33&gt;='Demand adjustments for Covid'!$F$12,DN33&lt;'Demand adjustments for Covid'!$F$17),'Demand adjustments for Covid'!$F$13,DO33)</f>
        <v>551.5</v>
      </c>
      <c r="DR33" s="5">
        <f t="shared" si="7"/>
        <v>0</v>
      </c>
      <c r="DS33" s="5">
        <f ca="1">IF('Demand adjustments for Covid'!$F$9="Yes",IF(DR33=0,DQ33,((SUM(DR$4:DR33)-1)*$EE$8)+'Demand adjustments for Covid'!F$13),'Demand background (hide)'!DO33)</f>
        <v>551.5</v>
      </c>
      <c r="DT33" s="5">
        <f ca="1">IF('Demand adjustments for Covid'!$F$9="Yes",IF(OR(AND(DN33&gt;='Demand adjustments for Covid'!$F$12,DN33&lt;'Demand adjustments for Covid'!$F$17),DR33=1),DS33+3,DP33),'Demand background (hide)'!DP33)</f>
        <v>664</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1164</v>
      </c>
    </row>
    <row r="34" spans="1:128" s="5" customFormat="1" x14ac:dyDescent="0.2">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7">
        <f t="shared" si="17"/>
        <v>44179</v>
      </c>
      <c r="DO34" s="5">
        <f ca="1">VLOOKUP(IF($DM34&lt;53,$DM34,52),'Summary Calculations (hide)'!$D$15:$F$67,2,0)</f>
        <v>551.5</v>
      </c>
      <c r="DP34" s="5">
        <f ca="1">VLOOKUP(IF($DM34&lt;53,$DM34,52),'Summary Calculations (hide)'!$D$15:$F$67,3,0)</f>
        <v>664</v>
      </c>
      <c r="DQ34" s="5">
        <f ca="1">IF(AND(DN34&gt;='Demand adjustments for Covid'!$F$12,DN34&lt;'Demand adjustments for Covid'!$F$17),'Demand adjustments for Covid'!$F$13,DO34)</f>
        <v>551.5</v>
      </c>
      <c r="DR34" s="5">
        <f t="shared" si="7"/>
        <v>0</v>
      </c>
      <c r="DS34" s="5">
        <f ca="1">IF('Demand adjustments for Covid'!$F$9="Yes",IF(DR34=0,DQ34,((SUM(DR$4:DR34)-1)*$EE$8)+'Demand adjustments for Covid'!F$13),'Demand background (hide)'!DO34)</f>
        <v>551.5</v>
      </c>
      <c r="DT34" s="5">
        <f ca="1">IF('Demand adjustments for Covid'!$F$9="Yes",IF(OR(AND(DN34&gt;='Demand adjustments for Covid'!$F$12,DN34&lt;'Demand adjustments for Covid'!$F$17),DR34=1),DS34+3,DP34),'Demand background (hide)'!DP34)</f>
        <v>664</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1164</v>
      </c>
    </row>
    <row r="35" spans="1:128" s="5" customFormat="1" x14ac:dyDescent="0.2">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7">
        <f t="shared" si="17"/>
        <v>44186</v>
      </c>
      <c r="DO35" s="5">
        <f ca="1">VLOOKUP(IF($DM35&lt;53,$DM35,52),'Summary Calculations (hide)'!$D$15:$F$67,2,0)</f>
        <v>551.5</v>
      </c>
      <c r="DP35" s="5">
        <f ca="1">VLOOKUP(IF($DM35&lt;53,$DM35,52),'Summary Calculations (hide)'!$D$15:$F$67,3,0)</f>
        <v>664</v>
      </c>
      <c r="DQ35" s="5">
        <f ca="1">IF(AND(DN35&gt;='Demand adjustments for Covid'!$F$12,DN35&lt;'Demand adjustments for Covid'!$F$17),'Demand adjustments for Covid'!$F$13,DO35)</f>
        <v>551.5</v>
      </c>
      <c r="DR35" s="5">
        <f t="shared" si="7"/>
        <v>0</v>
      </c>
      <c r="DS35" s="5">
        <f ca="1">IF('Demand adjustments for Covid'!$F$9="Yes",IF(DR35=0,DQ35,((SUM(DR$4:DR35)-1)*$EE$8)+'Demand adjustments for Covid'!F$13),'Demand background (hide)'!DO35)</f>
        <v>551.5</v>
      </c>
      <c r="DT35" s="5">
        <f ca="1">IF('Demand adjustments for Covid'!$F$9="Yes",IF(OR(AND(DN35&gt;='Demand adjustments for Covid'!$F$12,DN35&lt;'Demand adjustments for Covid'!$F$17),DR35=1),DS35+3,DP35),'Demand background (hide)'!DP35)</f>
        <v>664</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1164</v>
      </c>
    </row>
    <row r="36" spans="1:128" s="5" customFormat="1" x14ac:dyDescent="0.2">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7">
        <f t="shared" si="17"/>
        <v>44193</v>
      </c>
      <c r="DO36" s="5">
        <f ca="1">VLOOKUP(IF($DM36&lt;53,$DM36,52),'Summary Calculations (hide)'!$D$15:$F$67,2,0)</f>
        <v>551.5</v>
      </c>
      <c r="DP36" s="5">
        <f ca="1">VLOOKUP(IF($DM36&lt;53,$DM36,52),'Summary Calculations (hide)'!$D$15:$F$67,3,0)</f>
        <v>664</v>
      </c>
      <c r="DQ36" s="5">
        <f ca="1">IF(AND(DN36&gt;='Demand adjustments for Covid'!$F$12,DN36&lt;'Demand adjustments for Covid'!$F$17),'Demand adjustments for Covid'!$F$13,DO36)</f>
        <v>551.5</v>
      </c>
      <c r="DR36" s="5">
        <f t="shared" ref="DR36:DR55" si="33">IF(AND(ROW(A33)&gt;=$EE$4,ROW(A33)&lt;=$EE$5),1,0)</f>
        <v>0</v>
      </c>
      <c r="DS36" s="5">
        <f ca="1">IF('Demand adjustments for Covid'!$F$9="Yes",IF(DR36=0,DQ36,((SUM(DR$4:DR36)-1)*$EE$8)+'Demand adjustments for Covid'!F$13),'Demand background (hide)'!DO36)</f>
        <v>551.5</v>
      </c>
      <c r="DT36" s="5">
        <f ca="1">IF('Demand adjustments for Covid'!$F$9="Yes",IF(OR(AND(DN36&gt;='Demand adjustments for Covid'!$F$12,DN36&lt;'Demand adjustments for Covid'!$F$17),DR36=1),DS36+3,DP36),'Demand background (hide)'!DP36)</f>
        <v>664</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1164</v>
      </c>
    </row>
    <row r="37" spans="1:128" s="5" customFormat="1" x14ac:dyDescent="0.2">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7">
        <f t="shared" si="17"/>
        <v>44200</v>
      </c>
      <c r="DO37" s="5">
        <f ca="1">VLOOKUP(IF($DM37&lt;53,$DM37,52),'Summary Calculations (hide)'!$D$15:$F$67,2,0)</f>
        <v>551.5</v>
      </c>
      <c r="DP37" s="5">
        <f ca="1">VLOOKUP(IF($DM37&lt;53,$DM37,52),'Summary Calculations (hide)'!$D$15:$F$67,3,0)</f>
        <v>664</v>
      </c>
      <c r="DQ37" s="5">
        <f ca="1">IF(AND(DN37&gt;='Demand adjustments for Covid'!$F$12,DN37&lt;'Demand adjustments for Covid'!$F$17),'Demand adjustments for Covid'!$F$13,DO37)</f>
        <v>551.5</v>
      </c>
      <c r="DR37" s="5">
        <f t="shared" si="33"/>
        <v>0</v>
      </c>
      <c r="DS37" s="5">
        <f ca="1">IF('Demand adjustments for Covid'!$F$9="Yes",IF(DR37=0,DQ37,((SUM(DR$4:DR37)-1)*$EE$8)+'Demand adjustments for Covid'!F$13),'Demand background (hide)'!DO37)</f>
        <v>551.5</v>
      </c>
      <c r="DT37" s="5">
        <f ca="1">IF('Demand adjustments for Covid'!$F$9="Yes",IF(OR(AND(DN37&gt;='Demand adjustments for Covid'!$F$12,DN37&lt;'Demand adjustments for Covid'!$F$17),DR37=1),DS37+3,DP37),'Demand background (hide)'!DP37)</f>
        <v>664</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1164</v>
      </c>
    </row>
    <row r="38" spans="1:128" s="5" customFormat="1" x14ac:dyDescent="0.2">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7">
        <f t="shared" si="17"/>
        <v>44207</v>
      </c>
      <c r="DO38" s="5">
        <f ca="1">VLOOKUP(IF($DM38&lt;53,$DM38,52),'Summary Calculations (hide)'!$D$15:$F$67,2,0)</f>
        <v>551.5</v>
      </c>
      <c r="DP38" s="5">
        <f ca="1">VLOOKUP(IF($DM38&lt;53,$DM38,52),'Summary Calculations (hide)'!$D$15:$F$67,3,0)</f>
        <v>664</v>
      </c>
      <c r="DQ38" s="5">
        <f ca="1">IF(AND(DN38&gt;='Demand adjustments for Covid'!$F$12,DN38&lt;'Demand adjustments for Covid'!$F$17),'Demand adjustments for Covid'!$F$13,DO38)</f>
        <v>551.5</v>
      </c>
      <c r="DR38" s="5">
        <f t="shared" si="33"/>
        <v>0</v>
      </c>
      <c r="DS38" s="5">
        <f ca="1">IF('Demand adjustments for Covid'!$F$9="Yes",IF(DR38=0,DQ38,((SUM(DR$4:DR38)-1)*$EE$8)+'Demand adjustments for Covid'!F$13),'Demand background (hide)'!DO38)</f>
        <v>551.5</v>
      </c>
      <c r="DT38" s="5">
        <f ca="1">IF('Demand adjustments for Covid'!$F$9="Yes",IF(OR(AND(DN38&gt;='Demand adjustments for Covid'!$F$12,DN38&lt;'Demand adjustments for Covid'!$F$17),DR38=1),DS38+3,DP38),'Demand background (hide)'!DP38)</f>
        <v>664</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1164</v>
      </c>
    </row>
    <row r="39" spans="1:128" s="5" customFormat="1" x14ac:dyDescent="0.2">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7">
        <f t="shared" si="17"/>
        <v>44214</v>
      </c>
      <c r="DO39" s="5">
        <f ca="1">VLOOKUP(IF($DM39&lt;53,$DM39,52),'Summary Calculations (hide)'!$D$15:$F$67,2,0)</f>
        <v>551.5</v>
      </c>
      <c r="DP39" s="5">
        <f ca="1">VLOOKUP(IF($DM39&lt;53,$DM39,52),'Summary Calculations (hide)'!$D$15:$F$67,3,0)</f>
        <v>664</v>
      </c>
      <c r="DQ39" s="5">
        <f ca="1">IF(AND(DN39&gt;='Demand adjustments for Covid'!$F$12,DN39&lt;'Demand adjustments for Covid'!$F$17),'Demand adjustments for Covid'!$F$13,DO39)</f>
        <v>551.5</v>
      </c>
      <c r="DR39" s="5">
        <f t="shared" si="33"/>
        <v>0</v>
      </c>
      <c r="DS39" s="5">
        <f ca="1">IF('Demand adjustments for Covid'!$F$9="Yes",IF(DR39=0,DQ39,((SUM(DR$4:DR39)-1)*$EE$8)+'Demand adjustments for Covid'!F$13),'Demand background (hide)'!DO39)</f>
        <v>551.5</v>
      </c>
      <c r="DT39" s="5">
        <f ca="1">IF('Demand adjustments for Covid'!$F$9="Yes",IF(OR(AND(DN39&gt;='Demand adjustments for Covid'!$F$12,DN39&lt;'Demand adjustments for Covid'!$F$17),DR39=1),DS39+3,DP39),'Demand background (hide)'!DP39)</f>
        <v>664</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1164</v>
      </c>
    </row>
    <row r="40" spans="1:128" s="5" customFormat="1" x14ac:dyDescent="0.2">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7">
        <f t="shared" si="17"/>
        <v>44221</v>
      </c>
      <c r="DO40" s="5">
        <f ca="1">VLOOKUP(IF($DM40&lt;53,$DM40,52),'Summary Calculations (hide)'!$D$15:$F$67,2,0)</f>
        <v>551.5</v>
      </c>
      <c r="DP40" s="5">
        <f ca="1">VLOOKUP(IF($DM40&lt;53,$DM40,52),'Summary Calculations (hide)'!$D$15:$F$67,3,0)</f>
        <v>664</v>
      </c>
      <c r="DQ40" s="5">
        <f ca="1">IF(AND(DN40&gt;='Demand adjustments for Covid'!$F$12,DN40&lt;'Demand adjustments for Covid'!$F$17),'Demand adjustments for Covid'!$F$13,DO40)</f>
        <v>551.5</v>
      </c>
      <c r="DR40" s="5">
        <f t="shared" si="33"/>
        <v>0</v>
      </c>
      <c r="DS40" s="5">
        <f ca="1">IF('Demand adjustments for Covid'!$F$9="Yes",IF(DR40=0,DQ40,((SUM(DR$4:DR40)-1)*$EE$8)+'Demand adjustments for Covid'!F$13),'Demand background (hide)'!DO40)</f>
        <v>551.5</v>
      </c>
      <c r="DT40" s="5">
        <f ca="1">IF('Demand adjustments for Covid'!$F$9="Yes",IF(OR(AND(DN40&gt;='Demand adjustments for Covid'!$F$12,DN40&lt;'Demand adjustments for Covid'!$F$17),DR40=1),DS40+3,DP40),'Demand background (hide)'!DP40)</f>
        <v>664</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1164</v>
      </c>
    </row>
    <row r="41" spans="1:128" s="5" customFormat="1" x14ac:dyDescent="0.2">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7">
        <f t="shared" si="17"/>
        <v>44228</v>
      </c>
      <c r="DO41" s="5">
        <f ca="1">VLOOKUP(IF($DM41&lt;53,$DM41,52),'Summary Calculations (hide)'!$D$15:$F$67,2,0)</f>
        <v>551.5</v>
      </c>
      <c r="DP41" s="5">
        <f ca="1">VLOOKUP(IF($DM41&lt;53,$DM41,52),'Summary Calculations (hide)'!$D$15:$F$67,3,0)</f>
        <v>664</v>
      </c>
      <c r="DQ41" s="5">
        <f ca="1">IF(AND(DN41&gt;='Demand adjustments for Covid'!$F$12,DN41&lt;'Demand adjustments for Covid'!$F$17),'Demand adjustments for Covid'!$F$13,DO41)</f>
        <v>551.5</v>
      </c>
      <c r="DR41" s="5">
        <f t="shared" si="33"/>
        <v>0</v>
      </c>
      <c r="DS41" s="5">
        <f ca="1">IF('Demand adjustments for Covid'!$F$9="Yes",IF(DR41=0,DQ41,((SUM(DR$4:DR41)-1)*$EE$8)+'Demand adjustments for Covid'!F$13),'Demand background (hide)'!DO41)</f>
        <v>551.5</v>
      </c>
      <c r="DT41" s="5">
        <f ca="1">IF('Demand adjustments for Covid'!$F$9="Yes",IF(OR(AND(DN41&gt;='Demand adjustments for Covid'!$F$12,DN41&lt;'Demand adjustments for Covid'!$F$17),DR41=1),DS41+3,DP41),'Demand background (hide)'!DP41)</f>
        <v>664</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664</v>
      </c>
    </row>
    <row r="42" spans="1:128" s="5" customFormat="1" x14ac:dyDescent="0.2">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7">
        <f t="shared" si="17"/>
        <v>44235</v>
      </c>
      <c r="DO42" s="5">
        <f ca="1">VLOOKUP(IF($DM42&lt;53,$DM42,52),'Summary Calculations (hide)'!$D$15:$F$67,2,0)</f>
        <v>551.5</v>
      </c>
      <c r="DP42" s="5">
        <f ca="1">VLOOKUP(IF($DM42&lt;53,$DM42,52),'Summary Calculations (hide)'!$D$15:$F$67,3,0)</f>
        <v>664</v>
      </c>
      <c r="DQ42" s="5">
        <f ca="1">IF(AND(DN42&gt;='Demand adjustments for Covid'!$F$12,DN42&lt;'Demand adjustments for Covid'!$F$17),'Demand adjustments for Covid'!$F$13,DO42)</f>
        <v>551.5</v>
      </c>
      <c r="DR42" s="5">
        <f t="shared" si="33"/>
        <v>0</v>
      </c>
      <c r="DS42" s="5">
        <f ca="1">IF('Demand adjustments for Covid'!$F$9="Yes",IF(DR42=0,DQ42,((SUM(DR$4:DR42)-1)*$EE$8)+'Demand adjustments for Covid'!F$13),'Demand background (hide)'!DO42)</f>
        <v>551.5</v>
      </c>
      <c r="DT42" s="5">
        <f ca="1">IF('Demand adjustments for Covid'!$F$9="Yes",IF(OR(AND(DN42&gt;='Demand adjustments for Covid'!$F$12,DN42&lt;'Demand adjustments for Covid'!$F$17),DR42=1),DS42+3,DP42),'Demand background (hide)'!DP42)</f>
        <v>664</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664</v>
      </c>
    </row>
    <row r="43" spans="1:128" s="5" customFormat="1" x14ac:dyDescent="0.2">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7">
        <f t="shared" si="17"/>
        <v>44242</v>
      </c>
      <c r="DO43" s="5">
        <f ca="1">VLOOKUP(IF($DM43&lt;53,$DM43,52),'Summary Calculations (hide)'!$D$15:$F$67,2,0)</f>
        <v>551.5</v>
      </c>
      <c r="DP43" s="5">
        <f ca="1">VLOOKUP(IF($DM43&lt;53,$DM43,52),'Summary Calculations (hide)'!$D$15:$F$67,3,0)</f>
        <v>664</v>
      </c>
      <c r="DQ43" s="5">
        <f ca="1">IF(AND(DN43&gt;='Demand adjustments for Covid'!$F$12,DN43&lt;'Demand adjustments for Covid'!$F$17),'Demand adjustments for Covid'!$F$13,DO43)</f>
        <v>551.5</v>
      </c>
      <c r="DR43" s="5">
        <f t="shared" si="33"/>
        <v>0</v>
      </c>
      <c r="DS43" s="5">
        <f ca="1">IF('Demand adjustments for Covid'!$F$9="Yes",IF(DR43=0,DQ43,((SUM(DR$4:DR43)-1)*$EE$8)+'Demand adjustments for Covid'!F$13),'Demand background (hide)'!DO43)</f>
        <v>551.5</v>
      </c>
      <c r="DT43" s="5">
        <f ca="1">IF('Demand adjustments for Covid'!$F$9="Yes",IF(OR(AND(DN43&gt;='Demand adjustments for Covid'!$F$12,DN43&lt;'Demand adjustments for Covid'!$F$17),DR43=1),DS43+3,DP43),'Demand background (hide)'!DP43)</f>
        <v>664</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664</v>
      </c>
    </row>
    <row r="44" spans="1:128" s="5" customFormat="1" x14ac:dyDescent="0.2">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7">
        <f t="shared" si="17"/>
        <v>44249</v>
      </c>
      <c r="DO44" s="5">
        <f ca="1">VLOOKUP(IF($DM44&lt;53,$DM44,52),'Summary Calculations (hide)'!$D$15:$F$67,2,0)</f>
        <v>551.5</v>
      </c>
      <c r="DP44" s="5">
        <f ca="1">VLOOKUP(IF($DM44&lt;53,$DM44,52),'Summary Calculations (hide)'!$D$15:$F$67,3,0)</f>
        <v>664</v>
      </c>
      <c r="DQ44" s="5">
        <f ca="1">IF(AND(DN44&gt;='Demand adjustments for Covid'!$F$12,DN44&lt;'Demand adjustments for Covid'!$F$17),'Demand adjustments for Covid'!$F$13,DO44)</f>
        <v>551.5</v>
      </c>
      <c r="DR44" s="5">
        <f t="shared" si="33"/>
        <v>0</v>
      </c>
      <c r="DS44" s="5">
        <f ca="1">IF('Demand adjustments for Covid'!$F$9="Yes",IF(DR44=0,DQ44,((SUM(DR$4:DR44)-1)*$EE$8)+'Demand adjustments for Covid'!F$13),'Demand background (hide)'!DO44)</f>
        <v>551.5</v>
      </c>
      <c r="DT44" s="5">
        <f ca="1">IF('Demand adjustments for Covid'!$F$9="Yes",IF(OR(AND(DN44&gt;='Demand adjustments for Covid'!$F$12,DN44&lt;'Demand adjustments for Covid'!$F$17),DR44=1),DS44+3,DP44),'Demand background (hide)'!DP44)</f>
        <v>664</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664</v>
      </c>
    </row>
    <row r="45" spans="1:128" s="5" customFormat="1" x14ac:dyDescent="0.2">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7">
        <f t="shared" si="17"/>
        <v>44256</v>
      </c>
      <c r="DO45" s="5">
        <f ca="1">VLOOKUP(IF($DM45&lt;53,$DM45,52),'Summary Calculations (hide)'!$D$15:$F$67,2,0)</f>
        <v>551.5</v>
      </c>
      <c r="DP45" s="5">
        <f ca="1">VLOOKUP(IF($DM45&lt;53,$DM45,52),'Summary Calculations (hide)'!$D$15:$F$67,3,0)</f>
        <v>664</v>
      </c>
      <c r="DQ45" s="5">
        <f ca="1">IF(AND(DN45&gt;='Demand adjustments for Covid'!$F$12,DN45&lt;'Demand adjustments for Covid'!$F$17),'Demand adjustments for Covid'!$F$13,DO45)</f>
        <v>551.5</v>
      </c>
      <c r="DR45" s="5">
        <f t="shared" si="33"/>
        <v>0</v>
      </c>
      <c r="DS45" s="5">
        <f ca="1">IF('Demand adjustments for Covid'!$F$9="Yes",IF(DR45=0,DQ45,((SUM(DR$4:DR45)-1)*$EE$8)+'Demand adjustments for Covid'!F$13),'Demand background (hide)'!DO45)</f>
        <v>551.5</v>
      </c>
      <c r="DT45" s="5">
        <f ca="1">IF('Demand adjustments for Covid'!$F$9="Yes",IF(OR(AND(DN45&gt;='Demand adjustments for Covid'!$F$12,DN45&lt;'Demand adjustments for Covid'!$F$17),DR45=1),DS45+3,DP45),'Demand background (hide)'!DP45)</f>
        <v>664</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664</v>
      </c>
    </row>
    <row r="46" spans="1:128" s="5" customFormat="1" x14ac:dyDescent="0.2">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7">
        <f t="shared" si="17"/>
        <v>44263</v>
      </c>
      <c r="DO46" s="5">
        <f ca="1">VLOOKUP(IF($DM46&lt;53,$DM46,52),'Summary Calculations (hide)'!$D$15:$F$67,2,0)</f>
        <v>551.5</v>
      </c>
      <c r="DP46" s="5">
        <f ca="1">VLOOKUP(IF($DM46&lt;53,$DM46,52),'Summary Calculations (hide)'!$D$15:$F$67,3,0)</f>
        <v>664</v>
      </c>
      <c r="DQ46" s="5">
        <f ca="1">IF(AND(DN46&gt;='Demand adjustments for Covid'!$F$12,DN46&lt;'Demand adjustments for Covid'!$F$17),'Demand adjustments for Covid'!$F$13,DO46)</f>
        <v>551.5</v>
      </c>
      <c r="DR46" s="5">
        <f t="shared" si="33"/>
        <v>0</v>
      </c>
      <c r="DS46" s="5">
        <f ca="1">IF('Demand adjustments for Covid'!$F$9="Yes",IF(DR46=0,DQ46,((SUM(DR$4:DR46)-1)*$EE$8)+'Demand adjustments for Covid'!F$13),'Demand background (hide)'!DO46)</f>
        <v>551.5</v>
      </c>
      <c r="DT46" s="5">
        <f ca="1">IF('Demand adjustments for Covid'!$F$9="Yes",IF(OR(AND(DN46&gt;='Demand adjustments for Covid'!$F$12,DN46&lt;'Demand adjustments for Covid'!$F$17),DR46=1),DS46+3,DP46),'Demand background (hide)'!DP46)</f>
        <v>664</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664</v>
      </c>
    </row>
    <row r="47" spans="1:128" s="5" customFormat="1" x14ac:dyDescent="0.2">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7">
        <f t="shared" si="17"/>
        <v>44270</v>
      </c>
      <c r="DO47" s="5">
        <f ca="1">VLOOKUP(IF($DM47&lt;53,$DM47,52),'Summary Calculations (hide)'!$D$15:$F$67,2,0)</f>
        <v>551.5</v>
      </c>
      <c r="DP47" s="5">
        <f ca="1">VLOOKUP(IF($DM47&lt;53,$DM47,52),'Summary Calculations (hide)'!$D$15:$F$67,3,0)</f>
        <v>664</v>
      </c>
      <c r="DQ47" s="5">
        <f ca="1">IF(AND(DN47&gt;='Demand adjustments for Covid'!$F$12,DN47&lt;'Demand adjustments for Covid'!$F$17),'Demand adjustments for Covid'!$F$13,DO47)</f>
        <v>551.5</v>
      </c>
      <c r="DR47" s="5">
        <f t="shared" si="33"/>
        <v>0</v>
      </c>
      <c r="DS47" s="5">
        <f ca="1">IF('Demand adjustments for Covid'!$F$9="Yes",IF(DR47=0,DQ47,((SUM(DR$4:DR47)-1)*$EE$8)+'Demand adjustments for Covid'!F$13),'Demand background (hide)'!DO47)</f>
        <v>551.5</v>
      </c>
      <c r="DT47" s="5">
        <f ca="1">IF('Demand adjustments for Covid'!$F$9="Yes",IF(OR(AND(DN47&gt;='Demand adjustments for Covid'!$F$12,DN47&lt;'Demand adjustments for Covid'!$F$17),DR47=1),DS47+3,DP47),'Demand background (hide)'!DP47)</f>
        <v>664</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664</v>
      </c>
    </row>
    <row r="48" spans="1:128" s="5" customFormat="1" x14ac:dyDescent="0.2">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7">
        <f t="shared" si="17"/>
        <v>44277</v>
      </c>
      <c r="DO48" s="5">
        <f ca="1">VLOOKUP(IF($DM48&lt;53,$DM48,52),'Summary Calculations (hide)'!$D$15:$F$67,2,0)</f>
        <v>551.5</v>
      </c>
      <c r="DP48" s="5">
        <f ca="1">VLOOKUP(IF($DM48&lt;53,$DM48,52),'Summary Calculations (hide)'!$D$15:$F$67,3,0)</f>
        <v>664</v>
      </c>
      <c r="DQ48" s="5">
        <f ca="1">IF(AND(DN48&gt;='Demand adjustments for Covid'!$F$12,DN48&lt;'Demand adjustments for Covid'!$F$17),'Demand adjustments for Covid'!$F$13,DO48)</f>
        <v>551.5</v>
      </c>
      <c r="DR48" s="5">
        <f t="shared" si="33"/>
        <v>0</v>
      </c>
      <c r="DS48" s="5">
        <f ca="1">IF('Demand adjustments for Covid'!$F$9="Yes",IF(DR48=0,DQ48,((SUM(DR$4:DR48)-1)*$EE$8)+'Demand adjustments for Covid'!F$13),'Demand background (hide)'!DO48)</f>
        <v>551.5</v>
      </c>
      <c r="DT48" s="5">
        <f ca="1">IF('Demand adjustments for Covid'!$F$9="Yes",IF(OR(AND(DN48&gt;='Demand adjustments for Covid'!$F$12,DN48&lt;'Demand adjustments for Covid'!$F$17),DR48=1),DS48+3,DP48),'Demand background (hide)'!DP48)</f>
        <v>664</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664</v>
      </c>
    </row>
    <row r="49" spans="1:132" s="5" customFormat="1" x14ac:dyDescent="0.2">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7">
        <f t="shared" si="17"/>
        <v>44284</v>
      </c>
      <c r="DO49" s="5">
        <f ca="1">VLOOKUP(IF($DM49&lt;53,$DM49,52),'Summary Calculations (hide)'!$D$15:$F$67,2,0)</f>
        <v>551.5</v>
      </c>
      <c r="DP49" s="5">
        <f ca="1">VLOOKUP(IF($DM49&lt;53,$DM49,52),'Summary Calculations (hide)'!$D$15:$F$67,3,0)</f>
        <v>664</v>
      </c>
      <c r="DQ49" s="5">
        <f ca="1">IF(AND(DN49&gt;='Demand adjustments for Covid'!$F$12,DN49&lt;'Demand adjustments for Covid'!$F$17),'Demand adjustments for Covid'!$F$13,DO49)</f>
        <v>551.5</v>
      </c>
      <c r="DR49" s="5">
        <f t="shared" si="33"/>
        <v>0</v>
      </c>
      <c r="DS49" s="5">
        <f ca="1">IF('Demand adjustments for Covid'!$F$9="Yes",IF(DR49=0,DQ49,((SUM(DR$4:DR49)-1)*$EE$8)+'Demand adjustments for Covid'!F$13),'Demand background (hide)'!DO49)</f>
        <v>551.5</v>
      </c>
      <c r="DT49" s="5">
        <f ca="1">IF('Demand adjustments for Covid'!$F$9="Yes",IF(OR(AND(DN49&gt;='Demand adjustments for Covid'!$F$12,DN49&lt;'Demand adjustments for Covid'!$F$17),DR49=1),DS49+3,DP49),'Demand background (hide)'!DP49)</f>
        <v>664</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664</v>
      </c>
    </row>
    <row r="50" spans="1:132" s="5" customFormat="1" x14ac:dyDescent="0.2">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7">
        <f t="shared" si="17"/>
        <v>44291</v>
      </c>
      <c r="DO50" s="5">
        <f ca="1">VLOOKUP(IF($DM50&lt;53,$DM50,52),'Summary Calculations (hide)'!$D$15:$F$67,2,0)</f>
        <v>551.5</v>
      </c>
      <c r="DP50" s="5">
        <f ca="1">VLOOKUP(IF($DM50&lt;53,$DM50,52),'Summary Calculations (hide)'!$D$15:$F$67,3,0)</f>
        <v>664</v>
      </c>
      <c r="DQ50" s="5">
        <f ca="1">IF(AND(DN50&gt;='Demand adjustments for Covid'!$F$12,DN50&lt;'Demand adjustments for Covid'!$F$17),'Demand adjustments for Covid'!$F$13,DO50)</f>
        <v>551.5</v>
      </c>
      <c r="DR50" s="5">
        <f t="shared" si="33"/>
        <v>0</v>
      </c>
      <c r="DS50" s="5">
        <f ca="1">IF('Demand adjustments for Covid'!$F$9="Yes",IF(DR50=0,DQ50,((SUM(DR$4:DR50)-1)*$EE$8)+'Demand adjustments for Covid'!F$13),'Demand background (hide)'!DO50)</f>
        <v>551.5</v>
      </c>
      <c r="DT50" s="5">
        <f ca="1">IF('Demand adjustments for Covid'!$F$9="Yes",IF(OR(AND(DN50&gt;='Demand adjustments for Covid'!$F$12,DN50&lt;'Demand adjustments for Covid'!$F$17),DR50=1),DS50+3,DP50),'Demand background (hide)'!DP50)</f>
        <v>664</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664</v>
      </c>
    </row>
    <row r="51" spans="1:132" s="5" customFormat="1" x14ac:dyDescent="0.2">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7">
        <f t="shared" si="17"/>
        <v>44298</v>
      </c>
      <c r="DO51" s="5">
        <f ca="1">VLOOKUP(IF($DM51&lt;53,$DM51,52),'Summary Calculations (hide)'!$D$15:$F$67,2,0)</f>
        <v>551.5</v>
      </c>
      <c r="DP51" s="5">
        <f ca="1">VLOOKUP(IF($DM51&lt;53,$DM51,52),'Summary Calculations (hide)'!$D$15:$F$67,3,0)</f>
        <v>664</v>
      </c>
      <c r="DQ51" s="5">
        <f ca="1">IF(AND(DN51&gt;='Demand adjustments for Covid'!$F$12,DN51&lt;'Demand adjustments for Covid'!$F$17),'Demand adjustments for Covid'!$F$13,DO51)</f>
        <v>551.5</v>
      </c>
      <c r="DR51" s="5">
        <f t="shared" si="33"/>
        <v>0</v>
      </c>
      <c r="DS51" s="5">
        <f ca="1">IF('Demand adjustments for Covid'!$F$9="Yes",IF(DR51=0,DQ51,((SUM(DR$4:DR51)-1)*$EE$8)+'Demand adjustments for Covid'!F$13),'Demand background (hide)'!DO51)</f>
        <v>551.5</v>
      </c>
      <c r="DT51" s="5">
        <f ca="1">IF('Demand adjustments for Covid'!$F$9="Yes",IF(OR(AND(DN51&gt;='Demand adjustments for Covid'!$F$12,DN51&lt;'Demand adjustments for Covid'!$F$17),DR51=1),DS51+3,DP51),'Demand background (hide)'!DP51)</f>
        <v>664</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664</v>
      </c>
    </row>
    <row r="52" spans="1:132" s="5" customFormat="1" x14ac:dyDescent="0.2">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7">
        <f t="shared" si="17"/>
        <v>44305</v>
      </c>
      <c r="DO52" s="5">
        <f ca="1">VLOOKUP(IF($DM52&lt;53,$DM52,52),'Summary Calculations (hide)'!$D$15:$F$67,2,0)</f>
        <v>551.5</v>
      </c>
      <c r="DP52" s="5">
        <f ca="1">VLOOKUP(IF($DM52&lt;53,$DM52,52),'Summary Calculations (hide)'!$D$15:$F$67,3,0)</f>
        <v>664</v>
      </c>
      <c r="DQ52" s="5">
        <f ca="1">IF(AND(DN52&gt;='Demand adjustments for Covid'!$F$12,DN52&lt;'Demand adjustments for Covid'!$F$17),'Demand adjustments for Covid'!$F$13,DO52)</f>
        <v>551.5</v>
      </c>
      <c r="DR52" s="5">
        <f t="shared" si="33"/>
        <v>0</v>
      </c>
      <c r="DS52" s="5">
        <f ca="1">IF('Demand adjustments for Covid'!$F$9="Yes",IF(DR52=0,DQ52,((SUM(DR$4:DR52)-1)*$EE$8)+'Demand adjustments for Covid'!F$13),'Demand background (hide)'!DO52)</f>
        <v>551.5</v>
      </c>
      <c r="DT52" s="5">
        <f ca="1">IF('Demand adjustments for Covid'!$F$9="Yes",IF(OR(AND(DN52&gt;='Demand adjustments for Covid'!$F$12,DN52&lt;'Demand adjustments for Covid'!$F$17),DR52=1),DS52+3,DP52),'Demand background (hide)'!DP52)</f>
        <v>664</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664</v>
      </c>
    </row>
    <row r="53" spans="1:132" s="5" customFormat="1" x14ac:dyDescent="0.2">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7">
        <f t="shared" si="17"/>
        <v>44312</v>
      </c>
      <c r="DO53" s="5">
        <f ca="1">VLOOKUP(IF($DM53&lt;53,$DM53,52),'Summary Calculations (hide)'!$D$15:$F$67,2,0)</f>
        <v>551.5</v>
      </c>
      <c r="DP53" s="5">
        <f ca="1">VLOOKUP(IF($DM53&lt;53,$DM53,52),'Summary Calculations (hide)'!$D$15:$F$67,3,0)</f>
        <v>664</v>
      </c>
      <c r="DQ53" s="5">
        <f ca="1">IF(AND(DN53&gt;='Demand adjustments for Covid'!$F$12,DN53&lt;'Demand adjustments for Covid'!$F$17),'Demand adjustments for Covid'!$F$13,DO53)</f>
        <v>551.5</v>
      </c>
      <c r="DR53" s="5">
        <f t="shared" si="33"/>
        <v>0</v>
      </c>
      <c r="DS53" s="5">
        <f ca="1">IF('Demand adjustments for Covid'!$F$9="Yes",IF(DR53=0,DQ53,((SUM(DR$4:DR53)-1)*$EE$8)+'Demand adjustments for Covid'!F$13),'Demand background (hide)'!DO53)</f>
        <v>551.5</v>
      </c>
      <c r="DT53" s="5">
        <f ca="1">IF('Demand adjustments for Covid'!$F$9="Yes",IF(OR(AND(DN53&gt;='Demand adjustments for Covid'!$F$12,DN53&lt;'Demand adjustments for Covid'!$F$17),DR53=1),DS53+3,DP53),'Demand background (hide)'!DP53)</f>
        <v>664</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664</v>
      </c>
    </row>
    <row r="54" spans="1:132" s="5" customFormat="1" x14ac:dyDescent="0.2">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7">
        <f t="shared" si="17"/>
        <v>44319</v>
      </c>
      <c r="DO54" s="5">
        <f ca="1">VLOOKUP(IF($DM54&lt;53,$DM54,52),'Summary Calculations (hide)'!$D$15:$F$67,2,0)</f>
        <v>551.5</v>
      </c>
      <c r="DP54" s="5">
        <f ca="1">VLOOKUP(IF($DM54&lt;53,$DM54,52),'Summary Calculations (hide)'!$D$15:$F$67,3,0)</f>
        <v>664</v>
      </c>
      <c r="DQ54" s="5">
        <f ca="1">IF(AND(DN54&gt;='Demand adjustments for Covid'!$F$12,DN54&lt;'Demand adjustments for Covid'!$F$17),'Demand adjustments for Covid'!$F$13,DO54)</f>
        <v>551.5</v>
      </c>
      <c r="DR54" s="5">
        <f t="shared" si="33"/>
        <v>0</v>
      </c>
      <c r="DS54" s="5">
        <f ca="1">IF('Demand adjustments for Covid'!$F$9="Yes",IF(DR54=0,DQ54,((SUM(DR$4:DR54)-1)*$EE$8)+'Demand adjustments for Covid'!F$13),'Demand background (hide)'!DO54)</f>
        <v>551.5</v>
      </c>
      <c r="DT54" s="5">
        <f ca="1">IF('Demand adjustments for Covid'!$F$9="Yes",IF(OR(AND(DN54&gt;='Demand adjustments for Covid'!$F$12,DN54&lt;'Demand adjustments for Covid'!$F$17),DR54=1),DS54+3,DP54),'Demand background (hide)'!DP54)</f>
        <v>664</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664</v>
      </c>
    </row>
    <row r="55" spans="1:132" s="5" customFormat="1" x14ac:dyDescent="0.2">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7">
        <f t="shared" si="17"/>
        <v>44326</v>
      </c>
      <c r="DO55" s="5">
        <f ca="1">VLOOKUP(IF($DM55&lt;53,$DM55,52),'Summary Calculations (hide)'!$D$15:$F$67,2,0)</f>
        <v>551.5</v>
      </c>
      <c r="DP55" s="5">
        <f ca="1">VLOOKUP(IF($DM55&lt;53,$DM55,52),'Summary Calculations (hide)'!$D$15:$F$67,3,0)</f>
        <v>664</v>
      </c>
      <c r="DQ55" s="5">
        <f ca="1">IF(AND(DN55&gt;='Demand adjustments for Covid'!$F$12,DN55&lt;'Demand adjustments for Covid'!$F$17),'Demand adjustments for Covid'!$F$13,DO55)</f>
        <v>551.5</v>
      </c>
      <c r="DR55" s="5">
        <f t="shared" si="33"/>
        <v>0</v>
      </c>
      <c r="DS55" s="5">
        <f ca="1">IF('Demand adjustments for Covid'!$F$9="Yes",IF(DR55=0,DQ55,((SUM(DR$4:DR55)-1)*$EE$8)+'Demand adjustments for Covid'!F$13),'Demand background (hide)'!DO55)</f>
        <v>551.5</v>
      </c>
      <c r="DT55" s="5">
        <f ca="1">IF('Demand adjustments for Covid'!$F$9="Yes",IF(OR(AND(DN55&gt;='Demand adjustments for Covid'!$F$12,DN55&lt;'Demand adjustments for Covid'!$F$17),DR55=1),DS55+3,DP55),'Demand background (hide)'!DP55)</f>
        <v>664</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664</v>
      </c>
    </row>
    <row r="56" spans="1:132" x14ac:dyDescent="0.2">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7">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D33" sqref="D33:D34"/>
    </sheetView>
  </sheetViews>
  <sheetFormatPr defaultColWidth="8.75" defaultRowHeight="14.25" x14ac:dyDescent="0.2"/>
  <cols>
    <col min="1" max="3" width="10.25" style="349" customWidth="1"/>
    <col min="4" max="4" width="17.75" style="349" customWidth="1"/>
    <col min="5" max="5" width="13.75" style="349" customWidth="1"/>
    <col min="6" max="6" width="9.75" style="349" bestFit="1" customWidth="1"/>
    <col min="7" max="16384" width="8.75" style="349"/>
  </cols>
  <sheetData>
    <row r="2" spans="1:18" x14ac:dyDescent="0.2">
      <c r="A2" s="348" t="s">
        <v>1179</v>
      </c>
      <c r="B2" s="348"/>
      <c r="C2" s="348"/>
      <c r="D2" s="348"/>
      <c r="E2" s="348"/>
      <c r="F2" s="348"/>
      <c r="G2" s="348"/>
      <c r="H2" s="348"/>
      <c r="I2" s="348"/>
      <c r="J2" s="348"/>
      <c r="K2" s="348"/>
      <c r="L2" s="348"/>
      <c r="M2" s="348"/>
      <c r="N2" s="348"/>
      <c r="O2" s="348"/>
      <c r="P2" s="348"/>
      <c r="Q2" s="348"/>
      <c r="R2" s="348"/>
    </row>
    <row r="3" spans="1:18" x14ac:dyDescent="0.2">
      <c r="A3" s="350" t="s">
        <v>1180</v>
      </c>
      <c r="B3" s="350"/>
      <c r="C3" s="350"/>
      <c r="D3" s="350"/>
      <c r="E3" s="350"/>
      <c r="F3" s="350"/>
      <c r="G3" s="350"/>
      <c r="H3" s="350"/>
      <c r="I3" s="350"/>
      <c r="J3" s="350"/>
      <c r="K3" s="350"/>
      <c r="L3" s="350"/>
      <c r="M3" s="350"/>
      <c r="N3" s="350"/>
      <c r="O3" s="350"/>
      <c r="P3" s="350"/>
      <c r="Q3" s="350"/>
      <c r="R3" s="350"/>
    </row>
    <row r="5" spans="1:18" x14ac:dyDescent="0.2">
      <c r="A5" s="349" t="s">
        <v>1210</v>
      </c>
    </row>
    <row r="6" spans="1:18" x14ac:dyDescent="0.2">
      <c r="A6" s="349" t="s">
        <v>1188</v>
      </c>
    </row>
    <row r="7" spans="1:18" x14ac:dyDescent="0.2">
      <c r="A7" s="349" t="s">
        <v>1189</v>
      </c>
    </row>
    <row r="9" spans="1:18" ht="15" x14ac:dyDescent="0.25">
      <c r="A9" s="284" t="s">
        <v>1181</v>
      </c>
      <c r="F9" s="337" t="s">
        <v>22</v>
      </c>
    </row>
    <row r="10" spans="1:18" x14ac:dyDescent="0.2">
      <c r="A10" s="351" t="str">
        <f>IF(AND(F9="Yes",Demand!C6="",LEFT(Demand!C8,1)="M"),"You must enter a start date on the 'Demand' sheet, otherwise the model will show errors!","")</f>
        <v/>
      </c>
    </row>
    <row r="11" spans="1:18" ht="15" x14ac:dyDescent="0.25">
      <c r="A11" s="284" t="s">
        <v>1186</v>
      </c>
    </row>
    <row r="12" spans="1:18" x14ac:dyDescent="0.2">
      <c r="A12" s="349" t="s">
        <v>1183</v>
      </c>
      <c r="F12" s="167">
        <v>43969</v>
      </c>
    </row>
    <row r="13" spans="1:18" x14ac:dyDescent="0.2">
      <c r="A13" s="349" t="str">
        <f>"Current (restricted) level of demand ("&amp;Setup!$I$17&amp;"):"</f>
        <v>Current (restricted) level of demand (Minutes):</v>
      </c>
      <c r="D13" s="219"/>
      <c r="F13" s="337">
        <v>200</v>
      </c>
    </row>
    <row r="14" spans="1:18" x14ac:dyDescent="0.2">
      <c r="D14" s="219"/>
      <c r="F14" s="219"/>
    </row>
    <row r="16" spans="1:18" ht="15" x14ac:dyDescent="0.25">
      <c r="A16" s="284" t="s">
        <v>1187</v>
      </c>
    </row>
    <row r="17" spans="1:6" x14ac:dyDescent="0.2">
      <c r="A17" s="349" t="s">
        <v>1185</v>
      </c>
      <c r="F17" s="167">
        <v>44011</v>
      </c>
    </row>
    <row r="18" spans="1:6" x14ac:dyDescent="0.2">
      <c r="A18" s="349" t="s">
        <v>1235</v>
      </c>
      <c r="F18" s="337">
        <v>20</v>
      </c>
    </row>
    <row r="20" spans="1:6" x14ac:dyDescent="0.2">
      <c r="A20" s="349" t="s">
        <v>1182</v>
      </c>
      <c r="F20" s="337" t="s">
        <v>22</v>
      </c>
    </row>
    <row r="23" spans="1:6" ht="15" x14ac:dyDescent="0.25">
      <c r="A23" s="284" t="s">
        <v>1212</v>
      </c>
    </row>
    <row r="24" spans="1:6" x14ac:dyDescent="0.2">
      <c r="A24" s="349" t="s">
        <v>1213</v>
      </c>
    </row>
    <row r="26" spans="1:6" x14ac:dyDescent="0.2">
      <c r="A26" s="349" t="s">
        <v>1214</v>
      </c>
    </row>
    <row r="27" spans="1:6" x14ac:dyDescent="0.2">
      <c r="A27" s="349" t="s">
        <v>1215</v>
      </c>
    </row>
    <row r="28" spans="1:6" x14ac:dyDescent="0.2">
      <c r="A28" s="352" t="s">
        <v>1220</v>
      </c>
    </row>
    <row r="31" spans="1:6" ht="15" x14ac:dyDescent="0.25">
      <c r="A31" s="284" t="s">
        <v>1216</v>
      </c>
    </row>
    <row r="33" spans="1:18" ht="13.9" customHeight="1" x14ac:dyDescent="0.25">
      <c r="D33" s="417" t="str">
        <f>"Number of patients ("&amp;Setup!$I$17&amp;")"</f>
        <v>Number of patients (Minutes)</v>
      </c>
      <c r="E33" s="415" t="s">
        <v>1219</v>
      </c>
      <c r="F33" s="417"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ht="15" x14ac:dyDescent="0.25">
      <c r="D34" s="418"/>
      <c r="E34" s="416"/>
      <c r="F34" s="418"/>
      <c r="G34" s="356">
        <v>1</v>
      </c>
      <c r="H34" s="356">
        <v>2</v>
      </c>
      <c r="I34" s="356">
        <v>3</v>
      </c>
      <c r="J34" s="356">
        <v>4</v>
      </c>
      <c r="K34" s="356">
        <v>5</v>
      </c>
      <c r="L34" s="356">
        <v>6</v>
      </c>
      <c r="M34" s="356">
        <v>7</v>
      </c>
      <c r="N34" s="356">
        <v>8</v>
      </c>
      <c r="O34" s="356">
        <v>9</v>
      </c>
      <c r="P34" s="356">
        <v>10</v>
      </c>
      <c r="Q34" s="356">
        <v>11</v>
      </c>
      <c r="R34" s="356">
        <v>12</v>
      </c>
    </row>
    <row r="35" spans="1:18" ht="15" x14ac:dyDescent="0.25">
      <c r="A35" s="349" t="s">
        <v>1217</v>
      </c>
      <c r="D35" s="359">
        <f ca="1">SUM(OFFSET('Parameters calculator (hide)'!$C$68,0,0,Num_Modalities,1))</f>
        <v>2100</v>
      </c>
      <c r="E35" s="338">
        <v>0.04</v>
      </c>
      <c r="F35" s="357">
        <f ca="1">ROUNDUP(D35*(1-E35),0)-SUM(G35:N35)</f>
        <v>416</v>
      </c>
      <c r="G35" s="337">
        <v>200</v>
      </c>
      <c r="H35" s="337">
        <v>200</v>
      </c>
      <c r="I35" s="337">
        <v>200</v>
      </c>
      <c r="J35" s="337">
        <v>200</v>
      </c>
      <c r="K35" s="337">
        <v>200</v>
      </c>
      <c r="L35" s="337">
        <v>200</v>
      </c>
      <c r="M35" s="337">
        <v>200</v>
      </c>
      <c r="N35" s="337">
        <v>200</v>
      </c>
      <c r="O35" s="337">
        <v>200</v>
      </c>
      <c r="P35" s="337">
        <v>200</v>
      </c>
      <c r="Q35" s="337"/>
      <c r="R35" s="337"/>
    </row>
    <row r="36" spans="1:18" ht="15"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ht="15" x14ac:dyDescent="0.25">
      <c r="A39" s="349" t="s">
        <v>1227</v>
      </c>
    </row>
  </sheetData>
  <sheetProtection algorithmName="SHA-512" hashValue="rk+ZUw1AOvIjm1TX9wjYgfbQlBQya85iJ/7zJ8t/acZa6wQDht+mcPZyNSxdH/RGA2BWjoswkVjQTrKh+AaMow==" saltValue="BIzEvfzRAtSmBFsKnTCzRQ=="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 ca="1">'SPC background (hide)'!H5&amp;" weeks"</f>
        <v>52 weeks</v>
      </c>
    </row>
    <row r="6" spans="1:3" ht="14.25" customHeight="1" x14ac:dyDescent="0.2"/>
    <row r="7" spans="1:3" ht="14.25" customHeight="1" x14ac:dyDescent="0.2">
      <c r="A7" s="326" t="s">
        <v>186</v>
      </c>
      <c r="B7" s="393"/>
      <c r="C7" s="393"/>
    </row>
    <row r="8" spans="1:3" ht="14.25" customHeight="1" x14ac:dyDescent="0.2">
      <c r="A8" s="326" t="s">
        <v>187</v>
      </c>
      <c r="B8" s="393"/>
      <c r="C8" s="393" t="str">
        <f ca="1">IF('SPC background (hide)'!H7&lt;&gt;"",'SPC background (hide)'!H7&amp;" weeks","")</f>
        <v/>
      </c>
    </row>
    <row r="9" spans="1:3" ht="14.25" customHeight="1" x14ac:dyDescent="0.2">
      <c r="A9" s="326"/>
      <c r="B9" s="393"/>
      <c r="C9" s="393"/>
    </row>
    <row r="10" spans="1:3" ht="14.25" customHeight="1" x14ac:dyDescent="0.2">
      <c r="A10" s="326" t="s">
        <v>188</v>
      </c>
      <c r="B10" s="393"/>
      <c r="C10" s="393"/>
    </row>
    <row r="11" spans="1:3" ht="14.25" customHeight="1" x14ac:dyDescent="0.2">
      <c r="A11" s="326" t="s">
        <v>189</v>
      </c>
      <c r="B11" s="393"/>
      <c r="C11" s="393" t="str">
        <f ca="1">IF('SPC background (hide)'!H9&lt;&gt;"",'SPC background (hide)'!H9&amp;" weeks","")</f>
        <v/>
      </c>
    </row>
    <row r="12" spans="1:3" ht="14.25" customHeight="1" x14ac:dyDescent="0.2">
      <c r="A12" s="326"/>
      <c r="B12" s="393"/>
      <c r="C12" s="393"/>
    </row>
    <row r="13" spans="1:3" ht="14.25" customHeight="1" x14ac:dyDescent="0.2">
      <c r="A13" s="326" t="s">
        <v>190</v>
      </c>
      <c r="B13" s="393"/>
      <c r="C13" s="393"/>
    </row>
    <row r="14" spans="1:3" ht="14.25" customHeight="1" x14ac:dyDescent="0.2">
      <c r="A14" s="326" t="s">
        <v>191</v>
      </c>
      <c r="B14" s="393"/>
      <c r="C14" s="393" t="str">
        <f ca="1">IF('SPC background (hide)'!H11&lt;&gt;"",'SPC background (hide)'!H11&amp;" weeks","")</f>
        <v/>
      </c>
    </row>
    <row r="15" spans="1:3" ht="14.25" customHeight="1" x14ac:dyDescent="0.2"/>
    <row r="16" spans="1:3" x14ac:dyDescent="0.2">
      <c r="A16" s="37" t="s">
        <v>147</v>
      </c>
    </row>
    <row r="17" spans="1:3" ht="15" x14ac:dyDescent="0.25">
      <c r="A17" s="2" t="str">
        <f ca="1">'SPC background (hide)'!I11&amp;" weeks"</f>
        <v>52 weeks</v>
      </c>
    </row>
    <row r="19" spans="1:3" x14ac:dyDescent="0.2">
      <c r="A19" t="str">
        <f ca="1">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vcM/Ls96b7XtaIoikIQqIri3ti9Ei+Men2rpCzkuB69odgQVzF6lUUahLr3UKjE4YIiJ8aDbrZKLFvrLhYj5YA==" saltValue="MyMOwBsoqKQIyRIIfQ0BXw=="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407" t="s">
        <v>24</v>
      </c>
      <c r="D6" s="409"/>
    </row>
    <row r="8" spans="1:20" x14ac:dyDescent="0.2">
      <c r="B8" t="s">
        <v>218</v>
      </c>
      <c r="C8" s="210"/>
    </row>
    <row r="10" spans="1:20" ht="13.9" customHeight="1" x14ac:dyDescent="0.2">
      <c r="B10" s="413" t="s">
        <v>128</v>
      </c>
      <c r="C10" s="413" t="s">
        <v>56</v>
      </c>
      <c r="D10" s="413"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0" t="s">
        <v>222</v>
      </c>
      <c r="Q10" s="410" t="str">
        <f>"Total "&amp;"("&amp;Setup!$I$17&amp;")"</f>
        <v>Total (Minutes)</v>
      </c>
      <c r="R10" s="410" t="s">
        <v>111</v>
      </c>
    </row>
    <row r="11" spans="1:20" x14ac:dyDescent="0.2">
      <c r="B11" s="413"/>
      <c r="C11" s="413"/>
      <c r="D11" s="413"/>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0"/>
      <c r="Q11" s="410"/>
      <c r="R11" s="410"/>
    </row>
    <row r="12" spans="1:20" x14ac:dyDescent="0.2">
      <c r="B12" s="413"/>
      <c r="C12" s="413"/>
      <c r="D12" s="413"/>
      <c r="E12" s="6"/>
      <c r="F12" s="6"/>
      <c r="G12" s="6"/>
      <c r="H12" s="6"/>
      <c r="I12" s="6"/>
      <c r="J12" s="6"/>
      <c r="K12" s="6"/>
      <c r="L12" s="6"/>
      <c r="M12" s="6"/>
      <c r="N12" s="6"/>
      <c r="O12" s="6"/>
      <c r="P12" s="410"/>
      <c r="Q12" s="410"/>
      <c r="R12" s="410"/>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GY/3mByczvoeWIwhwsYQ+4WNyV7lcmUhvmN9e2BWDIqVMu84CE1cd8ix7D8aK9Wi2flutRhKgsp06+roL4EI7w==" saltValue="ToOlgmiehXKDSG9mWm2tMQ=="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I17" sqref="I17:I33"/>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4" t="s">
        <v>1298</v>
      </c>
      <c r="O2" s="72"/>
      <c r="P2" s="72"/>
      <c r="Q2" s="72"/>
      <c r="R2" s="72"/>
      <c r="S2" s="72"/>
      <c r="T2" s="72"/>
      <c r="U2" s="72"/>
    </row>
    <row r="3" spans="1:23" s="52" customFormat="1" x14ac:dyDescent="0.2">
      <c r="B3" s="72" t="s">
        <v>474</v>
      </c>
      <c r="C3" s="385"/>
      <c r="D3" s="72"/>
      <c r="F3" s="72"/>
      <c r="G3" s="72"/>
      <c r="H3" s="72"/>
      <c r="I3" s="72"/>
      <c r="J3" s="72"/>
      <c r="K3" s="72"/>
      <c r="L3" s="72"/>
      <c r="M3" s="72"/>
      <c r="N3" s="72"/>
      <c r="O3" s="72"/>
      <c r="P3" s="72"/>
      <c r="Q3" s="72"/>
      <c r="R3" s="72"/>
      <c r="S3" s="72"/>
      <c r="T3" s="72"/>
      <c r="U3" s="72"/>
    </row>
    <row r="4" spans="1:23" x14ac:dyDescent="0.2">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21</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ht="15" x14ac:dyDescent="0.25">
      <c r="B12" s="56" t="s">
        <v>1294</v>
      </c>
      <c r="C12" s="381" t="s">
        <v>1302</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9" t="s">
        <v>440</v>
      </c>
      <c r="C13" s="419"/>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
      <c r="A15" s="226"/>
      <c r="B15" s="72"/>
      <c r="C15" s="72"/>
      <c r="D15" s="72"/>
      <c r="E15" s="72"/>
      <c r="F15" s="72"/>
      <c r="G15" s="71"/>
      <c r="H15" s="225">
        <f>SUMIF(L17:L116,"x",H17:H116)</f>
        <v>678</v>
      </c>
      <c r="I15" s="225">
        <f>H15/52</f>
        <v>13.038461538461538</v>
      </c>
      <c r="J15" s="67"/>
      <c r="K15" s="67"/>
      <c r="L15" s="67"/>
      <c r="M15" s="368"/>
      <c r="N15" s="72"/>
      <c r="O15" s="72"/>
      <c r="P15" s="72"/>
      <c r="Q15" s="72"/>
      <c r="R15" s="119" t="s">
        <v>255</v>
      </c>
      <c r="S15" s="119"/>
      <c r="T15" s="224">
        <f>SUMIF(V17:V116,"x",T17:T116)</f>
        <v>110</v>
      </c>
      <c r="U15" s="224">
        <f>SUM(U17:U116)</f>
        <v>2.1153846153846154</v>
      </c>
      <c r="W15" s="72"/>
    </row>
    <row r="16" spans="1:23" ht="44.25" customHeight="1" x14ac:dyDescent="0.2">
      <c r="A16" s="293">
        <f>MAX(A17:A116)</f>
        <v>6</v>
      </c>
      <c r="B16" s="295" t="s">
        <v>512</v>
      </c>
      <c r="C16" s="295" t="s">
        <v>513</v>
      </c>
      <c r="D16" s="295" t="s">
        <v>514</v>
      </c>
      <c r="E16" s="295" t="s">
        <v>253</v>
      </c>
      <c r="F16" s="295" t="str">
        <f>C11&amp;" Per Clinic"</f>
        <v>Minutes Per Clinic</v>
      </c>
      <c r="G16" s="295" t="s">
        <v>441</v>
      </c>
      <c r="H16" s="295" t="str">
        <f>"Total 
("&amp;$C$11&amp;")"</f>
        <v>Total 
(Minutes)</v>
      </c>
      <c r="I16" s="295" t="s">
        <v>254</v>
      </c>
      <c r="J16" s="67"/>
      <c r="K16" s="67"/>
      <c r="L16" s="295" t="s">
        <v>1242</v>
      </c>
      <c r="M16" s="294">
        <f>MAX(M17:M116)</f>
        <v>2</v>
      </c>
      <c r="N16" s="296" t="s">
        <v>512</v>
      </c>
      <c r="O16" s="296" t="s">
        <v>513</v>
      </c>
      <c r="P16" s="296" t="s">
        <v>514</v>
      </c>
      <c r="Q16" s="296" t="s">
        <v>253</v>
      </c>
      <c r="R16" s="296" t="str">
        <f>C11&amp;" Per Clinic"</f>
        <v>Minutes Per Clinic</v>
      </c>
      <c r="S16" s="296" t="s">
        <v>441</v>
      </c>
      <c r="T16" s="296" t="str">
        <f>"Total 
("&amp;C11&amp;")"</f>
        <v>Total 
(Minutes)</v>
      </c>
      <c r="U16" s="296" t="s">
        <v>254</v>
      </c>
      <c r="V16" s="312" t="s">
        <v>1242</v>
      </c>
      <c r="W16" s="72"/>
    </row>
    <row r="17" spans="1:23" x14ac:dyDescent="0.2">
      <c r="A17" s="293">
        <f>IF(B17&lt;&gt;"",ROW(A1),0)</f>
        <v>1</v>
      </c>
      <c r="B17" s="163" t="s">
        <v>1281</v>
      </c>
      <c r="C17" s="163" t="s">
        <v>1282</v>
      </c>
      <c r="D17" s="163"/>
      <c r="E17" s="175">
        <v>30</v>
      </c>
      <c r="F17" s="175">
        <v>7</v>
      </c>
      <c r="G17" s="130"/>
      <c r="H17" s="222">
        <f>IF(ROW(A1)&lt;=$A$16,F17*E17,"")</f>
        <v>210</v>
      </c>
      <c r="I17" s="299">
        <f>IFERROR(H17/52,"")</f>
        <v>4.0384615384615383</v>
      </c>
      <c r="J17" s="67"/>
      <c r="K17" s="67"/>
      <c r="L17" s="361" t="s">
        <v>1237</v>
      </c>
      <c r="M17" s="294">
        <f>IF(N17&lt;&gt;"",ROW(A1),0)</f>
        <v>1</v>
      </c>
      <c r="N17" s="176" t="s">
        <v>1283</v>
      </c>
      <c r="O17" s="176"/>
      <c r="P17" s="176"/>
      <c r="Q17" s="177">
        <v>10</v>
      </c>
      <c r="R17" s="177">
        <v>5</v>
      </c>
      <c r="S17" s="131"/>
      <c r="T17" s="223">
        <f>IF(ROW(A1)&lt;=$M$16,R17*Q17,"")</f>
        <v>50</v>
      </c>
      <c r="U17" s="300">
        <f>IFERROR(T17/52,"")</f>
        <v>0.96153846153846156</v>
      </c>
      <c r="V17" s="362" t="s">
        <v>1237</v>
      </c>
      <c r="W17" s="72"/>
    </row>
    <row r="18" spans="1:23" x14ac:dyDescent="0.2">
      <c r="A18" s="293">
        <f t="shared" ref="A18:A81" si="0">IF(B18&lt;&gt;"",ROW(A2),0)</f>
        <v>2</v>
      </c>
      <c r="B18" s="163" t="s">
        <v>1284</v>
      </c>
      <c r="C18" s="163" t="s">
        <v>1282</v>
      </c>
      <c r="D18" s="163"/>
      <c r="E18" s="175">
        <v>30</v>
      </c>
      <c r="F18" s="175">
        <v>7</v>
      </c>
      <c r="G18" s="130"/>
      <c r="H18" s="222">
        <f t="shared" ref="H18:H81" si="1">IF(ROW(A2)&lt;=$A$16,F18*E18,"")</f>
        <v>210</v>
      </c>
      <c r="I18" s="299">
        <f t="shared" ref="I18:I81" si="2">IFERROR(H18/52,"")</f>
        <v>4.0384615384615383</v>
      </c>
      <c r="J18" s="67"/>
      <c r="K18" s="67"/>
      <c r="L18" s="361" t="s">
        <v>1237</v>
      </c>
      <c r="M18" s="294">
        <f t="shared" ref="M18:M81" si="3">IF(N18&lt;&gt;"",ROW(A2),0)</f>
        <v>2</v>
      </c>
      <c r="N18" s="176" t="s">
        <v>1285</v>
      </c>
      <c r="O18" s="163"/>
      <c r="P18" s="163"/>
      <c r="Q18" s="175">
        <v>12</v>
      </c>
      <c r="R18" s="175">
        <v>5</v>
      </c>
      <c r="S18" s="130"/>
      <c r="T18" s="223">
        <f t="shared" ref="T18:T81" si="4">IF(ROW(A2)&lt;=$M$16,R18*Q18,"")</f>
        <v>60</v>
      </c>
      <c r="U18" s="299">
        <f t="shared" ref="U18:U81" si="5">IFERROR(T18/52,"")</f>
        <v>1.1538461538461537</v>
      </c>
      <c r="V18" s="362" t="s">
        <v>1237</v>
      </c>
      <c r="W18" s="72"/>
    </row>
    <row r="19" spans="1:23" x14ac:dyDescent="0.2">
      <c r="A19" s="293">
        <f t="shared" si="0"/>
        <v>3</v>
      </c>
      <c r="B19" s="163" t="s">
        <v>1286</v>
      </c>
      <c r="C19" s="163" t="s">
        <v>1287</v>
      </c>
      <c r="D19" s="163"/>
      <c r="E19" s="175">
        <v>21</v>
      </c>
      <c r="F19" s="175">
        <v>4</v>
      </c>
      <c r="G19" s="130"/>
      <c r="H19" s="222">
        <f t="shared" si="1"/>
        <v>84</v>
      </c>
      <c r="I19" s="299">
        <f t="shared" si="2"/>
        <v>1.6153846153846154</v>
      </c>
      <c r="J19" s="67"/>
      <c r="K19" s="67"/>
      <c r="L19" s="361" t="s">
        <v>1237</v>
      </c>
      <c r="M19" s="294">
        <f t="shared" si="3"/>
        <v>0</v>
      </c>
      <c r="N19" s="176"/>
      <c r="O19" s="163"/>
      <c r="P19" s="163"/>
      <c r="Q19" s="175"/>
      <c r="R19" s="175"/>
      <c r="S19" s="130"/>
      <c r="T19" s="223" t="str">
        <f t="shared" si="4"/>
        <v/>
      </c>
      <c r="U19" s="222" t="str">
        <f t="shared" si="5"/>
        <v/>
      </c>
      <c r="V19" s="362" t="s">
        <v>1237</v>
      </c>
      <c r="W19" s="72"/>
    </row>
    <row r="20" spans="1:23" x14ac:dyDescent="0.2">
      <c r="A20" s="293">
        <f t="shared" si="0"/>
        <v>4</v>
      </c>
      <c r="B20" s="163" t="s">
        <v>1288</v>
      </c>
      <c r="C20" s="163" t="s">
        <v>1289</v>
      </c>
      <c r="D20" s="163"/>
      <c r="E20" s="175">
        <v>12</v>
      </c>
      <c r="F20" s="175">
        <v>4</v>
      </c>
      <c r="G20" s="130"/>
      <c r="H20" s="222">
        <f t="shared" si="1"/>
        <v>48</v>
      </c>
      <c r="I20" s="299">
        <f t="shared" si="2"/>
        <v>0.92307692307692313</v>
      </c>
      <c r="J20" s="67"/>
      <c r="K20" s="67"/>
      <c r="L20" s="361" t="s">
        <v>1237</v>
      </c>
      <c r="M20" s="294">
        <f t="shared" si="3"/>
        <v>0</v>
      </c>
      <c r="N20" s="176"/>
      <c r="O20" s="163"/>
      <c r="P20" s="163"/>
      <c r="Q20" s="175"/>
      <c r="R20" s="175"/>
      <c r="S20" s="130"/>
      <c r="T20" s="223" t="str">
        <f t="shared" si="4"/>
        <v/>
      </c>
      <c r="U20" s="222" t="str">
        <f t="shared" si="5"/>
        <v/>
      </c>
      <c r="V20" s="362" t="s">
        <v>1237</v>
      </c>
      <c r="W20" s="72"/>
    </row>
    <row r="21" spans="1:23" x14ac:dyDescent="0.2">
      <c r="A21" s="293">
        <f t="shared" si="0"/>
        <v>5</v>
      </c>
      <c r="B21" s="163" t="s">
        <v>1290</v>
      </c>
      <c r="C21" s="163" t="s">
        <v>1291</v>
      </c>
      <c r="D21" s="163"/>
      <c r="E21" s="175">
        <v>42</v>
      </c>
      <c r="F21" s="175">
        <v>3</v>
      </c>
      <c r="G21" s="130"/>
      <c r="H21" s="222">
        <f t="shared" si="1"/>
        <v>126</v>
      </c>
      <c r="I21" s="222">
        <f t="shared" si="2"/>
        <v>2.4230769230769229</v>
      </c>
      <c r="J21" s="67"/>
      <c r="K21" s="67"/>
      <c r="L21" s="361" t="s">
        <v>1237</v>
      </c>
      <c r="M21" s="294">
        <f t="shared" si="3"/>
        <v>0</v>
      </c>
      <c r="N21" s="176"/>
      <c r="O21" s="163"/>
      <c r="P21" s="163"/>
      <c r="Q21" s="175"/>
      <c r="R21" s="175"/>
      <c r="S21" s="130"/>
      <c r="T21" s="223" t="str">
        <f t="shared" si="4"/>
        <v/>
      </c>
      <c r="U21" s="222" t="str">
        <f t="shared" si="5"/>
        <v/>
      </c>
      <c r="V21" s="362" t="s">
        <v>1237</v>
      </c>
      <c r="W21" s="72"/>
    </row>
    <row r="22" spans="1:23" x14ac:dyDescent="0.2">
      <c r="A22" s="293">
        <f t="shared" si="0"/>
        <v>6</v>
      </c>
      <c r="B22" s="163" t="s">
        <v>1306</v>
      </c>
      <c r="C22" s="163"/>
      <c r="D22" s="163"/>
      <c r="E22" s="175"/>
      <c r="F22" s="175"/>
      <c r="G22" s="130"/>
      <c r="H22" s="222">
        <f t="shared" si="1"/>
        <v>0</v>
      </c>
      <c r="I22" s="222">
        <f t="shared" si="2"/>
        <v>0</v>
      </c>
      <c r="J22" s="67"/>
      <c r="K22" s="67"/>
      <c r="L22" s="361" t="s">
        <v>1237</v>
      </c>
      <c r="M22" s="294">
        <f t="shared" si="3"/>
        <v>0</v>
      </c>
      <c r="N22" s="176"/>
      <c r="O22" s="163"/>
      <c r="P22" s="163"/>
      <c r="Q22" s="175"/>
      <c r="R22" s="175"/>
      <c r="S22" s="130"/>
      <c r="T22" s="223" t="str">
        <f t="shared" si="4"/>
        <v/>
      </c>
      <c r="U22" s="222" t="str">
        <f t="shared" si="5"/>
        <v/>
      </c>
      <c r="V22" s="362" t="s">
        <v>1237</v>
      </c>
      <c r="W22" s="72"/>
    </row>
    <row r="23" spans="1:23" x14ac:dyDescent="0.2">
      <c r="A23" s="293">
        <f t="shared" si="0"/>
        <v>0</v>
      </c>
      <c r="B23" s="163"/>
      <c r="C23" s="163"/>
      <c r="D23" s="163"/>
      <c r="E23" s="175"/>
      <c r="F23" s="175"/>
      <c r="G23" s="130"/>
      <c r="H23" s="222" t="str">
        <f t="shared" si="1"/>
        <v/>
      </c>
      <c r="I23" s="222" t="str">
        <f t="shared" si="2"/>
        <v/>
      </c>
      <c r="J23" s="67"/>
      <c r="K23" s="67"/>
      <c r="L23" s="361" t="s">
        <v>1237</v>
      </c>
      <c r="M23" s="294">
        <f t="shared" si="3"/>
        <v>0</v>
      </c>
      <c r="N23" s="176"/>
      <c r="O23" s="163"/>
      <c r="P23" s="163"/>
      <c r="Q23" s="175"/>
      <c r="R23" s="175"/>
      <c r="S23" s="130"/>
      <c r="T23" s="223" t="str">
        <f t="shared" si="4"/>
        <v/>
      </c>
      <c r="U23" s="222" t="str">
        <f t="shared" si="5"/>
        <v/>
      </c>
      <c r="V23" s="362" t="s">
        <v>1237</v>
      </c>
      <c r="W23" s="72"/>
    </row>
    <row r="24" spans="1:23" x14ac:dyDescent="0.2">
      <c r="A24" s="293">
        <f t="shared" si="0"/>
        <v>0</v>
      </c>
      <c r="B24" s="163"/>
      <c r="C24" s="163"/>
      <c r="D24" s="163"/>
      <c r="E24" s="175"/>
      <c r="F24" s="175"/>
      <c r="G24" s="130"/>
      <c r="H24" s="222" t="str">
        <f t="shared" si="1"/>
        <v/>
      </c>
      <c r="I24" s="222" t="str">
        <f t="shared" si="2"/>
        <v/>
      </c>
      <c r="J24" s="67"/>
      <c r="K24" s="67"/>
      <c r="L24" s="361" t="s">
        <v>1237</v>
      </c>
      <c r="M24" s="294">
        <f t="shared" si="3"/>
        <v>0</v>
      </c>
      <c r="N24" s="176"/>
      <c r="O24" s="163"/>
      <c r="P24" s="163"/>
      <c r="Q24" s="175"/>
      <c r="R24" s="175"/>
      <c r="S24" s="130"/>
      <c r="T24" s="223" t="str">
        <f t="shared" si="4"/>
        <v/>
      </c>
      <c r="U24" s="222" t="str">
        <f t="shared" si="5"/>
        <v/>
      </c>
      <c r="V24" s="362" t="s">
        <v>1237</v>
      </c>
      <c r="W24" s="72"/>
    </row>
    <row r="25" spans="1:23" x14ac:dyDescent="0.2">
      <c r="A25" s="293">
        <f t="shared" si="0"/>
        <v>0</v>
      </c>
      <c r="B25" s="163"/>
      <c r="C25" s="163"/>
      <c r="D25" s="163"/>
      <c r="E25" s="175"/>
      <c r="F25" s="175"/>
      <c r="G25" s="130"/>
      <c r="H25" s="222" t="str">
        <f t="shared" si="1"/>
        <v/>
      </c>
      <c r="I25" s="222" t="str">
        <f t="shared" si="2"/>
        <v/>
      </c>
      <c r="J25" s="67"/>
      <c r="K25" s="67"/>
      <c r="L25" s="361" t="s">
        <v>1237</v>
      </c>
      <c r="M25" s="294">
        <f t="shared" si="3"/>
        <v>0</v>
      </c>
      <c r="N25" s="176"/>
      <c r="O25" s="163"/>
      <c r="P25" s="163"/>
      <c r="Q25" s="175"/>
      <c r="R25" s="175"/>
      <c r="S25" s="130"/>
      <c r="T25" s="223" t="str">
        <f t="shared" si="4"/>
        <v/>
      </c>
      <c r="U25" s="222" t="str">
        <f t="shared" si="5"/>
        <v/>
      </c>
      <c r="V25" s="362" t="s">
        <v>1237</v>
      </c>
      <c r="W25" s="72"/>
    </row>
    <row r="26" spans="1:23" x14ac:dyDescent="0.2">
      <c r="A26" s="293">
        <f t="shared" si="0"/>
        <v>0</v>
      </c>
      <c r="B26" s="163"/>
      <c r="C26" s="163"/>
      <c r="D26" s="163"/>
      <c r="E26" s="175"/>
      <c r="F26" s="175"/>
      <c r="G26" s="130"/>
      <c r="H26" s="222" t="str">
        <f t="shared" si="1"/>
        <v/>
      </c>
      <c r="I26" s="222" t="str">
        <f t="shared" si="2"/>
        <v/>
      </c>
      <c r="J26" s="67"/>
      <c r="K26" s="67"/>
      <c r="L26" s="361" t="s">
        <v>1237</v>
      </c>
      <c r="M26" s="294">
        <f t="shared" si="3"/>
        <v>0</v>
      </c>
      <c r="N26" s="176"/>
      <c r="O26" s="163"/>
      <c r="P26" s="163"/>
      <c r="Q26" s="175"/>
      <c r="R26" s="175"/>
      <c r="S26" s="130"/>
      <c r="T26" s="223" t="str">
        <f t="shared" si="4"/>
        <v/>
      </c>
      <c r="U26" s="222" t="str">
        <f t="shared" si="5"/>
        <v/>
      </c>
      <c r="V26" s="362" t="s">
        <v>1237</v>
      </c>
      <c r="W26" s="72"/>
    </row>
    <row r="27" spans="1:23" x14ac:dyDescent="0.2">
      <c r="A27" s="293">
        <f t="shared" si="0"/>
        <v>0</v>
      </c>
      <c r="B27" s="163"/>
      <c r="C27" s="163"/>
      <c r="D27" s="163"/>
      <c r="E27" s="175"/>
      <c r="F27" s="175"/>
      <c r="G27" s="130"/>
      <c r="H27" s="222" t="str">
        <f t="shared" si="1"/>
        <v/>
      </c>
      <c r="I27" s="222" t="str">
        <f t="shared" si="2"/>
        <v/>
      </c>
      <c r="J27" s="67"/>
      <c r="K27" s="67"/>
      <c r="L27" s="361" t="s">
        <v>1237</v>
      </c>
      <c r="M27" s="294">
        <f t="shared" si="3"/>
        <v>0</v>
      </c>
      <c r="N27" s="176"/>
      <c r="O27" s="163"/>
      <c r="P27" s="163"/>
      <c r="Q27" s="175"/>
      <c r="R27" s="175"/>
      <c r="S27" s="130"/>
      <c r="T27" s="223" t="str">
        <f t="shared" si="4"/>
        <v/>
      </c>
      <c r="U27" s="222" t="str">
        <f t="shared" si="5"/>
        <v/>
      </c>
      <c r="V27" s="362" t="s">
        <v>1237</v>
      </c>
      <c r="W27" s="72"/>
    </row>
    <row r="28" spans="1:23" x14ac:dyDescent="0.2">
      <c r="A28" s="293">
        <f t="shared" si="0"/>
        <v>0</v>
      </c>
      <c r="B28" s="163"/>
      <c r="C28" s="163"/>
      <c r="D28" s="163"/>
      <c r="E28" s="175"/>
      <c r="F28" s="175"/>
      <c r="G28" s="130"/>
      <c r="H28" s="222" t="str">
        <f t="shared" si="1"/>
        <v/>
      </c>
      <c r="I28" s="222" t="str">
        <f t="shared" si="2"/>
        <v/>
      </c>
      <c r="J28" s="67"/>
      <c r="K28" s="67"/>
      <c r="L28" s="361" t="s">
        <v>1237</v>
      </c>
      <c r="M28" s="294">
        <f t="shared" si="3"/>
        <v>0</v>
      </c>
      <c r="N28" s="176"/>
      <c r="O28" s="163"/>
      <c r="P28" s="163"/>
      <c r="Q28" s="175"/>
      <c r="R28" s="175"/>
      <c r="S28" s="130"/>
      <c r="T28" s="223" t="str">
        <f t="shared" si="4"/>
        <v/>
      </c>
      <c r="U28" s="222" t="str">
        <f t="shared" si="5"/>
        <v/>
      </c>
      <c r="V28" s="362" t="s">
        <v>1237</v>
      </c>
      <c r="W28" s="72"/>
    </row>
    <row r="29" spans="1:23" x14ac:dyDescent="0.2">
      <c r="A29" s="293">
        <f t="shared" si="0"/>
        <v>0</v>
      </c>
      <c r="B29" s="163"/>
      <c r="C29" s="163"/>
      <c r="D29" s="163"/>
      <c r="E29" s="175"/>
      <c r="F29" s="175"/>
      <c r="G29" s="130"/>
      <c r="H29" s="222" t="str">
        <f t="shared" si="1"/>
        <v/>
      </c>
      <c r="I29" s="222" t="str">
        <f t="shared" si="2"/>
        <v/>
      </c>
      <c r="J29" s="67"/>
      <c r="K29" s="67"/>
      <c r="L29" s="361" t="s">
        <v>1237</v>
      </c>
      <c r="M29" s="294">
        <f t="shared" si="3"/>
        <v>0</v>
      </c>
      <c r="N29" s="176"/>
      <c r="O29" s="163"/>
      <c r="P29" s="163"/>
      <c r="Q29" s="175"/>
      <c r="R29" s="175"/>
      <c r="S29" s="130"/>
      <c r="T29" s="223" t="str">
        <f t="shared" si="4"/>
        <v/>
      </c>
      <c r="U29" s="222" t="str">
        <f t="shared" si="5"/>
        <v/>
      </c>
      <c r="V29" s="362" t="s">
        <v>1237</v>
      </c>
      <c r="W29" s="72"/>
    </row>
    <row r="30" spans="1:23" x14ac:dyDescent="0.2">
      <c r="A30" s="293">
        <f t="shared" si="0"/>
        <v>0</v>
      </c>
      <c r="B30" s="163"/>
      <c r="C30" s="163"/>
      <c r="D30" s="163"/>
      <c r="E30" s="175"/>
      <c r="F30" s="175"/>
      <c r="G30" s="130"/>
      <c r="H30" s="222" t="str">
        <f t="shared" si="1"/>
        <v/>
      </c>
      <c r="I30" s="222" t="str">
        <f t="shared" si="2"/>
        <v/>
      </c>
      <c r="J30" s="67"/>
      <c r="K30" s="67"/>
      <c r="L30" s="361" t="s">
        <v>1237</v>
      </c>
      <c r="M30" s="294">
        <f t="shared" si="3"/>
        <v>0</v>
      </c>
      <c r="N30" s="176"/>
      <c r="O30" s="163"/>
      <c r="P30" s="163"/>
      <c r="Q30" s="175"/>
      <c r="R30" s="175"/>
      <c r="S30" s="130"/>
      <c r="T30" s="223" t="str">
        <f t="shared" si="4"/>
        <v/>
      </c>
      <c r="U30" s="222" t="str">
        <f t="shared" si="5"/>
        <v/>
      </c>
      <c r="V30" s="362" t="s">
        <v>1237</v>
      </c>
      <c r="W30" s="72"/>
    </row>
    <row r="31" spans="1:23" x14ac:dyDescent="0.2">
      <c r="A31" s="293">
        <f t="shared" si="0"/>
        <v>0</v>
      </c>
      <c r="B31" s="163"/>
      <c r="C31" s="163"/>
      <c r="D31" s="163"/>
      <c r="E31" s="175"/>
      <c r="F31" s="175"/>
      <c r="G31" s="130"/>
      <c r="H31" s="222" t="str">
        <f t="shared" si="1"/>
        <v/>
      </c>
      <c r="I31" s="222" t="str">
        <f t="shared" si="2"/>
        <v/>
      </c>
      <c r="J31" s="67"/>
      <c r="K31" s="67"/>
      <c r="L31" s="361" t="s">
        <v>1237</v>
      </c>
      <c r="M31" s="294">
        <f t="shared" si="3"/>
        <v>0</v>
      </c>
      <c r="N31" s="176"/>
      <c r="O31" s="163"/>
      <c r="P31" s="163"/>
      <c r="Q31" s="175"/>
      <c r="R31" s="175"/>
      <c r="S31" s="130"/>
      <c r="T31" s="223" t="str">
        <f t="shared" si="4"/>
        <v/>
      </c>
      <c r="U31" s="222" t="str">
        <f t="shared" si="5"/>
        <v/>
      </c>
      <c r="V31" s="362" t="s">
        <v>1237</v>
      </c>
      <c r="W31" s="72"/>
    </row>
    <row r="32" spans="1:23" x14ac:dyDescent="0.2">
      <c r="A32" s="293">
        <f t="shared" si="0"/>
        <v>0</v>
      </c>
      <c r="B32" s="163"/>
      <c r="C32" s="163"/>
      <c r="D32" s="163"/>
      <c r="E32" s="175"/>
      <c r="F32" s="175"/>
      <c r="G32" s="130"/>
      <c r="H32" s="222" t="str">
        <f t="shared" si="1"/>
        <v/>
      </c>
      <c r="I32" s="222" t="str">
        <f t="shared" si="2"/>
        <v/>
      </c>
      <c r="J32" s="67"/>
      <c r="K32" s="67"/>
      <c r="L32" s="361" t="s">
        <v>1237</v>
      </c>
      <c r="M32" s="294">
        <f t="shared" si="3"/>
        <v>0</v>
      </c>
      <c r="N32" s="176"/>
      <c r="O32" s="163"/>
      <c r="P32" s="163"/>
      <c r="Q32" s="175"/>
      <c r="R32" s="175"/>
      <c r="S32" s="130"/>
      <c r="T32" s="223" t="str">
        <f t="shared" si="4"/>
        <v/>
      </c>
      <c r="U32" s="222" t="str">
        <f t="shared" si="5"/>
        <v/>
      </c>
      <c r="V32" s="362" t="s">
        <v>1237</v>
      </c>
      <c r="W32" s="72"/>
    </row>
    <row r="33" spans="1:23" x14ac:dyDescent="0.2">
      <c r="A33" s="293">
        <f t="shared" si="0"/>
        <v>0</v>
      </c>
      <c r="B33" s="163"/>
      <c r="C33" s="163"/>
      <c r="D33" s="163"/>
      <c r="E33" s="175"/>
      <c r="F33" s="175"/>
      <c r="G33" s="130"/>
      <c r="H33" s="222" t="str">
        <f t="shared" si="1"/>
        <v/>
      </c>
      <c r="I33" s="222" t="str">
        <f t="shared" si="2"/>
        <v/>
      </c>
      <c r="J33" s="67"/>
      <c r="K33" s="67"/>
      <c r="L33" s="361" t="s">
        <v>1237</v>
      </c>
      <c r="M33" s="294">
        <f t="shared" si="3"/>
        <v>0</v>
      </c>
      <c r="N33" s="176"/>
      <c r="O33" s="163"/>
      <c r="P33" s="163"/>
      <c r="Q33" s="175"/>
      <c r="R33" s="175"/>
      <c r="S33" s="130"/>
      <c r="T33" s="223" t="str">
        <f t="shared" si="4"/>
        <v/>
      </c>
      <c r="U33" s="222" t="str">
        <f t="shared" si="5"/>
        <v/>
      </c>
      <c r="V33" s="362" t="s">
        <v>1237</v>
      </c>
      <c r="W33" s="72"/>
    </row>
    <row r="34" spans="1:23" x14ac:dyDescent="0.2">
      <c r="A34" s="293">
        <f t="shared" si="0"/>
        <v>0</v>
      </c>
      <c r="B34" s="163"/>
      <c r="C34" s="163"/>
      <c r="D34" s="163"/>
      <c r="E34" s="175"/>
      <c r="F34" s="175"/>
      <c r="G34" s="130"/>
      <c r="H34" s="222" t="str">
        <f t="shared" si="1"/>
        <v/>
      </c>
      <c r="I34" s="222" t="str">
        <f t="shared" si="2"/>
        <v/>
      </c>
      <c r="J34" s="67"/>
      <c r="K34" s="67"/>
      <c r="L34" s="361" t="s">
        <v>1237</v>
      </c>
      <c r="M34" s="294">
        <f t="shared" si="3"/>
        <v>0</v>
      </c>
      <c r="N34" s="176"/>
      <c r="O34" s="163"/>
      <c r="P34" s="163"/>
      <c r="Q34" s="175"/>
      <c r="R34" s="175"/>
      <c r="S34" s="130"/>
      <c r="T34" s="223" t="str">
        <f t="shared" si="4"/>
        <v/>
      </c>
      <c r="U34" s="222" t="str">
        <f t="shared" si="5"/>
        <v/>
      </c>
      <c r="V34" s="362" t="s">
        <v>1237</v>
      </c>
      <c r="W34" s="72"/>
    </row>
    <row r="35" spans="1:23" x14ac:dyDescent="0.2">
      <c r="A35" s="293">
        <f t="shared" si="0"/>
        <v>0</v>
      </c>
      <c r="B35" s="163"/>
      <c r="C35" s="163"/>
      <c r="D35" s="163"/>
      <c r="E35" s="175"/>
      <c r="F35" s="175"/>
      <c r="G35" s="130"/>
      <c r="H35" s="222" t="str">
        <f t="shared" si="1"/>
        <v/>
      </c>
      <c r="I35" s="222" t="str">
        <f t="shared" si="2"/>
        <v/>
      </c>
      <c r="J35" s="67"/>
      <c r="K35" s="67"/>
      <c r="L35" s="361" t="s">
        <v>1237</v>
      </c>
      <c r="M35" s="294">
        <f t="shared" si="3"/>
        <v>0</v>
      </c>
      <c r="N35" s="176"/>
      <c r="O35" s="163"/>
      <c r="P35" s="163"/>
      <c r="Q35" s="175"/>
      <c r="R35" s="175"/>
      <c r="S35" s="130"/>
      <c r="T35" s="223" t="str">
        <f t="shared" si="4"/>
        <v/>
      </c>
      <c r="U35" s="222" t="str">
        <f t="shared" si="5"/>
        <v/>
      </c>
      <c r="V35" s="362" t="s">
        <v>1237</v>
      </c>
      <c r="W35" s="72"/>
    </row>
    <row r="36" spans="1:23" x14ac:dyDescent="0.2">
      <c r="A36" s="293">
        <f t="shared" si="0"/>
        <v>0</v>
      </c>
      <c r="B36" s="163"/>
      <c r="C36" s="163"/>
      <c r="D36" s="163"/>
      <c r="E36" s="175"/>
      <c r="F36" s="175"/>
      <c r="G36" s="130"/>
      <c r="H36" s="222" t="str">
        <f t="shared" si="1"/>
        <v/>
      </c>
      <c r="I36" s="222" t="str">
        <f t="shared" si="2"/>
        <v/>
      </c>
      <c r="J36" s="67"/>
      <c r="K36" s="67"/>
      <c r="L36" s="361" t="s">
        <v>1237</v>
      </c>
      <c r="M36" s="294">
        <f t="shared" si="3"/>
        <v>0</v>
      </c>
      <c r="N36" s="176"/>
      <c r="O36" s="163"/>
      <c r="P36" s="163"/>
      <c r="Q36" s="175"/>
      <c r="R36" s="175"/>
      <c r="S36" s="130"/>
      <c r="T36" s="223" t="str">
        <f t="shared" si="4"/>
        <v/>
      </c>
      <c r="U36" s="222" t="str">
        <f t="shared" si="5"/>
        <v/>
      </c>
      <c r="V36" s="362" t="s">
        <v>1237</v>
      </c>
      <c r="W36" s="72"/>
    </row>
    <row r="37" spans="1:23" x14ac:dyDescent="0.2">
      <c r="A37" s="293">
        <f t="shared" si="0"/>
        <v>0</v>
      </c>
      <c r="B37" s="163"/>
      <c r="C37" s="163"/>
      <c r="D37" s="163"/>
      <c r="E37" s="175"/>
      <c r="F37" s="175"/>
      <c r="G37" s="130"/>
      <c r="H37" s="222" t="str">
        <f t="shared" si="1"/>
        <v/>
      </c>
      <c r="I37" s="222" t="str">
        <f t="shared" si="2"/>
        <v/>
      </c>
      <c r="J37" s="67"/>
      <c r="K37" s="67"/>
      <c r="L37" s="361" t="s">
        <v>1237</v>
      </c>
      <c r="M37" s="294">
        <f t="shared" si="3"/>
        <v>0</v>
      </c>
      <c r="N37" s="176"/>
      <c r="O37" s="163"/>
      <c r="P37" s="163"/>
      <c r="Q37" s="175"/>
      <c r="R37" s="175"/>
      <c r="S37" s="130"/>
      <c r="T37" s="223" t="str">
        <f t="shared" si="4"/>
        <v/>
      </c>
      <c r="U37" s="222" t="str">
        <f t="shared" si="5"/>
        <v/>
      </c>
      <c r="V37" s="362" t="s">
        <v>1237</v>
      </c>
      <c r="W37" s="72"/>
    </row>
    <row r="38" spans="1:23" x14ac:dyDescent="0.2">
      <c r="A38" s="293">
        <f t="shared" si="0"/>
        <v>0</v>
      </c>
      <c r="B38" s="163"/>
      <c r="C38" s="163"/>
      <c r="D38" s="163"/>
      <c r="E38" s="175"/>
      <c r="F38" s="175"/>
      <c r="G38" s="130"/>
      <c r="H38" s="222" t="str">
        <f t="shared" si="1"/>
        <v/>
      </c>
      <c r="I38" s="222" t="str">
        <f t="shared" si="2"/>
        <v/>
      </c>
      <c r="J38" s="67"/>
      <c r="K38" s="67"/>
      <c r="L38" s="361" t="s">
        <v>1237</v>
      </c>
      <c r="M38" s="294">
        <f t="shared" si="3"/>
        <v>0</v>
      </c>
      <c r="N38" s="176"/>
      <c r="O38" s="163"/>
      <c r="P38" s="163"/>
      <c r="Q38" s="175"/>
      <c r="R38" s="175"/>
      <c r="S38" s="130"/>
      <c r="T38" s="223" t="str">
        <f t="shared" si="4"/>
        <v/>
      </c>
      <c r="U38" s="222" t="str">
        <f t="shared" si="5"/>
        <v/>
      </c>
      <c r="V38" s="362" t="s">
        <v>1237</v>
      </c>
      <c r="W38" s="72"/>
    </row>
    <row r="39" spans="1:23" x14ac:dyDescent="0.2">
      <c r="A39" s="293">
        <f t="shared" si="0"/>
        <v>0</v>
      </c>
      <c r="B39" s="163"/>
      <c r="C39" s="163"/>
      <c r="D39" s="163"/>
      <c r="E39" s="175"/>
      <c r="F39" s="175"/>
      <c r="G39" s="130"/>
      <c r="H39" s="222" t="str">
        <f t="shared" si="1"/>
        <v/>
      </c>
      <c r="I39" s="222" t="str">
        <f t="shared" si="2"/>
        <v/>
      </c>
      <c r="J39" s="67"/>
      <c r="K39" s="67"/>
      <c r="L39" s="361" t="s">
        <v>1237</v>
      </c>
      <c r="M39" s="294">
        <f t="shared" si="3"/>
        <v>0</v>
      </c>
      <c r="N39" s="176"/>
      <c r="O39" s="163"/>
      <c r="P39" s="163"/>
      <c r="Q39" s="175"/>
      <c r="R39" s="175"/>
      <c r="S39" s="130"/>
      <c r="T39" s="223" t="str">
        <f t="shared" si="4"/>
        <v/>
      </c>
      <c r="U39" s="222" t="str">
        <f t="shared" si="5"/>
        <v/>
      </c>
      <c r="V39" s="362" t="s">
        <v>1237</v>
      </c>
      <c r="W39" s="72"/>
    </row>
    <row r="40" spans="1:23" x14ac:dyDescent="0.2">
      <c r="A40" s="293">
        <f t="shared" si="0"/>
        <v>0</v>
      </c>
      <c r="B40" s="163"/>
      <c r="C40" s="163"/>
      <c r="D40" s="163"/>
      <c r="E40" s="175"/>
      <c r="F40" s="175"/>
      <c r="G40" s="130"/>
      <c r="H40" s="222" t="str">
        <f t="shared" si="1"/>
        <v/>
      </c>
      <c r="I40" s="222" t="str">
        <f t="shared" si="2"/>
        <v/>
      </c>
      <c r="J40" s="67"/>
      <c r="K40" s="67"/>
      <c r="L40" s="361" t="s">
        <v>1237</v>
      </c>
      <c r="M40" s="294">
        <f t="shared" si="3"/>
        <v>0</v>
      </c>
      <c r="N40" s="176"/>
      <c r="O40" s="163"/>
      <c r="P40" s="163"/>
      <c r="Q40" s="175"/>
      <c r="R40" s="175"/>
      <c r="S40" s="130"/>
      <c r="T40" s="223" t="str">
        <f t="shared" si="4"/>
        <v/>
      </c>
      <c r="U40" s="222" t="str">
        <f t="shared" si="5"/>
        <v/>
      </c>
      <c r="V40" s="362" t="s">
        <v>1237</v>
      </c>
      <c r="W40" s="72"/>
    </row>
    <row r="41" spans="1:23" x14ac:dyDescent="0.2">
      <c r="A41" s="293">
        <f t="shared" si="0"/>
        <v>0</v>
      </c>
      <c r="B41" s="163"/>
      <c r="C41" s="163"/>
      <c r="D41" s="163"/>
      <c r="E41" s="175"/>
      <c r="F41" s="175"/>
      <c r="G41" s="130"/>
      <c r="H41" s="222" t="str">
        <f t="shared" si="1"/>
        <v/>
      </c>
      <c r="I41" s="222" t="str">
        <f t="shared" si="2"/>
        <v/>
      </c>
      <c r="J41" s="67"/>
      <c r="K41" s="67"/>
      <c r="L41" s="361" t="s">
        <v>1237</v>
      </c>
      <c r="M41" s="294">
        <f t="shared" si="3"/>
        <v>0</v>
      </c>
      <c r="N41" s="176"/>
      <c r="O41" s="163"/>
      <c r="P41" s="163"/>
      <c r="Q41" s="175"/>
      <c r="R41" s="175"/>
      <c r="S41" s="130"/>
      <c r="T41" s="223" t="str">
        <f t="shared" si="4"/>
        <v/>
      </c>
      <c r="U41" s="222" t="str">
        <f t="shared" si="5"/>
        <v/>
      </c>
      <c r="V41" s="362" t="s">
        <v>1237</v>
      </c>
      <c r="W41" s="72"/>
    </row>
    <row r="42" spans="1:23" x14ac:dyDescent="0.2">
      <c r="A42" s="293">
        <f t="shared" si="0"/>
        <v>0</v>
      </c>
      <c r="B42" s="163"/>
      <c r="C42" s="163"/>
      <c r="D42" s="163"/>
      <c r="E42" s="175"/>
      <c r="F42" s="175"/>
      <c r="G42" s="130"/>
      <c r="H42" s="222" t="str">
        <f t="shared" si="1"/>
        <v/>
      </c>
      <c r="I42" s="222" t="str">
        <f t="shared" si="2"/>
        <v/>
      </c>
      <c r="J42" s="67"/>
      <c r="K42" s="67"/>
      <c r="L42" s="361" t="s">
        <v>1237</v>
      </c>
      <c r="M42" s="294">
        <f t="shared" si="3"/>
        <v>0</v>
      </c>
      <c r="N42" s="176"/>
      <c r="O42" s="163"/>
      <c r="P42" s="163"/>
      <c r="Q42" s="175"/>
      <c r="R42" s="175"/>
      <c r="S42" s="130"/>
      <c r="T42" s="223" t="str">
        <f t="shared" si="4"/>
        <v/>
      </c>
      <c r="U42" s="222" t="str">
        <f t="shared" si="5"/>
        <v/>
      </c>
      <c r="V42" s="362" t="s">
        <v>1237</v>
      </c>
      <c r="W42" s="72"/>
    </row>
    <row r="43" spans="1:23" x14ac:dyDescent="0.2">
      <c r="A43" s="293">
        <f t="shared" si="0"/>
        <v>0</v>
      </c>
      <c r="B43" s="163"/>
      <c r="C43" s="163"/>
      <c r="D43" s="163"/>
      <c r="E43" s="175"/>
      <c r="F43" s="175"/>
      <c r="G43" s="130"/>
      <c r="H43" s="222" t="str">
        <f t="shared" si="1"/>
        <v/>
      </c>
      <c r="I43" s="222" t="str">
        <f t="shared" si="2"/>
        <v/>
      </c>
      <c r="J43" s="67"/>
      <c r="K43" s="67"/>
      <c r="L43" s="361" t="s">
        <v>1237</v>
      </c>
      <c r="M43" s="294">
        <f t="shared" si="3"/>
        <v>0</v>
      </c>
      <c r="N43" s="176"/>
      <c r="O43" s="163"/>
      <c r="P43" s="163"/>
      <c r="Q43" s="175"/>
      <c r="R43" s="175"/>
      <c r="S43" s="130"/>
      <c r="T43" s="223" t="str">
        <f t="shared" si="4"/>
        <v/>
      </c>
      <c r="U43" s="222" t="str">
        <f t="shared" si="5"/>
        <v/>
      </c>
      <c r="V43" s="362" t="s">
        <v>1237</v>
      </c>
      <c r="W43" s="72"/>
    </row>
    <row r="44" spans="1:23" x14ac:dyDescent="0.2">
      <c r="A44" s="293">
        <f t="shared" si="0"/>
        <v>0</v>
      </c>
      <c r="B44" s="163"/>
      <c r="C44" s="163"/>
      <c r="D44" s="163"/>
      <c r="E44" s="175"/>
      <c r="F44" s="175"/>
      <c r="G44" s="130"/>
      <c r="H44" s="222" t="str">
        <f t="shared" si="1"/>
        <v/>
      </c>
      <c r="I44" s="222" t="str">
        <f t="shared" si="2"/>
        <v/>
      </c>
      <c r="J44" s="67"/>
      <c r="K44" s="67"/>
      <c r="L44" s="361" t="s">
        <v>1237</v>
      </c>
      <c r="M44" s="294">
        <f t="shared" si="3"/>
        <v>0</v>
      </c>
      <c r="N44" s="176"/>
      <c r="O44" s="163"/>
      <c r="P44" s="163"/>
      <c r="Q44" s="175"/>
      <c r="R44" s="175"/>
      <c r="S44" s="130"/>
      <c r="T44" s="223" t="str">
        <f t="shared" si="4"/>
        <v/>
      </c>
      <c r="U44" s="222" t="str">
        <f t="shared" si="5"/>
        <v/>
      </c>
      <c r="V44" s="362" t="s">
        <v>1237</v>
      </c>
      <c r="W44" s="72"/>
    </row>
    <row r="45" spans="1:23" x14ac:dyDescent="0.2">
      <c r="A45" s="293">
        <f t="shared" si="0"/>
        <v>0</v>
      </c>
      <c r="B45" s="163"/>
      <c r="C45" s="163"/>
      <c r="D45" s="163"/>
      <c r="E45" s="175"/>
      <c r="F45" s="175"/>
      <c r="G45" s="130"/>
      <c r="H45" s="222" t="str">
        <f t="shared" si="1"/>
        <v/>
      </c>
      <c r="I45" s="222" t="str">
        <f t="shared" si="2"/>
        <v/>
      </c>
      <c r="J45" s="67"/>
      <c r="K45" s="67"/>
      <c r="L45" s="361" t="s">
        <v>1237</v>
      </c>
      <c r="M45" s="294">
        <f t="shared" si="3"/>
        <v>0</v>
      </c>
      <c r="N45" s="176"/>
      <c r="O45" s="163"/>
      <c r="P45" s="163"/>
      <c r="Q45" s="175"/>
      <c r="R45" s="175"/>
      <c r="S45" s="130"/>
      <c r="T45" s="223" t="str">
        <f t="shared" si="4"/>
        <v/>
      </c>
      <c r="U45" s="222" t="str">
        <f t="shared" si="5"/>
        <v/>
      </c>
      <c r="V45" s="362" t="s">
        <v>1237</v>
      </c>
      <c r="W45" s="72"/>
    </row>
    <row r="46" spans="1:23" x14ac:dyDescent="0.2">
      <c r="A46" s="293">
        <f t="shared" si="0"/>
        <v>0</v>
      </c>
      <c r="B46" s="163"/>
      <c r="C46" s="163"/>
      <c r="D46" s="163"/>
      <c r="E46" s="175"/>
      <c r="F46" s="175"/>
      <c r="G46" s="130"/>
      <c r="H46" s="222" t="str">
        <f t="shared" si="1"/>
        <v/>
      </c>
      <c r="I46" s="222" t="str">
        <f t="shared" si="2"/>
        <v/>
      </c>
      <c r="J46" s="67"/>
      <c r="K46" s="67"/>
      <c r="L46" s="361" t="s">
        <v>1237</v>
      </c>
      <c r="M46" s="294">
        <f t="shared" si="3"/>
        <v>0</v>
      </c>
      <c r="N46" s="176"/>
      <c r="O46" s="163"/>
      <c r="P46" s="163"/>
      <c r="Q46" s="175"/>
      <c r="R46" s="175"/>
      <c r="S46" s="130"/>
      <c r="T46" s="223" t="str">
        <f t="shared" si="4"/>
        <v/>
      </c>
      <c r="U46" s="222" t="str">
        <f t="shared" si="5"/>
        <v/>
      </c>
      <c r="V46" s="362" t="s">
        <v>1237</v>
      </c>
      <c r="W46" s="72"/>
    </row>
    <row r="47" spans="1:23" x14ac:dyDescent="0.2">
      <c r="A47" s="293">
        <f t="shared" si="0"/>
        <v>0</v>
      </c>
      <c r="B47" s="163"/>
      <c r="C47" s="163"/>
      <c r="D47" s="163"/>
      <c r="E47" s="175"/>
      <c r="F47" s="175"/>
      <c r="G47" s="130"/>
      <c r="H47" s="222" t="str">
        <f t="shared" si="1"/>
        <v/>
      </c>
      <c r="I47" s="222" t="str">
        <f t="shared" si="2"/>
        <v/>
      </c>
      <c r="J47" s="67"/>
      <c r="K47" s="67"/>
      <c r="L47" s="361" t="s">
        <v>1237</v>
      </c>
      <c r="M47" s="294">
        <f t="shared" si="3"/>
        <v>0</v>
      </c>
      <c r="N47" s="176"/>
      <c r="O47" s="163"/>
      <c r="P47" s="163"/>
      <c r="Q47" s="175"/>
      <c r="R47" s="175"/>
      <c r="S47" s="130"/>
      <c r="T47" s="223" t="str">
        <f t="shared" si="4"/>
        <v/>
      </c>
      <c r="U47" s="222" t="str">
        <f t="shared" si="5"/>
        <v/>
      </c>
      <c r="V47" s="362" t="s">
        <v>1237</v>
      </c>
      <c r="W47" s="72"/>
    </row>
    <row r="48" spans="1:23" x14ac:dyDescent="0.2">
      <c r="A48" s="293">
        <f t="shared" si="0"/>
        <v>0</v>
      </c>
      <c r="B48" s="163"/>
      <c r="C48" s="163"/>
      <c r="D48" s="163"/>
      <c r="E48" s="175"/>
      <c r="F48" s="175"/>
      <c r="G48" s="130"/>
      <c r="H48" s="222" t="str">
        <f t="shared" si="1"/>
        <v/>
      </c>
      <c r="I48" s="222" t="str">
        <f t="shared" si="2"/>
        <v/>
      </c>
      <c r="J48" s="67"/>
      <c r="K48" s="67"/>
      <c r="L48" s="361" t="s">
        <v>1237</v>
      </c>
      <c r="M48" s="294">
        <f t="shared" si="3"/>
        <v>0</v>
      </c>
      <c r="N48" s="176"/>
      <c r="O48" s="163"/>
      <c r="P48" s="163"/>
      <c r="Q48" s="175"/>
      <c r="R48" s="175"/>
      <c r="S48" s="130"/>
      <c r="T48" s="223" t="str">
        <f t="shared" si="4"/>
        <v/>
      </c>
      <c r="U48" s="222" t="str">
        <f t="shared" si="5"/>
        <v/>
      </c>
      <c r="V48" s="362" t="s">
        <v>1237</v>
      </c>
      <c r="W48" s="72"/>
    </row>
    <row r="49" spans="1:23" x14ac:dyDescent="0.2">
      <c r="A49" s="293">
        <f t="shared" si="0"/>
        <v>0</v>
      </c>
      <c r="B49" s="163"/>
      <c r="C49" s="163"/>
      <c r="D49" s="163"/>
      <c r="E49" s="175"/>
      <c r="F49" s="175"/>
      <c r="G49" s="130"/>
      <c r="H49" s="222" t="str">
        <f t="shared" si="1"/>
        <v/>
      </c>
      <c r="I49" s="222" t="str">
        <f t="shared" si="2"/>
        <v/>
      </c>
      <c r="J49" s="67"/>
      <c r="K49" s="67"/>
      <c r="L49" s="361" t="s">
        <v>1237</v>
      </c>
      <c r="M49" s="294">
        <f t="shared" si="3"/>
        <v>0</v>
      </c>
      <c r="N49" s="176"/>
      <c r="O49" s="163"/>
      <c r="P49" s="163"/>
      <c r="Q49" s="175"/>
      <c r="R49" s="175"/>
      <c r="S49" s="130"/>
      <c r="T49" s="223" t="str">
        <f t="shared" si="4"/>
        <v/>
      </c>
      <c r="U49" s="222" t="str">
        <f t="shared" si="5"/>
        <v/>
      </c>
      <c r="V49" s="362" t="s">
        <v>1237</v>
      </c>
      <c r="W49" s="72"/>
    </row>
    <row r="50" spans="1:23" x14ac:dyDescent="0.2">
      <c r="A50" s="293">
        <f t="shared" si="0"/>
        <v>0</v>
      </c>
      <c r="B50" s="163"/>
      <c r="C50" s="163"/>
      <c r="D50" s="163"/>
      <c r="E50" s="175"/>
      <c r="F50" s="175"/>
      <c r="G50" s="130"/>
      <c r="H50" s="222" t="str">
        <f t="shared" si="1"/>
        <v/>
      </c>
      <c r="I50" s="222" t="str">
        <f t="shared" si="2"/>
        <v/>
      </c>
      <c r="J50" s="67"/>
      <c r="K50" s="67"/>
      <c r="L50" s="361" t="s">
        <v>1237</v>
      </c>
      <c r="M50" s="294">
        <f t="shared" si="3"/>
        <v>0</v>
      </c>
      <c r="N50" s="176"/>
      <c r="O50" s="163"/>
      <c r="P50" s="163"/>
      <c r="Q50" s="175"/>
      <c r="R50" s="175"/>
      <c r="S50" s="130"/>
      <c r="T50" s="223" t="str">
        <f t="shared" si="4"/>
        <v/>
      </c>
      <c r="U50" s="222" t="str">
        <f t="shared" si="5"/>
        <v/>
      </c>
      <c r="V50" s="362" t="s">
        <v>1237</v>
      </c>
      <c r="W50" s="72"/>
    </row>
    <row r="51" spans="1:23" x14ac:dyDescent="0.2">
      <c r="A51" s="293">
        <f t="shared" si="0"/>
        <v>0</v>
      </c>
      <c r="B51" s="163"/>
      <c r="C51" s="163"/>
      <c r="D51" s="163"/>
      <c r="E51" s="175"/>
      <c r="F51" s="175"/>
      <c r="G51" s="130"/>
      <c r="H51" s="222" t="str">
        <f t="shared" si="1"/>
        <v/>
      </c>
      <c r="I51" s="222" t="str">
        <f t="shared" si="2"/>
        <v/>
      </c>
      <c r="J51" s="67"/>
      <c r="K51" s="67"/>
      <c r="L51" s="361" t="s">
        <v>1237</v>
      </c>
      <c r="M51" s="294">
        <f t="shared" si="3"/>
        <v>0</v>
      </c>
      <c r="N51" s="176"/>
      <c r="O51" s="163"/>
      <c r="P51" s="163"/>
      <c r="Q51" s="175"/>
      <c r="R51" s="175"/>
      <c r="S51" s="130"/>
      <c r="T51" s="223" t="str">
        <f t="shared" si="4"/>
        <v/>
      </c>
      <c r="U51" s="222" t="str">
        <f t="shared" si="5"/>
        <v/>
      </c>
      <c r="V51" s="362" t="s">
        <v>1237</v>
      </c>
      <c r="W51" s="72"/>
    </row>
    <row r="52" spans="1:23" x14ac:dyDescent="0.2">
      <c r="A52" s="293">
        <f t="shared" si="0"/>
        <v>0</v>
      </c>
      <c r="B52" s="163"/>
      <c r="C52" s="163"/>
      <c r="D52" s="163"/>
      <c r="E52" s="175"/>
      <c r="F52" s="175"/>
      <c r="G52" s="130"/>
      <c r="H52" s="222" t="str">
        <f t="shared" si="1"/>
        <v/>
      </c>
      <c r="I52" s="222" t="str">
        <f t="shared" si="2"/>
        <v/>
      </c>
      <c r="J52" s="67"/>
      <c r="K52" s="67"/>
      <c r="L52" s="361" t="s">
        <v>1237</v>
      </c>
      <c r="M52" s="294">
        <f t="shared" si="3"/>
        <v>0</v>
      </c>
      <c r="N52" s="176"/>
      <c r="O52" s="163"/>
      <c r="P52" s="163"/>
      <c r="Q52" s="175"/>
      <c r="R52" s="175"/>
      <c r="S52" s="130"/>
      <c r="T52" s="223" t="str">
        <f t="shared" si="4"/>
        <v/>
      </c>
      <c r="U52" s="222" t="str">
        <f t="shared" si="5"/>
        <v/>
      </c>
      <c r="V52" s="362" t="s">
        <v>1237</v>
      </c>
      <c r="W52" s="72"/>
    </row>
    <row r="53" spans="1:23" x14ac:dyDescent="0.2">
      <c r="A53" s="293">
        <f t="shared" si="0"/>
        <v>0</v>
      </c>
      <c r="B53" s="163"/>
      <c r="C53" s="163"/>
      <c r="D53" s="163"/>
      <c r="E53" s="175"/>
      <c r="F53" s="175"/>
      <c r="G53" s="130"/>
      <c r="H53" s="222" t="str">
        <f t="shared" si="1"/>
        <v/>
      </c>
      <c r="I53" s="222" t="str">
        <f t="shared" si="2"/>
        <v/>
      </c>
      <c r="J53" s="67"/>
      <c r="K53" s="67"/>
      <c r="L53" s="361" t="s">
        <v>1237</v>
      </c>
      <c r="M53" s="294">
        <f t="shared" si="3"/>
        <v>0</v>
      </c>
      <c r="N53" s="176"/>
      <c r="O53" s="163"/>
      <c r="P53" s="163"/>
      <c r="Q53" s="175"/>
      <c r="R53" s="175"/>
      <c r="S53" s="130"/>
      <c r="T53" s="223" t="str">
        <f t="shared" si="4"/>
        <v/>
      </c>
      <c r="U53" s="222" t="str">
        <f t="shared" si="5"/>
        <v/>
      </c>
      <c r="V53" s="362" t="s">
        <v>1237</v>
      </c>
      <c r="W53" s="72"/>
    </row>
    <row r="54" spans="1:23" x14ac:dyDescent="0.2">
      <c r="A54" s="293">
        <f t="shared" si="0"/>
        <v>0</v>
      </c>
      <c r="B54" s="163"/>
      <c r="C54" s="163"/>
      <c r="D54" s="163"/>
      <c r="E54" s="175"/>
      <c r="F54" s="175"/>
      <c r="G54" s="130"/>
      <c r="H54" s="222" t="str">
        <f t="shared" si="1"/>
        <v/>
      </c>
      <c r="I54" s="222" t="str">
        <f t="shared" si="2"/>
        <v/>
      </c>
      <c r="J54" s="67"/>
      <c r="K54" s="67"/>
      <c r="L54" s="361" t="s">
        <v>1237</v>
      </c>
      <c r="M54" s="294">
        <f t="shared" si="3"/>
        <v>0</v>
      </c>
      <c r="N54" s="176"/>
      <c r="O54" s="163"/>
      <c r="P54" s="163"/>
      <c r="Q54" s="175"/>
      <c r="R54" s="175"/>
      <c r="S54" s="130"/>
      <c r="T54" s="223" t="str">
        <f t="shared" si="4"/>
        <v/>
      </c>
      <c r="U54" s="222" t="str">
        <f t="shared" si="5"/>
        <v/>
      </c>
      <c r="V54" s="362" t="s">
        <v>1237</v>
      </c>
      <c r="W54" s="72"/>
    </row>
    <row r="55" spans="1:23" x14ac:dyDescent="0.2">
      <c r="A55" s="293">
        <f t="shared" si="0"/>
        <v>0</v>
      </c>
      <c r="B55" s="163"/>
      <c r="C55" s="163"/>
      <c r="D55" s="163"/>
      <c r="E55" s="175"/>
      <c r="F55" s="175"/>
      <c r="G55" s="130"/>
      <c r="H55" s="222" t="str">
        <f t="shared" si="1"/>
        <v/>
      </c>
      <c r="I55" s="222" t="str">
        <f t="shared" si="2"/>
        <v/>
      </c>
      <c r="J55" s="67"/>
      <c r="K55" s="67"/>
      <c r="L55" s="361" t="s">
        <v>1237</v>
      </c>
      <c r="M55" s="294">
        <f t="shared" si="3"/>
        <v>0</v>
      </c>
      <c r="N55" s="176"/>
      <c r="O55" s="163"/>
      <c r="P55" s="163"/>
      <c r="Q55" s="175"/>
      <c r="R55" s="175"/>
      <c r="S55" s="130"/>
      <c r="T55" s="223" t="str">
        <f t="shared" si="4"/>
        <v/>
      </c>
      <c r="U55" s="222" t="str">
        <f t="shared" si="5"/>
        <v/>
      </c>
      <c r="V55" s="362" t="s">
        <v>1237</v>
      </c>
      <c r="W55" s="72"/>
    </row>
    <row r="56" spans="1:23" x14ac:dyDescent="0.2">
      <c r="A56" s="293">
        <f t="shared" si="0"/>
        <v>0</v>
      </c>
      <c r="B56" s="163"/>
      <c r="C56" s="163"/>
      <c r="D56" s="163"/>
      <c r="E56" s="175"/>
      <c r="F56" s="175"/>
      <c r="G56" s="130"/>
      <c r="H56" s="222" t="str">
        <f t="shared" si="1"/>
        <v/>
      </c>
      <c r="I56" s="222" t="str">
        <f t="shared" si="2"/>
        <v/>
      </c>
      <c r="J56" s="67"/>
      <c r="K56" s="67"/>
      <c r="L56" s="361" t="s">
        <v>1237</v>
      </c>
      <c r="M56" s="294">
        <f t="shared" si="3"/>
        <v>0</v>
      </c>
      <c r="N56" s="176"/>
      <c r="O56" s="163"/>
      <c r="P56" s="163"/>
      <c r="Q56" s="175"/>
      <c r="R56" s="175"/>
      <c r="S56" s="130"/>
      <c r="T56" s="223" t="str">
        <f t="shared" si="4"/>
        <v/>
      </c>
      <c r="U56" s="222" t="str">
        <f t="shared" si="5"/>
        <v/>
      </c>
      <c r="V56" s="362" t="s">
        <v>1237</v>
      </c>
      <c r="W56" s="72"/>
    </row>
    <row r="57" spans="1:23" x14ac:dyDescent="0.2">
      <c r="A57" s="293">
        <f t="shared" si="0"/>
        <v>0</v>
      </c>
      <c r="B57" s="163"/>
      <c r="C57" s="163"/>
      <c r="D57" s="163"/>
      <c r="E57" s="175"/>
      <c r="F57" s="175"/>
      <c r="G57" s="130"/>
      <c r="H57" s="222" t="str">
        <f t="shared" si="1"/>
        <v/>
      </c>
      <c r="I57" s="222" t="str">
        <f t="shared" si="2"/>
        <v/>
      </c>
      <c r="J57" s="67"/>
      <c r="K57" s="67"/>
      <c r="L57" s="361" t="s">
        <v>1237</v>
      </c>
      <c r="M57" s="294">
        <f t="shared" si="3"/>
        <v>0</v>
      </c>
      <c r="N57" s="176"/>
      <c r="O57" s="163"/>
      <c r="P57" s="163"/>
      <c r="Q57" s="175"/>
      <c r="R57" s="175"/>
      <c r="S57" s="130"/>
      <c r="T57" s="223" t="str">
        <f t="shared" si="4"/>
        <v/>
      </c>
      <c r="U57" s="222" t="str">
        <f t="shared" si="5"/>
        <v/>
      </c>
      <c r="V57" s="362" t="s">
        <v>1237</v>
      </c>
      <c r="W57" s="72"/>
    </row>
    <row r="58" spans="1:23" x14ac:dyDescent="0.2">
      <c r="A58" s="293">
        <f t="shared" si="0"/>
        <v>0</v>
      </c>
      <c r="B58" s="163"/>
      <c r="C58" s="163"/>
      <c r="D58" s="163"/>
      <c r="E58" s="175"/>
      <c r="F58" s="175"/>
      <c r="G58" s="130"/>
      <c r="H58" s="222" t="str">
        <f t="shared" si="1"/>
        <v/>
      </c>
      <c r="I58" s="222" t="str">
        <f t="shared" si="2"/>
        <v/>
      </c>
      <c r="J58" s="67"/>
      <c r="K58" s="67"/>
      <c r="L58" s="361" t="s">
        <v>1237</v>
      </c>
      <c r="M58" s="294">
        <f t="shared" si="3"/>
        <v>0</v>
      </c>
      <c r="N58" s="176"/>
      <c r="O58" s="163"/>
      <c r="P58" s="163"/>
      <c r="Q58" s="175"/>
      <c r="R58" s="175"/>
      <c r="S58" s="130"/>
      <c r="T58" s="223" t="str">
        <f t="shared" si="4"/>
        <v/>
      </c>
      <c r="U58" s="222" t="str">
        <f t="shared" si="5"/>
        <v/>
      </c>
      <c r="V58" s="362" t="s">
        <v>1237</v>
      </c>
      <c r="W58" s="72"/>
    </row>
    <row r="59" spans="1:23" x14ac:dyDescent="0.2">
      <c r="A59" s="293">
        <f t="shared" si="0"/>
        <v>0</v>
      </c>
      <c r="B59" s="163"/>
      <c r="C59" s="163"/>
      <c r="D59" s="163"/>
      <c r="E59" s="175"/>
      <c r="F59" s="175"/>
      <c r="G59" s="130"/>
      <c r="H59" s="222" t="str">
        <f t="shared" si="1"/>
        <v/>
      </c>
      <c r="I59" s="222" t="str">
        <f t="shared" si="2"/>
        <v/>
      </c>
      <c r="J59" s="67"/>
      <c r="K59" s="67"/>
      <c r="L59" s="361" t="s">
        <v>1237</v>
      </c>
      <c r="M59" s="294">
        <f t="shared" si="3"/>
        <v>0</v>
      </c>
      <c r="N59" s="176"/>
      <c r="O59" s="163"/>
      <c r="P59" s="163"/>
      <c r="Q59" s="175"/>
      <c r="R59" s="175"/>
      <c r="S59" s="130"/>
      <c r="T59" s="223" t="str">
        <f t="shared" si="4"/>
        <v/>
      </c>
      <c r="U59" s="222" t="str">
        <f t="shared" si="5"/>
        <v/>
      </c>
      <c r="V59" s="362" t="s">
        <v>1237</v>
      </c>
      <c r="W59" s="72"/>
    </row>
    <row r="60" spans="1:23" x14ac:dyDescent="0.2">
      <c r="A60" s="293">
        <f t="shared" si="0"/>
        <v>0</v>
      </c>
      <c r="B60" s="163"/>
      <c r="C60" s="163"/>
      <c r="D60" s="163"/>
      <c r="E60" s="175"/>
      <c r="F60" s="175"/>
      <c r="G60" s="130"/>
      <c r="H60" s="222" t="str">
        <f t="shared" si="1"/>
        <v/>
      </c>
      <c r="I60" s="222" t="str">
        <f t="shared" si="2"/>
        <v/>
      </c>
      <c r="J60" s="67"/>
      <c r="K60" s="67"/>
      <c r="L60" s="361" t="s">
        <v>1237</v>
      </c>
      <c r="M60" s="294">
        <f t="shared" si="3"/>
        <v>0</v>
      </c>
      <c r="N60" s="176"/>
      <c r="O60" s="163"/>
      <c r="P60" s="163"/>
      <c r="Q60" s="175"/>
      <c r="R60" s="175"/>
      <c r="S60" s="130"/>
      <c r="T60" s="223" t="str">
        <f t="shared" si="4"/>
        <v/>
      </c>
      <c r="U60" s="222" t="str">
        <f t="shared" si="5"/>
        <v/>
      </c>
      <c r="V60" s="362" t="s">
        <v>1237</v>
      </c>
      <c r="W60" s="72"/>
    </row>
    <row r="61" spans="1:23" x14ac:dyDescent="0.2">
      <c r="A61" s="293">
        <f t="shared" si="0"/>
        <v>0</v>
      </c>
      <c r="B61" s="163"/>
      <c r="C61" s="163"/>
      <c r="D61" s="163"/>
      <c r="E61" s="175"/>
      <c r="F61" s="175"/>
      <c r="G61" s="130"/>
      <c r="H61" s="222" t="str">
        <f t="shared" si="1"/>
        <v/>
      </c>
      <c r="I61" s="222" t="str">
        <f t="shared" si="2"/>
        <v/>
      </c>
      <c r="J61" s="67"/>
      <c r="K61" s="67"/>
      <c r="L61" s="361" t="s">
        <v>1237</v>
      </c>
      <c r="M61" s="294">
        <f t="shared" si="3"/>
        <v>0</v>
      </c>
      <c r="N61" s="176"/>
      <c r="O61" s="163"/>
      <c r="P61" s="163"/>
      <c r="Q61" s="175"/>
      <c r="R61" s="175"/>
      <c r="S61" s="130"/>
      <c r="T61" s="223" t="str">
        <f t="shared" si="4"/>
        <v/>
      </c>
      <c r="U61" s="222" t="str">
        <f t="shared" si="5"/>
        <v/>
      </c>
      <c r="V61" s="362" t="s">
        <v>1237</v>
      </c>
      <c r="W61" s="72"/>
    </row>
    <row r="62" spans="1:23" x14ac:dyDescent="0.2">
      <c r="A62" s="293">
        <f t="shared" si="0"/>
        <v>0</v>
      </c>
      <c r="B62" s="163"/>
      <c r="C62" s="163"/>
      <c r="D62" s="163"/>
      <c r="E62" s="175"/>
      <c r="F62" s="175"/>
      <c r="G62" s="130"/>
      <c r="H62" s="222" t="str">
        <f t="shared" si="1"/>
        <v/>
      </c>
      <c r="I62" s="222" t="str">
        <f t="shared" si="2"/>
        <v/>
      </c>
      <c r="J62" s="67"/>
      <c r="K62" s="67"/>
      <c r="L62" s="361" t="s">
        <v>1237</v>
      </c>
      <c r="M62" s="294">
        <f t="shared" si="3"/>
        <v>0</v>
      </c>
      <c r="N62" s="176"/>
      <c r="O62" s="163"/>
      <c r="P62" s="163"/>
      <c r="Q62" s="175"/>
      <c r="R62" s="175"/>
      <c r="S62" s="130"/>
      <c r="T62" s="223" t="str">
        <f t="shared" si="4"/>
        <v/>
      </c>
      <c r="U62" s="222" t="str">
        <f t="shared" si="5"/>
        <v/>
      </c>
      <c r="V62" s="362" t="s">
        <v>1237</v>
      </c>
      <c r="W62" s="72"/>
    </row>
    <row r="63" spans="1:23" x14ac:dyDescent="0.2">
      <c r="A63" s="293">
        <f t="shared" si="0"/>
        <v>0</v>
      </c>
      <c r="B63" s="163"/>
      <c r="C63" s="163"/>
      <c r="D63" s="163"/>
      <c r="E63" s="175"/>
      <c r="F63" s="175"/>
      <c r="G63" s="130"/>
      <c r="H63" s="222" t="str">
        <f t="shared" si="1"/>
        <v/>
      </c>
      <c r="I63" s="222" t="str">
        <f t="shared" si="2"/>
        <v/>
      </c>
      <c r="J63" s="67"/>
      <c r="K63" s="67"/>
      <c r="L63" s="361" t="s">
        <v>1237</v>
      </c>
      <c r="M63" s="294">
        <f t="shared" si="3"/>
        <v>0</v>
      </c>
      <c r="N63" s="176"/>
      <c r="O63" s="163"/>
      <c r="P63" s="163"/>
      <c r="Q63" s="175"/>
      <c r="R63" s="175"/>
      <c r="S63" s="130"/>
      <c r="T63" s="223" t="str">
        <f t="shared" si="4"/>
        <v/>
      </c>
      <c r="U63" s="222" t="str">
        <f t="shared" si="5"/>
        <v/>
      </c>
      <c r="V63" s="362" t="s">
        <v>1237</v>
      </c>
      <c r="W63" s="72"/>
    </row>
    <row r="64" spans="1:23" x14ac:dyDescent="0.2">
      <c r="A64" s="293">
        <f t="shared" si="0"/>
        <v>0</v>
      </c>
      <c r="B64" s="163"/>
      <c r="C64" s="163"/>
      <c r="D64" s="163"/>
      <c r="E64" s="175"/>
      <c r="F64" s="175"/>
      <c r="G64" s="130"/>
      <c r="H64" s="222" t="str">
        <f t="shared" si="1"/>
        <v/>
      </c>
      <c r="I64" s="222" t="str">
        <f t="shared" si="2"/>
        <v/>
      </c>
      <c r="J64" s="67"/>
      <c r="K64" s="67"/>
      <c r="L64" s="361" t="s">
        <v>1237</v>
      </c>
      <c r="M64" s="294">
        <f t="shared" si="3"/>
        <v>0</v>
      </c>
      <c r="N64" s="176"/>
      <c r="O64" s="163"/>
      <c r="P64" s="163"/>
      <c r="Q64" s="175"/>
      <c r="R64" s="175"/>
      <c r="S64" s="130"/>
      <c r="T64" s="223" t="str">
        <f t="shared" si="4"/>
        <v/>
      </c>
      <c r="U64" s="222" t="str">
        <f t="shared" si="5"/>
        <v/>
      </c>
      <c r="V64" s="362" t="s">
        <v>1237</v>
      </c>
      <c r="W64" s="72"/>
    </row>
    <row r="65" spans="1:23" x14ac:dyDescent="0.2">
      <c r="A65" s="293">
        <f t="shared" si="0"/>
        <v>0</v>
      </c>
      <c r="B65" s="163"/>
      <c r="C65" s="163"/>
      <c r="D65" s="163"/>
      <c r="E65" s="175"/>
      <c r="F65" s="175"/>
      <c r="G65" s="130"/>
      <c r="H65" s="222" t="str">
        <f t="shared" si="1"/>
        <v/>
      </c>
      <c r="I65" s="222" t="str">
        <f t="shared" si="2"/>
        <v/>
      </c>
      <c r="J65" s="67"/>
      <c r="K65" s="67"/>
      <c r="L65" s="361" t="s">
        <v>1237</v>
      </c>
      <c r="M65" s="294">
        <f t="shared" si="3"/>
        <v>0</v>
      </c>
      <c r="N65" s="176"/>
      <c r="O65" s="163"/>
      <c r="P65" s="163"/>
      <c r="Q65" s="175"/>
      <c r="R65" s="175"/>
      <c r="S65" s="130"/>
      <c r="T65" s="223" t="str">
        <f t="shared" si="4"/>
        <v/>
      </c>
      <c r="U65" s="222" t="str">
        <f t="shared" si="5"/>
        <v/>
      </c>
      <c r="V65" s="362" t="s">
        <v>1237</v>
      </c>
      <c r="W65" s="72"/>
    </row>
    <row r="66" spans="1:23" x14ac:dyDescent="0.2">
      <c r="A66" s="293">
        <f t="shared" si="0"/>
        <v>0</v>
      </c>
      <c r="B66" s="163"/>
      <c r="C66" s="163"/>
      <c r="D66" s="163"/>
      <c r="E66" s="175"/>
      <c r="F66" s="175"/>
      <c r="G66" s="130"/>
      <c r="H66" s="222" t="str">
        <f t="shared" si="1"/>
        <v/>
      </c>
      <c r="I66" s="222" t="str">
        <f t="shared" si="2"/>
        <v/>
      </c>
      <c r="J66" s="67"/>
      <c r="K66" s="67"/>
      <c r="L66" s="361" t="s">
        <v>1237</v>
      </c>
      <c r="M66" s="294">
        <f t="shared" si="3"/>
        <v>0</v>
      </c>
      <c r="N66" s="176"/>
      <c r="O66" s="163"/>
      <c r="P66" s="163"/>
      <c r="Q66" s="175"/>
      <c r="R66" s="175"/>
      <c r="S66" s="130"/>
      <c r="T66" s="223" t="str">
        <f t="shared" si="4"/>
        <v/>
      </c>
      <c r="U66" s="222" t="str">
        <f t="shared" si="5"/>
        <v/>
      </c>
      <c r="V66" s="362" t="s">
        <v>1237</v>
      </c>
      <c r="W66" s="72"/>
    </row>
    <row r="67" spans="1:23" x14ac:dyDescent="0.2">
      <c r="A67" s="293">
        <f t="shared" si="0"/>
        <v>0</v>
      </c>
      <c r="B67" s="163"/>
      <c r="C67" s="163"/>
      <c r="D67" s="163"/>
      <c r="E67" s="175"/>
      <c r="F67" s="175"/>
      <c r="G67" s="130"/>
      <c r="H67" s="222" t="str">
        <f t="shared" si="1"/>
        <v/>
      </c>
      <c r="I67" s="222" t="str">
        <f t="shared" si="2"/>
        <v/>
      </c>
      <c r="J67" s="67"/>
      <c r="K67" s="67"/>
      <c r="L67" s="361" t="s">
        <v>1237</v>
      </c>
      <c r="M67" s="294">
        <f t="shared" si="3"/>
        <v>0</v>
      </c>
      <c r="N67" s="176"/>
      <c r="O67" s="163"/>
      <c r="P67" s="163"/>
      <c r="Q67" s="175"/>
      <c r="R67" s="175"/>
      <c r="S67" s="130"/>
      <c r="T67" s="223" t="str">
        <f t="shared" si="4"/>
        <v/>
      </c>
      <c r="U67" s="222" t="str">
        <f t="shared" si="5"/>
        <v/>
      </c>
      <c r="V67" s="362" t="s">
        <v>1237</v>
      </c>
      <c r="W67" s="72"/>
    </row>
    <row r="68" spans="1:23" x14ac:dyDescent="0.2">
      <c r="A68" s="293">
        <f t="shared" si="0"/>
        <v>0</v>
      </c>
      <c r="B68" s="163"/>
      <c r="C68" s="163"/>
      <c r="D68" s="163"/>
      <c r="E68" s="175"/>
      <c r="F68" s="175"/>
      <c r="G68" s="130"/>
      <c r="H68" s="222" t="str">
        <f t="shared" si="1"/>
        <v/>
      </c>
      <c r="I68" s="222" t="str">
        <f t="shared" si="2"/>
        <v/>
      </c>
      <c r="J68" s="67"/>
      <c r="K68" s="67"/>
      <c r="L68" s="361" t="s">
        <v>1237</v>
      </c>
      <c r="M68" s="294">
        <f t="shared" si="3"/>
        <v>0</v>
      </c>
      <c r="N68" s="176"/>
      <c r="O68" s="163"/>
      <c r="P68" s="163"/>
      <c r="Q68" s="175"/>
      <c r="R68" s="175"/>
      <c r="S68" s="130"/>
      <c r="T68" s="223" t="str">
        <f t="shared" si="4"/>
        <v/>
      </c>
      <c r="U68" s="222" t="str">
        <f t="shared" si="5"/>
        <v/>
      </c>
      <c r="V68" s="362" t="s">
        <v>1237</v>
      </c>
      <c r="W68" s="72"/>
    </row>
    <row r="69" spans="1:23" x14ac:dyDescent="0.2">
      <c r="A69" s="293">
        <f t="shared" si="0"/>
        <v>0</v>
      </c>
      <c r="B69" s="163"/>
      <c r="C69" s="163"/>
      <c r="D69" s="163"/>
      <c r="E69" s="175"/>
      <c r="F69" s="175"/>
      <c r="G69" s="130"/>
      <c r="H69" s="222" t="str">
        <f t="shared" si="1"/>
        <v/>
      </c>
      <c r="I69" s="222" t="str">
        <f t="shared" si="2"/>
        <v/>
      </c>
      <c r="J69" s="67"/>
      <c r="K69" s="67"/>
      <c r="L69" s="361" t="s">
        <v>1237</v>
      </c>
      <c r="M69" s="294">
        <f t="shared" si="3"/>
        <v>0</v>
      </c>
      <c r="N69" s="176"/>
      <c r="O69" s="163"/>
      <c r="P69" s="163"/>
      <c r="Q69" s="175"/>
      <c r="R69" s="175"/>
      <c r="S69" s="130"/>
      <c r="T69" s="223" t="str">
        <f t="shared" si="4"/>
        <v/>
      </c>
      <c r="U69" s="222" t="str">
        <f t="shared" si="5"/>
        <v/>
      </c>
      <c r="V69" s="362" t="s">
        <v>1237</v>
      </c>
      <c r="W69" s="72"/>
    </row>
    <row r="70" spans="1:23" x14ac:dyDescent="0.2">
      <c r="A70" s="293">
        <f t="shared" si="0"/>
        <v>0</v>
      </c>
      <c r="B70" s="163"/>
      <c r="C70" s="163"/>
      <c r="D70" s="163"/>
      <c r="E70" s="175"/>
      <c r="F70" s="175"/>
      <c r="G70" s="130"/>
      <c r="H70" s="222" t="str">
        <f t="shared" si="1"/>
        <v/>
      </c>
      <c r="I70" s="222" t="str">
        <f t="shared" si="2"/>
        <v/>
      </c>
      <c r="J70" s="67"/>
      <c r="K70" s="67"/>
      <c r="L70" s="361" t="s">
        <v>1237</v>
      </c>
      <c r="M70" s="294">
        <f t="shared" si="3"/>
        <v>0</v>
      </c>
      <c r="N70" s="176"/>
      <c r="O70" s="163"/>
      <c r="P70" s="163"/>
      <c r="Q70" s="175"/>
      <c r="R70" s="175"/>
      <c r="S70" s="130"/>
      <c r="T70" s="223" t="str">
        <f t="shared" si="4"/>
        <v/>
      </c>
      <c r="U70" s="222" t="str">
        <f t="shared" si="5"/>
        <v/>
      </c>
      <c r="V70" s="362" t="s">
        <v>1237</v>
      </c>
      <c r="W70" s="72"/>
    </row>
    <row r="71" spans="1:23" x14ac:dyDescent="0.2">
      <c r="A71" s="293">
        <f t="shared" si="0"/>
        <v>0</v>
      </c>
      <c r="B71" s="163"/>
      <c r="C71" s="163"/>
      <c r="D71" s="163"/>
      <c r="E71" s="175"/>
      <c r="F71" s="175"/>
      <c r="G71" s="130"/>
      <c r="H71" s="222" t="str">
        <f t="shared" si="1"/>
        <v/>
      </c>
      <c r="I71" s="222" t="str">
        <f t="shared" si="2"/>
        <v/>
      </c>
      <c r="J71" s="67"/>
      <c r="K71" s="67"/>
      <c r="L71" s="361" t="s">
        <v>1237</v>
      </c>
      <c r="M71" s="294">
        <f t="shared" si="3"/>
        <v>0</v>
      </c>
      <c r="N71" s="176"/>
      <c r="O71" s="163"/>
      <c r="P71" s="163"/>
      <c r="Q71" s="175"/>
      <c r="R71" s="175"/>
      <c r="S71" s="130"/>
      <c r="T71" s="223" t="str">
        <f t="shared" si="4"/>
        <v/>
      </c>
      <c r="U71" s="222" t="str">
        <f t="shared" si="5"/>
        <v/>
      </c>
      <c r="V71" s="362" t="s">
        <v>1237</v>
      </c>
      <c r="W71" s="72"/>
    </row>
    <row r="72" spans="1:23" x14ac:dyDescent="0.2">
      <c r="A72" s="293">
        <f t="shared" si="0"/>
        <v>0</v>
      </c>
      <c r="B72" s="163"/>
      <c r="C72" s="163"/>
      <c r="D72" s="163"/>
      <c r="E72" s="175"/>
      <c r="F72" s="175"/>
      <c r="G72" s="130"/>
      <c r="H72" s="222" t="str">
        <f t="shared" si="1"/>
        <v/>
      </c>
      <c r="I72" s="222" t="str">
        <f t="shared" si="2"/>
        <v/>
      </c>
      <c r="J72" s="67"/>
      <c r="K72" s="67"/>
      <c r="L72" s="361" t="s">
        <v>1237</v>
      </c>
      <c r="M72" s="294">
        <f t="shared" si="3"/>
        <v>0</v>
      </c>
      <c r="N72" s="176"/>
      <c r="O72" s="163"/>
      <c r="P72" s="163"/>
      <c r="Q72" s="175"/>
      <c r="R72" s="175"/>
      <c r="S72" s="130"/>
      <c r="T72" s="223" t="str">
        <f t="shared" si="4"/>
        <v/>
      </c>
      <c r="U72" s="222" t="str">
        <f t="shared" si="5"/>
        <v/>
      </c>
      <c r="V72" s="362" t="s">
        <v>1237</v>
      </c>
      <c r="W72" s="72"/>
    </row>
    <row r="73" spans="1:23" x14ac:dyDescent="0.2">
      <c r="A73" s="293">
        <f t="shared" si="0"/>
        <v>0</v>
      </c>
      <c r="B73" s="163"/>
      <c r="C73" s="163"/>
      <c r="D73" s="163"/>
      <c r="E73" s="175"/>
      <c r="F73" s="175"/>
      <c r="G73" s="130"/>
      <c r="H73" s="222" t="str">
        <f t="shared" si="1"/>
        <v/>
      </c>
      <c r="I73" s="222" t="str">
        <f t="shared" si="2"/>
        <v/>
      </c>
      <c r="J73" s="67"/>
      <c r="K73" s="67"/>
      <c r="L73" s="361" t="s">
        <v>1237</v>
      </c>
      <c r="M73" s="294">
        <f t="shared" si="3"/>
        <v>0</v>
      </c>
      <c r="N73" s="176"/>
      <c r="O73" s="163"/>
      <c r="P73" s="163"/>
      <c r="Q73" s="175"/>
      <c r="R73" s="175"/>
      <c r="S73" s="130"/>
      <c r="T73" s="223" t="str">
        <f t="shared" si="4"/>
        <v/>
      </c>
      <c r="U73" s="222" t="str">
        <f t="shared" si="5"/>
        <v/>
      </c>
      <c r="V73" s="362" t="s">
        <v>1237</v>
      </c>
      <c r="W73" s="72"/>
    </row>
    <row r="74" spans="1:23" x14ac:dyDescent="0.2">
      <c r="A74" s="293">
        <f t="shared" si="0"/>
        <v>0</v>
      </c>
      <c r="B74" s="163"/>
      <c r="C74" s="163"/>
      <c r="D74" s="163"/>
      <c r="E74" s="175"/>
      <c r="F74" s="175"/>
      <c r="G74" s="130"/>
      <c r="H74" s="222" t="str">
        <f t="shared" si="1"/>
        <v/>
      </c>
      <c r="I74" s="222" t="str">
        <f t="shared" si="2"/>
        <v/>
      </c>
      <c r="J74" s="67"/>
      <c r="K74" s="67"/>
      <c r="L74" s="361" t="s">
        <v>1237</v>
      </c>
      <c r="M74" s="294">
        <f t="shared" si="3"/>
        <v>0</v>
      </c>
      <c r="N74" s="176"/>
      <c r="O74" s="163"/>
      <c r="P74" s="163"/>
      <c r="Q74" s="175"/>
      <c r="R74" s="175"/>
      <c r="S74" s="130"/>
      <c r="T74" s="223" t="str">
        <f t="shared" si="4"/>
        <v/>
      </c>
      <c r="U74" s="222" t="str">
        <f t="shared" si="5"/>
        <v/>
      </c>
      <c r="V74" s="362" t="s">
        <v>1237</v>
      </c>
      <c r="W74" s="72"/>
    </row>
    <row r="75" spans="1:23" x14ac:dyDescent="0.2">
      <c r="A75" s="293">
        <f t="shared" si="0"/>
        <v>0</v>
      </c>
      <c r="B75" s="163"/>
      <c r="C75" s="163"/>
      <c r="D75" s="163"/>
      <c r="E75" s="175"/>
      <c r="F75" s="175"/>
      <c r="G75" s="130"/>
      <c r="H75" s="222" t="str">
        <f t="shared" si="1"/>
        <v/>
      </c>
      <c r="I75" s="222" t="str">
        <f t="shared" si="2"/>
        <v/>
      </c>
      <c r="J75" s="67"/>
      <c r="K75" s="67"/>
      <c r="L75" s="361" t="s">
        <v>1237</v>
      </c>
      <c r="M75" s="294">
        <f t="shared" si="3"/>
        <v>0</v>
      </c>
      <c r="N75" s="176"/>
      <c r="O75" s="163"/>
      <c r="P75" s="163"/>
      <c r="Q75" s="175"/>
      <c r="R75" s="175"/>
      <c r="S75" s="130"/>
      <c r="T75" s="223" t="str">
        <f t="shared" si="4"/>
        <v/>
      </c>
      <c r="U75" s="222" t="str">
        <f t="shared" si="5"/>
        <v/>
      </c>
      <c r="V75" s="362" t="s">
        <v>1237</v>
      </c>
      <c r="W75" s="72"/>
    </row>
    <row r="76" spans="1:23" x14ac:dyDescent="0.2">
      <c r="A76" s="293">
        <f t="shared" si="0"/>
        <v>0</v>
      </c>
      <c r="B76" s="163"/>
      <c r="C76" s="163"/>
      <c r="D76" s="163"/>
      <c r="E76" s="175"/>
      <c r="F76" s="175"/>
      <c r="G76" s="130"/>
      <c r="H76" s="222" t="str">
        <f t="shared" si="1"/>
        <v/>
      </c>
      <c r="I76" s="222" t="str">
        <f t="shared" si="2"/>
        <v/>
      </c>
      <c r="J76" s="67"/>
      <c r="K76" s="67"/>
      <c r="L76" s="361" t="s">
        <v>1237</v>
      </c>
      <c r="M76" s="294">
        <f t="shared" si="3"/>
        <v>0</v>
      </c>
      <c r="N76" s="176"/>
      <c r="O76" s="163"/>
      <c r="P76" s="163"/>
      <c r="Q76" s="175"/>
      <c r="R76" s="175"/>
      <c r="S76" s="130"/>
      <c r="T76" s="223" t="str">
        <f t="shared" si="4"/>
        <v/>
      </c>
      <c r="U76" s="222" t="str">
        <f t="shared" si="5"/>
        <v/>
      </c>
      <c r="V76" s="362" t="s">
        <v>1237</v>
      </c>
      <c r="W76" s="72"/>
    </row>
    <row r="77" spans="1:23" x14ac:dyDescent="0.2">
      <c r="A77" s="293">
        <f t="shared" si="0"/>
        <v>0</v>
      </c>
      <c r="B77" s="163"/>
      <c r="C77" s="163"/>
      <c r="D77" s="163"/>
      <c r="E77" s="175"/>
      <c r="F77" s="175"/>
      <c r="G77" s="130"/>
      <c r="H77" s="222" t="str">
        <f t="shared" si="1"/>
        <v/>
      </c>
      <c r="I77" s="222" t="str">
        <f t="shared" si="2"/>
        <v/>
      </c>
      <c r="J77" s="67"/>
      <c r="K77" s="67"/>
      <c r="L77" s="361" t="s">
        <v>1237</v>
      </c>
      <c r="M77" s="294">
        <f t="shared" si="3"/>
        <v>0</v>
      </c>
      <c r="N77" s="176"/>
      <c r="O77" s="163"/>
      <c r="P77" s="163"/>
      <c r="Q77" s="175"/>
      <c r="R77" s="175"/>
      <c r="S77" s="130"/>
      <c r="T77" s="223" t="str">
        <f t="shared" si="4"/>
        <v/>
      </c>
      <c r="U77" s="222" t="str">
        <f t="shared" si="5"/>
        <v/>
      </c>
      <c r="V77" s="362" t="s">
        <v>1237</v>
      </c>
      <c r="W77" s="72"/>
    </row>
    <row r="78" spans="1:23" x14ac:dyDescent="0.2">
      <c r="A78" s="293">
        <f t="shared" si="0"/>
        <v>0</v>
      </c>
      <c r="B78" s="163"/>
      <c r="C78" s="163"/>
      <c r="D78" s="163"/>
      <c r="E78" s="175"/>
      <c r="F78" s="175"/>
      <c r="G78" s="130"/>
      <c r="H78" s="222" t="str">
        <f t="shared" si="1"/>
        <v/>
      </c>
      <c r="I78" s="222" t="str">
        <f t="shared" si="2"/>
        <v/>
      </c>
      <c r="J78" s="67"/>
      <c r="K78" s="67"/>
      <c r="L78" s="361" t="s">
        <v>1237</v>
      </c>
      <c r="M78" s="294">
        <f t="shared" si="3"/>
        <v>0</v>
      </c>
      <c r="N78" s="176"/>
      <c r="O78" s="163"/>
      <c r="P78" s="163"/>
      <c r="Q78" s="175"/>
      <c r="R78" s="175"/>
      <c r="S78" s="130"/>
      <c r="T78" s="223" t="str">
        <f t="shared" si="4"/>
        <v/>
      </c>
      <c r="U78" s="222" t="str">
        <f t="shared" si="5"/>
        <v/>
      </c>
      <c r="V78" s="362" t="s">
        <v>1237</v>
      </c>
      <c r="W78" s="72"/>
    </row>
    <row r="79" spans="1:23" x14ac:dyDescent="0.2">
      <c r="A79" s="293">
        <f t="shared" si="0"/>
        <v>0</v>
      </c>
      <c r="B79" s="163"/>
      <c r="C79" s="163"/>
      <c r="D79" s="163"/>
      <c r="E79" s="175"/>
      <c r="F79" s="175"/>
      <c r="G79" s="130"/>
      <c r="H79" s="222" t="str">
        <f t="shared" si="1"/>
        <v/>
      </c>
      <c r="I79" s="222" t="str">
        <f t="shared" si="2"/>
        <v/>
      </c>
      <c r="J79" s="67"/>
      <c r="K79" s="67"/>
      <c r="L79" s="361" t="s">
        <v>1237</v>
      </c>
      <c r="M79" s="294">
        <f t="shared" si="3"/>
        <v>0</v>
      </c>
      <c r="N79" s="176"/>
      <c r="O79" s="163"/>
      <c r="P79" s="163"/>
      <c r="Q79" s="175"/>
      <c r="R79" s="175"/>
      <c r="S79" s="130"/>
      <c r="T79" s="223" t="str">
        <f t="shared" si="4"/>
        <v/>
      </c>
      <c r="U79" s="222" t="str">
        <f t="shared" si="5"/>
        <v/>
      </c>
      <c r="V79" s="362" t="s">
        <v>1237</v>
      </c>
      <c r="W79" s="72"/>
    </row>
    <row r="80" spans="1:23" x14ac:dyDescent="0.2">
      <c r="A80" s="293">
        <f t="shared" si="0"/>
        <v>0</v>
      </c>
      <c r="B80" s="163"/>
      <c r="C80" s="163"/>
      <c r="D80" s="163"/>
      <c r="E80" s="175"/>
      <c r="F80" s="175"/>
      <c r="G80" s="130"/>
      <c r="H80" s="222" t="str">
        <f t="shared" si="1"/>
        <v/>
      </c>
      <c r="I80" s="222" t="str">
        <f t="shared" si="2"/>
        <v/>
      </c>
      <c r="J80" s="67"/>
      <c r="K80" s="67"/>
      <c r="L80" s="361" t="s">
        <v>1237</v>
      </c>
      <c r="M80" s="294">
        <f t="shared" si="3"/>
        <v>0</v>
      </c>
      <c r="N80" s="176"/>
      <c r="O80" s="163"/>
      <c r="P80" s="163"/>
      <c r="Q80" s="175"/>
      <c r="R80" s="175"/>
      <c r="S80" s="130"/>
      <c r="T80" s="223" t="str">
        <f t="shared" si="4"/>
        <v/>
      </c>
      <c r="U80" s="222" t="str">
        <f t="shared" si="5"/>
        <v/>
      </c>
      <c r="V80" s="362" t="s">
        <v>1237</v>
      </c>
      <c r="W80" s="72"/>
    </row>
    <row r="81" spans="1:23" x14ac:dyDescent="0.2">
      <c r="A81" s="293">
        <f t="shared" si="0"/>
        <v>0</v>
      </c>
      <c r="B81" s="163"/>
      <c r="C81" s="163"/>
      <c r="D81" s="163"/>
      <c r="E81" s="175"/>
      <c r="F81" s="175"/>
      <c r="G81" s="130"/>
      <c r="H81" s="222" t="str">
        <f t="shared" si="1"/>
        <v/>
      </c>
      <c r="I81" s="222" t="str">
        <f t="shared" si="2"/>
        <v/>
      </c>
      <c r="J81" s="67"/>
      <c r="K81" s="67"/>
      <c r="L81" s="361" t="s">
        <v>1237</v>
      </c>
      <c r="M81" s="294">
        <f t="shared" si="3"/>
        <v>0</v>
      </c>
      <c r="N81" s="176"/>
      <c r="O81" s="163"/>
      <c r="P81" s="163"/>
      <c r="Q81" s="175"/>
      <c r="R81" s="175"/>
      <c r="S81" s="130"/>
      <c r="T81" s="223" t="str">
        <f t="shared" si="4"/>
        <v/>
      </c>
      <c r="U81" s="222" t="str">
        <f t="shared" si="5"/>
        <v/>
      </c>
      <c r="V81" s="362" t="s">
        <v>1237</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1237</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1237</v>
      </c>
      <c r="W82" s="72"/>
    </row>
    <row r="83" spans="1:23" x14ac:dyDescent="0.2">
      <c r="A83" s="293">
        <f t="shared" si="6"/>
        <v>0</v>
      </c>
      <c r="B83" s="163"/>
      <c r="C83" s="163"/>
      <c r="D83" s="163"/>
      <c r="E83" s="175"/>
      <c r="F83" s="175"/>
      <c r="G83" s="130"/>
      <c r="H83" s="222" t="str">
        <f t="shared" si="7"/>
        <v/>
      </c>
      <c r="I83" s="222" t="str">
        <f t="shared" si="8"/>
        <v/>
      </c>
      <c r="J83" s="67"/>
      <c r="K83" s="67"/>
      <c r="L83" s="361" t="s">
        <v>1237</v>
      </c>
      <c r="M83" s="294">
        <f t="shared" si="9"/>
        <v>0</v>
      </c>
      <c r="N83" s="176"/>
      <c r="O83" s="163"/>
      <c r="P83" s="163"/>
      <c r="Q83" s="175"/>
      <c r="R83" s="175"/>
      <c r="S83" s="130"/>
      <c r="T83" s="223" t="str">
        <f t="shared" si="10"/>
        <v/>
      </c>
      <c r="U83" s="222" t="str">
        <f t="shared" si="11"/>
        <v/>
      </c>
      <c r="V83" s="362" t="s">
        <v>1237</v>
      </c>
      <c r="W83" s="72"/>
    </row>
    <row r="84" spans="1:23" x14ac:dyDescent="0.2">
      <c r="A84" s="293">
        <f t="shared" si="6"/>
        <v>0</v>
      </c>
      <c r="B84" s="163"/>
      <c r="C84" s="163"/>
      <c r="D84" s="163"/>
      <c r="E84" s="175"/>
      <c r="F84" s="175"/>
      <c r="G84" s="130"/>
      <c r="H84" s="222" t="str">
        <f t="shared" si="7"/>
        <v/>
      </c>
      <c r="I84" s="222" t="str">
        <f t="shared" si="8"/>
        <v/>
      </c>
      <c r="J84" s="67"/>
      <c r="K84" s="67"/>
      <c r="L84" s="361" t="s">
        <v>1237</v>
      </c>
      <c r="M84" s="294">
        <f t="shared" si="9"/>
        <v>0</v>
      </c>
      <c r="N84" s="176"/>
      <c r="O84" s="163"/>
      <c r="P84" s="163"/>
      <c r="Q84" s="175"/>
      <c r="R84" s="175"/>
      <c r="S84" s="130"/>
      <c r="T84" s="223" t="str">
        <f t="shared" si="10"/>
        <v/>
      </c>
      <c r="U84" s="222" t="str">
        <f t="shared" si="11"/>
        <v/>
      </c>
      <c r="V84" s="362" t="s">
        <v>1237</v>
      </c>
      <c r="W84" s="72"/>
    </row>
    <row r="85" spans="1:23" x14ac:dyDescent="0.2">
      <c r="A85" s="293">
        <f t="shared" si="6"/>
        <v>0</v>
      </c>
      <c r="B85" s="163"/>
      <c r="C85" s="163"/>
      <c r="D85" s="163"/>
      <c r="E85" s="175"/>
      <c r="F85" s="175"/>
      <c r="G85" s="130"/>
      <c r="H85" s="222" t="str">
        <f t="shared" si="7"/>
        <v/>
      </c>
      <c r="I85" s="222" t="str">
        <f t="shared" si="8"/>
        <v/>
      </c>
      <c r="J85" s="67"/>
      <c r="K85" s="67"/>
      <c r="L85" s="361" t="s">
        <v>1237</v>
      </c>
      <c r="M85" s="294">
        <f t="shared" si="9"/>
        <v>0</v>
      </c>
      <c r="N85" s="176"/>
      <c r="O85" s="163"/>
      <c r="P85" s="163"/>
      <c r="Q85" s="175"/>
      <c r="R85" s="175"/>
      <c r="S85" s="130"/>
      <c r="T85" s="223" t="str">
        <f t="shared" si="10"/>
        <v/>
      </c>
      <c r="U85" s="222" t="str">
        <f t="shared" si="11"/>
        <v/>
      </c>
      <c r="V85" s="362" t="s">
        <v>1237</v>
      </c>
      <c r="W85" s="72"/>
    </row>
    <row r="86" spans="1:23" x14ac:dyDescent="0.2">
      <c r="A86" s="293">
        <f t="shared" si="6"/>
        <v>0</v>
      </c>
      <c r="B86" s="163"/>
      <c r="C86" s="163"/>
      <c r="D86" s="163"/>
      <c r="E86" s="175"/>
      <c r="F86" s="175"/>
      <c r="G86" s="130"/>
      <c r="H86" s="222" t="str">
        <f t="shared" si="7"/>
        <v/>
      </c>
      <c r="I86" s="222" t="str">
        <f t="shared" si="8"/>
        <v/>
      </c>
      <c r="J86" s="67"/>
      <c r="K86" s="67"/>
      <c r="L86" s="361" t="s">
        <v>1237</v>
      </c>
      <c r="M86" s="294">
        <f t="shared" si="9"/>
        <v>0</v>
      </c>
      <c r="N86" s="176"/>
      <c r="O86" s="163"/>
      <c r="P86" s="163"/>
      <c r="Q86" s="175"/>
      <c r="R86" s="175"/>
      <c r="S86" s="130"/>
      <c r="T86" s="223" t="str">
        <f t="shared" si="10"/>
        <v/>
      </c>
      <c r="U86" s="222" t="str">
        <f t="shared" si="11"/>
        <v/>
      </c>
      <c r="V86" s="362" t="s">
        <v>1237</v>
      </c>
      <c r="W86" s="72"/>
    </row>
    <row r="87" spans="1:23" x14ac:dyDescent="0.2">
      <c r="A87" s="293">
        <f t="shared" si="6"/>
        <v>0</v>
      </c>
      <c r="B87" s="163"/>
      <c r="C87" s="163"/>
      <c r="D87" s="163"/>
      <c r="E87" s="175"/>
      <c r="F87" s="175"/>
      <c r="G87" s="130"/>
      <c r="H87" s="222" t="str">
        <f t="shared" si="7"/>
        <v/>
      </c>
      <c r="I87" s="222" t="str">
        <f t="shared" si="8"/>
        <v/>
      </c>
      <c r="J87" s="67"/>
      <c r="K87" s="67"/>
      <c r="L87" s="361" t="s">
        <v>1237</v>
      </c>
      <c r="M87" s="294">
        <f t="shared" si="9"/>
        <v>0</v>
      </c>
      <c r="N87" s="176"/>
      <c r="O87" s="163"/>
      <c r="P87" s="163"/>
      <c r="Q87" s="175"/>
      <c r="R87" s="175"/>
      <c r="S87" s="130"/>
      <c r="T87" s="223" t="str">
        <f t="shared" si="10"/>
        <v/>
      </c>
      <c r="U87" s="222" t="str">
        <f t="shared" si="11"/>
        <v/>
      </c>
      <c r="V87" s="362" t="s">
        <v>1237</v>
      </c>
      <c r="W87" s="72"/>
    </row>
    <row r="88" spans="1:23" x14ac:dyDescent="0.2">
      <c r="A88" s="293">
        <f t="shared" si="6"/>
        <v>0</v>
      </c>
      <c r="B88" s="163"/>
      <c r="C88" s="163"/>
      <c r="D88" s="163"/>
      <c r="E88" s="175"/>
      <c r="F88" s="175"/>
      <c r="G88" s="130"/>
      <c r="H88" s="222" t="str">
        <f t="shared" si="7"/>
        <v/>
      </c>
      <c r="I88" s="222" t="str">
        <f t="shared" si="8"/>
        <v/>
      </c>
      <c r="J88" s="67"/>
      <c r="K88" s="67"/>
      <c r="L88" s="361" t="s">
        <v>1237</v>
      </c>
      <c r="M88" s="294">
        <f t="shared" si="9"/>
        <v>0</v>
      </c>
      <c r="N88" s="176"/>
      <c r="O88" s="163"/>
      <c r="P88" s="163"/>
      <c r="Q88" s="175"/>
      <c r="R88" s="175"/>
      <c r="S88" s="130"/>
      <c r="T88" s="223" t="str">
        <f t="shared" si="10"/>
        <v/>
      </c>
      <c r="U88" s="222" t="str">
        <f t="shared" si="11"/>
        <v/>
      </c>
      <c r="V88" s="362" t="s">
        <v>1237</v>
      </c>
      <c r="W88" s="72"/>
    </row>
    <row r="89" spans="1:23" x14ac:dyDescent="0.2">
      <c r="A89" s="293">
        <f t="shared" si="6"/>
        <v>0</v>
      </c>
      <c r="B89" s="163"/>
      <c r="C89" s="163"/>
      <c r="D89" s="163"/>
      <c r="E89" s="175"/>
      <c r="F89" s="175"/>
      <c r="G89" s="130"/>
      <c r="H89" s="222" t="str">
        <f t="shared" si="7"/>
        <v/>
      </c>
      <c r="I89" s="222" t="str">
        <f t="shared" si="8"/>
        <v/>
      </c>
      <c r="J89" s="67"/>
      <c r="K89" s="67"/>
      <c r="L89" s="361" t="s">
        <v>1237</v>
      </c>
      <c r="M89" s="294">
        <f t="shared" si="9"/>
        <v>0</v>
      </c>
      <c r="N89" s="176"/>
      <c r="O89" s="163"/>
      <c r="P89" s="163"/>
      <c r="Q89" s="175"/>
      <c r="R89" s="175"/>
      <c r="S89" s="130"/>
      <c r="T89" s="223" t="str">
        <f t="shared" si="10"/>
        <v/>
      </c>
      <c r="U89" s="222" t="str">
        <f t="shared" si="11"/>
        <v/>
      </c>
      <c r="V89" s="362" t="s">
        <v>1237</v>
      </c>
      <c r="W89" s="72"/>
    </row>
    <row r="90" spans="1:23" x14ac:dyDescent="0.2">
      <c r="A90" s="293">
        <f t="shared" si="6"/>
        <v>0</v>
      </c>
      <c r="B90" s="163"/>
      <c r="C90" s="163"/>
      <c r="D90" s="163"/>
      <c r="E90" s="175"/>
      <c r="F90" s="175"/>
      <c r="G90" s="130"/>
      <c r="H90" s="222" t="str">
        <f t="shared" si="7"/>
        <v/>
      </c>
      <c r="I90" s="222" t="str">
        <f t="shared" si="8"/>
        <v/>
      </c>
      <c r="J90" s="67"/>
      <c r="K90" s="67"/>
      <c r="L90" s="361" t="s">
        <v>1237</v>
      </c>
      <c r="M90" s="294">
        <f t="shared" si="9"/>
        <v>0</v>
      </c>
      <c r="N90" s="176"/>
      <c r="O90" s="163"/>
      <c r="P90" s="163"/>
      <c r="Q90" s="175"/>
      <c r="R90" s="175"/>
      <c r="S90" s="130"/>
      <c r="T90" s="223" t="str">
        <f t="shared" si="10"/>
        <v/>
      </c>
      <c r="U90" s="222" t="str">
        <f t="shared" si="11"/>
        <v/>
      </c>
      <c r="V90" s="362" t="s">
        <v>1237</v>
      </c>
      <c r="W90" s="72"/>
    </row>
    <row r="91" spans="1:23" x14ac:dyDescent="0.2">
      <c r="A91" s="293">
        <f t="shared" si="6"/>
        <v>0</v>
      </c>
      <c r="B91" s="163"/>
      <c r="C91" s="163"/>
      <c r="D91" s="163"/>
      <c r="E91" s="175"/>
      <c r="F91" s="175"/>
      <c r="G91" s="130"/>
      <c r="H91" s="222" t="str">
        <f t="shared" si="7"/>
        <v/>
      </c>
      <c r="I91" s="222" t="str">
        <f t="shared" si="8"/>
        <v/>
      </c>
      <c r="J91" s="67"/>
      <c r="K91" s="67"/>
      <c r="L91" s="361" t="s">
        <v>1237</v>
      </c>
      <c r="M91" s="294">
        <f t="shared" si="9"/>
        <v>0</v>
      </c>
      <c r="N91" s="176"/>
      <c r="O91" s="163"/>
      <c r="P91" s="163"/>
      <c r="Q91" s="175"/>
      <c r="R91" s="175"/>
      <c r="S91" s="130"/>
      <c r="T91" s="223" t="str">
        <f t="shared" si="10"/>
        <v/>
      </c>
      <c r="U91" s="222" t="str">
        <f t="shared" si="11"/>
        <v/>
      </c>
      <c r="V91" s="362" t="s">
        <v>1237</v>
      </c>
      <c r="W91" s="72"/>
    </row>
    <row r="92" spans="1:23" x14ac:dyDescent="0.2">
      <c r="A92" s="293">
        <f t="shared" si="6"/>
        <v>0</v>
      </c>
      <c r="B92" s="163"/>
      <c r="C92" s="163"/>
      <c r="D92" s="163"/>
      <c r="E92" s="175"/>
      <c r="F92" s="175"/>
      <c r="G92" s="130"/>
      <c r="H92" s="222" t="str">
        <f t="shared" si="7"/>
        <v/>
      </c>
      <c r="I92" s="222" t="str">
        <f t="shared" si="8"/>
        <v/>
      </c>
      <c r="J92" s="67"/>
      <c r="K92" s="67"/>
      <c r="L92" s="361" t="s">
        <v>1237</v>
      </c>
      <c r="M92" s="294">
        <f t="shared" si="9"/>
        <v>0</v>
      </c>
      <c r="N92" s="176"/>
      <c r="O92" s="163"/>
      <c r="P92" s="163"/>
      <c r="Q92" s="175"/>
      <c r="R92" s="175"/>
      <c r="S92" s="130"/>
      <c r="T92" s="223" t="str">
        <f t="shared" si="10"/>
        <v/>
      </c>
      <c r="U92" s="222" t="str">
        <f t="shared" si="11"/>
        <v/>
      </c>
      <c r="V92" s="362" t="s">
        <v>1237</v>
      </c>
      <c r="W92" s="72"/>
    </row>
    <row r="93" spans="1:23" x14ac:dyDescent="0.2">
      <c r="A93" s="293">
        <f t="shared" si="6"/>
        <v>0</v>
      </c>
      <c r="B93" s="163"/>
      <c r="C93" s="163"/>
      <c r="D93" s="163"/>
      <c r="E93" s="175"/>
      <c r="F93" s="175"/>
      <c r="G93" s="130"/>
      <c r="H93" s="222" t="str">
        <f t="shared" si="7"/>
        <v/>
      </c>
      <c r="I93" s="222" t="str">
        <f t="shared" si="8"/>
        <v/>
      </c>
      <c r="J93" s="67"/>
      <c r="K93" s="67"/>
      <c r="L93" s="361" t="s">
        <v>1237</v>
      </c>
      <c r="M93" s="294">
        <f t="shared" si="9"/>
        <v>0</v>
      </c>
      <c r="N93" s="176"/>
      <c r="O93" s="163"/>
      <c r="P93" s="163"/>
      <c r="Q93" s="175"/>
      <c r="R93" s="175"/>
      <c r="S93" s="130"/>
      <c r="T93" s="223" t="str">
        <f t="shared" si="10"/>
        <v/>
      </c>
      <c r="U93" s="222" t="str">
        <f t="shared" si="11"/>
        <v/>
      </c>
      <c r="V93" s="362" t="s">
        <v>1237</v>
      </c>
      <c r="W93" s="72"/>
    </row>
    <row r="94" spans="1:23" x14ac:dyDescent="0.2">
      <c r="A94" s="293">
        <f t="shared" si="6"/>
        <v>0</v>
      </c>
      <c r="B94" s="163"/>
      <c r="C94" s="163"/>
      <c r="D94" s="163"/>
      <c r="E94" s="175"/>
      <c r="F94" s="175"/>
      <c r="G94" s="130"/>
      <c r="H94" s="222" t="str">
        <f t="shared" si="7"/>
        <v/>
      </c>
      <c r="I94" s="222" t="str">
        <f t="shared" si="8"/>
        <v/>
      </c>
      <c r="J94" s="67"/>
      <c r="K94" s="67"/>
      <c r="L94" s="361" t="s">
        <v>1237</v>
      </c>
      <c r="M94" s="294">
        <f t="shared" si="9"/>
        <v>0</v>
      </c>
      <c r="N94" s="176"/>
      <c r="O94" s="163"/>
      <c r="P94" s="163"/>
      <c r="Q94" s="175"/>
      <c r="R94" s="175"/>
      <c r="S94" s="130"/>
      <c r="T94" s="223" t="str">
        <f t="shared" si="10"/>
        <v/>
      </c>
      <c r="U94" s="222" t="str">
        <f t="shared" si="11"/>
        <v/>
      </c>
      <c r="V94" s="362" t="s">
        <v>1237</v>
      </c>
      <c r="W94" s="72"/>
    </row>
    <row r="95" spans="1:23" x14ac:dyDescent="0.2">
      <c r="A95" s="293">
        <f t="shared" si="6"/>
        <v>0</v>
      </c>
      <c r="B95" s="163"/>
      <c r="C95" s="163"/>
      <c r="D95" s="163"/>
      <c r="E95" s="175"/>
      <c r="F95" s="175"/>
      <c r="G95" s="130"/>
      <c r="H95" s="222" t="str">
        <f t="shared" si="7"/>
        <v/>
      </c>
      <c r="I95" s="222" t="str">
        <f t="shared" si="8"/>
        <v/>
      </c>
      <c r="J95" s="67"/>
      <c r="K95" s="67"/>
      <c r="L95" s="361" t="s">
        <v>1237</v>
      </c>
      <c r="M95" s="294">
        <f t="shared" si="9"/>
        <v>0</v>
      </c>
      <c r="N95" s="176"/>
      <c r="O95" s="163"/>
      <c r="P95" s="163"/>
      <c r="Q95" s="175"/>
      <c r="R95" s="175"/>
      <c r="S95" s="130"/>
      <c r="T95" s="223" t="str">
        <f t="shared" si="10"/>
        <v/>
      </c>
      <c r="U95" s="222" t="str">
        <f t="shared" si="11"/>
        <v/>
      </c>
      <c r="V95" s="362" t="s">
        <v>1237</v>
      </c>
      <c r="W95" s="72"/>
    </row>
    <row r="96" spans="1:23" x14ac:dyDescent="0.2">
      <c r="A96" s="293">
        <f t="shared" si="6"/>
        <v>0</v>
      </c>
      <c r="B96" s="163"/>
      <c r="C96" s="163"/>
      <c r="D96" s="163"/>
      <c r="E96" s="175"/>
      <c r="F96" s="175"/>
      <c r="G96" s="130"/>
      <c r="H96" s="222" t="str">
        <f t="shared" si="7"/>
        <v/>
      </c>
      <c r="I96" s="222" t="str">
        <f t="shared" si="8"/>
        <v/>
      </c>
      <c r="J96" s="67"/>
      <c r="K96" s="67"/>
      <c r="L96" s="361" t="s">
        <v>1237</v>
      </c>
      <c r="M96" s="294">
        <f t="shared" si="9"/>
        <v>0</v>
      </c>
      <c r="N96" s="176"/>
      <c r="O96" s="163"/>
      <c r="P96" s="163"/>
      <c r="Q96" s="175"/>
      <c r="R96" s="175"/>
      <c r="S96" s="130"/>
      <c r="T96" s="223" t="str">
        <f t="shared" si="10"/>
        <v/>
      </c>
      <c r="U96" s="222" t="str">
        <f t="shared" si="11"/>
        <v/>
      </c>
      <c r="V96" s="362" t="s">
        <v>1237</v>
      </c>
      <c r="W96" s="72"/>
    </row>
    <row r="97" spans="1:23" x14ac:dyDescent="0.2">
      <c r="A97" s="293">
        <f t="shared" si="6"/>
        <v>0</v>
      </c>
      <c r="B97" s="163"/>
      <c r="C97" s="163"/>
      <c r="D97" s="163"/>
      <c r="E97" s="175"/>
      <c r="F97" s="175"/>
      <c r="G97" s="130"/>
      <c r="H97" s="222" t="str">
        <f t="shared" si="7"/>
        <v/>
      </c>
      <c r="I97" s="222" t="str">
        <f t="shared" si="8"/>
        <v/>
      </c>
      <c r="J97" s="67"/>
      <c r="K97" s="67"/>
      <c r="L97" s="361" t="s">
        <v>1237</v>
      </c>
      <c r="M97" s="294">
        <f t="shared" si="9"/>
        <v>0</v>
      </c>
      <c r="N97" s="176"/>
      <c r="O97" s="163"/>
      <c r="P97" s="163"/>
      <c r="Q97" s="175"/>
      <c r="R97" s="175"/>
      <c r="S97" s="130"/>
      <c r="T97" s="223" t="str">
        <f t="shared" si="10"/>
        <v/>
      </c>
      <c r="U97" s="222" t="str">
        <f t="shared" si="11"/>
        <v/>
      </c>
      <c r="V97" s="362" t="s">
        <v>1237</v>
      </c>
      <c r="W97" s="72"/>
    </row>
    <row r="98" spans="1:23" x14ac:dyDescent="0.2">
      <c r="A98" s="293">
        <f t="shared" si="6"/>
        <v>0</v>
      </c>
      <c r="B98" s="163"/>
      <c r="C98" s="163"/>
      <c r="D98" s="163"/>
      <c r="E98" s="175"/>
      <c r="F98" s="175"/>
      <c r="G98" s="130"/>
      <c r="H98" s="222" t="str">
        <f t="shared" si="7"/>
        <v/>
      </c>
      <c r="I98" s="222" t="str">
        <f t="shared" si="8"/>
        <v/>
      </c>
      <c r="J98" s="67"/>
      <c r="K98" s="67"/>
      <c r="L98" s="361" t="s">
        <v>1237</v>
      </c>
      <c r="M98" s="294">
        <f t="shared" si="9"/>
        <v>0</v>
      </c>
      <c r="N98" s="176"/>
      <c r="O98" s="163"/>
      <c r="P98" s="163"/>
      <c r="Q98" s="175"/>
      <c r="R98" s="175"/>
      <c r="S98" s="130"/>
      <c r="T98" s="223" t="str">
        <f t="shared" si="10"/>
        <v/>
      </c>
      <c r="U98" s="222" t="str">
        <f t="shared" si="11"/>
        <v/>
      </c>
      <c r="V98" s="362" t="s">
        <v>1237</v>
      </c>
      <c r="W98" s="72"/>
    </row>
    <row r="99" spans="1:23" x14ac:dyDescent="0.2">
      <c r="A99" s="293">
        <f t="shared" si="6"/>
        <v>0</v>
      </c>
      <c r="B99" s="163"/>
      <c r="C99" s="163"/>
      <c r="D99" s="163"/>
      <c r="E99" s="175"/>
      <c r="F99" s="175"/>
      <c r="G99" s="130"/>
      <c r="H99" s="222" t="str">
        <f t="shared" si="7"/>
        <v/>
      </c>
      <c r="I99" s="222" t="str">
        <f t="shared" si="8"/>
        <v/>
      </c>
      <c r="J99" s="67"/>
      <c r="K99" s="67"/>
      <c r="L99" s="361" t="s">
        <v>1237</v>
      </c>
      <c r="M99" s="294">
        <f t="shared" si="9"/>
        <v>0</v>
      </c>
      <c r="N99" s="176"/>
      <c r="O99" s="163"/>
      <c r="P99" s="163"/>
      <c r="Q99" s="175"/>
      <c r="R99" s="175"/>
      <c r="S99" s="130"/>
      <c r="T99" s="223" t="str">
        <f t="shared" si="10"/>
        <v/>
      </c>
      <c r="U99" s="222" t="str">
        <f t="shared" si="11"/>
        <v/>
      </c>
      <c r="V99" s="362" t="s">
        <v>1237</v>
      </c>
      <c r="W99" s="72"/>
    </row>
    <row r="100" spans="1:23" x14ac:dyDescent="0.2">
      <c r="A100" s="293">
        <f t="shared" si="6"/>
        <v>0</v>
      </c>
      <c r="B100" s="163"/>
      <c r="C100" s="163"/>
      <c r="D100" s="163"/>
      <c r="E100" s="175"/>
      <c r="F100" s="175"/>
      <c r="G100" s="130"/>
      <c r="H100" s="222" t="str">
        <f t="shared" si="7"/>
        <v/>
      </c>
      <c r="I100" s="222" t="str">
        <f t="shared" si="8"/>
        <v/>
      </c>
      <c r="J100" s="67"/>
      <c r="K100" s="67"/>
      <c r="L100" s="361" t="s">
        <v>1237</v>
      </c>
      <c r="M100" s="294">
        <f t="shared" si="9"/>
        <v>0</v>
      </c>
      <c r="N100" s="176"/>
      <c r="O100" s="163"/>
      <c r="P100" s="163"/>
      <c r="Q100" s="175"/>
      <c r="R100" s="175"/>
      <c r="S100" s="130"/>
      <c r="T100" s="223" t="str">
        <f t="shared" si="10"/>
        <v/>
      </c>
      <c r="U100" s="222" t="str">
        <f t="shared" si="11"/>
        <v/>
      </c>
      <c r="V100" s="362" t="s">
        <v>1237</v>
      </c>
      <c r="W100" s="72"/>
    </row>
    <row r="101" spans="1:23" x14ac:dyDescent="0.2">
      <c r="A101" s="293">
        <f t="shared" si="6"/>
        <v>0</v>
      </c>
      <c r="B101" s="163"/>
      <c r="C101" s="163"/>
      <c r="D101" s="163"/>
      <c r="E101" s="175"/>
      <c r="F101" s="175"/>
      <c r="G101" s="130"/>
      <c r="H101" s="222" t="str">
        <f t="shared" si="7"/>
        <v/>
      </c>
      <c r="I101" s="222" t="str">
        <f t="shared" si="8"/>
        <v/>
      </c>
      <c r="J101" s="67"/>
      <c r="K101" s="67"/>
      <c r="L101" s="361" t="s">
        <v>1237</v>
      </c>
      <c r="M101" s="294">
        <f t="shared" si="9"/>
        <v>0</v>
      </c>
      <c r="N101" s="176"/>
      <c r="O101" s="163"/>
      <c r="P101" s="163"/>
      <c r="Q101" s="175"/>
      <c r="R101" s="175"/>
      <c r="S101" s="130"/>
      <c r="T101" s="223" t="str">
        <f t="shared" si="10"/>
        <v/>
      </c>
      <c r="U101" s="222" t="str">
        <f t="shared" si="11"/>
        <v/>
      </c>
      <c r="V101" s="362" t="s">
        <v>1237</v>
      </c>
      <c r="W101" s="72"/>
    </row>
    <row r="102" spans="1:23" x14ac:dyDescent="0.2">
      <c r="A102" s="293">
        <f t="shared" si="6"/>
        <v>0</v>
      </c>
      <c r="B102" s="163"/>
      <c r="C102" s="163"/>
      <c r="D102" s="163"/>
      <c r="E102" s="175"/>
      <c r="F102" s="175"/>
      <c r="G102" s="130"/>
      <c r="H102" s="222" t="str">
        <f t="shared" si="7"/>
        <v/>
      </c>
      <c r="I102" s="222" t="str">
        <f t="shared" si="8"/>
        <v/>
      </c>
      <c r="J102" s="67"/>
      <c r="K102" s="67"/>
      <c r="L102" s="361" t="s">
        <v>1237</v>
      </c>
      <c r="M102" s="294">
        <f t="shared" si="9"/>
        <v>0</v>
      </c>
      <c r="N102" s="176"/>
      <c r="O102" s="163"/>
      <c r="P102" s="163"/>
      <c r="Q102" s="175"/>
      <c r="R102" s="175"/>
      <c r="S102" s="130"/>
      <c r="T102" s="223" t="str">
        <f t="shared" si="10"/>
        <v/>
      </c>
      <c r="U102" s="222" t="str">
        <f t="shared" si="11"/>
        <v/>
      </c>
      <c r="V102" s="362" t="s">
        <v>1237</v>
      </c>
      <c r="W102" s="72"/>
    </row>
    <row r="103" spans="1:23" x14ac:dyDescent="0.2">
      <c r="A103" s="293">
        <f t="shared" si="6"/>
        <v>0</v>
      </c>
      <c r="B103" s="163"/>
      <c r="C103" s="163"/>
      <c r="D103" s="163"/>
      <c r="E103" s="175"/>
      <c r="F103" s="175"/>
      <c r="G103" s="130"/>
      <c r="H103" s="222" t="str">
        <f t="shared" si="7"/>
        <v/>
      </c>
      <c r="I103" s="222" t="str">
        <f t="shared" si="8"/>
        <v/>
      </c>
      <c r="J103" s="67"/>
      <c r="K103" s="67"/>
      <c r="L103" s="361" t="s">
        <v>1237</v>
      </c>
      <c r="M103" s="294">
        <f t="shared" si="9"/>
        <v>0</v>
      </c>
      <c r="N103" s="176"/>
      <c r="O103" s="163"/>
      <c r="P103" s="163"/>
      <c r="Q103" s="175"/>
      <c r="R103" s="175"/>
      <c r="S103" s="130"/>
      <c r="T103" s="223" t="str">
        <f t="shared" si="10"/>
        <v/>
      </c>
      <c r="U103" s="222" t="str">
        <f t="shared" si="11"/>
        <v/>
      </c>
      <c r="V103" s="362" t="s">
        <v>1237</v>
      </c>
      <c r="W103" s="72"/>
    </row>
    <row r="104" spans="1:23" x14ac:dyDescent="0.2">
      <c r="A104" s="293">
        <f t="shared" si="6"/>
        <v>0</v>
      </c>
      <c r="B104" s="163"/>
      <c r="C104" s="163"/>
      <c r="D104" s="163"/>
      <c r="E104" s="175"/>
      <c r="F104" s="175"/>
      <c r="G104" s="130"/>
      <c r="H104" s="222" t="str">
        <f t="shared" si="7"/>
        <v/>
      </c>
      <c r="I104" s="222" t="str">
        <f t="shared" si="8"/>
        <v/>
      </c>
      <c r="J104" s="67"/>
      <c r="K104" s="67"/>
      <c r="L104" s="361" t="s">
        <v>1237</v>
      </c>
      <c r="M104" s="294">
        <f t="shared" si="9"/>
        <v>0</v>
      </c>
      <c r="N104" s="176"/>
      <c r="O104" s="163"/>
      <c r="P104" s="163"/>
      <c r="Q104" s="175"/>
      <c r="R104" s="175"/>
      <c r="S104" s="130"/>
      <c r="T104" s="223" t="str">
        <f t="shared" si="10"/>
        <v/>
      </c>
      <c r="U104" s="222" t="str">
        <f t="shared" si="11"/>
        <v/>
      </c>
      <c r="V104" s="362" t="s">
        <v>1237</v>
      </c>
      <c r="W104" s="72"/>
    </row>
    <row r="105" spans="1:23" x14ac:dyDescent="0.2">
      <c r="A105" s="293">
        <f t="shared" si="6"/>
        <v>0</v>
      </c>
      <c r="B105" s="163"/>
      <c r="C105" s="163"/>
      <c r="D105" s="163"/>
      <c r="E105" s="175"/>
      <c r="F105" s="175"/>
      <c r="G105" s="130"/>
      <c r="H105" s="222" t="str">
        <f t="shared" si="7"/>
        <v/>
      </c>
      <c r="I105" s="222" t="str">
        <f t="shared" si="8"/>
        <v/>
      </c>
      <c r="J105" s="67"/>
      <c r="K105" s="67"/>
      <c r="L105" s="361" t="s">
        <v>1237</v>
      </c>
      <c r="M105" s="294">
        <f t="shared" si="9"/>
        <v>0</v>
      </c>
      <c r="N105" s="176"/>
      <c r="O105" s="163"/>
      <c r="P105" s="163"/>
      <c r="Q105" s="175"/>
      <c r="R105" s="175"/>
      <c r="S105" s="130"/>
      <c r="T105" s="223" t="str">
        <f t="shared" si="10"/>
        <v/>
      </c>
      <c r="U105" s="222" t="str">
        <f t="shared" si="11"/>
        <v/>
      </c>
      <c r="V105" s="362" t="s">
        <v>1237</v>
      </c>
      <c r="W105" s="72"/>
    </row>
    <row r="106" spans="1:23" x14ac:dyDescent="0.2">
      <c r="A106" s="293">
        <f t="shared" si="6"/>
        <v>0</v>
      </c>
      <c r="B106" s="163"/>
      <c r="C106" s="163"/>
      <c r="D106" s="163"/>
      <c r="E106" s="175"/>
      <c r="F106" s="175"/>
      <c r="G106" s="130"/>
      <c r="H106" s="222" t="str">
        <f t="shared" si="7"/>
        <v/>
      </c>
      <c r="I106" s="222" t="str">
        <f t="shared" si="8"/>
        <v/>
      </c>
      <c r="J106" s="67"/>
      <c r="K106" s="67"/>
      <c r="L106" s="361" t="s">
        <v>1237</v>
      </c>
      <c r="M106" s="294">
        <f t="shared" si="9"/>
        <v>0</v>
      </c>
      <c r="N106" s="176"/>
      <c r="O106" s="163"/>
      <c r="P106" s="163"/>
      <c r="Q106" s="175"/>
      <c r="R106" s="175"/>
      <c r="S106" s="130"/>
      <c r="T106" s="223" t="str">
        <f t="shared" si="10"/>
        <v/>
      </c>
      <c r="U106" s="222" t="str">
        <f t="shared" si="11"/>
        <v/>
      </c>
      <c r="V106" s="362" t="s">
        <v>1237</v>
      </c>
      <c r="W106" s="72"/>
    </row>
    <row r="107" spans="1:23" x14ac:dyDescent="0.2">
      <c r="A107" s="293">
        <f t="shared" si="6"/>
        <v>0</v>
      </c>
      <c r="B107" s="163"/>
      <c r="C107" s="163"/>
      <c r="D107" s="163"/>
      <c r="E107" s="175"/>
      <c r="F107" s="175"/>
      <c r="G107" s="130"/>
      <c r="H107" s="222" t="str">
        <f t="shared" si="7"/>
        <v/>
      </c>
      <c r="I107" s="222" t="str">
        <f t="shared" si="8"/>
        <v/>
      </c>
      <c r="J107" s="67"/>
      <c r="K107" s="67"/>
      <c r="L107" s="361" t="s">
        <v>1237</v>
      </c>
      <c r="M107" s="294">
        <f t="shared" si="9"/>
        <v>0</v>
      </c>
      <c r="N107" s="176"/>
      <c r="O107" s="163"/>
      <c r="P107" s="163"/>
      <c r="Q107" s="175"/>
      <c r="R107" s="175"/>
      <c r="S107" s="130"/>
      <c r="T107" s="223" t="str">
        <f t="shared" si="10"/>
        <v/>
      </c>
      <c r="U107" s="222" t="str">
        <f t="shared" si="11"/>
        <v/>
      </c>
      <c r="V107" s="362" t="s">
        <v>1237</v>
      </c>
      <c r="W107" s="72"/>
    </row>
    <row r="108" spans="1:23" x14ac:dyDescent="0.2">
      <c r="A108" s="293">
        <f t="shared" si="6"/>
        <v>0</v>
      </c>
      <c r="B108" s="163"/>
      <c r="C108" s="163"/>
      <c r="D108" s="163"/>
      <c r="E108" s="175"/>
      <c r="F108" s="175"/>
      <c r="G108" s="130"/>
      <c r="H108" s="222" t="str">
        <f t="shared" si="7"/>
        <v/>
      </c>
      <c r="I108" s="222" t="str">
        <f t="shared" si="8"/>
        <v/>
      </c>
      <c r="J108" s="67"/>
      <c r="K108" s="67"/>
      <c r="L108" s="361" t="s">
        <v>1237</v>
      </c>
      <c r="M108" s="294">
        <f t="shared" si="9"/>
        <v>0</v>
      </c>
      <c r="N108" s="176"/>
      <c r="O108" s="163"/>
      <c r="P108" s="163"/>
      <c r="Q108" s="175"/>
      <c r="R108" s="175"/>
      <c r="S108" s="130"/>
      <c r="T108" s="223" t="str">
        <f t="shared" si="10"/>
        <v/>
      </c>
      <c r="U108" s="222" t="str">
        <f t="shared" si="11"/>
        <v/>
      </c>
      <c r="V108" s="362" t="s">
        <v>1237</v>
      </c>
      <c r="W108" s="72"/>
    </row>
    <row r="109" spans="1:23" x14ac:dyDescent="0.2">
      <c r="A109" s="293">
        <f t="shared" si="6"/>
        <v>0</v>
      </c>
      <c r="B109" s="163"/>
      <c r="C109" s="163"/>
      <c r="D109" s="163"/>
      <c r="E109" s="175"/>
      <c r="F109" s="175"/>
      <c r="G109" s="130"/>
      <c r="H109" s="222" t="str">
        <f t="shared" si="7"/>
        <v/>
      </c>
      <c r="I109" s="222" t="str">
        <f t="shared" si="8"/>
        <v/>
      </c>
      <c r="J109" s="67"/>
      <c r="K109" s="67"/>
      <c r="L109" s="361" t="s">
        <v>1237</v>
      </c>
      <c r="M109" s="294">
        <f t="shared" si="9"/>
        <v>0</v>
      </c>
      <c r="N109" s="176"/>
      <c r="O109" s="163"/>
      <c r="P109" s="163"/>
      <c r="Q109" s="175"/>
      <c r="R109" s="175"/>
      <c r="S109" s="130"/>
      <c r="T109" s="223" t="str">
        <f t="shared" si="10"/>
        <v/>
      </c>
      <c r="U109" s="222" t="str">
        <f t="shared" si="11"/>
        <v/>
      </c>
      <c r="V109" s="362" t="s">
        <v>1237</v>
      </c>
      <c r="W109" s="72"/>
    </row>
    <row r="110" spans="1:23" x14ac:dyDescent="0.2">
      <c r="A110" s="293">
        <f t="shared" si="6"/>
        <v>0</v>
      </c>
      <c r="B110" s="163"/>
      <c r="C110" s="163"/>
      <c r="D110" s="163"/>
      <c r="E110" s="175"/>
      <c r="F110" s="175"/>
      <c r="G110" s="130"/>
      <c r="H110" s="222" t="str">
        <f t="shared" si="7"/>
        <v/>
      </c>
      <c r="I110" s="222" t="str">
        <f t="shared" si="8"/>
        <v/>
      </c>
      <c r="J110" s="67"/>
      <c r="K110" s="67"/>
      <c r="L110" s="361" t="s">
        <v>1237</v>
      </c>
      <c r="M110" s="294">
        <f t="shared" si="9"/>
        <v>0</v>
      </c>
      <c r="N110" s="176"/>
      <c r="O110" s="163"/>
      <c r="P110" s="163"/>
      <c r="Q110" s="175"/>
      <c r="R110" s="175"/>
      <c r="S110" s="130"/>
      <c r="T110" s="223" t="str">
        <f t="shared" si="10"/>
        <v/>
      </c>
      <c r="U110" s="222" t="str">
        <f t="shared" si="11"/>
        <v/>
      </c>
      <c r="V110" s="362" t="s">
        <v>1237</v>
      </c>
      <c r="W110" s="72"/>
    </row>
    <row r="111" spans="1:23" x14ac:dyDescent="0.2">
      <c r="A111" s="293">
        <f t="shared" si="6"/>
        <v>0</v>
      </c>
      <c r="B111" s="163"/>
      <c r="C111" s="163"/>
      <c r="D111" s="163"/>
      <c r="E111" s="175"/>
      <c r="F111" s="175"/>
      <c r="G111" s="130"/>
      <c r="H111" s="222" t="str">
        <f t="shared" si="7"/>
        <v/>
      </c>
      <c r="I111" s="222" t="str">
        <f t="shared" si="8"/>
        <v/>
      </c>
      <c r="J111" s="67"/>
      <c r="K111" s="67"/>
      <c r="L111" s="361" t="s">
        <v>1237</v>
      </c>
      <c r="M111" s="294">
        <f t="shared" si="9"/>
        <v>0</v>
      </c>
      <c r="N111" s="176"/>
      <c r="O111" s="163"/>
      <c r="P111" s="163"/>
      <c r="Q111" s="175"/>
      <c r="R111" s="175"/>
      <c r="S111" s="130"/>
      <c r="T111" s="223" t="str">
        <f t="shared" si="10"/>
        <v/>
      </c>
      <c r="U111" s="222" t="str">
        <f t="shared" si="11"/>
        <v/>
      </c>
      <c r="V111" s="362" t="s">
        <v>1237</v>
      </c>
      <c r="W111" s="72"/>
    </row>
    <row r="112" spans="1:23" x14ac:dyDescent="0.2">
      <c r="A112" s="293">
        <f t="shared" si="6"/>
        <v>0</v>
      </c>
      <c r="B112" s="163"/>
      <c r="C112" s="163"/>
      <c r="D112" s="163"/>
      <c r="E112" s="175"/>
      <c r="F112" s="175"/>
      <c r="G112" s="130"/>
      <c r="H112" s="222" t="str">
        <f t="shared" si="7"/>
        <v/>
      </c>
      <c r="I112" s="222" t="str">
        <f t="shared" si="8"/>
        <v/>
      </c>
      <c r="J112" s="67"/>
      <c r="K112" s="67"/>
      <c r="L112" s="361" t="s">
        <v>1237</v>
      </c>
      <c r="M112" s="294">
        <f t="shared" si="9"/>
        <v>0</v>
      </c>
      <c r="N112" s="176"/>
      <c r="O112" s="163"/>
      <c r="P112" s="163"/>
      <c r="Q112" s="175"/>
      <c r="R112" s="175"/>
      <c r="S112" s="130"/>
      <c r="T112" s="223" t="str">
        <f t="shared" si="10"/>
        <v/>
      </c>
      <c r="U112" s="222" t="str">
        <f t="shared" si="11"/>
        <v/>
      </c>
      <c r="V112" s="362" t="s">
        <v>1237</v>
      </c>
      <c r="W112" s="72"/>
    </row>
    <row r="113" spans="1:23" x14ac:dyDescent="0.2">
      <c r="A113" s="293">
        <f t="shared" si="6"/>
        <v>0</v>
      </c>
      <c r="B113" s="163"/>
      <c r="C113" s="163"/>
      <c r="D113" s="163"/>
      <c r="E113" s="175"/>
      <c r="F113" s="175"/>
      <c r="G113" s="130"/>
      <c r="H113" s="222" t="str">
        <f t="shared" si="7"/>
        <v/>
      </c>
      <c r="I113" s="222" t="str">
        <f t="shared" si="8"/>
        <v/>
      </c>
      <c r="J113" s="67"/>
      <c r="K113" s="67"/>
      <c r="L113" s="361" t="s">
        <v>1237</v>
      </c>
      <c r="M113" s="294">
        <f t="shared" si="9"/>
        <v>0</v>
      </c>
      <c r="N113" s="176"/>
      <c r="O113" s="163"/>
      <c r="P113" s="163"/>
      <c r="Q113" s="175"/>
      <c r="R113" s="175"/>
      <c r="S113" s="130"/>
      <c r="T113" s="223" t="str">
        <f t="shared" si="10"/>
        <v/>
      </c>
      <c r="U113" s="222" t="str">
        <f t="shared" si="11"/>
        <v/>
      </c>
      <c r="V113" s="362" t="s">
        <v>1237</v>
      </c>
      <c r="W113" s="72"/>
    </row>
    <row r="114" spans="1:23" x14ac:dyDescent="0.2">
      <c r="A114" s="293">
        <f t="shared" si="6"/>
        <v>0</v>
      </c>
      <c r="B114" s="163"/>
      <c r="C114" s="163"/>
      <c r="D114" s="163"/>
      <c r="E114" s="175"/>
      <c r="F114" s="175"/>
      <c r="G114" s="130"/>
      <c r="H114" s="222" t="str">
        <f t="shared" si="7"/>
        <v/>
      </c>
      <c r="I114" s="222" t="str">
        <f t="shared" si="8"/>
        <v/>
      </c>
      <c r="J114" s="67"/>
      <c r="K114" s="67"/>
      <c r="L114" s="361" t="s">
        <v>1237</v>
      </c>
      <c r="M114" s="294">
        <f t="shared" si="9"/>
        <v>0</v>
      </c>
      <c r="N114" s="176"/>
      <c r="O114" s="163"/>
      <c r="P114" s="163"/>
      <c r="Q114" s="175"/>
      <c r="R114" s="175"/>
      <c r="S114" s="130"/>
      <c r="T114" s="223" t="str">
        <f t="shared" si="10"/>
        <v/>
      </c>
      <c r="U114" s="222" t="str">
        <f t="shared" si="11"/>
        <v/>
      </c>
      <c r="V114" s="362" t="s">
        <v>1237</v>
      </c>
      <c r="W114" s="72"/>
    </row>
    <row r="115" spans="1:23" x14ac:dyDescent="0.2">
      <c r="A115" s="293">
        <f t="shared" si="6"/>
        <v>0</v>
      </c>
      <c r="B115" s="163"/>
      <c r="C115" s="163"/>
      <c r="D115" s="163"/>
      <c r="E115" s="175"/>
      <c r="F115" s="175"/>
      <c r="G115" s="130"/>
      <c r="H115" s="222" t="str">
        <f t="shared" si="7"/>
        <v/>
      </c>
      <c r="I115" s="222" t="str">
        <f t="shared" si="8"/>
        <v/>
      </c>
      <c r="J115" s="67"/>
      <c r="K115" s="67"/>
      <c r="L115" s="361" t="s">
        <v>1237</v>
      </c>
      <c r="M115" s="294">
        <f t="shared" si="9"/>
        <v>0</v>
      </c>
      <c r="N115" s="176"/>
      <c r="O115" s="163"/>
      <c r="P115" s="163"/>
      <c r="Q115" s="175"/>
      <c r="R115" s="175"/>
      <c r="S115" s="130"/>
      <c r="T115" s="223" t="str">
        <f t="shared" si="10"/>
        <v/>
      </c>
      <c r="U115" s="222" t="str">
        <f t="shared" si="11"/>
        <v/>
      </c>
      <c r="V115" s="362" t="s">
        <v>1237</v>
      </c>
      <c r="W115" s="72"/>
    </row>
    <row r="116" spans="1:23" x14ac:dyDescent="0.2">
      <c r="A116" s="293">
        <f t="shared" si="6"/>
        <v>0</v>
      </c>
      <c r="B116" s="163"/>
      <c r="C116" s="163"/>
      <c r="D116" s="163"/>
      <c r="E116" s="175"/>
      <c r="F116" s="175"/>
      <c r="G116" s="130"/>
      <c r="H116" s="222" t="str">
        <f t="shared" si="7"/>
        <v/>
      </c>
      <c r="I116" s="222" t="str">
        <f t="shared" si="8"/>
        <v/>
      </c>
      <c r="J116" s="67"/>
      <c r="K116" s="67"/>
      <c r="L116" s="361" t="s">
        <v>1237</v>
      </c>
      <c r="M116" s="294">
        <f t="shared" si="9"/>
        <v>0</v>
      </c>
      <c r="N116" s="176"/>
      <c r="O116" s="163"/>
      <c r="P116" s="163"/>
      <c r="Q116" s="175"/>
      <c r="R116" s="175"/>
      <c r="S116" s="130"/>
      <c r="T116" s="223" t="str">
        <f t="shared" si="10"/>
        <v/>
      </c>
      <c r="U116" s="222" t="str">
        <f t="shared" si="11"/>
        <v/>
      </c>
      <c r="V116" s="362" t="s">
        <v>1237</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370V7xONHDvaEIDnw4WM6TtGeCSg5IBZy0XcvtKmcnTGeCmFvKeBm5UpJY4EQ1puda6fjY+0cchGVxuRgjfW8w==" saltValue="If/8/jqMzjuVOrj2ot4D/w=="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f ca="1">IF(Capacity!C3="",TODAY(),Capacity!C3)</f>
        <v>44428</v>
      </c>
      <c r="F3" s="111"/>
    </row>
    <row r="4" spans="1:19" x14ac:dyDescent="0.2">
      <c r="B4" s="139" t="s">
        <v>437</v>
      </c>
      <c r="C4" s="139"/>
      <c r="D4" s="271">
        <f ca="1">IF(Capacity!C4="",DATE(YEAR(D3)+1,MONTH(D3),DAY(D3))-1,Capacity!C4)</f>
        <v>44792</v>
      </c>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24" t="s">
        <v>475</v>
      </c>
      <c r="E8" s="424"/>
      <c r="F8" s="424"/>
      <c r="G8" s="424"/>
      <c r="H8" s="424"/>
      <c r="I8" s="424"/>
      <c r="J8" s="424"/>
      <c r="K8" s="424"/>
      <c r="L8" s="108"/>
      <c r="M8" s="106"/>
      <c r="N8" s="106"/>
      <c r="O8" s="108"/>
      <c r="P8" s="106"/>
      <c r="Q8" s="106"/>
      <c r="S8" s="78"/>
    </row>
    <row r="10" spans="1:19" x14ac:dyDescent="0.2">
      <c r="D10" s="422" t="s">
        <v>444</v>
      </c>
      <c r="E10" s="423"/>
      <c r="F10" s="112"/>
      <c r="G10" s="420" t="s">
        <v>445</v>
      </c>
      <c r="H10" s="421"/>
      <c r="I10" s="112"/>
      <c r="J10" s="422" t="s">
        <v>446</v>
      </c>
      <c r="K10" s="423"/>
      <c r="L10" s="112"/>
      <c r="M10" s="420" t="s">
        <v>447</v>
      </c>
      <c r="N10" s="421"/>
      <c r="O10" s="112"/>
      <c r="P10" s="422" t="s">
        <v>448</v>
      </c>
      <c r="Q10" s="423"/>
    </row>
    <row r="11" spans="1:19" x14ac:dyDescent="0.2">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1</v>
      </c>
      <c r="B12" s="171" t="s">
        <v>1253</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
      <c r="A13" s="74">
        <f t="shared" ref="A13:A76" si="0">IF(B13="",0,ROW(A2))</f>
        <v>2</v>
      </c>
      <c r="B13" s="172" t="s">
        <v>1254</v>
      </c>
      <c r="D13" s="174">
        <v>43815</v>
      </c>
      <c r="E13" s="174">
        <v>43849</v>
      </c>
      <c r="F13" s="111"/>
      <c r="G13" s="174"/>
      <c r="H13" s="174"/>
      <c r="J13" s="174"/>
      <c r="K13" s="174"/>
      <c r="M13" s="174"/>
      <c r="N13" s="174"/>
      <c r="P13" s="174"/>
      <c r="Q13" s="174"/>
    </row>
    <row r="14" spans="1:19" x14ac:dyDescent="0.2">
      <c r="A14" s="74">
        <f t="shared" si="0"/>
        <v>3</v>
      </c>
      <c r="B14" s="172" t="s">
        <v>1255</v>
      </c>
      <c r="D14" s="174">
        <v>43682</v>
      </c>
      <c r="E14" s="174">
        <v>43723</v>
      </c>
      <c r="F14" s="111"/>
      <c r="G14" s="174"/>
      <c r="H14" s="174"/>
      <c r="J14" s="174"/>
      <c r="K14" s="174"/>
      <c r="M14" s="174"/>
      <c r="N14" s="174"/>
      <c r="P14" s="174"/>
      <c r="Q14" s="174"/>
    </row>
    <row r="15" spans="1:19" x14ac:dyDescent="0.2">
      <c r="A15" s="74">
        <f t="shared" si="0"/>
        <v>4</v>
      </c>
      <c r="B15" s="172" t="s">
        <v>1256</v>
      </c>
      <c r="D15" s="174"/>
      <c r="E15" s="174"/>
      <c r="G15" s="174"/>
      <c r="H15" s="174"/>
      <c r="J15" s="174"/>
      <c r="K15" s="174"/>
      <c r="M15" s="174"/>
      <c r="N15" s="174"/>
      <c r="P15" s="174"/>
      <c r="Q15" s="174"/>
    </row>
    <row r="16" spans="1:19" x14ac:dyDescent="0.2">
      <c r="A16" s="74">
        <f t="shared" si="0"/>
        <v>5</v>
      </c>
      <c r="B16" s="172" t="s">
        <v>1257</v>
      </c>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25" t="s">
        <v>473</v>
      </c>
      <c r="C1" s="425"/>
      <c r="D1" s="425"/>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878</v>
      </c>
      <c r="J11" s="121" t="s">
        <v>294</v>
      </c>
    </row>
    <row r="12" spans="1:11" x14ac:dyDescent="0.2">
      <c r="B12" s="218" t="str">
        <f>IF(Capacity!B17=0,"",Capacity!B17)</f>
        <v>Core Clinic 1</v>
      </c>
      <c r="C12" s="132" t="s">
        <v>1258</v>
      </c>
      <c r="D12" s="132"/>
      <c r="E12" s="132"/>
      <c r="F12" s="215">
        <f>IF(ROW(A1)&lt;=Capacity!$A$16,Capacity!E17,"")</f>
        <v>30</v>
      </c>
      <c r="G12" s="216">
        <f ca="1">IF(ROW(A1)&lt;=Capacity!$A$16,'Capacity calculation (hide)'!BH5,"")</f>
        <v>52</v>
      </c>
      <c r="H12" s="215">
        <f>IF(ROW(A1)&lt;=Capacity!$A$16,Capacity!H17,"")</f>
        <v>210</v>
      </c>
      <c r="I12" s="217">
        <f ca="1">IF(ROW(A1)&lt;=Capacity!$A$16,'Capacity calculation (hide)'!DL5,"")</f>
        <v>210.00000000000011</v>
      </c>
      <c r="J12" s="218" t="str">
        <f ca="1">IFERROR(IF(G12-F12 &lt;0, "Under","Over"),"")</f>
        <v>Over</v>
      </c>
    </row>
    <row r="13" spans="1:11" x14ac:dyDescent="0.2">
      <c r="B13" s="218" t="str">
        <f>IF(Capacity!B18=0,"",Capacity!B18)</f>
        <v>Core Clinic 2</v>
      </c>
      <c r="C13" s="132" t="s">
        <v>1258</v>
      </c>
      <c r="D13" s="132" t="s">
        <v>1259</v>
      </c>
      <c r="E13" s="132"/>
      <c r="F13" s="215">
        <f>IF(ROW(A2)&lt;=Capacity!$A$16,Capacity!E18,"")</f>
        <v>30</v>
      </c>
      <c r="G13" s="216">
        <f ca="1">IF(ROW(A2)&lt;=Capacity!$A$16,'Capacity calculation (hide)'!BH6,"")</f>
        <v>52</v>
      </c>
      <c r="H13" s="215">
        <f>IF(ROW(A2)&lt;=Capacity!$A$16,Capacity!H18,"")</f>
        <v>210</v>
      </c>
      <c r="I13" s="217">
        <f ca="1">IF(ROW(A2)&lt;=Capacity!$A$16,'Capacity calculation (hide)'!DL6,"")</f>
        <v>210.00000000000011</v>
      </c>
      <c r="J13" s="218" t="str">
        <f t="shared" ref="J13:J76" ca="1" si="0">IFERROR(IF(G13-F13 &lt;0, "Under","Over"),"")</f>
        <v>Over</v>
      </c>
    </row>
    <row r="14" spans="1:11" x14ac:dyDescent="0.2">
      <c r="B14" s="218" t="str">
        <f>IF(Capacity!B19=0,"",Capacity!B19)</f>
        <v>Core Clinic 3</v>
      </c>
      <c r="C14" s="132" t="s">
        <v>1259</v>
      </c>
      <c r="D14" s="132" t="s">
        <v>1260</v>
      </c>
      <c r="E14" s="132"/>
      <c r="F14" s="215">
        <f>IF(ROW(A3)&lt;=Capacity!$A$16,Capacity!E19,"")</f>
        <v>21</v>
      </c>
      <c r="G14" s="216">
        <f ca="1">IF(ROW(A3)&lt;=Capacity!$A$16,'Capacity calculation (hide)'!BH7,"")</f>
        <v>52</v>
      </c>
      <c r="H14" s="215">
        <f>IF(ROW(A3)&lt;=Capacity!$A$16,Capacity!H19,"")</f>
        <v>84</v>
      </c>
      <c r="I14" s="217">
        <f ca="1">IF(ROW(A3)&lt;=Capacity!$A$16,'Capacity calculation (hide)'!DL7,"")</f>
        <v>83.999999999999943</v>
      </c>
      <c r="J14" s="218" t="str">
        <f t="shared" ca="1" si="0"/>
        <v>Over</v>
      </c>
    </row>
    <row r="15" spans="1:11" x14ac:dyDescent="0.2">
      <c r="B15" s="218" t="str">
        <f>IF(Capacity!B20=0,"",Capacity!B20)</f>
        <v>Core Clinic 4</v>
      </c>
      <c r="C15" s="132" t="s">
        <v>1260</v>
      </c>
      <c r="D15" s="132"/>
      <c r="E15" s="132"/>
      <c r="F15" s="215">
        <f>IF(ROW(A4)&lt;=Capacity!$A$16,Capacity!E20,"")</f>
        <v>12</v>
      </c>
      <c r="G15" s="216">
        <f ca="1">IF(ROW(A4)&lt;=Capacity!$A$16,'Capacity calculation (hide)'!BH8,"")</f>
        <v>52</v>
      </c>
      <c r="H15" s="215">
        <f>IF(ROW(A4)&lt;=Capacity!$A$16,Capacity!H20,"")</f>
        <v>48</v>
      </c>
      <c r="I15" s="217">
        <f ca="1">IF(ROW(A4)&lt;=Capacity!$A$16,'Capacity calculation (hide)'!DL8,"")</f>
        <v>47.99999999999995</v>
      </c>
      <c r="J15" s="218" t="str">
        <f t="shared" ca="1" si="0"/>
        <v>Over</v>
      </c>
    </row>
    <row r="16" spans="1:11" x14ac:dyDescent="0.2">
      <c r="B16" s="218" t="str">
        <f>IF(Capacity!B21=0,"",Capacity!B21)</f>
        <v>Covid restoration clinic</v>
      </c>
      <c r="C16" s="132"/>
      <c r="D16" s="132"/>
      <c r="E16" s="132"/>
      <c r="F16" s="215">
        <f>IF(ROW(A5)&lt;=Capacity!$A$16,Capacity!E21,"")</f>
        <v>42</v>
      </c>
      <c r="G16" s="216">
        <f ca="1">IF(ROW(A5)&lt;=Capacity!$A$16,'Capacity calculation (hide)'!BH9,"")</f>
        <v>52</v>
      </c>
      <c r="H16" s="215">
        <f>IF(ROW(A5)&lt;=Capacity!$A$16,Capacity!H21,"")</f>
        <v>126</v>
      </c>
      <c r="I16" s="217">
        <f ca="1">IF(ROW(A5)&lt;=Capacity!$A$16,'Capacity calculation (hide)'!DL9,"")</f>
        <v>125.99999999999987</v>
      </c>
      <c r="J16" s="218" t="str">
        <f t="shared" ca="1" si="0"/>
        <v>Over</v>
      </c>
    </row>
    <row r="17" spans="2:10" x14ac:dyDescent="0.2">
      <c r="B17" s="218" t="str">
        <f>IF(Capacity!B22=0,"",Capacity!B22)</f>
        <v>new</v>
      </c>
      <c r="C17" s="132"/>
      <c r="D17" s="132"/>
      <c r="E17" s="132"/>
      <c r="F17" s="215">
        <f>IF(ROW(A6)&lt;=Capacity!$A$16,Capacity!E22,"")</f>
        <v>0</v>
      </c>
      <c r="G17" s="216">
        <f ca="1">IF(ROW(A6)&lt;=Capacity!$A$16,'Capacity calculation (hide)'!BH10,"")</f>
        <v>52</v>
      </c>
      <c r="H17" s="215">
        <f>IF(ROW(A6)&lt;=Capacity!$A$16,Capacity!H22,"")</f>
        <v>0</v>
      </c>
      <c r="I17" s="217">
        <f ca="1">IF(ROW(A6)&lt;=Capacity!$A$16,'Capacity calculation (hide)'!DL10,"")</f>
        <v>0</v>
      </c>
      <c r="J17" s="218" t="str">
        <f t="shared" ca="1" si="0"/>
        <v>Over</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Independent sector 1</v>
      </c>
      <c r="C118" s="132" t="s">
        <v>1260</v>
      </c>
      <c r="D118" s="132"/>
      <c r="E118" s="132"/>
      <c r="F118" s="215">
        <f>IF(ROW(A1)&lt;=Capacity!$M$16,Capacity!Q17,"")</f>
        <v>10</v>
      </c>
      <c r="G118" s="320">
        <f ca="1">IF(ROW(A1)&lt;=Capacity!$M$16,'Capacity calculation (hide)'!BH112,"")</f>
        <v>52</v>
      </c>
      <c r="H118" s="215">
        <f>IF(ROW(A1)&lt;=Capacity!$M$16,Capacity!T17,"")</f>
        <v>50</v>
      </c>
      <c r="I118" s="217">
        <f ca="1">IF(ROW(A1)&lt;=Capacity!$M$16,'Capacity calculation (hide)'!DL111,"")</f>
        <v>112.11538461538454</v>
      </c>
      <c r="J118" s="218" t="str">
        <f ca="1">IFERROR(IF(G118-F118 &lt;0, "Under","Over"),"")</f>
        <v>Over</v>
      </c>
    </row>
    <row r="119" spans="2:10" hidden="1" x14ac:dyDescent="0.2">
      <c r="B119" s="218" t="str">
        <f>IF(Capacity!N18=0,"",Capacity!N18)</f>
        <v>Ad Hoc 2</v>
      </c>
      <c r="C119" s="132" t="s">
        <v>1260</v>
      </c>
      <c r="D119" s="132" t="s">
        <v>1259</v>
      </c>
      <c r="E119" s="132"/>
      <c r="F119" s="215">
        <f>IF(ROW(A2)&lt;=Capacity!$M$16,Capacity!Q18,"")</f>
        <v>12</v>
      </c>
      <c r="G119" s="320">
        <f ca="1">IF(ROW(A2)&lt;=Capacity!$M$16,'Capacity calculation (hide)'!BH113,"")</f>
        <v>52</v>
      </c>
      <c r="H119" s="215">
        <f>IF(ROW(A2)&lt;=Capacity!$M$16,Capacity!T18,"")</f>
        <v>60</v>
      </c>
      <c r="I119" s="217">
        <f ca="1">IF(ROW(A2)&lt;=Capacity!$M$16,'Capacity calculation (hide)'!DL112,"")</f>
        <v>49.999999999999943</v>
      </c>
      <c r="J119" s="218" t="str">
        <f t="shared" ref="J119:J182" ca="1" si="2">IFERROR(IF(G119-F119 &lt;0, "Under","Over"),"")</f>
        <v>Over</v>
      </c>
    </row>
    <row r="120" spans="2:10" hidden="1" x14ac:dyDescent="0.2">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4" sqref="I124"/>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(Minutes per year):</v>
      </c>
      <c r="C4" s="221">
        <f ca="1">'Capacity calculation (hide)'!DL4</f>
        <v>691.03846153846189</v>
      </c>
      <c r="D4" s="221">
        <f ca="1">'Capacity calculation (hide)'!DL111</f>
        <v>112.11538461538454</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407" t="s">
        <v>57</v>
      </c>
      <c r="D10" s="408"/>
      <c r="E10" s="40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407" t="s">
        <v>57</v>
      </c>
      <c r="D11" s="408"/>
      <c r="E11" s="40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1157</v>
      </c>
      <c r="C14" s="153" t="s">
        <v>22</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21</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26" t="s">
        <v>1273</v>
      </c>
      <c r="C21" s="429" t="s">
        <v>486</v>
      </c>
      <c r="D21" s="430"/>
      <c r="E21" s="433" t="s">
        <v>483</v>
      </c>
      <c r="F21" s="434"/>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27"/>
      <c r="C22" s="431"/>
      <c r="D22" s="432"/>
      <c r="E22" s="435"/>
      <c r="F22" s="436"/>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28"/>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1242</v>
      </c>
      <c r="BJ23" s="125"/>
      <c r="BK23" s="125"/>
      <c r="BL23" s="125"/>
    </row>
    <row r="24" spans="2:64" hidden="1" x14ac:dyDescent="0.2">
      <c r="B24" s="219" t="str">
        <f>IF(Capacity!N17="","",Capacity!N17)</f>
        <v>Independent sector 1</v>
      </c>
      <c r="C24" s="220">
        <f>IF(B24="","",Capacity!Q17)</f>
        <v>10</v>
      </c>
      <c r="D24" s="309">
        <f>IF(B24="","",Capacity!R17)</f>
        <v>5</v>
      </c>
      <c r="E24" s="220">
        <f>IF(B24="","",IF(COUNTBLANK(H24:BG24)=52,SUM('Capacity calculation (hide)'!H112:BG112),52-COUNTBLANK(H24:BG24)))</f>
        <v>1</v>
      </c>
      <c r="F24" s="310">
        <f ca="1">'Capacity calculation (hide)'!BI112</f>
        <v>0.96153846153846156</v>
      </c>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4"/>
      <c r="BC24" s="364"/>
      <c r="BD24" s="364"/>
      <c r="BE24" s="364"/>
      <c r="BF24" s="364"/>
      <c r="BG24" s="364" t="s">
        <v>1237</v>
      </c>
      <c r="BH24" s="66"/>
      <c r="BI24" s="342" t="s">
        <v>1237</v>
      </c>
      <c r="BJ24" s="66"/>
      <c r="BK24" s="66"/>
      <c r="BL24" s="66"/>
    </row>
    <row r="25" spans="2:64" hidden="1" x14ac:dyDescent="0.2">
      <c r="B25" s="219" t="str">
        <f>IF(Capacity!N18="","",Capacity!N18)</f>
        <v>Ad Hoc 2</v>
      </c>
      <c r="C25" s="220">
        <f>IF(B25="","",Capacity!Q18)</f>
        <v>12</v>
      </c>
      <c r="D25" s="309">
        <f>IF(B25="","",Capacity!R18)</f>
        <v>5</v>
      </c>
      <c r="E25" s="220">
        <f ca="1">IF(B25="","",IF(COUNTBLANK(H25:BG25)=52,SUM('Capacity calculation (hide)'!H113:BG113),52-COUNTBLANK(H25:BG25)))</f>
        <v>52</v>
      </c>
      <c r="F25" s="310">
        <f ca="1">'Capacity calculation (hide)'!BI113</f>
        <v>1.1538461538461537</v>
      </c>
      <c r="H25" s="365"/>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364"/>
      <c r="AR25" s="364"/>
      <c r="AS25" s="364"/>
      <c r="AT25" s="364"/>
      <c r="AU25" s="364"/>
      <c r="AV25" s="364"/>
      <c r="AW25" s="364"/>
      <c r="AX25" s="364"/>
      <c r="AY25" s="364"/>
      <c r="AZ25" s="364"/>
      <c r="BA25" s="364"/>
      <c r="BB25" s="364"/>
      <c r="BC25" s="364"/>
      <c r="BD25" s="364"/>
      <c r="BE25" s="364"/>
      <c r="BF25" s="364"/>
      <c r="BG25" s="366"/>
      <c r="BH25" s="66"/>
      <c r="BI25" s="342" t="s">
        <v>1237</v>
      </c>
    </row>
    <row r="26" spans="2:64" hidden="1" x14ac:dyDescent="0.2">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1237</v>
      </c>
    </row>
    <row r="27" spans="2:64" hidden="1" x14ac:dyDescent="0.2">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1237</v>
      </c>
    </row>
    <row r="28" spans="2:64" hidden="1" x14ac:dyDescent="0.2">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1237</v>
      </c>
    </row>
    <row r="29" spans="2:64" hidden="1" x14ac:dyDescent="0.2">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1237</v>
      </c>
    </row>
    <row r="30" spans="2:64" hidden="1" x14ac:dyDescent="0.2">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1237</v>
      </c>
    </row>
    <row r="31" spans="2:64" hidden="1" x14ac:dyDescent="0.2">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1237</v>
      </c>
    </row>
    <row r="32" spans="2:64" hidden="1" x14ac:dyDescent="0.2">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1237</v>
      </c>
    </row>
    <row r="33" spans="2:61" hidden="1" x14ac:dyDescent="0.2">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1237</v>
      </c>
    </row>
    <row r="34" spans="2:61" hidden="1" x14ac:dyDescent="0.2">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1237</v>
      </c>
    </row>
    <row r="35" spans="2:61" hidden="1" x14ac:dyDescent="0.2">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1237</v>
      </c>
    </row>
    <row r="36" spans="2:61" hidden="1" x14ac:dyDescent="0.2">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1237</v>
      </c>
    </row>
    <row r="37" spans="2:61" hidden="1" x14ac:dyDescent="0.2">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1237</v>
      </c>
    </row>
    <row r="38" spans="2:61" hidden="1" x14ac:dyDescent="0.2">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1237</v>
      </c>
    </row>
    <row r="39" spans="2:61" hidden="1" x14ac:dyDescent="0.2">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1237</v>
      </c>
    </row>
    <row r="40" spans="2:61" hidden="1" x14ac:dyDescent="0.2">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1237</v>
      </c>
    </row>
    <row r="41" spans="2:61" hidden="1" x14ac:dyDescent="0.2">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1237</v>
      </c>
    </row>
    <row r="42" spans="2:61" hidden="1" x14ac:dyDescent="0.2">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1237</v>
      </c>
    </row>
    <row r="43" spans="2:61" hidden="1" x14ac:dyDescent="0.2">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1237</v>
      </c>
    </row>
    <row r="44" spans="2:61" hidden="1" x14ac:dyDescent="0.2">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1237</v>
      </c>
    </row>
    <row r="45" spans="2:61" hidden="1" x14ac:dyDescent="0.2">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1237</v>
      </c>
    </row>
    <row r="46" spans="2:61" hidden="1" x14ac:dyDescent="0.2">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1237</v>
      </c>
    </row>
    <row r="47" spans="2:61" hidden="1" x14ac:dyDescent="0.2">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1237</v>
      </c>
    </row>
    <row r="48" spans="2:61" hidden="1" x14ac:dyDescent="0.2">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1237</v>
      </c>
    </row>
    <row r="49" spans="2:61" hidden="1" x14ac:dyDescent="0.2">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1237</v>
      </c>
    </row>
    <row r="50" spans="2:61" hidden="1" x14ac:dyDescent="0.2">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1237</v>
      </c>
    </row>
    <row r="51" spans="2:61" hidden="1" x14ac:dyDescent="0.2">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1237</v>
      </c>
    </row>
    <row r="52" spans="2:61" hidden="1" x14ac:dyDescent="0.2">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1237</v>
      </c>
    </row>
    <row r="53" spans="2:61" hidden="1" x14ac:dyDescent="0.2">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1237</v>
      </c>
    </row>
    <row r="54" spans="2:61" hidden="1" x14ac:dyDescent="0.2">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1237</v>
      </c>
    </row>
    <row r="55" spans="2:61" hidden="1" x14ac:dyDescent="0.2">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1237</v>
      </c>
    </row>
    <row r="56" spans="2:61" hidden="1" x14ac:dyDescent="0.2">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1237</v>
      </c>
    </row>
    <row r="57" spans="2:61" hidden="1" x14ac:dyDescent="0.2">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1237</v>
      </c>
    </row>
    <row r="58" spans="2:61" hidden="1" x14ac:dyDescent="0.2">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1237</v>
      </c>
    </row>
    <row r="59" spans="2:61" hidden="1" x14ac:dyDescent="0.2">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1237</v>
      </c>
    </row>
    <row r="60" spans="2:61" hidden="1" x14ac:dyDescent="0.2">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1237</v>
      </c>
    </row>
    <row r="61" spans="2:61" hidden="1" x14ac:dyDescent="0.2">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1237</v>
      </c>
    </row>
    <row r="62" spans="2:61" hidden="1" x14ac:dyDescent="0.2">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1237</v>
      </c>
    </row>
    <row r="63" spans="2:61" hidden="1" x14ac:dyDescent="0.2">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1237</v>
      </c>
    </row>
    <row r="64" spans="2:61" hidden="1" x14ac:dyDescent="0.2">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1237</v>
      </c>
    </row>
    <row r="65" spans="2:61" hidden="1" x14ac:dyDescent="0.2">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1237</v>
      </c>
    </row>
    <row r="66" spans="2:61" hidden="1" x14ac:dyDescent="0.2">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1237</v>
      </c>
    </row>
    <row r="67" spans="2:61" hidden="1" x14ac:dyDescent="0.2">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1237</v>
      </c>
    </row>
    <row r="68" spans="2:61" hidden="1" x14ac:dyDescent="0.2">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1237</v>
      </c>
    </row>
    <row r="69" spans="2:61" hidden="1" x14ac:dyDescent="0.2">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1237</v>
      </c>
    </row>
    <row r="70" spans="2:61" hidden="1" x14ac:dyDescent="0.2">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1237</v>
      </c>
    </row>
    <row r="71" spans="2:61" hidden="1" x14ac:dyDescent="0.2">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1237</v>
      </c>
    </row>
    <row r="72" spans="2:61" hidden="1" x14ac:dyDescent="0.2">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1237</v>
      </c>
    </row>
    <row r="73" spans="2:61" hidden="1" x14ac:dyDescent="0.2">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1237</v>
      </c>
    </row>
    <row r="74" spans="2:61" hidden="1" x14ac:dyDescent="0.2">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1237</v>
      </c>
    </row>
    <row r="75" spans="2:61" hidden="1" x14ac:dyDescent="0.2">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1237</v>
      </c>
    </row>
    <row r="76" spans="2:61" hidden="1" x14ac:dyDescent="0.2">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1237</v>
      </c>
    </row>
    <row r="77" spans="2:61" hidden="1" x14ac:dyDescent="0.2">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1237</v>
      </c>
    </row>
    <row r="78" spans="2:61" hidden="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1237</v>
      </c>
    </row>
    <row r="79" spans="2:61" hidden="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1237</v>
      </c>
    </row>
    <row r="80" spans="2:61" hidden="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1237</v>
      </c>
    </row>
    <row r="81" spans="2:61" hidden="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1237</v>
      </c>
    </row>
    <row r="82" spans="2:61" hidden="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1237</v>
      </c>
    </row>
    <row r="83" spans="2:61" hidden="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1237</v>
      </c>
    </row>
    <row r="84" spans="2:61" hidden="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1237</v>
      </c>
    </row>
    <row r="85" spans="2:61" hidden="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1237</v>
      </c>
    </row>
    <row r="86" spans="2:61" hidden="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1237</v>
      </c>
    </row>
    <row r="87" spans="2:61" hidden="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1237</v>
      </c>
    </row>
    <row r="88" spans="2:61" hidden="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1237</v>
      </c>
    </row>
    <row r="89" spans="2:61" hidden="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1237</v>
      </c>
    </row>
    <row r="90" spans="2:61" hidden="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1237</v>
      </c>
    </row>
    <row r="91" spans="2:61" hidden="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1237</v>
      </c>
    </row>
    <row r="92" spans="2:61" hidden="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1237</v>
      </c>
    </row>
    <row r="93" spans="2:61" hidden="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1237</v>
      </c>
    </row>
    <row r="94" spans="2:61" hidden="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1237</v>
      </c>
    </row>
    <row r="95" spans="2:61" hidden="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1237</v>
      </c>
    </row>
    <row r="96" spans="2:61" hidden="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1237</v>
      </c>
    </row>
    <row r="97" spans="2:61" hidden="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1237</v>
      </c>
    </row>
    <row r="98" spans="2:61" hidden="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1237</v>
      </c>
    </row>
    <row r="99" spans="2:61" hidden="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1237</v>
      </c>
    </row>
    <row r="100" spans="2:61" hidden="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1237</v>
      </c>
    </row>
    <row r="101" spans="2:61" hidden="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1237</v>
      </c>
    </row>
    <row r="102" spans="2:61" hidden="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1237</v>
      </c>
    </row>
    <row r="103" spans="2:61" hidden="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1237</v>
      </c>
    </row>
    <row r="104" spans="2:61" hidden="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1237</v>
      </c>
    </row>
    <row r="105" spans="2:61" hidden="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1237</v>
      </c>
    </row>
    <row r="106" spans="2:61" hidden="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1237</v>
      </c>
    </row>
    <row r="107" spans="2:61" hidden="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1237</v>
      </c>
    </row>
    <row r="108" spans="2:61" hidden="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1237</v>
      </c>
    </row>
    <row r="109" spans="2:61" hidden="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1237</v>
      </c>
    </row>
    <row r="110" spans="2:61" hidden="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1237</v>
      </c>
    </row>
    <row r="111" spans="2:61" hidden="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1237</v>
      </c>
    </row>
    <row r="112" spans="2:61" hidden="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1237</v>
      </c>
    </row>
    <row r="113" spans="2:61" hidden="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1237</v>
      </c>
    </row>
    <row r="114" spans="2:61" hidden="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1237</v>
      </c>
    </row>
    <row r="115" spans="2:61" hidden="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1237</v>
      </c>
    </row>
    <row r="116" spans="2:61" hidden="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1237</v>
      </c>
    </row>
    <row r="117" spans="2:61" hidden="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1237</v>
      </c>
    </row>
    <row r="118" spans="2:61" hidden="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1237</v>
      </c>
    </row>
    <row r="119" spans="2:61" hidden="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1237</v>
      </c>
    </row>
    <row r="120" spans="2:61" hidden="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1237</v>
      </c>
    </row>
    <row r="121" spans="2:61" hidden="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1237</v>
      </c>
    </row>
    <row r="122" spans="2:61" hidden="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1237</v>
      </c>
    </row>
    <row r="123" spans="2:61" hidden="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1237</v>
      </c>
    </row>
    <row r="124" spans="2:61" x14ac:dyDescent="0.2">
      <c r="B124" s="67" t="str">
        <f>IF(Capacity!B17="","",Capacity!B17)</f>
        <v>Core Clinic 1</v>
      </c>
      <c r="C124" s="220">
        <f>IF(B124="","",Capacity!E17)</f>
        <v>30</v>
      </c>
      <c r="D124" s="309">
        <f>IF(B124="","",Capacity!F17)</f>
        <v>7</v>
      </c>
      <c r="E124" s="220">
        <f ca="1">IF(B124="","",IF(COUNTBLANK(H124:BG124)=52,SUM('Capacity calculation (hide)'!H5:BG5),52-COUNTBLANK(H124:BG124)))</f>
        <v>52</v>
      </c>
      <c r="F124" s="310">
        <f ca="1">'Capacity calculation (hide)'!BI5</f>
        <v>4.0384615384615383</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1237</v>
      </c>
    </row>
    <row r="125" spans="2:61" x14ac:dyDescent="0.2">
      <c r="B125" s="67" t="str">
        <f>IF(Capacity!B18="","",Capacity!B18)</f>
        <v>Core Clinic 2</v>
      </c>
      <c r="C125" s="220">
        <f>IF(B125="","",Capacity!E18)</f>
        <v>30</v>
      </c>
      <c r="D125" s="309">
        <f>IF(B125="","",Capacity!F18)</f>
        <v>7</v>
      </c>
      <c r="E125" s="220">
        <f ca="1">IF(B125="","",IF(COUNTBLANK(H125:BG125)=52,SUM('Capacity calculation (hide)'!H6:BG6),52-COUNTBLANK(H125:BG125)))</f>
        <v>52</v>
      </c>
      <c r="F125" s="310">
        <f ca="1">'Capacity calculation (hide)'!BI6</f>
        <v>4.0384615384615383</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1237</v>
      </c>
    </row>
    <row r="126" spans="2:61" x14ac:dyDescent="0.2">
      <c r="B126" s="67" t="str">
        <f>IF(Capacity!B19="","",Capacity!B19)</f>
        <v>Core Clinic 3</v>
      </c>
      <c r="C126" s="220">
        <f>IF(B126="","",Capacity!E19)</f>
        <v>21</v>
      </c>
      <c r="D126" s="309">
        <f>IF(B126="","",Capacity!F19)</f>
        <v>4</v>
      </c>
      <c r="E126" s="220">
        <f ca="1">IF(B126="","",IF(COUNTBLANK(H126:BG126)=52,SUM('Capacity calculation (hide)'!H7:BG7),52-COUNTBLANK(H126:BG126)))</f>
        <v>52</v>
      </c>
      <c r="F126" s="310">
        <f ca="1">'Capacity calculation (hide)'!BI7</f>
        <v>1.6153846153846154</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1237</v>
      </c>
    </row>
    <row r="127" spans="2:61" x14ac:dyDescent="0.2">
      <c r="B127" s="67" t="str">
        <f>IF(Capacity!B20="","",Capacity!B20)</f>
        <v>Core Clinic 4</v>
      </c>
      <c r="C127" s="220">
        <f>IF(B127="","",Capacity!E20)</f>
        <v>12</v>
      </c>
      <c r="D127" s="309">
        <f>IF(B127="","",Capacity!F20)</f>
        <v>4</v>
      </c>
      <c r="E127" s="220">
        <f ca="1">IF(B127="","",IF(COUNTBLANK(H127:BG127)=52,SUM('Capacity calculation (hide)'!H8:BG8),52-COUNTBLANK(H127:BG127)))</f>
        <v>52</v>
      </c>
      <c r="F127" s="310">
        <f ca="1">'Capacity calculation (hide)'!BI8</f>
        <v>0.92307692307692313</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1237</v>
      </c>
    </row>
    <row r="128" spans="2:61" x14ac:dyDescent="0.2">
      <c r="B128" s="67" t="str">
        <f>IF(Capacity!B21="","",Capacity!B21)</f>
        <v>Covid restoration clinic</v>
      </c>
      <c r="C128" s="220">
        <f>IF(B128="","",Capacity!E21)</f>
        <v>42</v>
      </c>
      <c r="D128" s="309">
        <f>IF(B128="","",Capacity!F21)</f>
        <v>3</v>
      </c>
      <c r="E128" s="220">
        <f ca="1">IF(B128="","",IF(COUNTBLANK(H128:BG128)=52,SUM('Capacity calculation (hide)'!H9:BG9),52-COUNTBLANK(H128:BG128)))</f>
        <v>52</v>
      </c>
      <c r="F128" s="310">
        <f ca="1">'Capacity calculation (hide)'!BI9</f>
        <v>2.4230769230769229</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1237</v>
      </c>
    </row>
    <row r="129" spans="2:61" x14ac:dyDescent="0.2">
      <c r="B129" s="67" t="str">
        <f>IF(Capacity!B22="","",Capacity!B22)</f>
        <v>new</v>
      </c>
      <c r="C129" s="220">
        <f>IF(B129="","",Capacity!E22)</f>
        <v>0</v>
      </c>
      <c r="D129" s="309">
        <f>IF(B129="","",Capacity!F22)</f>
        <v>0</v>
      </c>
      <c r="E129" s="220">
        <f ca="1">IF(B129="","",IF(COUNTBLANK(H129:BG129)=52,SUM('Capacity calculation (hide)'!H10:BG10),52-COUNTBLANK(H129:BG129)))</f>
        <v>52</v>
      </c>
      <c r="F129" s="310">
        <f ca="1">'Capacity calculation (hide)'!BI10</f>
        <v>0</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1237</v>
      </c>
    </row>
    <row r="130" spans="2:61" x14ac:dyDescent="0.2">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1237</v>
      </c>
    </row>
    <row r="131" spans="2:61" x14ac:dyDescent="0.2">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1237</v>
      </c>
    </row>
    <row r="132" spans="2:61" x14ac:dyDescent="0.2">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1237</v>
      </c>
    </row>
    <row r="133" spans="2:61" x14ac:dyDescent="0.2">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1237</v>
      </c>
    </row>
    <row r="134" spans="2:61" x14ac:dyDescent="0.2">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1237</v>
      </c>
    </row>
    <row r="135" spans="2:61" x14ac:dyDescent="0.2">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1237</v>
      </c>
    </row>
    <row r="136" spans="2:61" x14ac:dyDescent="0.2">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1237</v>
      </c>
    </row>
    <row r="137" spans="2:61" x14ac:dyDescent="0.2">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1237</v>
      </c>
    </row>
    <row r="138" spans="2:61" x14ac:dyDescent="0.2">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1237</v>
      </c>
    </row>
    <row r="139" spans="2:61" x14ac:dyDescent="0.2">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1237</v>
      </c>
    </row>
    <row r="140" spans="2:61" x14ac:dyDescent="0.2">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1237</v>
      </c>
    </row>
    <row r="141" spans="2:61" x14ac:dyDescent="0.2">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1237</v>
      </c>
    </row>
    <row r="142" spans="2:61" x14ac:dyDescent="0.2">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1237</v>
      </c>
    </row>
    <row r="143" spans="2:61" x14ac:dyDescent="0.2">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1237</v>
      </c>
    </row>
    <row r="144" spans="2:61" x14ac:dyDescent="0.2">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1237</v>
      </c>
    </row>
    <row r="145" spans="2:61" x14ac:dyDescent="0.2">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1237</v>
      </c>
    </row>
    <row r="146" spans="2:61" x14ac:dyDescent="0.2">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1237</v>
      </c>
    </row>
    <row r="147" spans="2:61" x14ac:dyDescent="0.2">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1237</v>
      </c>
    </row>
    <row r="148" spans="2:61" x14ac:dyDescent="0.2">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1237</v>
      </c>
    </row>
    <row r="149" spans="2:61" x14ac:dyDescent="0.2">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1237</v>
      </c>
    </row>
    <row r="150" spans="2:61" x14ac:dyDescent="0.2">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1237</v>
      </c>
    </row>
    <row r="151" spans="2:61" x14ac:dyDescent="0.2">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1237</v>
      </c>
    </row>
    <row r="152" spans="2:61" x14ac:dyDescent="0.2">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1237</v>
      </c>
    </row>
    <row r="153" spans="2:61" x14ac:dyDescent="0.2">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1237</v>
      </c>
    </row>
    <row r="154" spans="2:61" x14ac:dyDescent="0.2">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1237</v>
      </c>
    </row>
    <row r="155" spans="2:61" x14ac:dyDescent="0.2">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1237</v>
      </c>
    </row>
    <row r="156" spans="2:61" x14ac:dyDescent="0.2">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1237</v>
      </c>
    </row>
    <row r="157" spans="2:61" x14ac:dyDescent="0.2">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1237</v>
      </c>
    </row>
    <row r="158" spans="2:61" x14ac:dyDescent="0.2">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1237</v>
      </c>
    </row>
    <row r="159" spans="2:61" x14ac:dyDescent="0.2">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1237</v>
      </c>
    </row>
    <row r="160" spans="2:61" x14ac:dyDescent="0.2">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1237</v>
      </c>
    </row>
    <row r="161" spans="2:61" x14ac:dyDescent="0.2">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1237</v>
      </c>
    </row>
    <row r="162" spans="2:61" x14ac:dyDescent="0.2">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1237</v>
      </c>
    </row>
    <row r="163" spans="2:61" x14ac:dyDescent="0.2">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1237</v>
      </c>
    </row>
    <row r="164" spans="2:61" x14ac:dyDescent="0.2">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1237</v>
      </c>
    </row>
    <row r="165" spans="2:61" x14ac:dyDescent="0.2">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1237</v>
      </c>
    </row>
    <row r="166" spans="2:61" x14ac:dyDescent="0.2">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1237</v>
      </c>
    </row>
    <row r="167" spans="2:61" x14ac:dyDescent="0.2">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1237</v>
      </c>
    </row>
    <row r="168" spans="2:61" x14ac:dyDescent="0.2">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1237</v>
      </c>
    </row>
    <row r="169" spans="2:61" x14ac:dyDescent="0.2">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1237</v>
      </c>
    </row>
    <row r="170" spans="2:61" x14ac:dyDescent="0.2">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1237</v>
      </c>
    </row>
    <row r="171" spans="2:61" x14ac:dyDescent="0.2">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1237</v>
      </c>
    </row>
    <row r="172" spans="2:61" x14ac:dyDescent="0.2">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1237</v>
      </c>
    </row>
    <row r="173" spans="2:61" x14ac:dyDescent="0.2">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1237</v>
      </c>
    </row>
    <row r="174" spans="2:61" x14ac:dyDescent="0.2">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1237</v>
      </c>
    </row>
    <row r="175" spans="2:61" x14ac:dyDescent="0.2">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1237</v>
      </c>
    </row>
    <row r="176" spans="2:61" x14ac:dyDescent="0.2">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1237</v>
      </c>
    </row>
    <row r="177" spans="2:61" x14ac:dyDescent="0.2">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1237</v>
      </c>
    </row>
    <row r="178" spans="2:6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1237</v>
      </c>
    </row>
    <row r="179" spans="2:6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1237</v>
      </c>
    </row>
    <row r="180" spans="2:6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1237</v>
      </c>
    </row>
    <row r="181" spans="2:6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1237</v>
      </c>
    </row>
    <row r="182" spans="2:6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1237</v>
      </c>
    </row>
    <row r="183" spans="2:6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1237</v>
      </c>
    </row>
    <row r="184" spans="2:6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1237</v>
      </c>
    </row>
    <row r="185" spans="2:6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1237</v>
      </c>
    </row>
    <row r="186" spans="2:6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1237</v>
      </c>
    </row>
    <row r="187" spans="2:6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1237</v>
      </c>
    </row>
    <row r="188" spans="2:6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1237</v>
      </c>
    </row>
    <row r="189" spans="2:6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1237</v>
      </c>
    </row>
    <row r="190" spans="2:6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1237</v>
      </c>
    </row>
    <row r="191" spans="2:6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1237</v>
      </c>
    </row>
    <row r="192" spans="2:6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1237</v>
      </c>
    </row>
    <row r="193" spans="2:6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1237</v>
      </c>
    </row>
    <row r="194" spans="2:6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1237</v>
      </c>
    </row>
    <row r="195" spans="2:6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1237</v>
      </c>
    </row>
    <row r="196" spans="2:6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1237</v>
      </c>
    </row>
    <row r="197" spans="2:6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1237</v>
      </c>
    </row>
    <row r="198" spans="2:6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1237</v>
      </c>
    </row>
    <row r="199" spans="2:6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1237</v>
      </c>
    </row>
    <row r="200" spans="2:6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1237</v>
      </c>
    </row>
    <row r="201" spans="2:6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1237</v>
      </c>
    </row>
    <row r="202" spans="2:6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1237</v>
      </c>
    </row>
    <row r="203" spans="2:6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1237</v>
      </c>
    </row>
    <row r="204" spans="2:6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1237</v>
      </c>
    </row>
    <row r="205" spans="2:6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1237</v>
      </c>
    </row>
    <row r="206" spans="2:6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1237</v>
      </c>
    </row>
    <row r="207" spans="2:6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1237</v>
      </c>
    </row>
    <row r="208" spans="2:6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1237</v>
      </c>
    </row>
    <row r="209" spans="2:6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1237</v>
      </c>
    </row>
    <row r="210" spans="2:6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1237</v>
      </c>
    </row>
    <row r="211" spans="2:6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1237</v>
      </c>
    </row>
    <row r="212" spans="2:6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1237</v>
      </c>
    </row>
    <row r="213" spans="2:6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1237</v>
      </c>
    </row>
    <row r="214" spans="2:6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1237</v>
      </c>
    </row>
    <row r="215" spans="2:6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1237</v>
      </c>
    </row>
    <row r="216" spans="2:6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1237</v>
      </c>
    </row>
    <row r="217" spans="2:6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1237</v>
      </c>
    </row>
    <row r="218" spans="2:6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1237</v>
      </c>
    </row>
    <row r="219" spans="2:6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1237</v>
      </c>
    </row>
    <row r="220" spans="2:6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1237</v>
      </c>
    </row>
    <row r="221" spans="2:6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1237</v>
      </c>
    </row>
    <row r="222" spans="2:6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1237</v>
      </c>
    </row>
    <row r="223" spans="2:6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1237</v>
      </c>
    </row>
    <row r="224" spans="2:61" x14ac:dyDescent="0.2">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sheetProtection algorithmName="SHA-512" hashValue="VX84UGTv9MwAMyMC0dTt2UlhdxFsnMuA14OcV3h7iuZGfIpKljftHTw9ibGqf6it9nmQJ19j17lf8LgMgBz9IA==" saltValue="5ywbeptjPXSYMPhVj44syg==" spinCount="100000" sheet="1" objects="1" scenarios="1"/>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25" sqref="F25"/>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1164</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44430</v>
      </c>
      <c r="B6" s="87">
        <f ca="1">IF('Critical resources'!$D$3="",TODAY()-WEEKDAY(TODAY(),3)+7,'Critical resources'!D3-WEEKDAY('Critical resources'!D3,3))</f>
        <v>44424</v>
      </c>
      <c r="C6" s="67">
        <v>1</v>
      </c>
      <c r="D6" s="67">
        <f ca="1">YEAR(B6)</f>
        <v>2021</v>
      </c>
      <c r="E6" s="67" t="str">
        <f t="shared" ref="E6:E54" ca="1" si="0">IF(TEXT(B6,"MMM")=TEXT(B5,"MMM")," ",TEXT(B6,"MMM"))</f>
        <v>Aug</v>
      </c>
      <c r="F6" s="67">
        <f ca="1">WEEKNUM(B6,21)</f>
        <v>33</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44437</v>
      </c>
      <c r="B7" s="87">
        <f ca="1">B6+7</f>
        <v>44431</v>
      </c>
      <c r="C7" s="67">
        <v>2</v>
      </c>
      <c r="D7" s="67" t="str">
        <f ca="1">IF(YEAR(B7)=YEAR(B6),"",YEAR(B7))</f>
        <v/>
      </c>
      <c r="E7" s="67" t="str">
        <f t="shared" ca="1" si="0"/>
        <v xml:space="preserve"> </v>
      </c>
      <c r="F7" s="67">
        <f t="shared" ref="F7:F58" ca="1" si="7">WEEKNUM(B7,21)</f>
        <v>34</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44444</v>
      </c>
      <c r="B8" s="87">
        <f t="shared" ref="B8:B58" ca="1" si="9">B7+7</f>
        <v>44438</v>
      </c>
      <c r="C8" s="67">
        <v>3</v>
      </c>
      <c r="D8" s="67" t="str">
        <f t="shared" ref="D8:D57" ca="1" si="10">IF(YEAR(B8)=YEAR(B7),"",YEAR(B8))</f>
        <v/>
      </c>
      <c r="E8" s="67" t="str">
        <f t="shared" ca="1" si="0"/>
        <v xml:space="preserve"> </v>
      </c>
      <c r="F8" s="67">
        <f t="shared" ca="1" si="7"/>
        <v>35</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44451</v>
      </c>
      <c r="B9" s="87">
        <f t="shared" ca="1" si="9"/>
        <v>44445</v>
      </c>
      <c r="C9" s="67">
        <v>4</v>
      </c>
      <c r="D9" s="67" t="str">
        <f t="shared" ca="1" si="10"/>
        <v/>
      </c>
      <c r="E9" s="67" t="str">
        <f t="shared" ca="1" si="0"/>
        <v>Sep</v>
      </c>
      <c r="F9" s="67">
        <f t="shared" ca="1" si="7"/>
        <v>36</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44458</v>
      </c>
      <c r="B10" s="87">
        <f t="shared" ca="1" si="9"/>
        <v>44452</v>
      </c>
      <c r="C10" s="67">
        <v>5</v>
      </c>
      <c r="D10" s="67" t="str">
        <f t="shared" ca="1" si="10"/>
        <v/>
      </c>
      <c r="E10" s="67" t="str">
        <f t="shared" ca="1" si="0"/>
        <v xml:space="preserve"> </v>
      </c>
      <c r="F10" s="67">
        <f t="shared" ca="1" si="7"/>
        <v>37</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44465</v>
      </c>
      <c r="B11" s="87">
        <f t="shared" ca="1" si="9"/>
        <v>44459</v>
      </c>
      <c r="C11" s="67">
        <v>6</v>
      </c>
      <c r="D11" s="67" t="str">
        <f t="shared" ca="1" si="10"/>
        <v/>
      </c>
      <c r="E11" s="67" t="str">
        <f t="shared" ca="1" si="0"/>
        <v xml:space="preserve"> </v>
      </c>
      <c r="F11" s="67">
        <f t="shared" ca="1" si="7"/>
        <v>38</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44472</v>
      </c>
      <c r="B12" s="87">
        <f t="shared" ca="1" si="9"/>
        <v>44466</v>
      </c>
      <c r="C12" s="67">
        <v>7</v>
      </c>
      <c r="D12" s="67" t="str">
        <f t="shared" ca="1" si="10"/>
        <v/>
      </c>
      <c r="E12" s="67" t="str">
        <f t="shared" ca="1" si="0"/>
        <v xml:space="preserve"> </v>
      </c>
      <c r="F12" s="67">
        <f t="shared" ca="1" si="7"/>
        <v>39</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44479</v>
      </c>
      <c r="B13" s="87">
        <f t="shared" ca="1" si="9"/>
        <v>44473</v>
      </c>
      <c r="C13" s="67">
        <v>8</v>
      </c>
      <c r="D13" s="67" t="str">
        <f t="shared" ca="1" si="10"/>
        <v/>
      </c>
      <c r="E13" s="67" t="str">
        <f t="shared" ca="1" si="0"/>
        <v>Oct</v>
      </c>
      <c r="F13" s="67">
        <f t="shared" ca="1" si="7"/>
        <v>40</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44486</v>
      </c>
      <c r="B14" s="87">
        <f t="shared" ca="1" si="9"/>
        <v>44480</v>
      </c>
      <c r="C14" s="67">
        <v>9</v>
      </c>
      <c r="D14" s="67" t="str">
        <f t="shared" ca="1" si="10"/>
        <v/>
      </c>
      <c r="E14" s="67" t="str">
        <f t="shared" ca="1" si="0"/>
        <v xml:space="preserve"> </v>
      </c>
      <c r="F14" s="67">
        <f t="shared" ca="1" si="7"/>
        <v>41</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44493</v>
      </c>
      <c r="B15" s="87">
        <f t="shared" ca="1" si="9"/>
        <v>44487</v>
      </c>
      <c r="C15" s="67">
        <v>10</v>
      </c>
      <c r="D15" s="67" t="str">
        <f t="shared" ca="1" si="10"/>
        <v/>
      </c>
      <c r="E15" s="67" t="str">
        <f t="shared" ca="1" si="0"/>
        <v xml:space="preserve"> </v>
      </c>
      <c r="F15" s="67">
        <f t="shared" ca="1" si="7"/>
        <v>42</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44500</v>
      </c>
      <c r="B16" s="87">
        <f t="shared" ca="1" si="9"/>
        <v>44494</v>
      </c>
      <c r="C16" s="67">
        <v>11</v>
      </c>
      <c r="D16" s="67" t="str">
        <f t="shared" ca="1" si="10"/>
        <v/>
      </c>
      <c r="E16" s="67" t="str">
        <f t="shared" ca="1" si="0"/>
        <v xml:space="preserve"> </v>
      </c>
      <c r="F16" s="67">
        <f t="shared" ca="1" si="7"/>
        <v>43</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44507</v>
      </c>
      <c r="B17" s="87">
        <f t="shared" ca="1" si="9"/>
        <v>44501</v>
      </c>
      <c r="C17" s="67">
        <v>12</v>
      </c>
      <c r="D17" s="67" t="str">
        <f t="shared" ca="1" si="10"/>
        <v/>
      </c>
      <c r="E17" s="67" t="str">
        <f t="shared" ca="1" si="0"/>
        <v>Nov</v>
      </c>
      <c r="F17" s="67">
        <f t="shared" ca="1" si="7"/>
        <v>44</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44514</v>
      </c>
      <c r="B18" s="87">
        <f t="shared" ca="1" si="9"/>
        <v>44508</v>
      </c>
      <c r="C18" s="67">
        <v>13</v>
      </c>
      <c r="D18" s="67" t="str">
        <f t="shared" ca="1" si="10"/>
        <v/>
      </c>
      <c r="E18" s="67" t="str">
        <f t="shared" ca="1" si="0"/>
        <v xml:space="preserve"> </v>
      </c>
      <c r="F18" s="67">
        <f t="shared" ca="1" si="7"/>
        <v>45</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44521</v>
      </c>
      <c r="B19" s="87">
        <f t="shared" ca="1" si="9"/>
        <v>44515</v>
      </c>
      <c r="C19" s="67">
        <v>14</v>
      </c>
      <c r="D19" s="67" t="str">
        <f t="shared" ca="1" si="10"/>
        <v/>
      </c>
      <c r="E19" s="67" t="str">
        <f t="shared" ca="1" si="0"/>
        <v xml:space="preserve"> </v>
      </c>
      <c r="F19" s="67">
        <f t="shared" ca="1" si="7"/>
        <v>46</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44528</v>
      </c>
      <c r="B20" s="87">
        <f t="shared" ca="1" si="9"/>
        <v>44522</v>
      </c>
      <c r="C20" s="67">
        <v>15</v>
      </c>
      <c r="D20" s="67" t="str">
        <f t="shared" ca="1" si="10"/>
        <v/>
      </c>
      <c r="E20" s="67" t="str">
        <f t="shared" ca="1" si="0"/>
        <v xml:space="preserve"> </v>
      </c>
      <c r="F20" s="67">
        <f t="shared" ca="1" si="7"/>
        <v>47</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44535</v>
      </c>
      <c r="B21" s="87">
        <f t="shared" ca="1" si="9"/>
        <v>44529</v>
      </c>
      <c r="C21" s="67">
        <v>16</v>
      </c>
      <c r="D21" s="67" t="str">
        <f t="shared" ca="1" si="10"/>
        <v/>
      </c>
      <c r="E21" s="67" t="str">
        <f t="shared" ca="1" si="0"/>
        <v xml:space="preserve"> </v>
      </c>
      <c r="F21" s="67">
        <f t="shared" ca="1" si="7"/>
        <v>48</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44542</v>
      </c>
      <c r="B22" s="87">
        <f t="shared" ca="1" si="9"/>
        <v>44536</v>
      </c>
      <c r="C22" s="67">
        <v>17</v>
      </c>
      <c r="D22" s="67" t="str">
        <f t="shared" ca="1" si="10"/>
        <v/>
      </c>
      <c r="E22" s="67" t="str">
        <f t="shared" ca="1" si="0"/>
        <v>Dec</v>
      </c>
      <c r="F22" s="67">
        <f t="shared" ca="1" si="7"/>
        <v>49</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44549</v>
      </c>
      <c r="B23" s="87">
        <f t="shared" ca="1" si="9"/>
        <v>44543</v>
      </c>
      <c r="C23" s="67">
        <v>18</v>
      </c>
      <c r="D23" s="67" t="str">
        <f t="shared" ca="1" si="10"/>
        <v/>
      </c>
      <c r="E23" s="67" t="str">
        <f t="shared" ca="1" si="0"/>
        <v xml:space="preserve"> </v>
      </c>
      <c r="F23" s="67">
        <f t="shared" ca="1" si="7"/>
        <v>50</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44556</v>
      </c>
      <c r="B24" s="87">
        <f t="shared" ca="1" si="9"/>
        <v>44550</v>
      </c>
      <c r="C24" s="67">
        <v>19</v>
      </c>
      <c r="D24" s="67" t="str">
        <f t="shared" ca="1" si="10"/>
        <v/>
      </c>
      <c r="E24" s="67" t="str">
        <f t="shared" ca="1" si="0"/>
        <v xml:space="preserve"> </v>
      </c>
      <c r="F24" s="67">
        <f t="shared" ca="1" si="7"/>
        <v>51</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44563</v>
      </c>
      <c r="B25" s="87">
        <f t="shared" ca="1" si="9"/>
        <v>44557</v>
      </c>
      <c r="C25" s="67">
        <v>20</v>
      </c>
      <c r="D25" s="67" t="str">
        <f t="shared" ca="1" si="10"/>
        <v/>
      </c>
      <c r="E25" s="67" t="str">
        <f t="shared" ca="1" si="0"/>
        <v xml:space="preserve"> </v>
      </c>
      <c r="F25" s="67">
        <f t="shared" ca="1" si="7"/>
        <v>52</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44570</v>
      </c>
      <c r="B26" s="87">
        <f t="shared" ca="1" si="9"/>
        <v>44564</v>
      </c>
      <c r="C26" s="67">
        <v>21</v>
      </c>
      <c r="D26" s="67">
        <f t="shared" ca="1" si="10"/>
        <v>2022</v>
      </c>
      <c r="E26" s="67" t="str">
        <f t="shared" ca="1" si="0"/>
        <v>Jan</v>
      </c>
      <c r="F26" s="67">
        <f t="shared" ca="1" si="7"/>
        <v>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44577</v>
      </c>
      <c r="B27" s="87">
        <f t="shared" ca="1" si="9"/>
        <v>44571</v>
      </c>
      <c r="C27" s="67">
        <v>22</v>
      </c>
      <c r="D27" s="67" t="str">
        <f t="shared" ca="1" si="10"/>
        <v/>
      </c>
      <c r="E27" s="67" t="str">
        <f t="shared" ca="1" si="0"/>
        <v xml:space="preserve"> </v>
      </c>
      <c r="F27" s="67">
        <f t="shared" ca="1" si="7"/>
        <v>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44584</v>
      </c>
      <c r="B28" s="87">
        <f t="shared" ca="1" si="9"/>
        <v>44578</v>
      </c>
      <c r="C28" s="67">
        <v>23</v>
      </c>
      <c r="D28" s="67" t="str">
        <f t="shared" ca="1" si="10"/>
        <v/>
      </c>
      <c r="E28" s="67" t="str">
        <f t="shared" ca="1" si="0"/>
        <v xml:space="preserve"> </v>
      </c>
      <c r="F28" s="67">
        <f t="shared" ca="1" si="7"/>
        <v>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44591</v>
      </c>
      <c r="B29" s="87">
        <f t="shared" ca="1" si="9"/>
        <v>44585</v>
      </c>
      <c r="C29" s="67">
        <v>24</v>
      </c>
      <c r="D29" s="67" t="str">
        <f t="shared" ca="1" si="10"/>
        <v/>
      </c>
      <c r="E29" s="67" t="str">
        <f t="shared" ca="1" si="0"/>
        <v xml:space="preserve"> </v>
      </c>
      <c r="F29" s="67">
        <f t="shared" ca="1" si="7"/>
        <v>4</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44598</v>
      </c>
      <c r="B30" s="87">
        <f t="shared" ca="1" si="9"/>
        <v>44592</v>
      </c>
      <c r="C30" s="67">
        <v>25</v>
      </c>
      <c r="D30" s="67" t="str">
        <f t="shared" ca="1" si="10"/>
        <v/>
      </c>
      <c r="E30" s="67" t="str">
        <f t="shared" ca="1" si="0"/>
        <v xml:space="preserve"> </v>
      </c>
      <c r="F30" s="67">
        <f t="shared" ca="1" si="7"/>
        <v>5</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44605</v>
      </c>
      <c r="B31" s="87">
        <f t="shared" ca="1" si="9"/>
        <v>44599</v>
      </c>
      <c r="C31" s="67">
        <v>26</v>
      </c>
      <c r="D31" s="67" t="str">
        <f t="shared" ca="1" si="10"/>
        <v/>
      </c>
      <c r="E31" s="67" t="str">
        <f t="shared" ca="1" si="0"/>
        <v>Feb</v>
      </c>
      <c r="F31" s="67">
        <f t="shared" ca="1" si="7"/>
        <v>6</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44612</v>
      </c>
      <c r="B32" s="87">
        <f t="shared" ca="1" si="9"/>
        <v>44606</v>
      </c>
      <c r="C32" s="67">
        <v>27</v>
      </c>
      <c r="D32" s="67" t="str">
        <f t="shared" ca="1" si="10"/>
        <v/>
      </c>
      <c r="E32" s="67" t="str">
        <f t="shared" ca="1" si="0"/>
        <v xml:space="preserve"> </v>
      </c>
      <c r="F32" s="67">
        <f t="shared" ca="1" si="7"/>
        <v>7</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44619</v>
      </c>
      <c r="B33" s="87">
        <f t="shared" ca="1" si="9"/>
        <v>44613</v>
      </c>
      <c r="C33" s="67">
        <v>28</v>
      </c>
      <c r="D33" s="67" t="str">
        <f t="shared" ca="1" si="10"/>
        <v/>
      </c>
      <c r="E33" s="67" t="str">
        <f t="shared" ca="1" si="0"/>
        <v xml:space="preserve"> </v>
      </c>
      <c r="F33" s="67">
        <f t="shared" ca="1" si="7"/>
        <v>8</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44626</v>
      </c>
      <c r="B34" s="87">
        <f t="shared" ca="1" si="9"/>
        <v>44620</v>
      </c>
      <c r="C34" s="67">
        <v>29</v>
      </c>
      <c r="D34" s="67" t="str">
        <f t="shared" ca="1" si="10"/>
        <v/>
      </c>
      <c r="E34" s="67" t="str">
        <f t="shared" ca="1" si="0"/>
        <v xml:space="preserve"> </v>
      </c>
      <c r="F34" s="67">
        <f t="shared" ca="1" si="7"/>
        <v>9</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44633</v>
      </c>
      <c r="B35" s="87">
        <f t="shared" ca="1" si="9"/>
        <v>44627</v>
      </c>
      <c r="C35" s="67">
        <v>30</v>
      </c>
      <c r="D35" s="67" t="str">
        <f t="shared" ca="1" si="10"/>
        <v/>
      </c>
      <c r="E35" s="67" t="str">
        <f t="shared" ca="1" si="0"/>
        <v>Mar</v>
      </c>
      <c r="F35" s="67">
        <f t="shared" ca="1" si="7"/>
        <v>10</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44640</v>
      </c>
      <c r="B36" s="87">
        <f t="shared" ca="1" si="9"/>
        <v>44634</v>
      </c>
      <c r="C36" s="67">
        <v>31</v>
      </c>
      <c r="D36" s="67" t="str">
        <f t="shared" ca="1" si="10"/>
        <v/>
      </c>
      <c r="E36" s="67" t="str">
        <f t="shared" ca="1" si="0"/>
        <v xml:space="preserve"> </v>
      </c>
      <c r="F36" s="67">
        <f t="shared" ca="1" si="7"/>
        <v>11</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44647</v>
      </c>
      <c r="B37" s="87">
        <f t="shared" ca="1" si="9"/>
        <v>44641</v>
      </c>
      <c r="C37" s="67">
        <v>32</v>
      </c>
      <c r="D37" s="67" t="str">
        <f t="shared" ca="1" si="10"/>
        <v/>
      </c>
      <c r="E37" s="67" t="str">
        <f t="shared" ca="1" si="0"/>
        <v xml:space="preserve"> </v>
      </c>
      <c r="F37" s="67">
        <f t="shared" ca="1" si="7"/>
        <v>12</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44654</v>
      </c>
      <c r="B38" s="87">
        <f t="shared" ca="1" si="9"/>
        <v>44648</v>
      </c>
      <c r="C38" s="67">
        <v>33</v>
      </c>
      <c r="D38" s="67" t="str">
        <f t="shared" ca="1" si="10"/>
        <v/>
      </c>
      <c r="E38" s="67" t="str">
        <f t="shared" ca="1" si="0"/>
        <v xml:space="preserve"> </v>
      </c>
      <c r="F38" s="67">
        <f t="shared" ca="1" si="7"/>
        <v>13</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44661</v>
      </c>
      <c r="B39" s="87">
        <f t="shared" ca="1" si="9"/>
        <v>44655</v>
      </c>
      <c r="C39" s="67">
        <v>34</v>
      </c>
      <c r="D39" s="67" t="str">
        <f t="shared" ca="1" si="10"/>
        <v/>
      </c>
      <c r="E39" s="67" t="str">
        <f t="shared" ca="1" si="0"/>
        <v>Apr</v>
      </c>
      <c r="F39" s="67">
        <f t="shared" ca="1" si="7"/>
        <v>14</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44668</v>
      </c>
      <c r="B40" s="87">
        <f t="shared" ca="1" si="9"/>
        <v>44662</v>
      </c>
      <c r="C40" s="67">
        <v>35</v>
      </c>
      <c r="D40" s="67" t="str">
        <f t="shared" ca="1" si="10"/>
        <v/>
      </c>
      <c r="E40" s="67" t="str">
        <f t="shared" ca="1" si="0"/>
        <v xml:space="preserve"> </v>
      </c>
      <c r="F40" s="67">
        <f t="shared" ca="1" si="7"/>
        <v>15</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44675</v>
      </c>
      <c r="B41" s="87">
        <f t="shared" ca="1" si="9"/>
        <v>44669</v>
      </c>
      <c r="C41" s="67">
        <v>36</v>
      </c>
      <c r="D41" s="67" t="str">
        <f t="shared" ca="1" si="10"/>
        <v/>
      </c>
      <c r="E41" s="67" t="str">
        <f t="shared" ca="1" si="0"/>
        <v xml:space="preserve"> </v>
      </c>
      <c r="F41" s="67">
        <f t="shared" ca="1" si="7"/>
        <v>16</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44682</v>
      </c>
      <c r="B42" s="87">
        <f t="shared" ca="1" si="9"/>
        <v>44676</v>
      </c>
      <c r="C42" s="67">
        <v>37</v>
      </c>
      <c r="D42" s="67" t="str">
        <f t="shared" ca="1" si="10"/>
        <v/>
      </c>
      <c r="E42" s="67" t="str">
        <f t="shared" ca="1" si="0"/>
        <v xml:space="preserve"> </v>
      </c>
      <c r="F42" s="67">
        <f t="shared" ca="1" si="7"/>
        <v>17</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44689</v>
      </c>
      <c r="B43" s="87">
        <f t="shared" ca="1" si="9"/>
        <v>44683</v>
      </c>
      <c r="C43" s="67">
        <v>38</v>
      </c>
      <c r="D43" s="67" t="str">
        <f t="shared" ca="1" si="10"/>
        <v/>
      </c>
      <c r="E43" s="67" t="str">
        <f t="shared" ca="1" si="0"/>
        <v>May</v>
      </c>
      <c r="F43" s="67">
        <f t="shared" ca="1" si="7"/>
        <v>18</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44696</v>
      </c>
      <c r="B44" s="87">
        <f t="shared" ca="1" si="9"/>
        <v>44690</v>
      </c>
      <c r="C44" s="67">
        <v>39</v>
      </c>
      <c r="D44" s="67" t="str">
        <f t="shared" ca="1" si="10"/>
        <v/>
      </c>
      <c r="E44" s="67" t="str">
        <f t="shared" ca="1" si="0"/>
        <v xml:space="preserve"> </v>
      </c>
      <c r="F44" s="67">
        <f t="shared" ca="1" si="7"/>
        <v>19</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44703</v>
      </c>
      <c r="B45" s="87">
        <f t="shared" ca="1" si="9"/>
        <v>44697</v>
      </c>
      <c r="C45" s="67">
        <v>40</v>
      </c>
      <c r="D45" s="67" t="str">
        <f t="shared" ca="1" si="10"/>
        <v/>
      </c>
      <c r="E45" s="67" t="str">
        <f t="shared" ca="1" si="0"/>
        <v xml:space="preserve"> </v>
      </c>
      <c r="F45" s="67">
        <f t="shared" ca="1" si="7"/>
        <v>20</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44710</v>
      </c>
      <c r="B46" s="87">
        <f t="shared" ca="1" si="9"/>
        <v>44704</v>
      </c>
      <c r="C46" s="67">
        <v>41</v>
      </c>
      <c r="D46" s="67" t="str">
        <f t="shared" ca="1" si="10"/>
        <v/>
      </c>
      <c r="E46" s="67" t="str">
        <f t="shared" ca="1" si="0"/>
        <v xml:space="preserve"> </v>
      </c>
      <c r="F46" s="67">
        <f t="shared" ca="1" si="7"/>
        <v>21</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44717</v>
      </c>
      <c r="B47" s="87">
        <f t="shared" ca="1" si="9"/>
        <v>44711</v>
      </c>
      <c r="C47" s="67">
        <v>42</v>
      </c>
      <c r="D47" s="67" t="str">
        <f t="shared" ca="1" si="10"/>
        <v/>
      </c>
      <c r="E47" s="67" t="str">
        <f t="shared" ca="1" si="0"/>
        <v xml:space="preserve"> </v>
      </c>
      <c r="F47" s="67">
        <f t="shared" ca="1" si="7"/>
        <v>22</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44724</v>
      </c>
      <c r="B48" s="87">
        <f t="shared" ca="1" si="9"/>
        <v>44718</v>
      </c>
      <c r="C48" s="67">
        <v>43</v>
      </c>
      <c r="D48" s="67" t="str">
        <f t="shared" ca="1" si="10"/>
        <v/>
      </c>
      <c r="E48" s="67" t="str">
        <f t="shared" ca="1" si="0"/>
        <v>Jun</v>
      </c>
      <c r="F48" s="67">
        <f t="shared" ca="1" si="7"/>
        <v>23</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44731</v>
      </c>
      <c r="B49" s="87">
        <f t="shared" ca="1" si="9"/>
        <v>44725</v>
      </c>
      <c r="C49" s="67">
        <v>44</v>
      </c>
      <c r="D49" s="67" t="str">
        <f t="shared" ca="1" si="10"/>
        <v/>
      </c>
      <c r="E49" s="67" t="str">
        <f t="shared" ca="1" si="0"/>
        <v xml:space="preserve"> </v>
      </c>
      <c r="F49" s="67">
        <f t="shared" ca="1" si="7"/>
        <v>24</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44738</v>
      </c>
      <c r="B50" s="87">
        <f t="shared" ca="1" si="9"/>
        <v>44732</v>
      </c>
      <c r="C50" s="67">
        <v>45</v>
      </c>
      <c r="D50" s="67" t="str">
        <f t="shared" ca="1" si="10"/>
        <v/>
      </c>
      <c r="E50" s="67" t="str">
        <f t="shared" ca="1" si="0"/>
        <v xml:space="preserve"> </v>
      </c>
      <c r="F50" s="67">
        <f t="shared" ca="1" si="7"/>
        <v>25</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44745</v>
      </c>
      <c r="B51" s="87">
        <f t="shared" ca="1" si="9"/>
        <v>44739</v>
      </c>
      <c r="C51" s="67">
        <v>46</v>
      </c>
      <c r="D51" s="67" t="str">
        <f t="shared" ca="1" si="10"/>
        <v/>
      </c>
      <c r="E51" s="67" t="str">
        <f t="shared" ca="1" si="0"/>
        <v xml:space="preserve"> </v>
      </c>
      <c r="F51" s="67">
        <f t="shared" ca="1" si="7"/>
        <v>26</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44752</v>
      </c>
      <c r="B52" s="87">
        <f t="shared" ca="1" si="9"/>
        <v>44746</v>
      </c>
      <c r="C52" s="67">
        <v>47</v>
      </c>
      <c r="D52" s="67" t="str">
        <f t="shared" ca="1" si="10"/>
        <v/>
      </c>
      <c r="E52" s="67" t="str">
        <f t="shared" ca="1" si="0"/>
        <v>Jul</v>
      </c>
      <c r="F52" s="67">
        <f t="shared" ca="1" si="7"/>
        <v>27</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44759</v>
      </c>
      <c r="B53" s="87">
        <f t="shared" ca="1" si="9"/>
        <v>44753</v>
      </c>
      <c r="C53" s="67">
        <v>48</v>
      </c>
      <c r="D53" s="67" t="str">
        <f t="shared" ca="1" si="10"/>
        <v/>
      </c>
      <c r="E53" s="67" t="str">
        <f t="shared" ca="1" si="0"/>
        <v xml:space="preserve"> </v>
      </c>
      <c r="F53" s="67">
        <f t="shared" ca="1" si="7"/>
        <v>28</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44766</v>
      </c>
      <c r="B54" s="87">
        <f t="shared" ca="1" si="9"/>
        <v>44760</v>
      </c>
      <c r="C54" s="67">
        <v>49</v>
      </c>
      <c r="D54" s="67" t="str">
        <f t="shared" ca="1" si="10"/>
        <v/>
      </c>
      <c r="E54" s="67" t="str">
        <f t="shared" ca="1" si="0"/>
        <v xml:space="preserve"> </v>
      </c>
      <c r="F54" s="67">
        <f t="shared" ca="1" si="7"/>
        <v>29</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44773</v>
      </c>
      <c r="B55" s="87">
        <f t="shared" ca="1" si="9"/>
        <v>44767</v>
      </c>
      <c r="C55" s="67">
        <v>50</v>
      </c>
      <c r="D55" s="67" t="str">
        <f t="shared" ca="1" si="10"/>
        <v/>
      </c>
      <c r="E55" s="67" t="str">
        <f ca="1">IF(TEXT(B55,"MMM")=TEXT(B54,"MMM")," ",TEXT(B55,"MMM"))</f>
        <v xml:space="preserve"> </v>
      </c>
      <c r="F55" s="67">
        <f t="shared" ca="1" si="7"/>
        <v>30</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44780</v>
      </c>
      <c r="B56" s="87">
        <f t="shared" ca="1" si="9"/>
        <v>44774</v>
      </c>
      <c r="C56" s="67">
        <v>51</v>
      </c>
      <c r="D56" s="67" t="str">
        <f t="shared" ca="1" si="10"/>
        <v/>
      </c>
      <c r="E56" s="67" t="str">
        <f t="shared" ref="E56:E58" ca="1" si="25">IF(TEXT(B56,"MMM")=TEXT(B55,"MMM")," ",TEXT(B56,"MMM"))</f>
        <v>Aug</v>
      </c>
      <c r="F56" s="67">
        <f t="shared" ca="1" si="7"/>
        <v>31</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44787</v>
      </c>
      <c r="B57" s="87">
        <f t="shared" ca="1" si="9"/>
        <v>44781</v>
      </c>
      <c r="C57" s="67">
        <v>52</v>
      </c>
      <c r="D57" s="67" t="str">
        <f t="shared" ca="1" si="10"/>
        <v/>
      </c>
      <c r="E57" s="67" t="str">
        <f t="shared" ca="1" si="25"/>
        <v xml:space="preserve"> </v>
      </c>
      <c r="F57" s="67">
        <f t="shared" ca="1" si="7"/>
        <v>32</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44794</v>
      </c>
      <c r="B58" s="317">
        <f t="shared" ca="1" si="9"/>
        <v>44788</v>
      </c>
      <c r="C58" s="67">
        <v>53</v>
      </c>
      <c r="E58" s="67" t="str">
        <f t="shared" ca="1" si="25"/>
        <v xml:space="preserve"> </v>
      </c>
      <c r="F58" s="67">
        <f t="shared" ca="1" si="7"/>
        <v>33</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A72" workbookViewId="0">
      <selection activeCell="A110" sqref="A110"/>
    </sheetView>
  </sheetViews>
  <sheetFormatPr defaultRowHeight="14.25" x14ac:dyDescent="0.2"/>
  <cols>
    <col min="1" max="1" width="9" style="67"/>
    <col min="2" max="2" width="12.125" customWidth="1"/>
    <col min="3" max="3" width="22.25" style="67" bestFit="1" customWidth="1"/>
    <col min="4" max="4" width="11.125" customWidth="1"/>
    <col min="60" max="61" width="9.625" customWidth="1"/>
    <col min="62" max="62" width="9.625" style="67" customWidth="1"/>
    <col min="63" max="114" width="9.75" bestFit="1" customWidth="1"/>
    <col min="115" max="115" width="9.75" style="67" bestFit="1" customWidth="1"/>
  </cols>
  <sheetData>
    <row r="1" spans="1:121" ht="15" x14ac:dyDescent="0.25">
      <c r="A1" s="67" t="s">
        <v>1243</v>
      </c>
      <c r="C1" s="2" t="s">
        <v>459</v>
      </c>
      <c r="D1" t="s">
        <v>467</v>
      </c>
      <c r="E1">
        <v>1</v>
      </c>
      <c r="H1" t="s">
        <v>433</v>
      </c>
      <c r="I1" t="str">
        <f>"Capacity summary ("&amp;LOWER('Capacity summary'!$C$16)&amp;")"&amp;IF(Capacity!C12&lt;&gt;"[Not Saved]"," - " &amp;Capacity!C12,"")</f>
        <v>Capacity summary (minutes)</v>
      </c>
      <c r="BJ1" s="67" t="s">
        <v>458</v>
      </c>
      <c r="BK1" s="317">
        <f ca="1">INDEX('Critical resources (hide)'!$B$6:$F$58,MATCH('Capacity calculation (hide)'!BK$3,'Critical resources (hide)'!$F$6:$F$58,0),1)</f>
        <v>44424</v>
      </c>
      <c r="BL1" s="317">
        <f ca="1">INDEX('Critical resources (hide)'!$B$6:$F$58,MATCH('Capacity calculation (hide)'!BL$3,'Critical resources (hide)'!$F$6:$F$58,0),1)</f>
        <v>44431</v>
      </c>
      <c r="BM1" s="317">
        <f ca="1">INDEX('Critical resources (hide)'!$B$6:$F$58,MATCH('Capacity calculation (hide)'!BM$3,'Critical resources (hide)'!$F$6:$F$58,0),1)</f>
        <v>44438</v>
      </c>
      <c r="BN1" s="317">
        <f ca="1">INDEX('Critical resources (hide)'!$B$6:$F$58,MATCH('Capacity calculation (hide)'!BN$3,'Critical resources (hide)'!$F$6:$F$58,0),1)</f>
        <v>44445</v>
      </c>
      <c r="BO1" s="317">
        <f ca="1">INDEX('Critical resources (hide)'!$B$6:$F$58,MATCH('Capacity calculation (hide)'!BO$3,'Critical resources (hide)'!$F$6:$F$58,0),1)</f>
        <v>44452</v>
      </c>
      <c r="BP1" s="317">
        <f ca="1">INDEX('Critical resources (hide)'!$B$6:$F$58,MATCH('Capacity calculation (hide)'!BP$3,'Critical resources (hide)'!$F$6:$F$58,0),1)</f>
        <v>44459</v>
      </c>
      <c r="BQ1" s="317">
        <f ca="1">INDEX('Critical resources (hide)'!$B$6:$F$58,MATCH('Capacity calculation (hide)'!BQ$3,'Critical resources (hide)'!$F$6:$F$58,0),1)</f>
        <v>44466</v>
      </c>
      <c r="BR1" s="317">
        <f ca="1">INDEX('Critical resources (hide)'!$B$6:$F$58,MATCH('Capacity calculation (hide)'!BR$3,'Critical resources (hide)'!$F$6:$F$58,0),1)</f>
        <v>44473</v>
      </c>
      <c r="BS1" s="317">
        <f ca="1">INDEX('Critical resources (hide)'!$B$6:$F$58,MATCH('Capacity calculation (hide)'!BS$3,'Critical resources (hide)'!$F$6:$F$58,0),1)</f>
        <v>44480</v>
      </c>
      <c r="BT1" s="317">
        <f ca="1">INDEX('Critical resources (hide)'!$B$6:$F$58,MATCH('Capacity calculation (hide)'!BT$3,'Critical resources (hide)'!$F$6:$F$58,0),1)</f>
        <v>44487</v>
      </c>
      <c r="BU1" s="317">
        <f ca="1">INDEX('Critical resources (hide)'!$B$6:$F$58,MATCH('Capacity calculation (hide)'!BU$3,'Critical resources (hide)'!$F$6:$F$58,0),1)</f>
        <v>44494</v>
      </c>
      <c r="BV1" s="317">
        <f ca="1">INDEX('Critical resources (hide)'!$B$6:$F$58,MATCH('Capacity calculation (hide)'!BV$3,'Critical resources (hide)'!$F$6:$F$58,0),1)</f>
        <v>44501</v>
      </c>
      <c r="BW1" s="317">
        <f ca="1">INDEX('Critical resources (hide)'!$B$6:$F$58,MATCH('Capacity calculation (hide)'!BW$3,'Critical resources (hide)'!$F$6:$F$58,0),1)</f>
        <v>44508</v>
      </c>
      <c r="BX1" s="317">
        <f ca="1">INDEX('Critical resources (hide)'!$B$6:$F$58,MATCH('Capacity calculation (hide)'!BX$3,'Critical resources (hide)'!$F$6:$F$58,0),1)</f>
        <v>44515</v>
      </c>
      <c r="BY1" s="317">
        <f ca="1">INDEX('Critical resources (hide)'!$B$6:$F$58,MATCH('Capacity calculation (hide)'!BY$3,'Critical resources (hide)'!$F$6:$F$58,0),1)</f>
        <v>44522</v>
      </c>
      <c r="BZ1" s="317">
        <f ca="1">INDEX('Critical resources (hide)'!$B$6:$F$58,MATCH('Capacity calculation (hide)'!BZ$3,'Critical resources (hide)'!$F$6:$F$58,0),1)</f>
        <v>44529</v>
      </c>
      <c r="CA1" s="317">
        <f ca="1">INDEX('Critical resources (hide)'!$B$6:$F$58,MATCH('Capacity calculation (hide)'!CA$3,'Critical resources (hide)'!$F$6:$F$58,0),1)</f>
        <v>44536</v>
      </c>
      <c r="CB1" s="317">
        <f ca="1">INDEX('Critical resources (hide)'!$B$6:$F$58,MATCH('Capacity calculation (hide)'!CB$3,'Critical resources (hide)'!$F$6:$F$58,0),1)</f>
        <v>44543</v>
      </c>
      <c r="CC1" s="317">
        <f ca="1">INDEX('Critical resources (hide)'!$B$6:$F$58,MATCH('Capacity calculation (hide)'!CC$3,'Critical resources (hide)'!$F$6:$F$58,0),1)</f>
        <v>44550</v>
      </c>
      <c r="CD1" s="317">
        <f ca="1">INDEX('Critical resources (hide)'!$B$6:$F$58,MATCH('Capacity calculation (hide)'!CD$3,'Critical resources (hide)'!$F$6:$F$58,0),1)</f>
        <v>44557</v>
      </c>
      <c r="CE1" s="317">
        <f ca="1">INDEX('Critical resources (hide)'!$B$6:$F$58,MATCH('Capacity calculation (hide)'!CE$3,'Critical resources (hide)'!$F$6:$F$58,0),1)</f>
        <v>44564</v>
      </c>
      <c r="CF1" s="317">
        <f ca="1">INDEX('Critical resources (hide)'!$B$6:$F$58,MATCH('Capacity calculation (hide)'!CF$3,'Critical resources (hide)'!$F$6:$F$58,0),1)</f>
        <v>44571</v>
      </c>
      <c r="CG1" s="317">
        <f ca="1">INDEX('Critical resources (hide)'!$B$6:$F$58,MATCH('Capacity calculation (hide)'!CG$3,'Critical resources (hide)'!$F$6:$F$58,0),1)</f>
        <v>44578</v>
      </c>
      <c r="CH1" s="317">
        <f ca="1">INDEX('Critical resources (hide)'!$B$6:$F$58,MATCH('Capacity calculation (hide)'!CH$3,'Critical resources (hide)'!$F$6:$F$58,0),1)</f>
        <v>44585</v>
      </c>
      <c r="CI1" s="317">
        <f ca="1">INDEX('Critical resources (hide)'!$B$6:$F$58,MATCH('Capacity calculation (hide)'!CI$3,'Critical resources (hide)'!$F$6:$F$58,0),1)</f>
        <v>44592</v>
      </c>
      <c r="CJ1" s="317">
        <f ca="1">INDEX('Critical resources (hide)'!$B$6:$F$58,MATCH('Capacity calculation (hide)'!CJ$3,'Critical resources (hide)'!$F$6:$F$58,0),1)</f>
        <v>44599</v>
      </c>
      <c r="CK1" s="317">
        <f ca="1">INDEX('Critical resources (hide)'!$B$6:$F$58,MATCH('Capacity calculation (hide)'!CK$3,'Critical resources (hide)'!$F$6:$F$58,0),1)</f>
        <v>44606</v>
      </c>
      <c r="CL1" s="317">
        <f ca="1">INDEX('Critical resources (hide)'!$B$6:$F$58,MATCH('Capacity calculation (hide)'!CL$3,'Critical resources (hide)'!$F$6:$F$58,0),1)</f>
        <v>44613</v>
      </c>
      <c r="CM1" s="317">
        <f ca="1">INDEX('Critical resources (hide)'!$B$6:$F$58,MATCH('Capacity calculation (hide)'!CM$3,'Critical resources (hide)'!$F$6:$F$58,0),1)</f>
        <v>44620</v>
      </c>
      <c r="CN1" s="317">
        <f ca="1">INDEX('Critical resources (hide)'!$B$6:$F$58,MATCH('Capacity calculation (hide)'!CN$3,'Critical resources (hide)'!$F$6:$F$58,0),1)</f>
        <v>44627</v>
      </c>
      <c r="CO1" s="317">
        <f ca="1">INDEX('Critical resources (hide)'!$B$6:$F$58,MATCH('Capacity calculation (hide)'!CO$3,'Critical resources (hide)'!$F$6:$F$58,0),1)</f>
        <v>44634</v>
      </c>
      <c r="CP1" s="317">
        <f ca="1">INDEX('Critical resources (hide)'!$B$6:$F$58,MATCH('Capacity calculation (hide)'!CP$3,'Critical resources (hide)'!$F$6:$F$58,0),1)</f>
        <v>44641</v>
      </c>
      <c r="CQ1" s="317">
        <f ca="1">INDEX('Critical resources (hide)'!$B$6:$F$58,MATCH('Capacity calculation (hide)'!CQ$3,'Critical resources (hide)'!$F$6:$F$58,0),1)</f>
        <v>44648</v>
      </c>
      <c r="CR1" s="317">
        <f ca="1">INDEX('Critical resources (hide)'!$B$6:$F$58,MATCH('Capacity calculation (hide)'!CR$3,'Critical resources (hide)'!$F$6:$F$58,0),1)</f>
        <v>44655</v>
      </c>
      <c r="CS1" s="317">
        <f ca="1">INDEX('Critical resources (hide)'!$B$6:$F$58,MATCH('Capacity calculation (hide)'!CS$3,'Critical resources (hide)'!$F$6:$F$58,0),1)</f>
        <v>44662</v>
      </c>
      <c r="CT1" s="317">
        <f ca="1">INDEX('Critical resources (hide)'!$B$6:$F$58,MATCH('Capacity calculation (hide)'!CT$3,'Critical resources (hide)'!$F$6:$F$58,0),1)</f>
        <v>44669</v>
      </c>
      <c r="CU1" s="317">
        <f ca="1">INDEX('Critical resources (hide)'!$B$6:$F$58,MATCH('Capacity calculation (hide)'!CU$3,'Critical resources (hide)'!$F$6:$F$58,0),1)</f>
        <v>44676</v>
      </c>
      <c r="CV1" s="317">
        <f ca="1">INDEX('Critical resources (hide)'!$B$6:$F$58,MATCH('Capacity calculation (hide)'!CV$3,'Critical resources (hide)'!$F$6:$F$58,0),1)</f>
        <v>44683</v>
      </c>
      <c r="CW1" s="317">
        <f ca="1">INDEX('Critical resources (hide)'!$B$6:$F$58,MATCH('Capacity calculation (hide)'!CW$3,'Critical resources (hide)'!$F$6:$F$58,0),1)</f>
        <v>44690</v>
      </c>
      <c r="CX1" s="317">
        <f ca="1">INDEX('Critical resources (hide)'!$B$6:$F$58,MATCH('Capacity calculation (hide)'!CX$3,'Critical resources (hide)'!$F$6:$F$58,0),1)</f>
        <v>44697</v>
      </c>
      <c r="CY1" s="317">
        <f ca="1">INDEX('Critical resources (hide)'!$B$6:$F$58,MATCH('Capacity calculation (hide)'!CY$3,'Critical resources (hide)'!$F$6:$F$58,0),1)</f>
        <v>44704</v>
      </c>
      <c r="CZ1" s="317">
        <f ca="1">INDEX('Critical resources (hide)'!$B$6:$F$58,MATCH('Capacity calculation (hide)'!CZ$3,'Critical resources (hide)'!$F$6:$F$58,0),1)</f>
        <v>44711</v>
      </c>
      <c r="DA1" s="317">
        <f ca="1">INDEX('Critical resources (hide)'!$B$6:$F$58,MATCH('Capacity calculation (hide)'!DA$3,'Critical resources (hide)'!$F$6:$F$58,0),1)</f>
        <v>44718</v>
      </c>
      <c r="DB1" s="317">
        <f ca="1">INDEX('Critical resources (hide)'!$B$6:$F$58,MATCH('Capacity calculation (hide)'!DB$3,'Critical resources (hide)'!$F$6:$F$58,0),1)</f>
        <v>44725</v>
      </c>
      <c r="DC1" s="317">
        <f ca="1">INDEX('Critical resources (hide)'!$B$6:$F$58,MATCH('Capacity calculation (hide)'!DC$3,'Critical resources (hide)'!$F$6:$F$58,0),1)</f>
        <v>44732</v>
      </c>
      <c r="DD1" s="317">
        <f ca="1">INDEX('Critical resources (hide)'!$B$6:$F$58,MATCH('Capacity calculation (hide)'!DD$3,'Critical resources (hide)'!$F$6:$F$58,0),1)</f>
        <v>44739</v>
      </c>
      <c r="DE1" s="317">
        <f ca="1">INDEX('Critical resources (hide)'!$B$6:$F$58,MATCH('Capacity calculation (hide)'!DE$3,'Critical resources (hide)'!$F$6:$F$58,0),1)</f>
        <v>44746</v>
      </c>
      <c r="DF1" s="317">
        <f ca="1">INDEX('Critical resources (hide)'!$B$6:$F$58,MATCH('Capacity calculation (hide)'!DF$3,'Critical resources (hide)'!$F$6:$F$58,0),1)</f>
        <v>44753</v>
      </c>
      <c r="DG1" s="317">
        <f ca="1">INDEX('Critical resources (hide)'!$B$6:$F$58,MATCH('Capacity calculation (hide)'!DG$3,'Critical resources (hide)'!$F$6:$F$58,0),1)</f>
        <v>44760</v>
      </c>
      <c r="DH1" s="317">
        <f ca="1">INDEX('Critical resources (hide)'!$B$6:$F$58,MATCH('Capacity calculation (hide)'!DH$3,'Critical resources (hide)'!$F$6:$F$58,0),1)</f>
        <v>44767</v>
      </c>
      <c r="DI1" s="317">
        <f ca="1">INDEX('Critical resources (hide)'!$B$6:$F$58,MATCH('Capacity calculation (hide)'!DI$3,'Critical resources (hide)'!$F$6:$F$58,0),1)</f>
        <v>44774</v>
      </c>
      <c r="DJ1" s="317">
        <f ca="1">INDEX('Critical resources (hide)'!$B$6:$F$58,MATCH('Capacity calculation (hide)'!DJ$3,'Critical resources (hide)'!$F$6:$F$58,0),1)</f>
        <v>44781</v>
      </c>
      <c r="DK1" s="317" t="e">
        <f ca="1">INDEX('Critical resources (hide)'!$B$6:$F$58,MATCH('Capacity calculation (hide)'!DK$3,'Critical resources (hide)'!$F$6:$F$58,0),1)</f>
        <v>#N/A</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89">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33</v>
      </c>
      <c r="BL3" s="59">
        <f ca="1">OFFSET('Critical resources (hide)'!$F$6,COLUMN(B1)-1,0,1,1)</f>
        <v>34</v>
      </c>
      <c r="BM3" s="59">
        <f ca="1">OFFSET('Critical resources (hide)'!$F$6,COLUMN(C1)-1,0,1,1)</f>
        <v>35</v>
      </c>
      <c r="BN3" s="59">
        <f ca="1">OFFSET('Critical resources (hide)'!$F$6,COLUMN(D1)-1,0,1,1)</f>
        <v>36</v>
      </c>
      <c r="BO3" s="59">
        <f ca="1">OFFSET('Critical resources (hide)'!$F$6,COLUMN(E1)-1,0,1,1)</f>
        <v>37</v>
      </c>
      <c r="BP3" s="59">
        <f ca="1">OFFSET('Critical resources (hide)'!$F$6,COLUMN(F1)-1,0,1,1)</f>
        <v>38</v>
      </c>
      <c r="BQ3" s="59">
        <f ca="1">OFFSET('Critical resources (hide)'!$F$6,COLUMN(G1)-1,0,1,1)</f>
        <v>39</v>
      </c>
      <c r="BR3" s="59">
        <f ca="1">OFFSET('Critical resources (hide)'!$F$6,COLUMN(H1)-1,0,1,1)</f>
        <v>40</v>
      </c>
      <c r="BS3" s="59">
        <f ca="1">OFFSET('Critical resources (hide)'!$F$6,COLUMN(I1)-1,0,1,1)</f>
        <v>41</v>
      </c>
      <c r="BT3" s="59">
        <f ca="1">OFFSET('Critical resources (hide)'!$F$6,COLUMN(J1)-1,0,1,1)</f>
        <v>42</v>
      </c>
      <c r="BU3" s="59">
        <f ca="1">OFFSET('Critical resources (hide)'!$F$6,COLUMN(K1)-1,0,1,1)</f>
        <v>43</v>
      </c>
      <c r="BV3" s="59">
        <f ca="1">OFFSET('Critical resources (hide)'!$F$6,COLUMN(L1)-1,0,1,1)</f>
        <v>44</v>
      </c>
      <c r="BW3" s="59">
        <f ca="1">OFFSET('Critical resources (hide)'!$F$6,COLUMN(M1)-1,0,1,1)</f>
        <v>45</v>
      </c>
      <c r="BX3" s="59">
        <f ca="1">OFFSET('Critical resources (hide)'!$F$6,COLUMN(N1)-1,0,1,1)</f>
        <v>46</v>
      </c>
      <c r="BY3" s="59">
        <f ca="1">OFFSET('Critical resources (hide)'!$F$6,COLUMN(O1)-1,0,1,1)</f>
        <v>47</v>
      </c>
      <c r="BZ3" s="59">
        <f ca="1">OFFSET('Critical resources (hide)'!$F$6,COLUMN(P1)-1,0,1,1)</f>
        <v>48</v>
      </c>
      <c r="CA3" s="59">
        <f ca="1">OFFSET('Critical resources (hide)'!$F$6,COLUMN(Q1)-1,0,1,1)</f>
        <v>49</v>
      </c>
      <c r="CB3" s="59">
        <f ca="1">OFFSET('Critical resources (hide)'!$F$6,COLUMN(R1)-1,0,1,1)</f>
        <v>50</v>
      </c>
      <c r="CC3" s="59">
        <f ca="1">OFFSET('Critical resources (hide)'!$F$6,COLUMN(S1)-1,0,1,1)</f>
        <v>51</v>
      </c>
      <c r="CD3" s="59">
        <f ca="1">OFFSET('Critical resources (hide)'!$F$6,COLUMN(T1)-1,0,1,1)</f>
        <v>52</v>
      </c>
      <c r="CE3" s="59">
        <f ca="1">OFFSET('Critical resources (hide)'!$F$6,COLUMN(U1)-1,0,1,1)</f>
        <v>1</v>
      </c>
      <c r="CF3" s="59">
        <f ca="1">OFFSET('Critical resources (hide)'!$F$6,COLUMN(V1)-1,0,1,1)</f>
        <v>2</v>
      </c>
      <c r="CG3" s="59">
        <f ca="1">OFFSET('Critical resources (hide)'!$F$6,COLUMN(W1)-1,0,1,1)</f>
        <v>3</v>
      </c>
      <c r="CH3" s="59">
        <f ca="1">OFFSET('Critical resources (hide)'!$F$6,COLUMN(X1)-1,0,1,1)</f>
        <v>4</v>
      </c>
      <c r="CI3" s="59">
        <f ca="1">OFFSET('Critical resources (hide)'!$F$6,COLUMN(Y1)-1,0,1,1)</f>
        <v>5</v>
      </c>
      <c r="CJ3" s="59">
        <f ca="1">OFFSET('Critical resources (hide)'!$F$6,COLUMN(Z1)-1,0,1,1)</f>
        <v>6</v>
      </c>
      <c r="CK3" s="59">
        <f ca="1">OFFSET('Critical resources (hide)'!$F$6,COLUMN(AA1)-1,0,1,1)</f>
        <v>7</v>
      </c>
      <c r="CL3" s="59">
        <f ca="1">OFFSET('Critical resources (hide)'!$F$6,COLUMN(AB1)-1,0,1,1)</f>
        <v>8</v>
      </c>
      <c r="CM3" s="59">
        <f ca="1">OFFSET('Critical resources (hide)'!$F$6,COLUMN(AC1)-1,0,1,1)</f>
        <v>9</v>
      </c>
      <c r="CN3" s="59">
        <f ca="1">OFFSET('Critical resources (hide)'!$F$6,COLUMN(AD1)-1,0,1,1)</f>
        <v>10</v>
      </c>
      <c r="CO3" s="59">
        <f ca="1">OFFSET('Critical resources (hide)'!$F$6,COLUMN(AE1)-1,0,1,1)</f>
        <v>11</v>
      </c>
      <c r="CP3" s="59">
        <f ca="1">OFFSET('Critical resources (hide)'!$F$6,COLUMN(AF1)-1,0,1,1)</f>
        <v>12</v>
      </c>
      <c r="CQ3" s="59">
        <f ca="1">OFFSET('Critical resources (hide)'!$F$6,COLUMN(AG1)-1,0,1,1)</f>
        <v>13</v>
      </c>
      <c r="CR3" s="59">
        <f ca="1">OFFSET('Critical resources (hide)'!$F$6,COLUMN(AH1)-1,0,1,1)</f>
        <v>14</v>
      </c>
      <c r="CS3" s="59">
        <f ca="1">OFFSET('Critical resources (hide)'!$F$6,COLUMN(AI1)-1,0,1,1)</f>
        <v>15</v>
      </c>
      <c r="CT3" s="59">
        <f ca="1">OFFSET('Critical resources (hide)'!$F$6,COLUMN(AJ1)-1,0,1,1)</f>
        <v>16</v>
      </c>
      <c r="CU3" s="59">
        <f ca="1">OFFSET('Critical resources (hide)'!$F$6,COLUMN(AK1)-1,0,1,1)</f>
        <v>17</v>
      </c>
      <c r="CV3" s="59">
        <f ca="1">OFFSET('Critical resources (hide)'!$F$6,COLUMN(AL1)-1,0,1,1)</f>
        <v>18</v>
      </c>
      <c r="CW3" s="59">
        <f ca="1">OFFSET('Critical resources (hide)'!$F$6,COLUMN(AM1)-1,0,1,1)</f>
        <v>19</v>
      </c>
      <c r="CX3" s="59">
        <f ca="1">OFFSET('Critical resources (hide)'!$F$6,COLUMN(AN1)-1,0,1,1)</f>
        <v>20</v>
      </c>
      <c r="CY3" s="59">
        <f ca="1">OFFSET('Critical resources (hide)'!$F$6,COLUMN(AO1)-1,0,1,1)</f>
        <v>21</v>
      </c>
      <c r="CZ3" s="59">
        <f ca="1">OFFSET('Critical resources (hide)'!$F$6,COLUMN(AP1)-1,0,1,1)</f>
        <v>22</v>
      </c>
      <c r="DA3" s="59">
        <f ca="1">OFFSET('Critical resources (hide)'!$F$6,COLUMN(AQ1)-1,0,1,1)</f>
        <v>23</v>
      </c>
      <c r="DB3" s="59">
        <f ca="1">OFFSET('Critical resources (hide)'!$F$6,COLUMN(AR1)-1,0,1,1)</f>
        <v>24</v>
      </c>
      <c r="DC3" s="59">
        <f ca="1">OFFSET('Critical resources (hide)'!$F$6,COLUMN(AS1)-1,0,1,1)</f>
        <v>25</v>
      </c>
      <c r="DD3" s="59">
        <f ca="1">OFFSET('Critical resources (hide)'!$F$6,COLUMN(AT1)-1,0,1,1)</f>
        <v>26</v>
      </c>
      <c r="DE3" s="59">
        <f ca="1">OFFSET('Critical resources (hide)'!$F$6,COLUMN(AU1)-1,0,1,1)</f>
        <v>27</v>
      </c>
      <c r="DF3" s="59">
        <f ca="1">OFFSET('Critical resources (hide)'!$F$6,COLUMN(AV1)-1,0,1,1)</f>
        <v>28</v>
      </c>
      <c r="DG3" s="59">
        <f ca="1">OFFSET('Critical resources (hide)'!$F$6,COLUMN(AW1)-1,0,1,1)</f>
        <v>29</v>
      </c>
      <c r="DH3" s="59">
        <f ca="1">OFFSET('Critical resources (hide)'!$F$6,COLUMN(AX1)-1,0,1,1)</f>
        <v>30</v>
      </c>
      <c r="DI3" s="59">
        <f ca="1">OFFSET('Critical resources (hide)'!$F$6,COLUMN(AY1)-1,0,1,1)</f>
        <v>31</v>
      </c>
      <c r="DJ3" s="59">
        <f ca="1">OFFSET('Critical resources (hide)'!$F$6,COLUMN(AZ1)-1,0,1,1)</f>
        <v>32</v>
      </c>
      <c r="DK3" s="375">
        <f ca="1">IF(ISERROR(MATCH(53,BK3:DJ3,0)),53,IF(DJ3=52,1,DJ3+1))</f>
        <v>53</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ca="1" si="0">SUM(BK5:BK104)</f>
        <v>13.038461538461538</v>
      </c>
      <c r="BL4" s="311">
        <f t="shared" ca="1" si="0"/>
        <v>13.038461538461538</v>
      </c>
      <c r="BM4" s="311">
        <f t="shared" ca="1" si="0"/>
        <v>13.038461538461538</v>
      </c>
      <c r="BN4" s="311">
        <f t="shared" ca="1" si="0"/>
        <v>13.038461538461538</v>
      </c>
      <c r="BO4" s="311">
        <f t="shared" ca="1" si="0"/>
        <v>13.038461538461538</v>
      </c>
      <c r="BP4" s="311">
        <f t="shared" ca="1" si="0"/>
        <v>13.038461538461538</v>
      </c>
      <c r="BQ4" s="311">
        <f t="shared" ca="1" si="0"/>
        <v>13.038461538461538</v>
      </c>
      <c r="BR4" s="311">
        <f t="shared" ca="1" si="0"/>
        <v>13.038461538461538</v>
      </c>
      <c r="BS4" s="311">
        <f t="shared" ca="1" si="0"/>
        <v>13.038461538461538</v>
      </c>
      <c r="BT4" s="311">
        <f t="shared" ca="1" si="0"/>
        <v>13.038461538461538</v>
      </c>
      <c r="BU4" s="311">
        <f t="shared" ca="1" si="0"/>
        <v>13.038461538461538</v>
      </c>
      <c r="BV4" s="311">
        <f t="shared" ca="1" si="0"/>
        <v>13.038461538461538</v>
      </c>
      <c r="BW4" s="311">
        <f t="shared" ca="1" si="0"/>
        <v>13.038461538461538</v>
      </c>
      <c r="BX4" s="311">
        <f t="shared" ca="1" si="0"/>
        <v>13.038461538461538</v>
      </c>
      <c r="BY4" s="311">
        <f t="shared" ca="1" si="0"/>
        <v>13.038461538461538</v>
      </c>
      <c r="BZ4" s="311">
        <f t="shared" ca="1" si="0"/>
        <v>13.038461538461538</v>
      </c>
      <c r="CA4" s="311">
        <f t="shared" ca="1" si="0"/>
        <v>13.038461538461538</v>
      </c>
      <c r="CB4" s="311">
        <f t="shared" ca="1" si="0"/>
        <v>13.038461538461538</v>
      </c>
      <c r="CC4" s="311">
        <f t="shared" ca="1" si="0"/>
        <v>13.038461538461538</v>
      </c>
      <c r="CD4" s="311">
        <f t="shared" ca="1" si="0"/>
        <v>13.038461538461538</v>
      </c>
      <c r="CE4" s="311">
        <f t="shared" ca="1" si="0"/>
        <v>13.038461538461538</v>
      </c>
      <c r="CF4" s="311">
        <f t="shared" ca="1" si="0"/>
        <v>13.038461538461538</v>
      </c>
      <c r="CG4" s="311">
        <f t="shared" ca="1" si="0"/>
        <v>13.038461538461538</v>
      </c>
      <c r="CH4" s="311">
        <f t="shared" ca="1" si="0"/>
        <v>13.038461538461538</v>
      </c>
      <c r="CI4" s="311">
        <f t="shared" ca="1" si="0"/>
        <v>13.038461538461538</v>
      </c>
      <c r="CJ4" s="311">
        <f t="shared" ca="1" si="0"/>
        <v>13.038461538461538</v>
      </c>
      <c r="CK4" s="311">
        <f t="shared" ca="1" si="0"/>
        <v>13.038461538461538</v>
      </c>
      <c r="CL4" s="311">
        <f t="shared" ca="1" si="0"/>
        <v>13.038461538461538</v>
      </c>
      <c r="CM4" s="311">
        <f t="shared" ca="1" si="0"/>
        <v>13.038461538461538</v>
      </c>
      <c r="CN4" s="311">
        <f t="shared" ca="1" si="0"/>
        <v>13.038461538461538</v>
      </c>
      <c r="CO4" s="311">
        <f t="shared" ca="1" si="0"/>
        <v>13.038461538461538</v>
      </c>
      <c r="CP4" s="311">
        <f t="shared" ca="1" si="0"/>
        <v>13.038461538461538</v>
      </c>
      <c r="CQ4" s="311">
        <f t="shared" ref="CQ4:DJ4" ca="1" si="1">SUM(CQ5:CQ104)</f>
        <v>13.038461538461538</v>
      </c>
      <c r="CR4" s="311">
        <f t="shared" ca="1" si="1"/>
        <v>13.038461538461538</v>
      </c>
      <c r="CS4" s="311">
        <f t="shared" ca="1" si="1"/>
        <v>13.038461538461538</v>
      </c>
      <c r="CT4" s="311">
        <f t="shared" ca="1" si="1"/>
        <v>13.038461538461538</v>
      </c>
      <c r="CU4" s="311">
        <f t="shared" ca="1" si="1"/>
        <v>13.038461538461538</v>
      </c>
      <c r="CV4" s="311">
        <f t="shared" ca="1" si="1"/>
        <v>13.038461538461538</v>
      </c>
      <c r="CW4" s="311">
        <f t="shared" ca="1" si="1"/>
        <v>13.038461538461538</v>
      </c>
      <c r="CX4" s="311">
        <f t="shared" ca="1" si="1"/>
        <v>13.038461538461538</v>
      </c>
      <c r="CY4" s="311">
        <f t="shared" ca="1" si="1"/>
        <v>13.038461538461538</v>
      </c>
      <c r="CZ4" s="311">
        <f t="shared" ca="1" si="1"/>
        <v>13.038461538461538</v>
      </c>
      <c r="DA4" s="311">
        <f t="shared" ca="1" si="1"/>
        <v>13.038461538461538</v>
      </c>
      <c r="DB4" s="311">
        <f t="shared" ca="1" si="1"/>
        <v>13.038461538461538</v>
      </c>
      <c r="DC4" s="311">
        <f t="shared" ca="1" si="1"/>
        <v>13.038461538461538</v>
      </c>
      <c r="DD4" s="311">
        <f t="shared" ca="1" si="1"/>
        <v>13.038461538461538</v>
      </c>
      <c r="DE4" s="311">
        <f t="shared" ca="1" si="1"/>
        <v>13.038461538461538</v>
      </c>
      <c r="DF4" s="311">
        <f t="shared" ca="1" si="1"/>
        <v>13.038461538461538</v>
      </c>
      <c r="DG4" s="311">
        <f t="shared" ca="1" si="1"/>
        <v>13.038461538461538</v>
      </c>
      <c r="DH4" s="311">
        <f t="shared" ca="1" si="1"/>
        <v>13.038461538461538</v>
      </c>
      <c r="DI4" s="311">
        <f t="shared" ca="1" si="1"/>
        <v>13.038461538461538</v>
      </c>
      <c r="DJ4" s="311">
        <f t="shared" ca="1" si="1"/>
        <v>13.038461538461538</v>
      </c>
      <c r="DK4" s="390">
        <f ca="1">DJ4</f>
        <v>13.038461538461538</v>
      </c>
      <c r="DL4" s="136">
        <f ca="1">SUM(BK4:DK4)</f>
        <v>691.03846153846189</v>
      </c>
      <c r="DM4" s="5">
        <f>SUM(DM5:DM104)</f>
        <v>678</v>
      </c>
    </row>
    <row r="5" spans="1:121" x14ac:dyDescent="0.2">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 ca="1">IF(ROW(C1)&lt;=Capacity!$A$16,IF('Capacity summary'!$D$14="No",SUM(H5:BG5),'Capacity summary'!$E124),0)</f>
        <v>52</v>
      </c>
      <c r="BI5" s="5">
        <f ca="1">IF(BH5&gt;0,IF(BH5&lt;Capacity!E17,Capacity!F17,Capacity!H17/'Capacity calculation (hide)'!BH5),"")</f>
        <v>4.0384615384615383</v>
      </c>
      <c r="BK5" s="311">
        <f ca="1">IF($BI5&lt;&gt;"",IF('Capacity summary'!$D$14="Yes",IF(COUNTBLANK('Capacity summary'!$H124:$BG124)&lt;52,IF('Capacity summary'!H124&lt;&gt;"",IF(LOWER('Capacity summary'!H124)="x",$BI5*H5,VALUE('Capacity summary'!H124)),0),H5*$BI5),H5*$BI5),0)</f>
        <v>4.0384615384615383</v>
      </c>
      <c r="BL5" s="311">
        <f ca="1">IF($BI5&lt;&gt;"",IF('Capacity summary'!$D$14="Yes",IF(COUNTBLANK('Capacity summary'!$H124:$BG124)&lt;52,IF('Capacity summary'!I124&lt;&gt;"",IF(LOWER('Capacity summary'!I124)="x",$BI5*I5,VALUE('Capacity summary'!I124)),0),I5*$BI5),I5*$BI5),0)</f>
        <v>4.0384615384615383</v>
      </c>
      <c r="BM5" s="311">
        <f ca="1">IF($BI5&lt;&gt;"",IF('Capacity summary'!$D$14="Yes",IF(COUNTBLANK('Capacity summary'!$H124:$BG124)&lt;52,IF('Capacity summary'!J124&lt;&gt;"",IF(LOWER('Capacity summary'!J124)="x",$BI5*J5,VALUE('Capacity summary'!J124)),0),J5*$BI5),J5*$BI5),0)</f>
        <v>4.0384615384615383</v>
      </c>
      <c r="BN5" s="311">
        <f ca="1">IF($BI5&lt;&gt;"",IF('Capacity summary'!$D$14="Yes",IF(COUNTBLANK('Capacity summary'!$H124:$BG124)&lt;52,IF('Capacity summary'!K124&lt;&gt;"",IF(LOWER('Capacity summary'!K124)="x",$BI5*K5,VALUE('Capacity summary'!K124)),0),K5*$BI5),K5*$BI5),0)</f>
        <v>4.0384615384615383</v>
      </c>
      <c r="BO5" s="311">
        <f ca="1">IF($BI5&lt;&gt;"",IF('Capacity summary'!$D$14="Yes",IF(COUNTBLANK('Capacity summary'!$H124:$BG124)&lt;52,IF('Capacity summary'!L124&lt;&gt;"",IF(LOWER('Capacity summary'!L124)="x",$BI5*L5,VALUE('Capacity summary'!L124)),0),L5*$BI5),L5*$BI5),0)</f>
        <v>4.0384615384615383</v>
      </c>
      <c r="BP5" s="311">
        <f ca="1">IF($BI5&lt;&gt;"",IF('Capacity summary'!$D$14="Yes",IF(COUNTBLANK('Capacity summary'!$H124:$BG124)&lt;52,IF('Capacity summary'!M124&lt;&gt;"",IF(LOWER('Capacity summary'!M124)="x",$BI5*M5,VALUE('Capacity summary'!M124)),0),M5*$BI5),M5*$BI5),0)</f>
        <v>4.0384615384615383</v>
      </c>
      <c r="BQ5" s="311">
        <f ca="1">IF($BI5&lt;&gt;"",IF('Capacity summary'!$D$14="Yes",IF(COUNTBLANK('Capacity summary'!$H124:$BG124)&lt;52,IF('Capacity summary'!N124&lt;&gt;"",IF(LOWER('Capacity summary'!N124)="x",$BI5*N5,VALUE('Capacity summary'!N124)),0),N5*$BI5),N5*$BI5),0)</f>
        <v>4.0384615384615383</v>
      </c>
      <c r="BR5" s="311">
        <f ca="1">IF($BI5&lt;&gt;"",IF('Capacity summary'!$D$14="Yes",IF(COUNTBLANK('Capacity summary'!$H124:$BG124)&lt;52,IF('Capacity summary'!O124&lt;&gt;"",IF(LOWER('Capacity summary'!O124)="x",$BI5*O5,VALUE('Capacity summary'!O124)),0),O5*$BI5),O5*$BI5),0)</f>
        <v>4.0384615384615383</v>
      </c>
      <c r="BS5" s="311">
        <f ca="1">IF($BI5&lt;&gt;"",IF('Capacity summary'!$D$14="Yes",IF(COUNTBLANK('Capacity summary'!$H124:$BG124)&lt;52,IF('Capacity summary'!P124&lt;&gt;"",IF(LOWER('Capacity summary'!P124)="x",$BI5*P5,VALUE('Capacity summary'!P124)),0),P5*$BI5),P5*$BI5),0)</f>
        <v>4.0384615384615383</v>
      </c>
      <c r="BT5" s="311">
        <f ca="1">IF($BI5&lt;&gt;"",IF('Capacity summary'!$D$14="Yes",IF(COUNTBLANK('Capacity summary'!$H124:$BG124)&lt;52,IF('Capacity summary'!Q124&lt;&gt;"",IF(LOWER('Capacity summary'!Q124)="x",$BI5*Q5,VALUE('Capacity summary'!Q124)),0),Q5*$BI5),Q5*$BI5),0)</f>
        <v>4.0384615384615383</v>
      </c>
      <c r="BU5" s="311">
        <f ca="1">IF($BI5&lt;&gt;"",IF('Capacity summary'!$D$14="Yes",IF(COUNTBLANK('Capacity summary'!$H124:$BG124)&lt;52,IF('Capacity summary'!R124&lt;&gt;"",IF(LOWER('Capacity summary'!R124)="x",$BI5*R5,VALUE('Capacity summary'!R124)),0),R5*$BI5),R5*$BI5),0)</f>
        <v>4.0384615384615383</v>
      </c>
      <c r="BV5" s="311">
        <f ca="1">IF($BI5&lt;&gt;"",IF('Capacity summary'!$D$14="Yes",IF(COUNTBLANK('Capacity summary'!$H124:$BG124)&lt;52,IF('Capacity summary'!S124&lt;&gt;"",IF(LOWER('Capacity summary'!S124)="x",$BI5*S5,VALUE('Capacity summary'!S124)),0),S5*$BI5),S5*$BI5),0)</f>
        <v>4.0384615384615383</v>
      </c>
      <c r="BW5" s="311">
        <f ca="1">IF($BI5&lt;&gt;"",IF('Capacity summary'!$D$14="Yes",IF(COUNTBLANK('Capacity summary'!$H124:$BG124)&lt;52,IF('Capacity summary'!T124&lt;&gt;"",IF(LOWER('Capacity summary'!T124)="x",$BI5*T5,VALUE('Capacity summary'!T124)),0),T5*$BI5),T5*$BI5),0)</f>
        <v>4.0384615384615383</v>
      </c>
      <c r="BX5" s="311">
        <f ca="1">IF($BI5&lt;&gt;"",IF('Capacity summary'!$D$14="Yes",IF(COUNTBLANK('Capacity summary'!$H124:$BG124)&lt;52,IF('Capacity summary'!U124&lt;&gt;"",IF(LOWER('Capacity summary'!U124)="x",$BI5*U5,VALUE('Capacity summary'!U124)),0),U5*$BI5),U5*$BI5),0)</f>
        <v>4.0384615384615383</v>
      </c>
      <c r="BY5" s="311">
        <f ca="1">IF($BI5&lt;&gt;"",IF('Capacity summary'!$D$14="Yes",IF(COUNTBLANK('Capacity summary'!$H124:$BG124)&lt;52,IF('Capacity summary'!V124&lt;&gt;"",IF(LOWER('Capacity summary'!V124)="x",$BI5*V5,VALUE('Capacity summary'!V124)),0),V5*$BI5),V5*$BI5),0)</f>
        <v>4.0384615384615383</v>
      </c>
      <c r="BZ5" s="311">
        <f ca="1">IF($BI5&lt;&gt;"",IF('Capacity summary'!$D$14="Yes",IF(COUNTBLANK('Capacity summary'!$H124:$BG124)&lt;52,IF('Capacity summary'!W124&lt;&gt;"",IF(LOWER('Capacity summary'!W124)="x",$BI5*W5,VALUE('Capacity summary'!W124)),0),W5*$BI5),W5*$BI5),0)</f>
        <v>4.0384615384615383</v>
      </c>
      <c r="CA5" s="311">
        <f ca="1">IF($BI5&lt;&gt;"",IF('Capacity summary'!$D$14="Yes",IF(COUNTBLANK('Capacity summary'!$H124:$BG124)&lt;52,IF('Capacity summary'!X124&lt;&gt;"",IF(LOWER('Capacity summary'!X124)="x",$BI5*X5,VALUE('Capacity summary'!X124)),0),X5*$BI5),X5*$BI5),0)</f>
        <v>4.0384615384615383</v>
      </c>
      <c r="CB5" s="311">
        <f ca="1">IF($BI5&lt;&gt;"",IF('Capacity summary'!$D$14="Yes",IF(COUNTBLANK('Capacity summary'!$H124:$BG124)&lt;52,IF('Capacity summary'!Y124&lt;&gt;"",IF(LOWER('Capacity summary'!Y124)="x",$BI5*Y5,VALUE('Capacity summary'!Y124)),0),Y5*$BI5),Y5*$BI5),0)</f>
        <v>4.0384615384615383</v>
      </c>
      <c r="CC5" s="311">
        <f ca="1">IF($BI5&lt;&gt;"",IF('Capacity summary'!$D$14="Yes",IF(COUNTBLANK('Capacity summary'!$H124:$BG124)&lt;52,IF('Capacity summary'!Z124&lt;&gt;"",IF(LOWER('Capacity summary'!Z124)="x",$BI5*Z5,VALUE('Capacity summary'!Z124)),0),Z5*$BI5),Z5*$BI5),0)</f>
        <v>4.0384615384615383</v>
      </c>
      <c r="CD5" s="311">
        <f ca="1">IF($BI5&lt;&gt;"",IF('Capacity summary'!$D$14="Yes",IF(COUNTBLANK('Capacity summary'!$H124:$BG124)&lt;52,IF('Capacity summary'!AA124&lt;&gt;"",IF(LOWER('Capacity summary'!AA124)="x",$BI5*AA5,VALUE('Capacity summary'!AA124)),0),AA5*$BI5),AA5*$BI5),0)</f>
        <v>4.0384615384615383</v>
      </c>
      <c r="CE5" s="311">
        <f ca="1">IF($BI5&lt;&gt;"",IF('Capacity summary'!$D$14="Yes",IF(COUNTBLANK('Capacity summary'!$H124:$BG124)&lt;52,IF('Capacity summary'!AB124&lt;&gt;"",IF(LOWER('Capacity summary'!AB124)="x",$BI5*AB5,VALUE('Capacity summary'!AB124)),0),AB5*$BI5),AB5*$BI5),0)</f>
        <v>4.0384615384615383</v>
      </c>
      <c r="CF5" s="311">
        <f ca="1">IF($BI5&lt;&gt;"",IF('Capacity summary'!$D$14="Yes",IF(COUNTBLANK('Capacity summary'!$H124:$BG124)&lt;52,IF('Capacity summary'!AC124&lt;&gt;"",IF(LOWER('Capacity summary'!AC124)="x",$BI5*AC5,VALUE('Capacity summary'!AC124)),0),AC5*$BI5),AC5*$BI5),0)</f>
        <v>4.0384615384615383</v>
      </c>
      <c r="CG5" s="311">
        <f ca="1">IF($BI5&lt;&gt;"",IF('Capacity summary'!$D$14="Yes",IF(COUNTBLANK('Capacity summary'!$H124:$BG124)&lt;52,IF('Capacity summary'!AD124&lt;&gt;"",IF(LOWER('Capacity summary'!AD124)="x",$BI5*AD5,VALUE('Capacity summary'!AD124)),0),AD5*$BI5),AD5*$BI5),0)</f>
        <v>4.0384615384615383</v>
      </c>
      <c r="CH5" s="311">
        <f ca="1">IF($BI5&lt;&gt;"",IF('Capacity summary'!$D$14="Yes",IF(COUNTBLANK('Capacity summary'!$H124:$BG124)&lt;52,IF('Capacity summary'!AE124&lt;&gt;"",IF(LOWER('Capacity summary'!AE124)="x",$BI5*AE5,VALUE('Capacity summary'!AE124)),0),AE5*$BI5),AE5*$BI5),0)</f>
        <v>4.0384615384615383</v>
      </c>
      <c r="CI5" s="311">
        <f ca="1">IF($BI5&lt;&gt;"",IF('Capacity summary'!$D$14="Yes",IF(COUNTBLANK('Capacity summary'!$H124:$BG124)&lt;52,IF('Capacity summary'!AF124&lt;&gt;"",IF(LOWER('Capacity summary'!AF124)="x",$BI5*AF5,VALUE('Capacity summary'!AF124)),0),AF5*$BI5),AF5*$BI5),0)</f>
        <v>4.0384615384615383</v>
      </c>
      <c r="CJ5" s="311">
        <f ca="1">IF($BI5&lt;&gt;"",IF('Capacity summary'!$D$14="Yes",IF(COUNTBLANK('Capacity summary'!$H124:$BG124)&lt;52,IF('Capacity summary'!AG124&lt;&gt;"",IF(LOWER('Capacity summary'!AG124)="x",$BI5*AG5,VALUE('Capacity summary'!AG124)),0),AG5*$BI5),AG5*$BI5),0)</f>
        <v>4.0384615384615383</v>
      </c>
      <c r="CK5" s="311">
        <f ca="1">IF($BI5&lt;&gt;"",IF('Capacity summary'!$D$14="Yes",IF(COUNTBLANK('Capacity summary'!$H124:$BG124)&lt;52,IF('Capacity summary'!AH124&lt;&gt;"",IF(LOWER('Capacity summary'!AH124)="x",$BI5*AH5,VALUE('Capacity summary'!AH124)),0),AH5*$BI5),AH5*$BI5),0)</f>
        <v>4.0384615384615383</v>
      </c>
      <c r="CL5" s="311">
        <f ca="1">IF($BI5&lt;&gt;"",IF('Capacity summary'!$D$14="Yes",IF(COUNTBLANK('Capacity summary'!$H124:$BG124)&lt;52,IF('Capacity summary'!AI124&lt;&gt;"",IF(LOWER('Capacity summary'!AI124)="x",$BI5*AI5,VALUE('Capacity summary'!AI124)),0),AI5*$BI5),AI5*$BI5),0)</f>
        <v>4.0384615384615383</v>
      </c>
      <c r="CM5" s="311">
        <f ca="1">IF($BI5&lt;&gt;"",IF('Capacity summary'!$D$14="Yes",IF(COUNTBLANK('Capacity summary'!$H124:$BG124)&lt;52,IF('Capacity summary'!AJ124&lt;&gt;"",IF(LOWER('Capacity summary'!AJ124)="x",$BI5*AJ5,VALUE('Capacity summary'!AJ124)),0),AJ5*$BI5),AJ5*$BI5),0)</f>
        <v>4.0384615384615383</v>
      </c>
      <c r="CN5" s="311">
        <f ca="1">IF($BI5&lt;&gt;"",IF('Capacity summary'!$D$14="Yes",IF(COUNTBLANK('Capacity summary'!$H124:$BG124)&lt;52,IF('Capacity summary'!AK124&lt;&gt;"",IF(LOWER('Capacity summary'!AK124)="x",$BI5*AK5,VALUE('Capacity summary'!AK124)),0),AK5*$BI5),AK5*$BI5),0)</f>
        <v>4.0384615384615383</v>
      </c>
      <c r="CO5" s="311">
        <f ca="1">IF($BI5&lt;&gt;"",IF('Capacity summary'!$D$14="Yes",IF(COUNTBLANK('Capacity summary'!$H124:$BG124)&lt;52,IF('Capacity summary'!AL124&lt;&gt;"",IF(LOWER('Capacity summary'!AL124)="x",$BI5*AL5,VALUE('Capacity summary'!AL124)),0),AL5*$BI5),AL5*$BI5),0)</f>
        <v>4.0384615384615383</v>
      </c>
      <c r="CP5" s="311">
        <f ca="1">IF($BI5&lt;&gt;"",IF('Capacity summary'!$D$14="Yes",IF(COUNTBLANK('Capacity summary'!$H124:$BG124)&lt;52,IF('Capacity summary'!AM124&lt;&gt;"",IF(LOWER('Capacity summary'!AM124)="x",$BI5*AM5,VALUE('Capacity summary'!AM124)),0),AM5*$BI5),AM5*$BI5),0)</f>
        <v>4.0384615384615383</v>
      </c>
      <c r="CQ5" s="311">
        <f ca="1">IF($BI5&lt;&gt;"",IF('Capacity summary'!$D$14="Yes",IF(COUNTBLANK('Capacity summary'!$H124:$BG124)&lt;52,IF('Capacity summary'!AN124&lt;&gt;"",IF(LOWER('Capacity summary'!AN124)="x",$BI5*AN5,VALUE('Capacity summary'!AN124)),0),AN5*$BI5),AN5*$BI5),0)</f>
        <v>4.0384615384615383</v>
      </c>
      <c r="CR5" s="311">
        <f ca="1">IF($BI5&lt;&gt;"",IF('Capacity summary'!$D$14="Yes",IF(COUNTBLANK('Capacity summary'!$H124:$BG124)&lt;52,IF('Capacity summary'!AO124&lt;&gt;"",IF(LOWER('Capacity summary'!AO124)="x",$BI5*AO5,VALUE('Capacity summary'!AO124)),0),AO5*$BI5),AO5*$BI5),0)</f>
        <v>4.0384615384615383</v>
      </c>
      <c r="CS5" s="311">
        <f ca="1">IF($BI5&lt;&gt;"",IF('Capacity summary'!$D$14="Yes",IF(COUNTBLANK('Capacity summary'!$H124:$BG124)&lt;52,IF('Capacity summary'!AP124&lt;&gt;"",IF(LOWER('Capacity summary'!AP124)="x",$BI5*AP5,VALUE('Capacity summary'!AP124)),0),AP5*$BI5),AP5*$BI5),0)</f>
        <v>4.0384615384615383</v>
      </c>
      <c r="CT5" s="311">
        <f ca="1">IF($BI5&lt;&gt;"",IF('Capacity summary'!$D$14="Yes",IF(COUNTBLANK('Capacity summary'!$H124:$BG124)&lt;52,IF('Capacity summary'!AQ124&lt;&gt;"",IF(LOWER('Capacity summary'!AQ124)="x",$BI5*AQ5,VALUE('Capacity summary'!AQ124)),0),AQ5*$BI5),AQ5*$BI5),0)</f>
        <v>4.0384615384615383</v>
      </c>
      <c r="CU5" s="311">
        <f ca="1">IF($BI5&lt;&gt;"",IF('Capacity summary'!$D$14="Yes",IF(COUNTBLANK('Capacity summary'!$H124:$BG124)&lt;52,IF('Capacity summary'!AR124&lt;&gt;"",IF(LOWER('Capacity summary'!AR124)="x",$BI5*AR5,VALUE('Capacity summary'!AR124)),0),AR5*$BI5),AR5*$BI5),0)</f>
        <v>4.0384615384615383</v>
      </c>
      <c r="CV5" s="311">
        <f ca="1">IF($BI5&lt;&gt;"",IF('Capacity summary'!$D$14="Yes",IF(COUNTBLANK('Capacity summary'!$H124:$BG124)&lt;52,IF('Capacity summary'!AS124&lt;&gt;"",IF(LOWER('Capacity summary'!AS124)="x",$BI5*AS5,VALUE('Capacity summary'!AS124)),0),AS5*$BI5),AS5*$BI5),0)</f>
        <v>4.0384615384615383</v>
      </c>
      <c r="CW5" s="311">
        <f ca="1">IF($BI5&lt;&gt;"",IF('Capacity summary'!$D$14="Yes",IF(COUNTBLANK('Capacity summary'!$H124:$BG124)&lt;52,IF('Capacity summary'!AT124&lt;&gt;"",IF(LOWER('Capacity summary'!AT124)="x",$BI5*AT5,VALUE('Capacity summary'!AT124)),0),AT5*$BI5),AT5*$BI5),0)</f>
        <v>4.0384615384615383</v>
      </c>
      <c r="CX5" s="311">
        <f ca="1">IF($BI5&lt;&gt;"",IF('Capacity summary'!$D$14="Yes",IF(COUNTBLANK('Capacity summary'!$H124:$BG124)&lt;52,IF('Capacity summary'!AU124&lt;&gt;"",IF(LOWER('Capacity summary'!AU124)="x",$BI5*AU5,VALUE('Capacity summary'!AU124)),0),AU5*$BI5),AU5*$BI5),0)</f>
        <v>4.0384615384615383</v>
      </c>
      <c r="CY5" s="311">
        <f ca="1">IF($BI5&lt;&gt;"",IF('Capacity summary'!$D$14="Yes",IF(COUNTBLANK('Capacity summary'!$H124:$BG124)&lt;52,IF('Capacity summary'!AV124&lt;&gt;"",IF(LOWER('Capacity summary'!AV124)="x",$BI5*AV5,VALUE('Capacity summary'!AV124)),0),AV5*$BI5),AV5*$BI5),0)</f>
        <v>4.0384615384615383</v>
      </c>
      <c r="CZ5" s="311">
        <f ca="1">IF($BI5&lt;&gt;"",IF('Capacity summary'!$D$14="Yes",IF(COUNTBLANK('Capacity summary'!$H124:$BG124)&lt;52,IF('Capacity summary'!AW124&lt;&gt;"",IF(LOWER('Capacity summary'!AW124)="x",$BI5*AW5,VALUE('Capacity summary'!AW124)),0),AW5*$BI5),AW5*$BI5),0)</f>
        <v>4.0384615384615383</v>
      </c>
      <c r="DA5" s="311">
        <f ca="1">IF($BI5&lt;&gt;"",IF('Capacity summary'!$D$14="Yes",IF(COUNTBLANK('Capacity summary'!$H124:$BG124)&lt;52,IF('Capacity summary'!AX124&lt;&gt;"",IF(LOWER('Capacity summary'!AX124)="x",$BI5*AX5,VALUE('Capacity summary'!AX124)),0),AX5*$BI5),AX5*$BI5),0)</f>
        <v>4.0384615384615383</v>
      </c>
      <c r="DB5" s="311">
        <f ca="1">IF($BI5&lt;&gt;"",IF('Capacity summary'!$D$14="Yes",IF(COUNTBLANK('Capacity summary'!$H124:$BG124)&lt;52,IF('Capacity summary'!AY124&lt;&gt;"",IF(LOWER('Capacity summary'!AY124)="x",$BI5*AY5,VALUE('Capacity summary'!AY124)),0),AY5*$BI5),AY5*$BI5),0)</f>
        <v>4.0384615384615383</v>
      </c>
      <c r="DC5" s="311">
        <f ca="1">IF($BI5&lt;&gt;"",IF('Capacity summary'!$D$14="Yes",IF(COUNTBLANK('Capacity summary'!$H124:$BG124)&lt;52,IF('Capacity summary'!AZ124&lt;&gt;"",IF(LOWER('Capacity summary'!AZ124)="x",$BI5*AZ5,VALUE('Capacity summary'!AZ124)),0),AZ5*$BI5),AZ5*$BI5),0)</f>
        <v>4.0384615384615383</v>
      </c>
      <c r="DD5" s="311">
        <f ca="1">IF($BI5&lt;&gt;"",IF('Capacity summary'!$D$14="Yes",IF(COUNTBLANK('Capacity summary'!$H124:$BG124)&lt;52,IF('Capacity summary'!BA124&lt;&gt;"",IF(LOWER('Capacity summary'!BA124)="x",$BI5*BA5,VALUE('Capacity summary'!BA124)),0),BA5*$BI5),BA5*$BI5),0)</f>
        <v>4.0384615384615383</v>
      </c>
      <c r="DE5" s="311">
        <f ca="1">IF($BI5&lt;&gt;"",IF('Capacity summary'!$D$14="Yes",IF(COUNTBLANK('Capacity summary'!$H124:$BG124)&lt;52,IF('Capacity summary'!BB124&lt;&gt;"",IF(LOWER('Capacity summary'!BB124)="x",$BI5*BB5,VALUE('Capacity summary'!BB124)),0),BB5*$BI5),BB5*$BI5),0)</f>
        <v>4.0384615384615383</v>
      </c>
      <c r="DF5" s="311">
        <f ca="1">IF($BI5&lt;&gt;"",IF('Capacity summary'!$D$14="Yes",IF(COUNTBLANK('Capacity summary'!$H124:$BG124)&lt;52,IF('Capacity summary'!BC124&lt;&gt;"",IF(LOWER('Capacity summary'!BC124)="x",$BI5*BC5,VALUE('Capacity summary'!BC124)),0),BC5*$BI5),BC5*$BI5),0)</f>
        <v>4.0384615384615383</v>
      </c>
      <c r="DG5" s="311">
        <f ca="1">IF($BI5&lt;&gt;"",IF('Capacity summary'!$D$14="Yes",IF(COUNTBLANK('Capacity summary'!$H124:$BG124)&lt;52,IF('Capacity summary'!BD124&lt;&gt;"",IF(LOWER('Capacity summary'!BD124)="x",$BI5*BD5,VALUE('Capacity summary'!BD124)),0),BD5*$BI5),BD5*$BI5),0)</f>
        <v>4.0384615384615383</v>
      </c>
      <c r="DH5" s="311">
        <f ca="1">IF($BI5&lt;&gt;"",IF('Capacity summary'!$D$14="Yes",IF(COUNTBLANK('Capacity summary'!$H124:$BG124)&lt;52,IF('Capacity summary'!BE124&lt;&gt;"",IF(LOWER('Capacity summary'!BE124)="x",$BI5*BE5,VALUE('Capacity summary'!BE124)),0),BE5*$BI5),BE5*$BI5),0)</f>
        <v>4.0384615384615383</v>
      </c>
      <c r="DI5" s="311">
        <f ca="1">IF($BI5&lt;&gt;"",IF('Capacity summary'!$D$14="Yes",IF(COUNTBLANK('Capacity summary'!$H124:$BG124)&lt;52,IF('Capacity summary'!BF124&lt;&gt;"",IF(LOWER('Capacity summary'!BF124)="x",$BI5*BF5,VALUE('Capacity summary'!BF124)),0),BF5*$BI5),BF5*$BI5),0)</f>
        <v>4.0384615384615383</v>
      </c>
      <c r="DJ5" s="311">
        <f ca="1">IF($BI5&lt;&gt;"",IF('Capacity summary'!$D$14="Yes",IF(COUNTBLANK('Capacity summary'!$H124:$BG124)&lt;52,IF('Capacity summary'!BG124&lt;&gt;"",IF(LOWER('Capacity summary'!BG124)="x",$BI5*BG5,VALUE('Capacity summary'!BG124)),0),BG5*$BI5),BG5*$BI5),0)</f>
        <v>4.0384615384615383</v>
      </c>
      <c r="DK5" s="390">
        <f t="shared" ref="DK5:DK68" ca="1" si="2">DJ5</f>
        <v>4.0384615384615383</v>
      </c>
      <c r="DL5" s="136">
        <f t="shared" ref="DL5:DL68" ca="1" si="3">SUM(BK5:DJ5)</f>
        <v>210.00000000000011</v>
      </c>
      <c r="DM5" s="311">
        <f>Capacity!H17</f>
        <v>210</v>
      </c>
      <c r="DQ5" s="5"/>
    </row>
    <row r="6" spans="1:121" x14ac:dyDescent="0.2">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4.0384615384615383</v>
      </c>
      <c r="BK6" s="311">
        <f ca="1">IF($BI6&lt;&gt;"",IF('Capacity summary'!$D$14="Yes",IF(COUNTBLANK('Capacity summary'!$H125:$BG125)&lt;52,IF('Capacity summary'!H125&lt;&gt;"",IF(LOWER('Capacity summary'!H125)="x",$BI6*H6,VALUE('Capacity summary'!H125)),0),H6*$BI6),H6*$BI6),0)</f>
        <v>4.0384615384615383</v>
      </c>
      <c r="BL6" s="311">
        <f ca="1">IF($BI6&lt;&gt;"",IF('Capacity summary'!$D$14="Yes",IF(COUNTBLANK('Capacity summary'!$H125:$BG125)&lt;52,IF('Capacity summary'!I125&lt;&gt;"",IF(LOWER('Capacity summary'!I125)="x",$BI6*I6,VALUE('Capacity summary'!I125)),0),I6*$BI6),I6*$BI6),0)</f>
        <v>4.0384615384615383</v>
      </c>
      <c r="BM6" s="311">
        <f ca="1">IF($BI6&lt;&gt;"",IF('Capacity summary'!$D$14="Yes",IF(COUNTBLANK('Capacity summary'!$H125:$BG125)&lt;52,IF('Capacity summary'!J125&lt;&gt;"",IF(LOWER('Capacity summary'!J125)="x",$BI6*J6,VALUE('Capacity summary'!J125)),0),J6*$BI6),J6*$BI6),0)</f>
        <v>4.0384615384615383</v>
      </c>
      <c r="BN6" s="311">
        <f ca="1">IF($BI6&lt;&gt;"",IF('Capacity summary'!$D$14="Yes",IF(COUNTBLANK('Capacity summary'!$H125:$BG125)&lt;52,IF('Capacity summary'!K125&lt;&gt;"",IF(LOWER('Capacity summary'!K125)="x",$BI6*K6,VALUE('Capacity summary'!K125)),0),K6*$BI6),K6*$BI6),0)</f>
        <v>4.0384615384615383</v>
      </c>
      <c r="BO6" s="311">
        <f ca="1">IF($BI6&lt;&gt;"",IF('Capacity summary'!$D$14="Yes",IF(COUNTBLANK('Capacity summary'!$H125:$BG125)&lt;52,IF('Capacity summary'!L125&lt;&gt;"",IF(LOWER('Capacity summary'!L125)="x",$BI6*L6,VALUE('Capacity summary'!L125)),0),L6*$BI6),L6*$BI6),0)</f>
        <v>4.0384615384615383</v>
      </c>
      <c r="BP6" s="311">
        <f ca="1">IF($BI6&lt;&gt;"",IF('Capacity summary'!$D$14="Yes",IF(COUNTBLANK('Capacity summary'!$H125:$BG125)&lt;52,IF('Capacity summary'!M125&lt;&gt;"",IF(LOWER('Capacity summary'!M125)="x",$BI6*M6,VALUE('Capacity summary'!M125)),0),M6*$BI6),M6*$BI6),0)</f>
        <v>4.0384615384615383</v>
      </c>
      <c r="BQ6" s="311">
        <f ca="1">IF($BI6&lt;&gt;"",IF('Capacity summary'!$D$14="Yes",IF(COUNTBLANK('Capacity summary'!$H125:$BG125)&lt;52,IF('Capacity summary'!N125&lt;&gt;"",IF(LOWER('Capacity summary'!N125)="x",$BI6*N6,VALUE('Capacity summary'!N125)),0),N6*$BI6),N6*$BI6),0)</f>
        <v>4.0384615384615383</v>
      </c>
      <c r="BR6" s="311">
        <f ca="1">IF($BI6&lt;&gt;"",IF('Capacity summary'!$D$14="Yes",IF(COUNTBLANK('Capacity summary'!$H125:$BG125)&lt;52,IF('Capacity summary'!O125&lt;&gt;"",IF(LOWER('Capacity summary'!O125)="x",$BI6*O6,VALUE('Capacity summary'!O125)),0),O6*$BI6),O6*$BI6),0)</f>
        <v>4.0384615384615383</v>
      </c>
      <c r="BS6" s="311">
        <f ca="1">IF($BI6&lt;&gt;"",IF('Capacity summary'!$D$14="Yes",IF(COUNTBLANK('Capacity summary'!$H125:$BG125)&lt;52,IF('Capacity summary'!P125&lt;&gt;"",IF(LOWER('Capacity summary'!P125)="x",$BI6*P6,VALUE('Capacity summary'!P125)),0),P6*$BI6),P6*$BI6),0)</f>
        <v>4.0384615384615383</v>
      </c>
      <c r="BT6" s="311">
        <f ca="1">IF($BI6&lt;&gt;"",IF('Capacity summary'!$D$14="Yes",IF(COUNTBLANK('Capacity summary'!$H125:$BG125)&lt;52,IF('Capacity summary'!Q125&lt;&gt;"",IF(LOWER('Capacity summary'!Q125)="x",$BI6*Q6,VALUE('Capacity summary'!Q125)),0),Q6*$BI6),Q6*$BI6),0)</f>
        <v>4.0384615384615383</v>
      </c>
      <c r="BU6" s="311">
        <f ca="1">IF($BI6&lt;&gt;"",IF('Capacity summary'!$D$14="Yes",IF(COUNTBLANK('Capacity summary'!$H125:$BG125)&lt;52,IF('Capacity summary'!R125&lt;&gt;"",IF(LOWER('Capacity summary'!R125)="x",$BI6*R6,VALUE('Capacity summary'!R125)),0),R6*$BI6),R6*$BI6),0)</f>
        <v>4.0384615384615383</v>
      </c>
      <c r="BV6" s="311">
        <f ca="1">IF($BI6&lt;&gt;"",IF('Capacity summary'!$D$14="Yes",IF(COUNTBLANK('Capacity summary'!$H125:$BG125)&lt;52,IF('Capacity summary'!S125&lt;&gt;"",IF(LOWER('Capacity summary'!S125)="x",$BI6*S6,VALUE('Capacity summary'!S125)),0),S6*$BI6),S6*$BI6),0)</f>
        <v>4.0384615384615383</v>
      </c>
      <c r="BW6" s="311">
        <f ca="1">IF($BI6&lt;&gt;"",IF('Capacity summary'!$D$14="Yes",IF(COUNTBLANK('Capacity summary'!$H125:$BG125)&lt;52,IF('Capacity summary'!T125&lt;&gt;"",IF(LOWER('Capacity summary'!T125)="x",$BI6*T6,VALUE('Capacity summary'!T125)),0),T6*$BI6),T6*$BI6),0)</f>
        <v>4.0384615384615383</v>
      </c>
      <c r="BX6" s="311">
        <f ca="1">IF($BI6&lt;&gt;"",IF('Capacity summary'!$D$14="Yes",IF(COUNTBLANK('Capacity summary'!$H125:$BG125)&lt;52,IF('Capacity summary'!U125&lt;&gt;"",IF(LOWER('Capacity summary'!U125)="x",$BI6*U6,VALUE('Capacity summary'!U125)),0),U6*$BI6),U6*$BI6),0)</f>
        <v>4.0384615384615383</v>
      </c>
      <c r="BY6" s="311">
        <f ca="1">IF($BI6&lt;&gt;"",IF('Capacity summary'!$D$14="Yes",IF(COUNTBLANK('Capacity summary'!$H125:$BG125)&lt;52,IF('Capacity summary'!V125&lt;&gt;"",IF(LOWER('Capacity summary'!V125)="x",$BI6*V6,VALUE('Capacity summary'!V125)),0),V6*$BI6),V6*$BI6),0)</f>
        <v>4.0384615384615383</v>
      </c>
      <c r="BZ6" s="311">
        <f ca="1">IF($BI6&lt;&gt;"",IF('Capacity summary'!$D$14="Yes",IF(COUNTBLANK('Capacity summary'!$H125:$BG125)&lt;52,IF('Capacity summary'!W125&lt;&gt;"",IF(LOWER('Capacity summary'!W125)="x",$BI6*W6,VALUE('Capacity summary'!W125)),0),W6*$BI6),W6*$BI6),0)</f>
        <v>4.0384615384615383</v>
      </c>
      <c r="CA6" s="311">
        <f ca="1">IF($BI6&lt;&gt;"",IF('Capacity summary'!$D$14="Yes",IF(COUNTBLANK('Capacity summary'!$H125:$BG125)&lt;52,IF('Capacity summary'!X125&lt;&gt;"",IF(LOWER('Capacity summary'!X125)="x",$BI6*X6,VALUE('Capacity summary'!X125)),0),X6*$BI6),X6*$BI6),0)</f>
        <v>4.0384615384615383</v>
      </c>
      <c r="CB6" s="311">
        <f ca="1">IF($BI6&lt;&gt;"",IF('Capacity summary'!$D$14="Yes",IF(COUNTBLANK('Capacity summary'!$H125:$BG125)&lt;52,IF('Capacity summary'!Y125&lt;&gt;"",IF(LOWER('Capacity summary'!Y125)="x",$BI6*Y6,VALUE('Capacity summary'!Y125)),0),Y6*$BI6),Y6*$BI6),0)</f>
        <v>4.0384615384615383</v>
      </c>
      <c r="CC6" s="311">
        <f ca="1">IF($BI6&lt;&gt;"",IF('Capacity summary'!$D$14="Yes",IF(COUNTBLANK('Capacity summary'!$H125:$BG125)&lt;52,IF('Capacity summary'!Z125&lt;&gt;"",IF(LOWER('Capacity summary'!Z125)="x",$BI6*Z6,VALUE('Capacity summary'!Z125)),0),Z6*$BI6),Z6*$BI6),0)</f>
        <v>4.0384615384615383</v>
      </c>
      <c r="CD6" s="311">
        <f ca="1">IF($BI6&lt;&gt;"",IF('Capacity summary'!$D$14="Yes",IF(COUNTBLANK('Capacity summary'!$H125:$BG125)&lt;52,IF('Capacity summary'!AA125&lt;&gt;"",IF(LOWER('Capacity summary'!AA125)="x",$BI6*AA6,VALUE('Capacity summary'!AA125)),0),AA6*$BI6),AA6*$BI6),0)</f>
        <v>4.0384615384615383</v>
      </c>
      <c r="CE6" s="311">
        <f ca="1">IF($BI6&lt;&gt;"",IF('Capacity summary'!$D$14="Yes",IF(COUNTBLANK('Capacity summary'!$H125:$BG125)&lt;52,IF('Capacity summary'!AB125&lt;&gt;"",IF(LOWER('Capacity summary'!AB125)="x",$BI6*AB6,VALUE('Capacity summary'!AB125)),0),AB6*$BI6),AB6*$BI6),0)</f>
        <v>4.0384615384615383</v>
      </c>
      <c r="CF6" s="311">
        <f ca="1">IF($BI6&lt;&gt;"",IF('Capacity summary'!$D$14="Yes",IF(COUNTBLANK('Capacity summary'!$H125:$BG125)&lt;52,IF('Capacity summary'!AC125&lt;&gt;"",IF(LOWER('Capacity summary'!AC125)="x",$BI6*AC6,VALUE('Capacity summary'!AC125)),0),AC6*$BI6),AC6*$BI6),0)</f>
        <v>4.0384615384615383</v>
      </c>
      <c r="CG6" s="311">
        <f ca="1">IF($BI6&lt;&gt;"",IF('Capacity summary'!$D$14="Yes",IF(COUNTBLANK('Capacity summary'!$H125:$BG125)&lt;52,IF('Capacity summary'!AD125&lt;&gt;"",IF(LOWER('Capacity summary'!AD125)="x",$BI6*AD6,VALUE('Capacity summary'!AD125)),0),AD6*$BI6),AD6*$BI6),0)</f>
        <v>4.0384615384615383</v>
      </c>
      <c r="CH6" s="311">
        <f ca="1">IF($BI6&lt;&gt;"",IF('Capacity summary'!$D$14="Yes",IF(COUNTBLANK('Capacity summary'!$H125:$BG125)&lt;52,IF('Capacity summary'!AE125&lt;&gt;"",IF(LOWER('Capacity summary'!AE125)="x",$BI6*AE6,VALUE('Capacity summary'!AE125)),0),AE6*$BI6),AE6*$BI6),0)</f>
        <v>4.0384615384615383</v>
      </c>
      <c r="CI6" s="311">
        <f ca="1">IF($BI6&lt;&gt;"",IF('Capacity summary'!$D$14="Yes",IF(COUNTBLANK('Capacity summary'!$H125:$BG125)&lt;52,IF('Capacity summary'!AF125&lt;&gt;"",IF(LOWER('Capacity summary'!AF125)="x",$BI6*AF6,VALUE('Capacity summary'!AF125)),0),AF6*$BI6),AF6*$BI6),0)</f>
        <v>4.0384615384615383</v>
      </c>
      <c r="CJ6" s="311">
        <f ca="1">IF($BI6&lt;&gt;"",IF('Capacity summary'!$D$14="Yes",IF(COUNTBLANK('Capacity summary'!$H125:$BG125)&lt;52,IF('Capacity summary'!AG125&lt;&gt;"",IF(LOWER('Capacity summary'!AG125)="x",$BI6*AG6,VALUE('Capacity summary'!AG125)),0),AG6*$BI6),AG6*$BI6),0)</f>
        <v>4.0384615384615383</v>
      </c>
      <c r="CK6" s="311">
        <f ca="1">IF($BI6&lt;&gt;"",IF('Capacity summary'!$D$14="Yes",IF(COUNTBLANK('Capacity summary'!$H125:$BG125)&lt;52,IF('Capacity summary'!AH125&lt;&gt;"",IF(LOWER('Capacity summary'!AH125)="x",$BI6*AH6,VALUE('Capacity summary'!AH125)),0),AH6*$BI6),AH6*$BI6),0)</f>
        <v>4.0384615384615383</v>
      </c>
      <c r="CL6" s="311">
        <f ca="1">IF($BI6&lt;&gt;"",IF('Capacity summary'!$D$14="Yes",IF(COUNTBLANK('Capacity summary'!$H125:$BG125)&lt;52,IF('Capacity summary'!AI125&lt;&gt;"",IF(LOWER('Capacity summary'!AI125)="x",$BI6*AI6,VALUE('Capacity summary'!AI125)),0),AI6*$BI6),AI6*$BI6),0)</f>
        <v>4.0384615384615383</v>
      </c>
      <c r="CM6" s="311">
        <f ca="1">IF($BI6&lt;&gt;"",IF('Capacity summary'!$D$14="Yes",IF(COUNTBLANK('Capacity summary'!$H125:$BG125)&lt;52,IF('Capacity summary'!AJ125&lt;&gt;"",IF(LOWER('Capacity summary'!AJ125)="x",$BI6*AJ6,VALUE('Capacity summary'!AJ125)),0),AJ6*$BI6),AJ6*$BI6),0)</f>
        <v>4.0384615384615383</v>
      </c>
      <c r="CN6" s="311">
        <f ca="1">IF($BI6&lt;&gt;"",IF('Capacity summary'!$D$14="Yes",IF(COUNTBLANK('Capacity summary'!$H125:$BG125)&lt;52,IF('Capacity summary'!AK125&lt;&gt;"",IF(LOWER('Capacity summary'!AK125)="x",$BI6*AK6,VALUE('Capacity summary'!AK125)),0),AK6*$BI6),AK6*$BI6),0)</f>
        <v>4.0384615384615383</v>
      </c>
      <c r="CO6" s="311">
        <f ca="1">IF($BI6&lt;&gt;"",IF('Capacity summary'!$D$14="Yes",IF(COUNTBLANK('Capacity summary'!$H125:$BG125)&lt;52,IF('Capacity summary'!AL125&lt;&gt;"",IF(LOWER('Capacity summary'!AL125)="x",$BI6*AL6,VALUE('Capacity summary'!AL125)),0),AL6*$BI6),AL6*$BI6),0)</f>
        <v>4.0384615384615383</v>
      </c>
      <c r="CP6" s="311">
        <f ca="1">IF($BI6&lt;&gt;"",IF('Capacity summary'!$D$14="Yes",IF(COUNTBLANK('Capacity summary'!$H125:$BG125)&lt;52,IF('Capacity summary'!AM125&lt;&gt;"",IF(LOWER('Capacity summary'!AM125)="x",$BI6*AM6,VALUE('Capacity summary'!AM125)),0),AM6*$BI6),AM6*$BI6),0)</f>
        <v>4.0384615384615383</v>
      </c>
      <c r="CQ6" s="311">
        <f ca="1">IF($BI6&lt;&gt;"",IF('Capacity summary'!$D$14="Yes",IF(COUNTBLANK('Capacity summary'!$H125:$BG125)&lt;52,IF('Capacity summary'!AN125&lt;&gt;"",IF(LOWER('Capacity summary'!AN125)="x",$BI6*AN6,VALUE('Capacity summary'!AN125)),0),AN6*$BI6),AN6*$BI6),0)</f>
        <v>4.0384615384615383</v>
      </c>
      <c r="CR6" s="311">
        <f ca="1">IF($BI6&lt;&gt;"",IF('Capacity summary'!$D$14="Yes",IF(COUNTBLANK('Capacity summary'!$H125:$BG125)&lt;52,IF('Capacity summary'!AO125&lt;&gt;"",IF(LOWER('Capacity summary'!AO125)="x",$BI6*AO6,VALUE('Capacity summary'!AO125)),0),AO6*$BI6),AO6*$BI6),0)</f>
        <v>4.0384615384615383</v>
      </c>
      <c r="CS6" s="311">
        <f ca="1">IF($BI6&lt;&gt;"",IF('Capacity summary'!$D$14="Yes",IF(COUNTBLANK('Capacity summary'!$H125:$BG125)&lt;52,IF('Capacity summary'!AP125&lt;&gt;"",IF(LOWER('Capacity summary'!AP125)="x",$BI6*AP6,VALUE('Capacity summary'!AP125)),0),AP6*$BI6),AP6*$BI6),0)</f>
        <v>4.0384615384615383</v>
      </c>
      <c r="CT6" s="311">
        <f ca="1">IF($BI6&lt;&gt;"",IF('Capacity summary'!$D$14="Yes",IF(COUNTBLANK('Capacity summary'!$H125:$BG125)&lt;52,IF('Capacity summary'!AQ125&lt;&gt;"",IF(LOWER('Capacity summary'!AQ125)="x",$BI6*AQ6,VALUE('Capacity summary'!AQ125)),0),AQ6*$BI6),AQ6*$BI6),0)</f>
        <v>4.0384615384615383</v>
      </c>
      <c r="CU6" s="311">
        <f ca="1">IF($BI6&lt;&gt;"",IF('Capacity summary'!$D$14="Yes",IF(COUNTBLANK('Capacity summary'!$H125:$BG125)&lt;52,IF('Capacity summary'!AR125&lt;&gt;"",IF(LOWER('Capacity summary'!AR125)="x",$BI6*AR6,VALUE('Capacity summary'!AR125)),0),AR6*$BI6),AR6*$BI6),0)</f>
        <v>4.0384615384615383</v>
      </c>
      <c r="CV6" s="311">
        <f ca="1">IF($BI6&lt;&gt;"",IF('Capacity summary'!$D$14="Yes",IF(COUNTBLANK('Capacity summary'!$H125:$BG125)&lt;52,IF('Capacity summary'!AS125&lt;&gt;"",IF(LOWER('Capacity summary'!AS125)="x",$BI6*AS6,VALUE('Capacity summary'!AS125)),0),AS6*$BI6),AS6*$BI6),0)</f>
        <v>4.0384615384615383</v>
      </c>
      <c r="CW6" s="311">
        <f ca="1">IF($BI6&lt;&gt;"",IF('Capacity summary'!$D$14="Yes",IF(COUNTBLANK('Capacity summary'!$H125:$BG125)&lt;52,IF('Capacity summary'!AT125&lt;&gt;"",IF(LOWER('Capacity summary'!AT125)="x",$BI6*AT6,VALUE('Capacity summary'!AT125)),0),AT6*$BI6),AT6*$BI6),0)</f>
        <v>4.0384615384615383</v>
      </c>
      <c r="CX6" s="311">
        <f ca="1">IF($BI6&lt;&gt;"",IF('Capacity summary'!$D$14="Yes",IF(COUNTBLANK('Capacity summary'!$H125:$BG125)&lt;52,IF('Capacity summary'!AU125&lt;&gt;"",IF(LOWER('Capacity summary'!AU125)="x",$BI6*AU6,VALUE('Capacity summary'!AU125)),0),AU6*$BI6),AU6*$BI6),0)</f>
        <v>4.0384615384615383</v>
      </c>
      <c r="CY6" s="311">
        <f ca="1">IF($BI6&lt;&gt;"",IF('Capacity summary'!$D$14="Yes",IF(COUNTBLANK('Capacity summary'!$H125:$BG125)&lt;52,IF('Capacity summary'!AV125&lt;&gt;"",IF(LOWER('Capacity summary'!AV125)="x",$BI6*AV6,VALUE('Capacity summary'!AV125)),0),AV6*$BI6),AV6*$BI6),0)</f>
        <v>4.0384615384615383</v>
      </c>
      <c r="CZ6" s="311">
        <f ca="1">IF($BI6&lt;&gt;"",IF('Capacity summary'!$D$14="Yes",IF(COUNTBLANK('Capacity summary'!$H125:$BG125)&lt;52,IF('Capacity summary'!AW125&lt;&gt;"",IF(LOWER('Capacity summary'!AW125)="x",$BI6*AW6,VALUE('Capacity summary'!AW125)),0),AW6*$BI6),AW6*$BI6),0)</f>
        <v>4.0384615384615383</v>
      </c>
      <c r="DA6" s="311">
        <f ca="1">IF($BI6&lt;&gt;"",IF('Capacity summary'!$D$14="Yes",IF(COUNTBLANK('Capacity summary'!$H125:$BG125)&lt;52,IF('Capacity summary'!AX125&lt;&gt;"",IF(LOWER('Capacity summary'!AX125)="x",$BI6*AX6,VALUE('Capacity summary'!AX125)),0),AX6*$BI6),AX6*$BI6),0)</f>
        <v>4.0384615384615383</v>
      </c>
      <c r="DB6" s="311">
        <f ca="1">IF($BI6&lt;&gt;"",IF('Capacity summary'!$D$14="Yes",IF(COUNTBLANK('Capacity summary'!$H125:$BG125)&lt;52,IF('Capacity summary'!AY125&lt;&gt;"",IF(LOWER('Capacity summary'!AY125)="x",$BI6*AY6,VALUE('Capacity summary'!AY125)),0),AY6*$BI6),AY6*$BI6),0)</f>
        <v>4.0384615384615383</v>
      </c>
      <c r="DC6" s="311">
        <f ca="1">IF($BI6&lt;&gt;"",IF('Capacity summary'!$D$14="Yes",IF(COUNTBLANK('Capacity summary'!$H125:$BG125)&lt;52,IF('Capacity summary'!AZ125&lt;&gt;"",IF(LOWER('Capacity summary'!AZ125)="x",$BI6*AZ6,VALUE('Capacity summary'!AZ125)),0),AZ6*$BI6),AZ6*$BI6),0)</f>
        <v>4.0384615384615383</v>
      </c>
      <c r="DD6" s="311">
        <f ca="1">IF($BI6&lt;&gt;"",IF('Capacity summary'!$D$14="Yes",IF(COUNTBLANK('Capacity summary'!$H125:$BG125)&lt;52,IF('Capacity summary'!BA125&lt;&gt;"",IF(LOWER('Capacity summary'!BA125)="x",$BI6*BA6,VALUE('Capacity summary'!BA125)),0),BA6*$BI6),BA6*$BI6),0)</f>
        <v>4.0384615384615383</v>
      </c>
      <c r="DE6" s="311">
        <f ca="1">IF($BI6&lt;&gt;"",IF('Capacity summary'!$D$14="Yes",IF(COUNTBLANK('Capacity summary'!$H125:$BG125)&lt;52,IF('Capacity summary'!BB125&lt;&gt;"",IF(LOWER('Capacity summary'!BB125)="x",$BI6*BB6,VALUE('Capacity summary'!BB125)),0),BB6*$BI6),BB6*$BI6),0)</f>
        <v>4.0384615384615383</v>
      </c>
      <c r="DF6" s="311">
        <f ca="1">IF($BI6&lt;&gt;"",IF('Capacity summary'!$D$14="Yes",IF(COUNTBLANK('Capacity summary'!$H125:$BG125)&lt;52,IF('Capacity summary'!BC125&lt;&gt;"",IF(LOWER('Capacity summary'!BC125)="x",$BI6*BC6,VALUE('Capacity summary'!BC125)),0),BC6*$BI6),BC6*$BI6),0)</f>
        <v>4.0384615384615383</v>
      </c>
      <c r="DG6" s="311">
        <f ca="1">IF($BI6&lt;&gt;"",IF('Capacity summary'!$D$14="Yes",IF(COUNTBLANK('Capacity summary'!$H125:$BG125)&lt;52,IF('Capacity summary'!BD125&lt;&gt;"",IF(LOWER('Capacity summary'!BD125)="x",$BI6*BD6,VALUE('Capacity summary'!BD125)),0),BD6*$BI6),BD6*$BI6),0)</f>
        <v>4.0384615384615383</v>
      </c>
      <c r="DH6" s="311">
        <f ca="1">IF($BI6&lt;&gt;"",IF('Capacity summary'!$D$14="Yes",IF(COUNTBLANK('Capacity summary'!$H125:$BG125)&lt;52,IF('Capacity summary'!BE125&lt;&gt;"",IF(LOWER('Capacity summary'!BE125)="x",$BI6*BE6,VALUE('Capacity summary'!BE125)),0),BE6*$BI6),BE6*$BI6),0)</f>
        <v>4.0384615384615383</v>
      </c>
      <c r="DI6" s="311">
        <f ca="1">IF($BI6&lt;&gt;"",IF('Capacity summary'!$D$14="Yes",IF(COUNTBLANK('Capacity summary'!$H125:$BG125)&lt;52,IF('Capacity summary'!BF125&lt;&gt;"",IF(LOWER('Capacity summary'!BF125)="x",$BI6*BF6,VALUE('Capacity summary'!BF125)),0),BF6*$BI6),BF6*$BI6),0)</f>
        <v>4.0384615384615383</v>
      </c>
      <c r="DJ6" s="311">
        <f ca="1">IF($BI6&lt;&gt;"",IF('Capacity summary'!$D$14="Yes",IF(COUNTBLANK('Capacity summary'!$H125:$BG125)&lt;52,IF('Capacity summary'!BG125&lt;&gt;"",IF(LOWER('Capacity summary'!BG125)="x",$BI6*BG6,VALUE('Capacity summary'!BG125)),0),BG6*$BI6),BG6*$BI6),0)</f>
        <v>4.0384615384615383</v>
      </c>
      <c r="DK6" s="390">
        <f t="shared" ca="1" si="2"/>
        <v>4.0384615384615383</v>
      </c>
      <c r="DL6" s="136">
        <f t="shared" ca="1" si="3"/>
        <v>210.00000000000011</v>
      </c>
      <c r="DM6" s="311">
        <f>Capacity!H18</f>
        <v>210</v>
      </c>
      <c r="DQ6" s="5"/>
    </row>
    <row r="7" spans="1:121" x14ac:dyDescent="0.2">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1.6153846153846154</v>
      </c>
      <c r="BK7" s="311">
        <f ca="1">IF($BI7&lt;&gt;"",IF('Capacity summary'!$D$14="Yes",IF(COUNTBLANK('Capacity summary'!$H126:$BG126)&lt;52,IF('Capacity summary'!H126&lt;&gt;"",IF(LOWER('Capacity summary'!H126)="x",$BI7*H7,VALUE('Capacity summary'!H126)),0),H7*$BI7),H7*$BI7),0)</f>
        <v>1.6153846153846154</v>
      </c>
      <c r="BL7" s="311">
        <f ca="1">IF($BI7&lt;&gt;"",IF('Capacity summary'!$D$14="Yes",IF(COUNTBLANK('Capacity summary'!$H126:$BG126)&lt;52,IF('Capacity summary'!I126&lt;&gt;"",IF(LOWER('Capacity summary'!I126)="x",$BI7*I7,VALUE('Capacity summary'!I126)),0),I7*$BI7),I7*$BI7),0)</f>
        <v>1.6153846153846154</v>
      </c>
      <c r="BM7" s="311">
        <f ca="1">IF($BI7&lt;&gt;"",IF('Capacity summary'!$D$14="Yes",IF(COUNTBLANK('Capacity summary'!$H126:$BG126)&lt;52,IF('Capacity summary'!J126&lt;&gt;"",IF(LOWER('Capacity summary'!J126)="x",$BI7*J7,VALUE('Capacity summary'!J126)),0),J7*$BI7),J7*$BI7),0)</f>
        <v>1.6153846153846154</v>
      </c>
      <c r="BN7" s="311">
        <f ca="1">IF($BI7&lt;&gt;"",IF('Capacity summary'!$D$14="Yes",IF(COUNTBLANK('Capacity summary'!$H126:$BG126)&lt;52,IF('Capacity summary'!K126&lt;&gt;"",IF(LOWER('Capacity summary'!K126)="x",$BI7*K7,VALUE('Capacity summary'!K126)),0),K7*$BI7),K7*$BI7),0)</f>
        <v>1.6153846153846154</v>
      </c>
      <c r="BO7" s="311">
        <f ca="1">IF($BI7&lt;&gt;"",IF('Capacity summary'!$D$14="Yes",IF(COUNTBLANK('Capacity summary'!$H126:$BG126)&lt;52,IF('Capacity summary'!L126&lt;&gt;"",IF(LOWER('Capacity summary'!L126)="x",$BI7*L7,VALUE('Capacity summary'!L126)),0),L7*$BI7),L7*$BI7),0)</f>
        <v>1.6153846153846154</v>
      </c>
      <c r="BP7" s="311">
        <f ca="1">IF($BI7&lt;&gt;"",IF('Capacity summary'!$D$14="Yes",IF(COUNTBLANK('Capacity summary'!$H126:$BG126)&lt;52,IF('Capacity summary'!M126&lt;&gt;"",IF(LOWER('Capacity summary'!M126)="x",$BI7*M7,VALUE('Capacity summary'!M126)),0),M7*$BI7),M7*$BI7),0)</f>
        <v>1.6153846153846154</v>
      </c>
      <c r="BQ7" s="311">
        <f ca="1">IF($BI7&lt;&gt;"",IF('Capacity summary'!$D$14="Yes",IF(COUNTBLANK('Capacity summary'!$H126:$BG126)&lt;52,IF('Capacity summary'!N126&lt;&gt;"",IF(LOWER('Capacity summary'!N126)="x",$BI7*N7,VALUE('Capacity summary'!N126)),0),N7*$BI7),N7*$BI7),0)</f>
        <v>1.6153846153846154</v>
      </c>
      <c r="BR7" s="311">
        <f ca="1">IF($BI7&lt;&gt;"",IF('Capacity summary'!$D$14="Yes",IF(COUNTBLANK('Capacity summary'!$H126:$BG126)&lt;52,IF('Capacity summary'!O126&lt;&gt;"",IF(LOWER('Capacity summary'!O126)="x",$BI7*O7,VALUE('Capacity summary'!O126)),0),O7*$BI7),O7*$BI7),0)</f>
        <v>1.6153846153846154</v>
      </c>
      <c r="BS7" s="311">
        <f ca="1">IF($BI7&lt;&gt;"",IF('Capacity summary'!$D$14="Yes",IF(COUNTBLANK('Capacity summary'!$H126:$BG126)&lt;52,IF('Capacity summary'!P126&lt;&gt;"",IF(LOWER('Capacity summary'!P126)="x",$BI7*P7,VALUE('Capacity summary'!P126)),0),P7*$BI7),P7*$BI7),0)</f>
        <v>1.6153846153846154</v>
      </c>
      <c r="BT7" s="311">
        <f ca="1">IF($BI7&lt;&gt;"",IF('Capacity summary'!$D$14="Yes",IF(COUNTBLANK('Capacity summary'!$H126:$BG126)&lt;52,IF('Capacity summary'!Q126&lt;&gt;"",IF(LOWER('Capacity summary'!Q126)="x",$BI7*Q7,VALUE('Capacity summary'!Q126)),0),Q7*$BI7),Q7*$BI7),0)</f>
        <v>1.6153846153846154</v>
      </c>
      <c r="BU7" s="311">
        <f ca="1">IF($BI7&lt;&gt;"",IF('Capacity summary'!$D$14="Yes",IF(COUNTBLANK('Capacity summary'!$H126:$BG126)&lt;52,IF('Capacity summary'!R126&lt;&gt;"",IF(LOWER('Capacity summary'!R126)="x",$BI7*R7,VALUE('Capacity summary'!R126)),0),R7*$BI7),R7*$BI7),0)</f>
        <v>1.6153846153846154</v>
      </c>
      <c r="BV7" s="311">
        <f ca="1">IF($BI7&lt;&gt;"",IF('Capacity summary'!$D$14="Yes",IF(COUNTBLANK('Capacity summary'!$H126:$BG126)&lt;52,IF('Capacity summary'!S126&lt;&gt;"",IF(LOWER('Capacity summary'!S126)="x",$BI7*S7,VALUE('Capacity summary'!S126)),0),S7*$BI7),S7*$BI7),0)</f>
        <v>1.6153846153846154</v>
      </c>
      <c r="BW7" s="311">
        <f ca="1">IF($BI7&lt;&gt;"",IF('Capacity summary'!$D$14="Yes",IF(COUNTBLANK('Capacity summary'!$H126:$BG126)&lt;52,IF('Capacity summary'!T126&lt;&gt;"",IF(LOWER('Capacity summary'!T126)="x",$BI7*T7,VALUE('Capacity summary'!T126)),0),T7*$BI7),T7*$BI7),0)</f>
        <v>1.6153846153846154</v>
      </c>
      <c r="BX7" s="311">
        <f ca="1">IF($BI7&lt;&gt;"",IF('Capacity summary'!$D$14="Yes",IF(COUNTBLANK('Capacity summary'!$H126:$BG126)&lt;52,IF('Capacity summary'!U126&lt;&gt;"",IF(LOWER('Capacity summary'!U126)="x",$BI7*U7,VALUE('Capacity summary'!U126)),0),U7*$BI7),U7*$BI7),0)</f>
        <v>1.6153846153846154</v>
      </c>
      <c r="BY7" s="311">
        <f ca="1">IF($BI7&lt;&gt;"",IF('Capacity summary'!$D$14="Yes",IF(COUNTBLANK('Capacity summary'!$H126:$BG126)&lt;52,IF('Capacity summary'!V126&lt;&gt;"",IF(LOWER('Capacity summary'!V126)="x",$BI7*V7,VALUE('Capacity summary'!V126)),0),V7*$BI7),V7*$BI7),0)</f>
        <v>1.6153846153846154</v>
      </c>
      <c r="BZ7" s="311">
        <f ca="1">IF($BI7&lt;&gt;"",IF('Capacity summary'!$D$14="Yes",IF(COUNTBLANK('Capacity summary'!$H126:$BG126)&lt;52,IF('Capacity summary'!W126&lt;&gt;"",IF(LOWER('Capacity summary'!W126)="x",$BI7*W7,VALUE('Capacity summary'!W126)),0),W7*$BI7),W7*$BI7),0)</f>
        <v>1.6153846153846154</v>
      </c>
      <c r="CA7" s="311">
        <f ca="1">IF($BI7&lt;&gt;"",IF('Capacity summary'!$D$14="Yes",IF(COUNTBLANK('Capacity summary'!$H126:$BG126)&lt;52,IF('Capacity summary'!X126&lt;&gt;"",IF(LOWER('Capacity summary'!X126)="x",$BI7*X7,VALUE('Capacity summary'!X126)),0),X7*$BI7),X7*$BI7),0)</f>
        <v>1.6153846153846154</v>
      </c>
      <c r="CB7" s="311">
        <f ca="1">IF($BI7&lt;&gt;"",IF('Capacity summary'!$D$14="Yes",IF(COUNTBLANK('Capacity summary'!$H126:$BG126)&lt;52,IF('Capacity summary'!Y126&lt;&gt;"",IF(LOWER('Capacity summary'!Y126)="x",$BI7*Y7,VALUE('Capacity summary'!Y126)),0),Y7*$BI7),Y7*$BI7),0)</f>
        <v>1.6153846153846154</v>
      </c>
      <c r="CC7" s="311">
        <f ca="1">IF($BI7&lt;&gt;"",IF('Capacity summary'!$D$14="Yes",IF(COUNTBLANK('Capacity summary'!$H126:$BG126)&lt;52,IF('Capacity summary'!Z126&lt;&gt;"",IF(LOWER('Capacity summary'!Z126)="x",$BI7*Z7,VALUE('Capacity summary'!Z126)),0),Z7*$BI7),Z7*$BI7),0)</f>
        <v>1.6153846153846154</v>
      </c>
      <c r="CD7" s="311">
        <f ca="1">IF($BI7&lt;&gt;"",IF('Capacity summary'!$D$14="Yes",IF(COUNTBLANK('Capacity summary'!$H126:$BG126)&lt;52,IF('Capacity summary'!AA126&lt;&gt;"",IF(LOWER('Capacity summary'!AA126)="x",$BI7*AA7,VALUE('Capacity summary'!AA126)),0),AA7*$BI7),AA7*$BI7),0)</f>
        <v>1.6153846153846154</v>
      </c>
      <c r="CE7" s="311">
        <f ca="1">IF($BI7&lt;&gt;"",IF('Capacity summary'!$D$14="Yes",IF(COUNTBLANK('Capacity summary'!$H126:$BG126)&lt;52,IF('Capacity summary'!AB126&lt;&gt;"",IF(LOWER('Capacity summary'!AB126)="x",$BI7*AB7,VALUE('Capacity summary'!AB126)),0),AB7*$BI7),AB7*$BI7),0)</f>
        <v>1.6153846153846154</v>
      </c>
      <c r="CF7" s="311">
        <f ca="1">IF($BI7&lt;&gt;"",IF('Capacity summary'!$D$14="Yes",IF(COUNTBLANK('Capacity summary'!$H126:$BG126)&lt;52,IF('Capacity summary'!AC126&lt;&gt;"",IF(LOWER('Capacity summary'!AC126)="x",$BI7*AC7,VALUE('Capacity summary'!AC126)),0),AC7*$BI7),AC7*$BI7),0)</f>
        <v>1.6153846153846154</v>
      </c>
      <c r="CG7" s="311">
        <f ca="1">IF($BI7&lt;&gt;"",IF('Capacity summary'!$D$14="Yes",IF(COUNTBLANK('Capacity summary'!$H126:$BG126)&lt;52,IF('Capacity summary'!AD126&lt;&gt;"",IF(LOWER('Capacity summary'!AD126)="x",$BI7*AD7,VALUE('Capacity summary'!AD126)),0),AD7*$BI7),AD7*$BI7),0)</f>
        <v>1.6153846153846154</v>
      </c>
      <c r="CH7" s="311">
        <f ca="1">IF($BI7&lt;&gt;"",IF('Capacity summary'!$D$14="Yes",IF(COUNTBLANK('Capacity summary'!$H126:$BG126)&lt;52,IF('Capacity summary'!AE126&lt;&gt;"",IF(LOWER('Capacity summary'!AE126)="x",$BI7*AE7,VALUE('Capacity summary'!AE126)),0),AE7*$BI7),AE7*$BI7),0)</f>
        <v>1.6153846153846154</v>
      </c>
      <c r="CI7" s="311">
        <f ca="1">IF($BI7&lt;&gt;"",IF('Capacity summary'!$D$14="Yes",IF(COUNTBLANK('Capacity summary'!$H126:$BG126)&lt;52,IF('Capacity summary'!AF126&lt;&gt;"",IF(LOWER('Capacity summary'!AF126)="x",$BI7*AF7,VALUE('Capacity summary'!AF126)),0),AF7*$BI7),AF7*$BI7),0)</f>
        <v>1.6153846153846154</v>
      </c>
      <c r="CJ7" s="311">
        <f ca="1">IF($BI7&lt;&gt;"",IF('Capacity summary'!$D$14="Yes",IF(COUNTBLANK('Capacity summary'!$H126:$BG126)&lt;52,IF('Capacity summary'!AG126&lt;&gt;"",IF(LOWER('Capacity summary'!AG126)="x",$BI7*AG7,VALUE('Capacity summary'!AG126)),0),AG7*$BI7),AG7*$BI7),0)</f>
        <v>1.6153846153846154</v>
      </c>
      <c r="CK7" s="311">
        <f ca="1">IF($BI7&lt;&gt;"",IF('Capacity summary'!$D$14="Yes",IF(COUNTBLANK('Capacity summary'!$H126:$BG126)&lt;52,IF('Capacity summary'!AH126&lt;&gt;"",IF(LOWER('Capacity summary'!AH126)="x",$BI7*AH7,VALUE('Capacity summary'!AH126)),0),AH7*$BI7),AH7*$BI7),0)</f>
        <v>1.6153846153846154</v>
      </c>
      <c r="CL7" s="311">
        <f ca="1">IF($BI7&lt;&gt;"",IF('Capacity summary'!$D$14="Yes",IF(COUNTBLANK('Capacity summary'!$H126:$BG126)&lt;52,IF('Capacity summary'!AI126&lt;&gt;"",IF(LOWER('Capacity summary'!AI126)="x",$BI7*AI7,VALUE('Capacity summary'!AI126)),0),AI7*$BI7),AI7*$BI7),0)</f>
        <v>1.6153846153846154</v>
      </c>
      <c r="CM7" s="311">
        <f ca="1">IF($BI7&lt;&gt;"",IF('Capacity summary'!$D$14="Yes",IF(COUNTBLANK('Capacity summary'!$H126:$BG126)&lt;52,IF('Capacity summary'!AJ126&lt;&gt;"",IF(LOWER('Capacity summary'!AJ126)="x",$BI7*AJ7,VALUE('Capacity summary'!AJ126)),0),AJ7*$BI7),AJ7*$BI7),0)</f>
        <v>1.6153846153846154</v>
      </c>
      <c r="CN7" s="311">
        <f ca="1">IF($BI7&lt;&gt;"",IF('Capacity summary'!$D$14="Yes",IF(COUNTBLANK('Capacity summary'!$H126:$BG126)&lt;52,IF('Capacity summary'!AK126&lt;&gt;"",IF(LOWER('Capacity summary'!AK126)="x",$BI7*AK7,VALUE('Capacity summary'!AK126)),0),AK7*$BI7),AK7*$BI7),0)</f>
        <v>1.6153846153846154</v>
      </c>
      <c r="CO7" s="311">
        <f ca="1">IF($BI7&lt;&gt;"",IF('Capacity summary'!$D$14="Yes",IF(COUNTBLANK('Capacity summary'!$H126:$BG126)&lt;52,IF('Capacity summary'!AL126&lt;&gt;"",IF(LOWER('Capacity summary'!AL126)="x",$BI7*AL7,VALUE('Capacity summary'!AL126)),0),AL7*$BI7),AL7*$BI7),0)</f>
        <v>1.6153846153846154</v>
      </c>
      <c r="CP7" s="311">
        <f ca="1">IF($BI7&lt;&gt;"",IF('Capacity summary'!$D$14="Yes",IF(COUNTBLANK('Capacity summary'!$H126:$BG126)&lt;52,IF('Capacity summary'!AM126&lt;&gt;"",IF(LOWER('Capacity summary'!AM126)="x",$BI7*AM7,VALUE('Capacity summary'!AM126)),0),AM7*$BI7),AM7*$BI7),0)</f>
        <v>1.6153846153846154</v>
      </c>
      <c r="CQ7" s="311">
        <f ca="1">IF($BI7&lt;&gt;"",IF('Capacity summary'!$D$14="Yes",IF(COUNTBLANK('Capacity summary'!$H126:$BG126)&lt;52,IF('Capacity summary'!AN126&lt;&gt;"",IF(LOWER('Capacity summary'!AN126)="x",$BI7*AN7,VALUE('Capacity summary'!AN126)),0),AN7*$BI7),AN7*$BI7),0)</f>
        <v>1.6153846153846154</v>
      </c>
      <c r="CR7" s="311">
        <f ca="1">IF($BI7&lt;&gt;"",IF('Capacity summary'!$D$14="Yes",IF(COUNTBLANK('Capacity summary'!$H126:$BG126)&lt;52,IF('Capacity summary'!AO126&lt;&gt;"",IF(LOWER('Capacity summary'!AO126)="x",$BI7*AO7,VALUE('Capacity summary'!AO126)),0),AO7*$BI7),AO7*$BI7),0)</f>
        <v>1.6153846153846154</v>
      </c>
      <c r="CS7" s="311">
        <f ca="1">IF($BI7&lt;&gt;"",IF('Capacity summary'!$D$14="Yes",IF(COUNTBLANK('Capacity summary'!$H126:$BG126)&lt;52,IF('Capacity summary'!AP126&lt;&gt;"",IF(LOWER('Capacity summary'!AP126)="x",$BI7*AP7,VALUE('Capacity summary'!AP126)),0),AP7*$BI7),AP7*$BI7),0)</f>
        <v>1.6153846153846154</v>
      </c>
      <c r="CT7" s="311">
        <f ca="1">IF($BI7&lt;&gt;"",IF('Capacity summary'!$D$14="Yes",IF(COUNTBLANK('Capacity summary'!$H126:$BG126)&lt;52,IF('Capacity summary'!AQ126&lt;&gt;"",IF(LOWER('Capacity summary'!AQ126)="x",$BI7*AQ7,VALUE('Capacity summary'!AQ126)),0),AQ7*$BI7),AQ7*$BI7),0)</f>
        <v>1.6153846153846154</v>
      </c>
      <c r="CU7" s="311">
        <f ca="1">IF($BI7&lt;&gt;"",IF('Capacity summary'!$D$14="Yes",IF(COUNTBLANK('Capacity summary'!$H126:$BG126)&lt;52,IF('Capacity summary'!AR126&lt;&gt;"",IF(LOWER('Capacity summary'!AR126)="x",$BI7*AR7,VALUE('Capacity summary'!AR126)),0),AR7*$BI7),AR7*$BI7),0)</f>
        <v>1.6153846153846154</v>
      </c>
      <c r="CV7" s="311">
        <f ca="1">IF($BI7&lt;&gt;"",IF('Capacity summary'!$D$14="Yes",IF(COUNTBLANK('Capacity summary'!$H126:$BG126)&lt;52,IF('Capacity summary'!AS126&lt;&gt;"",IF(LOWER('Capacity summary'!AS126)="x",$BI7*AS7,VALUE('Capacity summary'!AS126)),0),AS7*$BI7),AS7*$BI7),0)</f>
        <v>1.6153846153846154</v>
      </c>
      <c r="CW7" s="311">
        <f ca="1">IF($BI7&lt;&gt;"",IF('Capacity summary'!$D$14="Yes",IF(COUNTBLANK('Capacity summary'!$H126:$BG126)&lt;52,IF('Capacity summary'!AT126&lt;&gt;"",IF(LOWER('Capacity summary'!AT126)="x",$BI7*AT7,VALUE('Capacity summary'!AT126)),0),AT7*$BI7),AT7*$BI7),0)</f>
        <v>1.6153846153846154</v>
      </c>
      <c r="CX7" s="311">
        <f ca="1">IF($BI7&lt;&gt;"",IF('Capacity summary'!$D$14="Yes",IF(COUNTBLANK('Capacity summary'!$H126:$BG126)&lt;52,IF('Capacity summary'!AU126&lt;&gt;"",IF(LOWER('Capacity summary'!AU126)="x",$BI7*AU7,VALUE('Capacity summary'!AU126)),0),AU7*$BI7),AU7*$BI7),0)</f>
        <v>1.6153846153846154</v>
      </c>
      <c r="CY7" s="311">
        <f ca="1">IF($BI7&lt;&gt;"",IF('Capacity summary'!$D$14="Yes",IF(COUNTBLANK('Capacity summary'!$H126:$BG126)&lt;52,IF('Capacity summary'!AV126&lt;&gt;"",IF(LOWER('Capacity summary'!AV126)="x",$BI7*AV7,VALUE('Capacity summary'!AV126)),0),AV7*$BI7),AV7*$BI7),0)</f>
        <v>1.6153846153846154</v>
      </c>
      <c r="CZ7" s="311">
        <f ca="1">IF($BI7&lt;&gt;"",IF('Capacity summary'!$D$14="Yes",IF(COUNTBLANK('Capacity summary'!$H126:$BG126)&lt;52,IF('Capacity summary'!AW126&lt;&gt;"",IF(LOWER('Capacity summary'!AW126)="x",$BI7*AW7,VALUE('Capacity summary'!AW126)),0),AW7*$BI7),AW7*$BI7),0)</f>
        <v>1.6153846153846154</v>
      </c>
      <c r="DA7" s="311">
        <f ca="1">IF($BI7&lt;&gt;"",IF('Capacity summary'!$D$14="Yes",IF(COUNTBLANK('Capacity summary'!$H126:$BG126)&lt;52,IF('Capacity summary'!AX126&lt;&gt;"",IF(LOWER('Capacity summary'!AX126)="x",$BI7*AX7,VALUE('Capacity summary'!AX126)),0),AX7*$BI7),AX7*$BI7),0)</f>
        <v>1.6153846153846154</v>
      </c>
      <c r="DB7" s="311">
        <f ca="1">IF($BI7&lt;&gt;"",IF('Capacity summary'!$D$14="Yes",IF(COUNTBLANK('Capacity summary'!$H126:$BG126)&lt;52,IF('Capacity summary'!AY126&lt;&gt;"",IF(LOWER('Capacity summary'!AY126)="x",$BI7*AY7,VALUE('Capacity summary'!AY126)),0),AY7*$BI7),AY7*$BI7),0)</f>
        <v>1.6153846153846154</v>
      </c>
      <c r="DC7" s="311">
        <f ca="1">IF($BI7&lt;&gt;"",IF('Capacity summary'!$D$14="Yes",IF(COUNTBLANK('Capacity summary'!$H126:$BG126)&lt;52,IF('Capacity summary'!AZ126&lt;&gt;"",IF(LOWER('Capacity summary'!AZ126)="x",$BI7*AZ7,VALUE('Capacity summary'!AZ126)),0),AZ7*$BI7),AZ7*$BI7),0)</f>
        <v>1.6153846153846154</v>
      </c>
      <c r="DD7" s="311">
        <f ca="1">IF($BI7&lt;&gt;"",IF('Capacity summary'!$D$14="Yes",IF(COUNTBLANK('Capacity summary'!$H126:$BG126)&lt;52,IF('Capacity summary'!BA126&lt;&gt;"",IF(LOWER('Capacity summary'!BA126)="x",$BI7*BA7,VALUE('Capacity summary'!BA126)),0),BA7*$BI7),BA7*$BI7),0)</f>
        <v>1.6153846153846154</v>
      </c>
      <c r="DE7" s="311">
        <f ca="1">IF($BI7&lt;&gt;"",IF('Capacity summary'!$D$14="Yes",IF(COUNTBLANK('Capacity summary'!$H126:$BG126)&lt;52,IF('Capacity summary'!BB126&lt;&gt;"",IF(LOWER('Capacity summary'!BB126)="x",$BI7*BB7,VALUE('Capacity summary'!BB126)),0),BB7*$BI7),BB7*$BI7),0)</f>
        <v>1.6153846153846154</v>
      </c>
      <c r="DF7" s="311">
        <f ca="1">IF($BI7&lt;&gt;"",IF('Capacity summary'!$D$14="Yes",IF(COUNTBLANK('Capacity summary'!$H126:$BG126)&lt;52,IF('Capacity summary'!BC126&lt;&gt;"",IF(LOWER('Capacity summary'!BC126)="x",$BI7*BC7,VALUE('Capacity summary'!BC126)),0),BC7*$BI7),BC7*$BI7),0)</f>
        <v>1.6153846153846154</v>
      </c>
      <c r="DG7" s="311">
        <f ca="1">IF($BI7&lt;&gt;"",IF('Capacity summary'!$D$14="Yes",IF(COUNTBLANK('Capacity summary'!$H126:$BG126)&lt;52,IF('Capacity summary'!BD126&lt;&gt;"",IF(LOWER('Capacity summary'!BD126)="x",$BI7*BD7,VALUE('Capacity summary'!BD126)),0),BD7*$BI7),BD7*$BI7),0)</f>
        <v>1.6153846153846154</v>
      </c>
      <c r="DH7" s="311">
        <f ca="1">IF($BI7&lt;&gt;"",IF('Capacity summary'!$D$14="Yes",IF(COUNTBLANK('Capacity summary'!$H126:$BG126)&lt;52,IF('Capacity summary'!BE126&lt;&gt;"",IF(LOWER('Capacity summary'!BE126)="x",$BI7*BE7,VALUE('Capacity summary'!BE126)),0),BE7*$BI7),BE7*$BI7),0)</f>
        <v>1.6153846153846154</v>
      </c>
      <c r="DI7" s="311">
        <f ca="1">IF($BI7&lt;&gt;"",IF('Capacity summary'!$D$14="Yes",IF(COUNTBLANK('Capacity summary'!$H126:$BG126)&lt;52,IF('Capacity summary'!BF126&lt;&gt;"",IF(LOWER('Capacity summary'!BF126)="x",$BI7*BF7,VALUE('Capacity summary'!BF126)),0),BF7*$BI7),BF7*$BI7),0)</f>
        <v>1.6153846153846154</v>
      </c>
      <c r="DJ7" s="311">
        <f ca="1">IF($BI7&lt;&gt;"",IF('Capacity summary'!$D$14="Yes",IF(COUNTBLANK('Capacity summary'!$H126:$BG126)&lt;52,IF('Capacity summary'!BG126&lt;&gt;"",IF(LOWER('Capacity summary'!BG126)="x",$BI7*BG7,VALUE('Capacity summary'!BG126)),0),BG7*$BI7),BG7*$BI7),0)</f>
        <v>1.6153846153846154</v>
      </c>
      <c r="DK7" s="390">
        <f t="shared" ca="1" si="2"/>
        <v>1.6153846153846154</v>
      </c>
      <c r="DL7" s="136">
        <f t="shared" ca="1" si="3"/>
        <v>83.999999999999943</v>
      </c>
      <c r="DM7" s="311">
        <f>Capacity!H19</f>
        <v>84</v>
      </c>
      <c r="DQ7" s="5"/>
    </row>
    <row r="8" spans="1:121" x14ac:dyDescent="0.2">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0.92307692307692313</v>
      </c>
      <c r="BK8" s="311">
        <f ca="1">IF($BI8&lt;&gt;"",IF('Capacity summary'!$D$14="Yes",IF(COUNTBLANK('Capacity summary'!$H127:$BG127)&lt;52,IF('Capacity summary'!H127&lt;&gt;"",IF(LOWER('Capacity summary'!H127)="x",$BI8*H8,VALUE('Capacity summary'!H127)),0),H8*$BI8),H8*$BI8),0)</f>
        <v>0.92307692307692313</v>
      </c>
      <c r="BL8" s="311">
        <f ca="1">IF($BI8&lt;&gt;"",IF('Capacity summary'!$D$14="Yes",IF(COUNTBLANK('Capacity summary'!$H127:$BG127)&lt;52,IF('Capacity summary'!I127&lt;&gt;"",IF(LOWER('Capacity summary'!I127)="x",$BI8*I8,VALUE('Capacity summary'!I127)),0),I8*$BI8),I8*$BI8),0)</f>
        <v>0.92307692307692313</v>
      </c>
      <c r="BM8" s="311">
        <f ca="1">IF($BI8&lt;&gt;"",IF('Capacity summary'!$D$14="Yes",IF(COUNTBLANK('Capacity summary'!$H127:$BG127)&lt;52,IF('Capacity summary'!J127&lt;&gt;"",IF(LOWER('Capacity summary'!J127)="x",$BI8*J8,VALUE('Capacity summary'!J127)),0),J8*$BI8),J8*$BI8),0)</f>
        <v>0.92307692307692313</v>
      </c>
      <c r="BN8" s="311">
        <f ca="1">IF($BI8&lt;&gt;"",IF('Capacity summary'!$D$14="Yes",IF(COUNTBLANK('Capacity summary'!$H127:$BG127)&lt;52,IF('Capacity summary'!K127&lt;&gt;"",IF(LOWER('Capacity summary'!K127)="x",$BI8*K8,VALUE('Capacity summary'!K127)),0),K8*$BI8),K8*$BI8),0)</f>
        <v>0.92307692307692313</v>
      </c>
      <c r="BO8" s="311">
        <f ca="1">IF($BI8&lt;&gt;"",IF('Capacity summary'!$D$14="Yes",IF(COUNTBLANK('Capacity summary'!$H127:$BG127)&lt;52,IF('Capacity summary'!L127&lt;&gt;"",IF(LOWER('Capacity summary'!L127)="x",$BI8*L8,VALUE('Capacity summary'!L127)),0),L8*$BI8),L8*$BI8),0)</f>
        <v>0.92307692307692313</v>
      </c>
      <c r="BP8" s="311">
        <f ca="1">IF($BI8&lt;&gt;"",IF('Capacity summary'!$D$14="Yes",IF(COUNTBLANK('Capacity summary'!$H127:$BG127)&lt;52,IF('Capacity summary'!M127&lt;&gt;"",IF(LOWER('Capacity summary'!M127)="x",$BI8*M8,VALUE('Capacity summary'!M127)),0),M8*$BI8),M8*$BI8),0)</f>
        <v>0.92307692307692313</v>
      </c>
      <c r="BQ8" s="311">
        <f ca="1">IF($BI8&lt;&gt;"",IF('Capacity summary'!$D$14="Yes",IF(COUNTBLANK('Capacity summary'!$H127:$BG127)&lt;52,IF('Capacity summary'!N127&lt;&gt;"",IF(LOWER('Capacity summary'!N127)="x",$BI8*N8,VALUE('Capacity summary'!N127)),0),N8*$BI8),N8*$BI8),0)</f>
        <v>0.92307692307692313</v>
      </c>
      <c r="BR8" s="311">
        <f ca="1">IF($BI8&lt;&gt;"",IF('Capacity summary'!$D$14="Yes",IF(COUNTBLANK('Capacity summary'!$H127:$BG127)&lt;52,IF('Capacity summary'!O127&lt;&gt;"",IF(LOWER('Capacity summary'!O127)="x",$BI8*O8,VALUE('Capacity summary'!O127)),0),O8*$BI8),O8*$BI8),0)</f>
        <v>0.92307692307692313</v>
      </c>
      <c r="BS8" s="311">
        <f ca="1">IF($BI8&lt;&gt;"",IF('Capacity summary'!$D$14="Yes",IF(COUNTBLANK('Capacity summary'!$H127:$BG127)&lt;52,IF('Capacity summary'!P127&lt;&gt;"",IF(LOWER('Capacity summary'!P127)="x",$BI8*P8,VALUE('Capacity summary'!P127)),0),P8*$BI8),P8*$BI8),0)</f>
        <v>0.92307692307692313</v>
      </c>
      <c r="BT8" s="311">
        <f ca="1">IF($BI8&lt;&gt;"",IF('Capacity summary'!$D$14="Yes",IF(COUNTBLANK('Capacity summary'!$H127:$BG127)&lt;52,IF('Capacity summary'!Q127&lt;&gt;"",IF(LOWER('Capacity summary'!Q127)="x",$BI8*Q8,VALUE('Capacity summary'!Q127)),0),Q8*$BI8),Q8*$BI8),0)</f>
        <v>0.92307692307692313</v>
      </c>
      <c r="BU8" s="311">
        <f ca="1">IF($BI8&lt;&gt;"",IF('Capacity summary'!$D$14="Yes",IF(COUNTBLANK('Capacity summary'!$H127:$BG127)&lt;52,IF('Capacity summary'!R127&lt;&gt;"",IF(LOWER('Capacity summary'!R127)="x",$BI8*R8,VALUE('Capacity summary'!R127)),0),R8*$BI8),R8*$BI8),0)</f>
        <v>0.92307692307692313</v>
      </c>
      <c r="BV8" s="311">
        <f ca="1">IF($BI8&lt;&gt;"",IF('Capacity summary'!$D$14="Yes",IF(COUNTBLANK('Capacity summary'!$H127:$BG127)&lt;52,IF('Capacity summary'!S127&lt;&gt;"",IF(LOWER('Capacity summary'!S127)="x",$BI8*S8,VALUE('Capacity summary'!S127)),0),S8*$BI8),S8*$BI8),0)</f>
        <v>0.92307692307692313</v>
      </c>
      <c r="BW8" s="311">
        <f ca="1">IF($BI8&lt;&gt;"",IF('Capacity summary'!$D$14="Yes",IF(COUNTBLANK('Capacity summary'!$H127:$BG127)&lt;52,IF('Capacity summary'!T127&lt;&gt;"",IF(LOWER('Capacity summary'!T127)="x",$BI8*T8,VALUE('Capacity summary'!T127)),0),T8*$BI8),T8*$BI8),0)</f>
        <v>0.92307692307692313</v>
      </c>
      <c r="BX8" s="311">
        <f ca="1">IF($BI8&lt;&gt;"",IF('Capacity summary'!$D$14="Yes",IF(COUNTBLANK('Capacity summary'!$H127:$BG127)&lt;52,IF('Capacity summary'!U127&lt;&gt;"",IF(LOWER('Capacity summary'!U127)="x",$BI8*U8,VALUE('Capacity summary'!U127)),0),U8*$BI8),U8*$BI8),0)</f>
        <v>0.92307692307692313</v>
      </c>
      <c r="BY8" s="311">
        <f ca="1">IF($BI8&lt;&gt;"",IF('Capacity summary'!$D$14="Yes",IF(COUNTBLANK('Capacity summary'!$H127:$BG127)&lt;52,IF('Capacity summary'!V127&lt;&gt;"",IF(LOWER('Capacity summary'!V127)="x",$BI8*V8,VALUE('Capacity summary'!V127)),0),V8*$BI8),V8*$BI8),0)</f>
        <v>0.92307692307692313</v>
      </c>
      <c r="BZ8" s="311">
        <f ca="1">IF($BI8&lt;&gt;"",IF('Capacity summary'!$D$14="Yes",IF(COUNTBLANK('Capacity summary'!$H127:$BG127)&lt;52,IF('Capacity summary'!W127&lt;&gt;"",IF(LOWER('Capacity summary'!W127)="x",$BI8*W8,VALUE('Capacity summary'!W127)),0),W8*$BI8),W8*$BI8),0)</f>
        <v>0.92307692307692313</v>
      </c>
      <c r="CA8" s="311">
        <f ca="1">IF($BI8&lt;&gt;"",IF('Capacity summary'!$D$14="Yes",IF(COUNTBLANK('Capacity summary'!$H127:$BG127)&lt;52,IF('Capacity summary'!X127&lt;&gt;"",IF(LOWER('Capacity summary'!X127)="x",$BI8*X8,VALUE('Capacity summary'!X127)),0),X8*$BI8),X8*$BI8),0)</f>
        <v>0.92307692307692313</v>
      </c>
      <c r="CB8" s="311">
        <f ca="1">IF($BI8&lt;&gt;"",IF('Capacity summary'!$D$14="Yes",IF(COUNTBLANK('Capacity summary'!$H127:$BG127)&lt;52,IF('Capacity summary'!Y127&lt;&gt;"",IF(LOWER('Capacity summary'!Y127)="x",$BI8*Y8,VALUE('Capacity summary'!Y127)),0),Y8*$BI8),Y8*$BI8),0)</f>
        <v>0.92307692307692313</v>
      </c>
      <c r="CC8" s="311">
        <f ca="1">IF($BI8&lt;&gt;"",IF('Capacity summary'!$D$14="Yes",IF(COUNTBLANK('Capacity summary'!$H127:$BG127)&lt;52,IF('Capacity summary'!Z127&lt;&gt;"",IF(LOWER('Capacity summary'!Z127)="x",$BI8*Z8,VALUE('Capacity summary'!Z127)),0),Z8*$BI8),Z8*$BI8),0)</f>
        <v>0.92307692307692313</v>
      </c>
      <c r="CD8" s="311">
        <f ca="1">IF($BI8&lt;&gt;"",IF('Capacity summary'!$D$14="Yes",IF(COUNTBLANK('Capacity summary'!$H127:$BG127)&lt;52,IF('Capacity summary'!AA127&lt;&gt;"",IF(LOWER('Capacity summary'!AA127)="x",$BI8*AA8,VALUE('Capacity summary'!AA127)),0),AA8*$BI8),AA8*$BI8),0)</f>
        <v>0.92307692307692313</v>
      </c>
      <c r="CE8" s="311">
        <f ca="1">IF($BI8&lt;&gt;"",IF('Capacity summary'!$D$14="Yes",IF(COUNTBLANK('Capacity summary'!$H127:$BG127)&lt;52,IF('Capacity summary'!AB127&lt;&gt;"",IF(LOWER('Capacity summary'!AB127)="x",$BI8*AB8,VALUE('Capacity summary'!AB127)),0),AB8*$BI8),AB8*$BI8),0)</f>
        <v>0.92307692307692313</v>
      </c>
      <c r="CF8" s="311">
        <f ca="1">IF($BI8&lt;&gt;"",IF('Capacity summary'!$D$14="Yes",IF(COUNTBLANK('Capacity summary'!$H127:$BG127)&lt;52,IF('Capacity summary'!AC127&lt;&gt;"",IF(LOWER('Capacity summary'!AC127)="x",$BI8*AC8,VALUE('Capacity summary'!AC127)),0),AC8*$BI8),AC8*$BI8),0)</f>
        <v>0.92307692307692313</v>
      </c>
      <c r="CG8" s="311">
        <f ca="1">IF($BI8&lt;&gt;"",IF('Capacity summary'!$D$14="Yes",IF(COUNTBLANK('Capacity summary'!$H127:$BG127)&lt;52,IF('Capacity summary'!AD127&lt;&gt;"",IF(LOWER('Capacity summary'!AD127)="x",$BI8*AD8,VALUE('Capacity summary'!AD127)),0),AD8*$BI8),AD8*$BI8),0)</f>
        <v>0.92307692307692313</v>
      </c>
      <c r="CH8" s="311">
        <f ca="1">IF($BI8&lt;&gt;"",IF('Capacity summary'!$D$14="Yes",IF(COUNTBLANK('Capacity summary'!$H127:$BG127)&lt;52,IF('Capacity summary'!AE127&lt;&gt;"",IF(LOWER('Capacity summary'!AE127)="x",$BI8*AE8,VALUE('Capacity summary'!AE127)),0),AE8*$BI8),AE8*$BI8),0)</f>
        <v>0.92307692307692313</v>
      </c>
      <c r="CI8" s="311">
        <f ca="1">IF($BI8&lt;&gt;"",IF('Capacity summary'!$D$14="Yes",IF(COUNTBLANK('Capacity summary'!$H127:$BG127)&lt;52,IF('Capacity summary'!AF127&lt;&gt;"",IF(LOWER('Capacity summary'!AF127)="x",$BI8*AF8,VALUE('Capacity summary'!AF127)),0),AF8*$BI8),AF8*$BI8),0)</f>
        <v>0.92307692307692313</v>
      </c>
      <c r="CJ8" s="311">
        <f ca="1">IF($BI8&lt;&gt;"",IF('Capacity summary'!$D$14="Yes",IF(COUNTBLANK('Capacity summary'!$H127:$BG127)&lt;52,IF('Capacity summary'!AG127&lt;&gt;"",IF(LOWER('Capacity summary'!AG127)="x",$BI8*AG8,VALUE('Capacity summary'!AG127)),0),AG8*$BI8),AG8*$BI8),0)</f>
        <v>0.92307692307692313</v>
      </c>
      <c r="CK8" s="311">
        <f ca="1">IF($BI8&lt;&gt;"",IF('Capacity summary'!$D$14="Yes",IF(COUNTBLANK('Capacity summary'!$H127:$BG127)&lt;52,IF('Capacity summary'!AH127&lt;&gt;"",IF(LOWER('Capacity summary'!AH127)="x",$BI8*AH8,VALUE('Capacity summary'!AH127)),0),AH8*$BI8),AH8*$BI8),0)</f>
        <v>0.92307692307692313</v>
      </c>
      <c r="CL8" s="311">
        <f ca="1">IF($BI8&lt;&gt;"",IF('Capacity summary'!$D$14="Yes",IF(COUNTBLANK('Capacity summary'!$H127:$BG127)&lt;52,IF('Capacity summary'!AI127&lt;&gt;"",IF(LOWER('Capacity summary'!AI127)="x",$BI8*AI8,VALUE('Capacity summary'!AI127)),0),AI8*$BI8),AI8*$BI8),0)</f>
        <v>0.92307692307692313</v>
      </c>
      <c r="CM8" s="311">
        <f ca="1">IF($BI8&lt;&gt;"",IF('Capacity summary'!$D$14="Yes",IF(COUNTBLANK('Capacity summary'!$H127:$BG127)&lt;52,IF('Capacity summary'!AJ127&lt;&gt;"",IF(LOWER('Capacity summary'!AJ127)="x",$BI8*AJ8,VALUE('Capacity summary'!AJ127)),0),AJ8*$BI8),AJ8*$BI8),0)</f>
        <v>0.92307692307692313</v>
      </c>
      <c r="CN8" s="311">
        <f ca="1">IF($BI8&lt;&gt;"",IF('Capacity summary'!$D$14="Yes",IF(COUNTBLANK('Capacity summary'!$H127:$BG127)&lt;52,IF('Capacity summary'!AK127&lt;&gt;"",IF(LOWER('Capacity summary'!AK127)="x",$BI8*AK8,VALUE('Capacity summary'!AK127)),0),AK8*$BI8),AK8*$BI8),0)</f>
        <v>0.92307692307692313</v>
      </c>
      <c r="CO8" s="311">
        <f ca="1">IF($BI8&lt;&gt;"",IF('Capacity summary'!$D$14="Yes",IF(COUNTBLANK('Capacity summary'!$H127:$BG127)&lt;52,IF('Capacity summary'!AL127&lt;&gt;"",IF(LOWER('Capacity summary'!AL127)="x",$BI8*AL8,VALUE('Capacity summary'!AL127)),0),AL8*$BI8),AL8*$BI8),0)</f>
        <v>0.92307692307692313</v>
      </c>
      <c r="CP8" s="311">
        <f ca="1">IF($BI8&lt;&gt;"",IF('Capacity summary'!$D$14="Yes",IF(COUNTBLANK('Capacity summary'!$H127:$BG127)&lt;52,IF('Capacity summary'!AM127&lt;&gt;"",IF(LOWER('Capacity summary'!AM127)="x",$BI8*AM8,VALUE('Capacity summary'!AM127)),0),AM8*$BI8),AM8*$BI8),0)</f>
        <v>0.92307692307692313</v>
      </c>
      <c r="CQ8" s="311">
        <f ca="1">IF($BI8&lt;&gt;"",IF('Capacity summary'!$D$14="Yes",IF(COUNTBLANK('Capacity summary'!$H127:$BG127)&lt;52,IF('Capacity summary'!AN127&lt;&gt;"",IF(LOWER('Capacity summary'!AN127)="x",$BI8*AN8,VALUE('Capacity summary'!AN127)),0),AN8*$BI8),AN8*$BI8),0)</f>
        <v>0.92307692307692313</v>
      </c>
      <c r="CR8" s="311">
        <f ca="1">IF($BI8&lt;&gt;"",IF('Capacity summary'!$D$14="Yes",IF(COUNTBLANK('Capacity summary'!$H127:$BG127)&lt;52,IF('Capacity summary'!AO127&lt;&gt;"",IF(LOWER('Capacity summary'!AO127)="x",$BI8*AO8,VALUE('Capacity summary'!AO127)),0),AO8*$BI8),AO8*$BI8),0)</f>
        <v>0.92307692307692313</v>
      </c>
      <c r="CS8" s="311">
        <f ca="1">IF($BI8&lt;&gt;"",IF('Capacity summary'!$D$14="Yes",IF(COUNTBLANK('Capacity summary'!$H127:$BG127)&lt;52,IF('Capacity summary'!AP127&lt;&gt;"",IF(LOWER('Capacity summary'!AP127)="x",$BI8*AP8,VALUE('Capacity summary'!AP127)),0),AP8*$BI8),AP8*$BI8),0)</f>
        <v>0.92307692307692313</v>
      </c>
      <c r="CT8" s="311">
        <f ca="1">IF($BI8&lt;&gt;"",IF('Capacity summary'!$D$14="Yes",IF(COUNTBLANK('Capacity summary'!$H127:$BG127)&lt;52,IF('Capacity summary'!AQ127&lt;&gt;"",IF(LOWER('Capacity summary'!AQ127)="x",$BI8*AQ8,VALUE('Capacity summary'!AQ127)),0),AQ8*$BI8),AQ8*$BI8),0)</f>
        <v>0.92307692307692313</v>
      </c>
      <c r="CU8" s="311">
        <f ca="1">IF($BI8&lt;&gt;"",IF('Capacity summary'!$D$14="Yes",IF(COUNTBLANK('Capacity summary'!$H127:$BG127)&lt;52,IF('Capacity summary'!AR127&lt;&gt;"",IF(LOWER('Capacity summary'!AR127)="x",$BI8*AR8,VALUE('Capacity summary'!AR127)),0),AR8*$BI8),AR8*$BI8),0)</f>
        <v>0.92307692307692313</v>
      </c>
      <c r="CV8" s="311">
        <f ca="1">IF($BI8&lt;&gt;"",IF('Capacity summary'!$D$14="Yes",IF(COUNTBLANK('Capacity summary'!$H127:$BG127)&lt;52,IF('Capacity summary'!AS127&lt;&gt;"",IF(LOWER('Capacity summary'!AS127)="x",$BI8*AS8,VALUE('Capacity summary'!AS127)),0),AS8*$BI8),AS8*$BI8),0)</f>
        <v>0.92307692307692313</v>
      </c>
      <c r="CW8" s="311">
        <f ca="1">IF($BI8&lt;&gt;"",IF('Capacity summary'!$D$14="Yes",IF(COUNTBLANK('Capacity summary'!$H127:$BG127)&lt;52,IF('Capacity summary'!AT127&lt;&gt;"",IF(LOWER('Capacity summary'!AT127)="x",$BI8*AT8,VALUE('Capacity summary'!AT127)),0),AT8*$BI8),AT8*$BI8),0)</f>
        <v>0.92307692307692313</v>
      </c>
      <c r="CX8" s="311">
        <f ca="1">IF($BI8&lt;&gt;"",IF('Capacity summary'!$D$14="Yes",IF(COUNTBLANK('Capacity summary'!$H127:$BG127)&lt;52,IF('Capacity summary'!AU127&lt;&gt;"",IF(LOWER('Capacity summary'!AU127)="x",$BI8*AU8,VALUE('Capacity summary'!AU127)),0),AU8*$BI8),AU8*$BI8),0)</f>
        <v>0.92307692307692313</v>
      </c>
      <c r="CY8" s="311">
        <f ca="1">IF($BI8&lt;&gt;"",IF('Capacity summary'!$D$14="Yes",IF(COUNTBLANK('Capacity summary'!$H127:$BG127)&lt;52,IF('Capacity summary'!AV127&lt;&gt;"",IF(LOWER('Capacity summary'!AV127)="x",$BI8*AV8,VALUE('Capacity summary'!AV127)),0),AV8*$BI8),AV8*$BI8),0)</f>
        <v>0.92307692307692313</v>
      </c>
      <c r="CZ8" s="311">
        <f ca="1">IF($BI8&lt;&gt;"",IF('Capacity summary'!$D$14="Yes",IF(COUNTBLANK('Capacity summary'!$H127:$BG127)&lt;52,IF('Capacity summary'!AW127&lt;&gt;"",IF(LOWER('Capacity summary'!AW127)="x",$BI8*AW8,VALUE('Capacity summary'!AW127)),0),AW8*$BI8),AW8*$BI8),0)</f>
        <v>0.92307692307692313</v>
      </c>
      <c r="DA8" s="311">
        <f ca="1">IF($BI8&lt;&gt;"",IF('Capacity summary'!$D$14="Yes",IF(COUNTBLANK('Capacity summary'!$H127:$BG127)&lt;52,IF('Capacity summary'!AX127&lt;&gt;"",IF(LOWER('Capacity summary'!AX127)="x",$BI8*AX8,VALUE('Capacity summary'!AX127)),0),AX8*$BI8),AX8*$BI8),0)</f>
        <v>0.92307692307692313</v>
      </c>
      <c r="DB8" s="311">
        <f ca="1">IF($BI8&lt;&gt;"",IF('Capacity summary'!$D$14="Yes",IF(COUNTBLANK('Capacity summary'!$H127:$BG127)&lt;52,IF('Capacity summary'!AY127&lt;&gt;"",IF(LOWER('Capacity summary'!AY127)="x",$BI8*AY8,VALUE('Capacity summary'!AY127)),0),AY8*$BI8),AY8*$BI8),0)</f>
        <v>0.92307692307692313</v>
      </c>
      <c r="DC8" s="311">
        <f ca="1">IF($BI8&lt;&gt;"",IF('Capacity summary'!$D$14="Yes",IF(COUNTBLANK('Capacity summary'!$H127:$BG127)&lt;52,IF('Capacity summary'!AZ127&lt;&gt;"",IF(LOWER('Capacity summary'!AZ127)="x",$BI8*AZ8,VALUE('Capacity summary'!AZ127)),0),AZ8*$BI8),AZ8*$BI8),0)</f>
        <v>0.92307692307692313</v>
      </c>
      <c r="DD8" s="311">
        <f ca="1">IF($BI8&lt;&gt;"",IF('Capacity summary'!$D$14="Yes",IF(COUNTBLANK('Capacity summary'!$H127:$BG127)&lt;52,IF('Capacity summary'!BA127&lt;&gt;"",IF(LOWER('Capacity summary'!BA127)="x",$BI8*BA8,VALUE('Capacity summary'!BA127)),0),BA8*$BI8),BA8*$BI8),0)</f>
        <v>0.92307692307692313</v>
      </c>
      <c r="DE8" s="311">
        <f ca="1">IF($BI8&lt;&gt;"",IF('Capacity summary'!$D$14="Yes",IF(COUNTBLANK('Capacity summary'!$H127:$BG127)&lt;52,IF('Capacity summary'!BB127&lt;&gt;"",IF(LOWER('Capacity summary'!BB127)="x",$BI8*BB8,VALUE('Capacity summary'!BB127)),0),BB8*$BI8),BB8*$BI8),0)</f>
        <v>0.92307692307692313</v>
      </c>
      <c r="DF8" s="311">
        <f ca="1">IF($BI8&lt;&gt;"",IF('Capacity summary'!$D$14="Yes",IF(COUNTBLANK('Capacity summary'!$H127:$BG127)&lt;52,IF('Capacity summary'!BC127&lt;&gt;"",IF(LOWER('Capacity summary'!BC127)="x",$BI8*BC8,VALUE('Capacity summary'!BC127)),0),BC8*$BI8),BC8*$BI8),0)</f>
        <v>0.92307692307692313</v>
      </c>
      <c r="DG8" s="311">
        <f ca="1">IF($BI8&lt;&gt;"",IF('Capacity summary'!$D$14="Yes",IF(COUNTBLANK('Capacity summary'!$H127:$BG127)&lt;52,IF('Capacity summary'!BD127&lt;&gt;"",IF(LOWER('Capacity summary'!BD127)="x",$BI8*BD8,VALUE('Capacity summary'!BD127)),0),BD8*$BI8),BD8*$BI8),0)</f>
        <v>0.92307692307692313</v>
      </c>
      <c r="DH8" s="311">
        <f ca="1">IF($BI8&lt;&gt;"",IF('Capacity summary'!$D$14="Yes",IF(COUNTBLANK('Capacity summary'!$H127:$BG127)&lt;52,IF('Capacity summary'!BE127&lt;&gt;"",IF(LOWER('Capacity summary'!BE127)="x",$BI8*BE8,VALUE('Capacity summary'!BE127)),0),BE8*$BI8),BE8*$BI8),0)</f>
        <v>0.92307692307692313</v>
      </c>
      <c r="DI8" s="311">
        <f ca="1">IF($BI8&lt;&gt;"",IF('Capacity summary'!$D$14="Yes",IF(COUNTBLANK('Capacity summary'!$H127:$BG127)&lt;52,IF('Capacity summary'!BF127&lt;&gt;"",IF(LOWER('Capacity summary'!BF127)="x",$BI8*BF8,VALUE('Capacity summary'!BF127)),0),BF8*$BI8),BF8*$BI8),0)</f>
        <v>0.92307692307692313</v>
      </c>
      <c r="DJ8" s="311">
        <f ca="1">IF($BI8&lt;&gt;"",IF('Capacity summary'!$D$14="Yes",IF(COUNTBLANK('Capacity summary'!$H127:$BG127)&lt;52,IF('Capacity summary'!BG127&lt;&gt;"",IF(LOWER('Capacity summary'!BG127)="x",$BI8*BG8,VALUE('Capacity summary'!BG127)),0),BG8*$BI8),BG8*$BI8),0)</f>
        <v>0.92307692307692313</v>
      </c>
      <c r="DK8" s="390">
        <f t="shared" ca="1" si="2"/>
        <v>0.92307692307692313</v>
      </c>
      <c r="DL8" s="136">
        <f t="shared" ca="1" si="3"/>
        <v>47.99999999999995</v>
      </c>
      <c r="DM8" s="311">
        <f>Capacity!H20</f>
        <v>48</v>
      </c>
      <c r="DQ8" s="5"/>
    </row>
    <row r="9" spans="1:121" x14ac:dyDescent="0.2">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 ca="1">IF(ROW(C5)&lt;=Capacity!$A$16,IF('Capacity summary'!$D$14="No",SUM(H9:BG9),'Capacity summary'!$E128),0)</f>
        <v>52</v>
      </c>
      <c r="BI9" s="5">
        <f ca="1">IF(BH9&gt;0,IF(BH9&lt;Capacity!E21,Capacity!F21,Capacity!H21/'Capacity calculation (hide)'!BH9),"")</f>
        <v>2.4230769230769229</v>
      </c>
      <c r="BK9" s="311">
        <f ca="1">IF($BI9&lt;&gt;"",IF('Capacity summary'!$D$14="Yes",IF(COUNTBLANK('Capacity summary'!$H128:$BG128)&lt;52,IF('Capacity summary'!H128&lt;&gt;"",IF(LOWER('Capacity summary'!H128)="x",$BI9*H9,VALUE('Capacity summary'!H128)),0),H9*$BI9),H9*$BI9),0)</f>
        <v>2.4230769230769229</v>
      </c>
      <c r="BL9" s="311">
        <f ca="1">IF($BI9&lt;&gt;"",IF('Capacity summary'!$D$14="Yes",IF(COUNTBLANK('Capacity summary'!$H128:$BG128)&lt;52,IF('Capacity summary'!I128&lt;&gt;"",IF(LOWER('Capacity summary'!I128)="x",$BI9*I9,VALUE('Capacity summary'!I128)),0),I9*$BI9),I9*$BI9),0)</f>
        <v>2.4230769230769229</v>
      </c>
      <c r="BM9" s="311">
        <f ca="1">IF($BI9&lt;&gt;"",IF('Capacity summary'!$D$14="Yes",IF(COUNTBLANK('Capacity summary'!$H128:$BG128)&lt;52,IF('Capacity summary'!J128&lt;&gt;"",IF(LOWER('Capacity summary'!J128)="x",$BI9*J9,VALUE('Capacity summary'!J128)),0),J9*$BI9),J9*$BI9),0)</f>
        <v>2.4230769230769229</v>
      </c>
      <c r="BN9" s="311">
        <f ca="1">IF($BI9&lt;&gt;"",IF('Capacity summary'!$D$14="Yes",IF(COUNTBLANK('Capacity summary'!$H128:$BG128)&lt;52,IF('Capacity summary'!K128&lt;&gt;"",IF(LOWER('Capacity summary'!K128)="x",$BI9*K9,VALUE('Capacity summary'!K128)),0),K9*$BI9),K9*$BI9),0)</f>
        <v>2.4230769230769229</v>
      </c>
      <c r="BO9" s="311">
        <f ca="1">IF($BI9&lt;&gt;"",IF('Capacity summary'!$D$14="Yes",IF(COUNTBLANK('Capacity summary'!$H128:$BG128)&lt;52,IF('Capacity summary'!L128&lt;&gt;"",IF(LOWER('Capacity summary'!L128)="x",$BI9*L9,VALUE('Capacity summary'!L128)),0),L9*$BI9),L9*$BI9),0)</f>
        <v>2.4230769230769229</v>
      </c>
      <c r="BP9" s="311">
        <f ca="1">IF($BI9&lt;&gt;"",IF('Capacity summary'!$D$14="Yes",IF(COUNTBLANK('Capacity summary'!$H128:$BG128)&lt;52,IF('Capacity summary'!M128&lt;&gt;"",IF(LOWER('Capacity summary'!M128)="x",$BI9*M9,VALUE('Capacity summary'!M128)),0),M9*$BI9),M9*$BI9),0)</f>
        <v>2.4230769230769229</v>
      </c>
      <c r="BQ9" s="311">
        <f ca="1">IF($BI9&lt;&gt;"",IF('Capacity summary'!$D$14="Yes",IF(COUNTBLANK('Capacity summary'!$H128:$BG128)&lt;52,IF('Capacity summary'!N128&lt;&gt;"",IF(LOWER('Capacity summary'!N128)="x",$BI9*N9,VALUE('Capacity summary'!N128)),0),N9*$BI9),N9*$BI9),0)</f>
        <v>2.4230769230769229</v>
      </c>
      <c r="BR9" s="311">
        <f ca="1">IF($BI9&lt;&gt;"",IF('Capacity summary'!$D$14="Yes",IF(COUNTBLANK('Capacity summary'!$H128:$BG128)&lt;52,IF('Capacity summary'!O128&lt;&gt;"",IF(LOWER('Capacity summary'!O128)="x",$BI9*O9,VALUE('Capacity summary'!O128)),0),O9*$BI9),O9*$BI9),0)</f>
        <v>2.4230769230769229</v>
      </c>
      <c r="BS9" s="311">
        <f ca="1">IF($BI9&lt;&gt;"",IF('Capacity summary'!$D$14="Yes",IF(COUNTBLANK('Capacity summary'!$H128:$BG128)&lt;52,IF('Capacity summary'!P128&lt;&gt;"",IF(LOWER('Capacity summary'!P128)="x",$BI9*P9,VALUE('Capacity summary'!P128)),0),P9*$BI9),P9*$BI9),0)</f>
        <v>2.4230769230769229</v>
      </c>
      <c r="BT9" s="311">
        <f ca="1">IF($BI9&lt;&gt;"",IF('Capacity summary'!$D$14="Yes",IF(COUNTBLANK('Capacity summary'!$H128:$BG128)&lt;52,IF('Capacity summary'!Q128&lt;&gt;"",IF(LOWER('Capacity summary'!Q128)="x",$BI9*Q9,VALUE('Capacity summary'!Q128)),0),Q9*$BI9),Q9*$BI9),0)</f>
        <v>2.4230769230769229</v>
      </c>
      <c r="BU9" s="311">
        <f ca="1">IF($BI9&lt;&gt;"",IF('Capacity summary'!$D$14="Yes",IF(COUNTBLANK('Capacity summary'!$H128:$BG128)&lt;52,IF('Capacity summary'!R128&lt;&gt;"",IF(LOWER('Capacity summary'!R128)="x",$BI9*R9,VALUE('Capacity summary'!R128)),0),R9*$BI9),R9*$BI9),0)</f>
        <v>2.4230769230769229</v>
      </c>
      <c r="BV9" s="311">
        <f ca="1">IF($BI9&lt;&gt;"",IF('Capacity summary'!$D$14="Yes",IF(COUNTBLANK('Capacity summary'!$H128:$BG128)&lt;52,IF('Capacity summary'!S128&lt;&gt;"",IF(LOWER('Capacity summary'!S128)="x",$BI9*S9,VALUE('Capacity summary'!S128)),0),S9*$BI9),S9*$BI9),0)</f>
        <v>2.4230769230769229</v>
      </c>
      <c r="BW9" s="311">
        <f ca="1">IF($BI9&lt;&gt;"",IF('Capacity summary'!$D$14="Yes",IF(COUNTBLANK('Capacity summary'!$H128:$BG128)&lt;52,IF('Capacity summary'!T128&lt;&gt;"",IF(LOWER('Capacity summary'!T128)="x",$BI9*T9,VALUE('Capacity summary'!T128)),0),T9*$BI9),T9*$BI9),0)</f>
        <v>2.4230769230769229</v>
      </c>
      <c r="BX9" s="311">
        <f ca="1">IF($BI9&lt;&gt;"",IF('Capacity summary'!$D$14="Yes",IF(COUNTBLANK('Capacity summary'!$H128:$BG128)&lt;52,IF('Capacity summary'!U128&lt;&gt;"",IF(LOWER('Capacity summary'!U128)="x",$BI9*U9,VALUE('Capacity summary'!U128)),0),U9*$BI9),U9*$BI9),0)</f>
        <v>2.4230769230769229</v>
      </c>
      <c r="BY9" s="311">
        <f ca="1">IF($BI9&lt;&gt;"",IF('Capacity summary'!$D$14="Yes",IF(COUNTBLANK('Capacity summary'!$H128:$BG128)&lt;52,IF('Capacity summary'!V128&lt;&gt;"",IF(LOWER('Capacity summary'!V128)="x",$BI9*V9,VALUE('Capacity summary'!V128)),0),V9*$BI9),V9*$BI9),0)</f>
        <v>2.4230769230769229</v>
      </c>
      <c r="BZ9" s="311">
        <f ca="1">IF($BI9&lt;&gt;"",IF('Capacity summary'!$D$14="Yes",IF(COUNTBLANK('Capacity summary'!$H128:$BG128)&lt;52,IF('Capacity summary'!W128&lt;&gt;"",IF(LOWER('Capacity summary'!W128)="x",$BI9*W9,VALUE('Capacity summary'!W128)),0),W9*$BI9),W9*$BI9),0)</f>
        <v>2.4230769230769229</v>
      </c>
      <c r="CA9" s="311">
        <f ca="1">IF($BI9&lt;&gt;"",IF('Capacity summary'!$D$14="Yes",IF(COUNTBLANK('Capacity summary'!$H128:$BG128)&lt;52,IF('Capacity summary'!X128&lt;&gt;"",IF(LOWER('Capacity summary'!X128)="x",$BI9*X9,VALUE('Capacity summary'!X128)),0),X9*$BI9),X9*$BI9),0)</f>
        <v>2.4230769230769229</v>
      </c>
      <c r="CB9" s="311">
        <f ca="1">IF($BI9&lt;&gt;"",IF('Capacity summary'!$D$14="Yes",IF(COUNTBLANK('Capacity summary'!$H128:$BG128)&lt;52,IF('Capacity summary'!Y128&lt;&gt;"",IF(LOWER('Capacity summary'!Y128)="x",$BI9*Y9,VALUE('Capacity summary'!Y128)),0),Y9*$BI9),Y9*$BI9),0)</f>
        <v>2.4230769230769229</v>
      </c>
      <c r="CC9" s="311">
        <f ca="1">IF($BI9&lt;&gt;"",IF('Capacity summary'!$D$14="Yes",IF(COUNTBLANK('Capacity summary'!$H128:$BG128)&lt;52,IF('Capacity summary'!Z128&lt;&gt;"",IF(LOWER('Capacity summary'!Z128)="x",$BI9*Z9,VALUE('Capacity summary'!Z128)),0),Z9*$BI9),Z9*$BI9),0)</f>
        <v>2.4230769230769229</v>
      </c>
      <c r="CD9" s="311">
        <f ca="1">IF($BI9&lt;&gt;"",IF('Capacity summary'!$D$14="Yes",IF(COUNTBLANK('Capacity summary'!$H128:$BG128)&lt;52,IF('Capacity summary'!AA128&lt;&gt;"",IF(LOWER('Capacity summary'!AA128)="x",$BI9*AA9,VALUE('Capacity summary'!AA128)),0),AA9*$BI9),AA9*$BI9),0)</f>
        <v>2.4230769230769229</v>
      </c>
      <c r="CE9" s="311">
        <f ca="1">IF($BI9&lt;&gt;"",IF('Capacity summary'!$D$14="Yes",IF(COUNTBLANK('Capacity summary'!$H128:$BG128)&lt;52,IF('Capacity summary'!AB128&lt;&gt;"",IF(LOWER('Capacity summary'!AB128)="x",$BI9*AB9,VALUE('Capacity summary'!AB128)),0),AB9*$BI9),AB9*$BI9),0)</f>
        <v>2.4230769230769229</v>
      </c>
      <c r="CF9" s="311">
        <f ca="1">IF($BI9&lt;&gt;"",IF('Capacity summary'!$D$14="Yes",IF(COUNTBLANK('Capacity summary'!$H128:$BG128)&lt;52,IF('Capacity summary'!AC128&lt;&gt;"",IF(LOWER('Capacity summary'!AC128)="x",$BI9*AC9,VALUE('Capacity summary'!AC128)),0),AC9*$BI9),AC9*$BI9),0)</f>
        <v>2.4230769230769229</v>
      </c>
      <c r="CG9" s="311">
        <f ca="1">IF($BI9&lt;&gt;"",IF('Capacity summary'!$D$14="Yes",IF(COUNTBLANK('Capacity summary'!$H128:$BG128)&lt;52,IF('Capacity summary'!AD128&lt;&gt;"",IF(LOWER('Capacity summary'!AD128)="x",$BI9*AD9,VALUE('Capacity summary'!AD128)),0),AD9*$BI9),AD9*$BI9),0)</f>
        <v>2.4230769230769229</v>
      </c>
      <c r="CH9" s="311">
        <f ca="1">IF($BI9&lt;&gt;"",IF('Capacity summary'!$D$14="Yes",IF(COUNTBLANK('Capacity summary'!$H128:$BG128)&lt;52,IF('Capacity summary'!AE128&lt;&gt;"",IF(LOWER('Capacity summary'!AE128)="x",$BI9*AE9,VALUE('Capacity summary'!AE128)),0),AE9*$BI9),AE9*$BI9),0)</f>
        <v>2.4230769230769229</v>
      </c>
      <c r="CI9" s="311">
        <f ca="1">IF($BI9&lt;&gt;"",IF('Capacity summary'!$D$14="Yes",IF(COUNTBLANK('Capacity summary'!$H128:$BG128)&lt;52,IF('Capacity summary'!AF128&lt;&gt;"",IF(LOWER('Capacity summary'!AF128)="x",$BI9*AF9,VALUE('Capacity summary'!AF128)),0),AF9*$BI9),AF9*$BI9),0)</f>
        <v>2.4230769230769229</v>
      </c>
      <c r="CJ9" s="311">
        <f ca="1">IF($BI9&lt;&gt;"",IF('Capacity summary'!$D$14="Yes",IF(COUNTBLANK('Capacity summary'!$H128:$BG128)&lt;52,IF('Capacity summary'!AG128&lt;&gt;"",IF(LOWER('Capacity summary'!AG128)="x",$BI9*AG9,VALUE('Capacity summary'!AG128)),0),AG9*$BI9),AG9*$BI9),0)</f>
        <v>2.4230769230769229</v>
      </c>
      <c r="CK9" s="311">
        <f ca="1">IF($BI9&lt;&gt;"",IF('Capacity summary'!$D$14="Yes",IF(COUNTBLANK('Capacity summary'!$H128:$BG128)&lt;52,IF('Capacity summary'!AH128&lt;&gt;"",IF(LOWER('Capacity summary'!AH128)="x",$BI9*AH9,VALUE('Capacity summary'!AH128)),0),AH9*$BI9),AH9*$BI9),0)</f>
        <v>2.4230769230769229</v>
      </c>
      <c r="CL9" s="311">
        <f ca="1">IF($BI9&lt;&gt;"",IF('Capacity summary'!$D$14="Yes",IF(COUNTBLANK('Capacity summary'!$H128:$BG128)&lt;52,IF('Capacity summary'!AI128&lt;&gt;"",IF(LOWER('Capacity summary'!AI128)="x",$BI9*AI9,VALUE('Capacity summary'!AI128)),0),AI9*$BI9),AI9*$BI9),0)</f>
        <v>2.4230769230769229</v>
      </c>
      <c r="CM9" s="311">
        <f ca="1">IF($BI9&lt;&gt;"",IF('Capacity summary'!$D$14="Yes",IF(COUNTBLANK('Capacity summary'!$H128:$BG128)&lt;52,IF('Capacity summary'!AJ128&lt;&gt;"",IF(LOWER('Capacity summary'!AJ128)="x",$BI9*AJ9,VALUE('Capacity summary'!AJ128)),0),AJ9*$BI9),AJ9*$BI9),0)</f>
        <v>2.4230769230769229</v>
      </c>
      <c r="CN9" s="311">
        <f ca="1">IF($BI9&lt;&gt;"",IF('Capacity summary'!$D$14="Yes",IF(COUNTBLANK('Capacity summary'!$H128:$BG128)&lt;52,IF('Capacity summary'!AK128&lt;&gt;"",IF(LOWER('Capacity summary'!AK128)="x",$BI9*AK9,VALUE('Capacity summary'!AK128)),0),AK9*$BI9),AK9*$BI9),0)</f>
        <v>2.4230769230769229</v>
      </c>
      <c r="CO9" s="311">
        <f ca="1">IF($BI9&lt;&gt;"",IF('Capacity summary'!$D$14="Yes",IF(COUNTBLANK('Capacity summary'!$H128:$BG128)&lt;52,IF('Capacity summary'!AL128&lt;&gt;"",IF(LOWER('Capacity summary'!AL128)="x",$BI9*AL9,VALUE('Capacity summary'!AL128)),0),AL9*$BI9),AL9*$BI9),0)</f>
        <v>2.4230769230769229</v>
      </c>
      <c r="CP9" s="311">
        <f ca="1">IF($BI9&lt;&gt;"",IF('Capacity summary'!$D$14="Yes",IF(COUNTBLANK('Capacity summary'!$H128:$BG128)&lt;52,IF('Capacity summary'!AM128&lt;&gt;"",IF(LOWER('Capacity summary'!AM128)="x",$BI9*AM9,VALUE('Capacity summary'!AM128)),0),AM9*$BI9),AM9*$BI9),0)</f>
        <v>2.4230769230769229</v>
      </c>
      <c r="CQ9" s="311">
        <f ca="1">IF($BI9&lt;&gt;"",IF('Capacity summary'!$D$14="Yes",IF(COUNTBLANK('Capacity summary'!$H128:$BG128)&lt;52,IF('Capacity summary'!AN128&lt;&gt;"",IF(LOWER('Capacity summary'!AN128)="x",$BI9*AN9,VALUE('Capacity summary'!AN128)),0),AN9*$BI9),AN9*$BI9),0)</f>
        <v>2.4230769230769229</v>
      </c>
      <c r="CR9" s="311">
        <f ca="1">IF($BI9&lt;&gt;"",IF('Capacity summary'!$D$14="Yes",IF(COUNTBLANK('Capacity summary'!$H128:$BG128)&lt;52,IF('Capacity summary'!AO128&lt;&gt;"",IF(LOWER('Capacity summary'!AO128)="x",$BI9*AO9,VALUE('Capacity summary'!AO128)),0),AO9*$BI9),AO9*$BI9),0)</f>
        <v>2.4230769230769229</v>
      </c>
      <c r="CS9" s="311">
        <f ca="1">IF($BI9&lt;&gt;"",IF('Capacity summary'!$D$14="Yes",IF(COUNTBLANK('Capacity summary'!$H128:$BG128)&lt;52,IF('Capacity summary'!AP128&lt;&gt;"",IF(LOWER('Capacity summary'!AP128)="x",$BI9*AP9,VALUE('Capacity summary'!AP128)),0),AP9*$BI9),AP9*$BI9),0)</f>
        <v>2.4230769230769229</v>
      </c>
      <c r="CT9" s="311">
        <f ca="1">IF($BI9&lt;&gt;"",IF('Capacity summary'!$D$14="Yes",IF(COUNTBLANK('Capacity summary'!$H128:$BG128)&lt;52,IF('Capacity summary'!AQ128&lt;&gt;"",IF(LOWER('Capacity summary'!AQ128)="x",$BI9*AQ9,VALUE('Capacity summary'!AQ128)),0),AQ9*$BI9),AQ9*$BI9),0)</f>
        <v>2.4230769230769229</v>
      </c>
      <c r="CU9" s="311">
        <f ca="1">IF($BI9&lt;&gt;"",IF('Capacity summary'!$D$14="Yes",IF(COUNTBLANK('Capacity summary'!$H128:$BG128)&lt;52,IF('Capacity summary'!AR128&lt;&gt;"",IF(LOWER('Capacity summary'!AR128)="x",$BI9*AR9,VALUE('Capacity summary'!AR128)),0),AR9*$BI9),AR9*$BI9),0)</f>
        <v>2.4230769230769229</v>
      </c>
      <c r="CV9" s="311">
        <f ca="1">IF($BI9&lt;&gt;"",IF('Capacity summary'!$D$14="Yes",IF(COUNTBLANK('Capacity summary'!$H128:$BG128)&lt;52,IF('Capacity summary'!AS128&lt;&gt;"",IF(LOWER('Capacity summary'!AS128)="x",$BI9*AS9,VALUE('Capacity summary'!AS128)),0),AS9*$BI9),AS9*$BI9),0)</f>
        <v>2.4230769230769229</v>
      </c>
      <c r="CW9" s="311">
        <f ca="1">IF($BI9&lt;&gt;"",IF('Capacity summary'!$D$14="Yes",IF(COUNTBLANK('Capacity summary'!$H128:$BG128)&lt;52,IF('Capacity summary'!AT128&lt;&gt;"",IF(LOWER('Capacity summary'!AT128)="x",$BI9*AT9,VALUE('Capacity summary'!AT128)),0),AT9*$BI9),AT9*$BI9),0)</f>
        <v>2.4230769230769229</v>
      </c>
      <c r="CX9" s="311">
        <f ca="1">IF($BI9&lt;&gt;"",IF('Capacity summary'!$D$14="Yes",IF(COUNTBLANK('Capacity summary'!$H128:$BG128)&lt;52,IF('Capacity summary'!AU128&lt;&gt;"",IF(LOWER('Capacity summary'!AU128)="x",$BI9*AU9,VALUE('Capacity summary'!AU128)),0),AU9*$BI9),AU9*$BI9),0)</f>
        <v>2.4230769230769229</v>
      </c>
      <c r="CY9" s="311">
        <f ca="1">IF($BI9&lt;&gt;"",IF('Capacity summary'!$D$14="Yes",IF(COUNTBLANK('Capacity summary'!$H128:$BG128)&lt;52,IF('Capacity summary'!AV128&lt;&gt;"",IF(LOWER('Capacity summary'!AV128)="x",$BI9*AV9,VALUE('Capacity summary'!AV128)),0),AV9*$BI9),AV9*$BI9),0)</f>
        <v>2.4230769230769229</v>
      </c>
      <c r="CZ9" s="311">
        <f ca="1">IF($BI9&lt;&gt;"",IF('Capacity summary'!$D$14="Yes",IF(COUNTBLANK('Capacity summary'!$H128:$BG128)&lt;52,IF('Capacity summary'!AW128&lt;&gt;"",IF(LOWER('Capacity summary'!AW128)="x",$BI9*AW9,VALUE('Capacity summary'!AW128)),0),AW9*$BI9),AW9*$BI9),0)</f>
        <v>2.4230769230769229</v>
      </c>
      <c r="DA9" s="311">
        <f ca="1">IF($BI9&lt;&gt;"",IF('Capacity summary'!$D$14="Yes",IF(COUNTBLANK('Capacity summary'!$H128:$BG128)&lt;52,IF('Capacity summary'!AX128&lt;&gt;"",IF(LOWER('Capacity summary'!AX128)="x",$BI9*AX9,VALUE('Capacity summary'!AX128)),0),AX9*$BI9),AX9*$BI9),0)</f>
        <v>2.4230769230769229</v>
      </c>
      <c r="DB9" s="311">
        <f ca="1">IF($BI9&lt;&gt;"",IF('Capacity summary'!$D$14="Yes",IF(COUNTBLANK('Capacity summary'!$H128:$BG128)&lt;52,IF('Capacity summary'!AY128&lt;&gt;"",IF(LOWER('Capacity summary'!AY128)="x",$BI9*AY9,VALUE('Capacity summary'!AY128)),0),AY9*$BI9),AY9*$BI9),0)</f>
        <v>2.4230769230769229</v>
      </c>
      <c r="DC9" s="311">
        <f ca="1">IF($BI9&lt;&gt;"",IF('Capacity summary'!$D$14="Yes",IF(COUNTBLANK('Capacity summary'!$H128:$BG128)&lt;52,IF('Capacity summary'!AZ128&lt;&gt;"",IF(LOWER('Capacity summary'!AZ128)="x",$BI9*AZ9,VALUE('Capacity summary'!AZ128)),0),AZ9*$BI9),AZ9*$BI9),0)</f>
        <v>2.4230769230769229</v>
      </c>
      <c r="DD9" s="311">
        <f ca="1">IF($BI9&lt;&gt;"",IF('Capacity summary'!$D$14="Yes",IF(COUNTBLANK('Capacity summary'!$H128:$BG128)&lt;52,IF('Capacity summary'!BA128&lt;&gt;"",IF(LOWER('Capacity summary'!BA128)="x",$BI9*BA9,VALUE('Capacity summary'!BA128)),0),BA9*$BI9),BA9*$BI9),0)</f>
        <v>2.4230769230769229</v>
      </c>
      <c r="DE9" s="311">
        <f ca="1">IF($BI9&lt;&gt;"",IF('Capacity summary'!$D$14="Yes",IF(COUNTBLANK('Capacity summary'!$H128:$BG128)&lt;52,IF('Capacity summary'!BB128&lt;&gt;"",IF(LOWER('Capacity summary'!BB128)="x",$BI9*BB9,VALUE('Capacity summary'!BB128)),0),BB9*$BI9),BB9*$BI9),0)</f>
        <v>2.4230769230769229</v>
      </c>
      <c r="DF9" s="311">
        <f ca="1">IF($BI9&lt;&gt;"",IF('Capacity summary'!$D$14="Yes",IF(COUNTBLANK('Capacity summary'!$H128:$BG128)&lt;52,IF('Capacity summary'!BC128&lt;&gt;"",IF(LOWER('Capacity summary'!BC128)="x",$BI9*BC9,VALUE('Capacity summary'!BC128)),0),BC9*$BI9),BC9*$BI9),0)</f>
        <v>2.4230769230769229</v>
      </c>
      <c r="DG9" s="311">
        <f ca="1">IF($BI9&lt;&gt;"",IF('Capacity summary'!$D$14="Yes",IF(COUNTBLANK('Capacity summary'!$H128:$BG128)&lt;52,IF('Capacity summary'!BD128&lt;&gt;"",IF(LOWER('Capacity summary'!BD128)="x",$BI9*BD9,VALUE('Capacity summary'!BD128)),0),BD9*$BI9),BD9*$BI9),0)</f>
        <v>2.4230769230769229</v>
      </c>
      <c r="DH9" s="311">
        <f ca="1">IF($BI9&lt;&gt;"",IF('Capacity summary'!$D$14="Yes",IF(COUNTBLANK('Capacity summary'!$H128:$BG128)&lt;52,IF('Capacity summary'!BE128&lt;&gt;"",IF(LOWER('Capacity summary'!BE128)="x",$BI9*BE9,VALUE('Capacity summary'!BE128)),0),BE9*$BI9),BE9*$BI9),0)</f>
        <v>2.4230769230769229</v>
      </c>
      <c r="DI9" s="311">
        <f ca="1">IF($BI9&lt;&gt;"",IF('Capacity summary'!$D$14="Yes",IF(COUNTBLANK('Capacity summary'!$H128:$BG128)&lt;52,IF('Capacity summary'!BF128&lt;&gt;"",IF(LOWER('Capacity summary'!BF128)="x",$BI9*BF9,VALUE('Capacity summary'!BF128)),0),BF9*$BI9),BF9*$BI9),0)</f>
        <v>2.4230769230769229</v>
      </c>
      <c r="DJ9" s="311">
        <f ca="1">IF($BI9&lt;&gt;"",IF('Capacity summary'!$D$14="Yes",IF(COUNTBLANK('Capacity summary'!$H128:$BG128)&lt;52,IF('Capacity summary'!BG128&lt;&gt;"",IF(LOWER('Capacity summary'!BG128)="x",$BI9*BG9,VALUE('Capacity summary'!BG128)),0),BG9*$BI9),BG9*$BI9),0)</f>
        <v>2.4230769230769229</v>
      </c>
      <c r="DK9" s="390">
        <f t="shared" ca="1" si="2"/>
        <v>2.4230769230769229</v>
      </c>
      <c r="DL9" s="136">
        <f t="shared" ca="1" si="3"/>
        <v>125.99999999999987</v>
      </c>
      <c r="DM9" s="311">
        <f>Capacity!H21</f>
        <v>126</v>
      </c>
      <c r="DQ9" s="5"/>
    </row>
    <row r="10" spans="1:121" x14ac:dyDescent="0.2">
      <c r="A10" s="67">
        <f>IF(Capacity!L22='Capacity summary'!BI129,1,0)</f>
        <v>1</v>
      </c>
      <c r="B10" s="67">
        <f>IF(Capacity!V22='Capacity summary'!BI29,1,0)</f>
        <v>1</v>
      </c>
      <c r="C10" s="67" t="str">
        <f>ROW(A6)&amp;". "&amp;Capacity!B22</f>
        <v>6. new</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 ca="1">IF(ROW(C6)&lt;=Capacity!$A$16,IF('Capacity summary'!$D$14="No",SUM(H10:BG10),'Capacity summary'!$E129),0)</f>
        <v>52</v>
      </c>
      <c r="BI10" s="5">
        <f ca="1">IF(BH10&gt;0,IF(BH10&lt;Capacity!E22,Capacity!F22,Capacity!H22/'Capacity calculation (hide)'!BH10),"")</f>
        <v>0</v>
      </c>
      <c r="BK10" s="311">
        <f ca="1">IF($BI10&lt;&gt;"",IF('Capacity summary'!$D$14="Yes",IF(COUNTBLANK('Capacity summary'!$H129:$BG129)&lt;52,IF('Capacity summary'!H129&lt;&gt;"",IF(LOWER('Capacity summary'!H129)="x",$BI10*H10,VALUE('Capacity summary'!H129)),0),H10*$BI10),H10*$BI10),0)</f>
        <v>0</v>
      </c>
      <c r="BL10" s="311">
        <f ca="1">IF($BI10&lt;&gt;"",IF('Capacity summary'!$D$14="Yes",IF(COUNTBLANK('Capacity summary'!$H129:$BG129)&lt;52,IF('Capacity summary'!I129&lt;&gt;"",IF(LOWER('Capacity summary'!I129)="x",$BI10*I10,VALUE('Capacity summary'!I129)),0),I10*$BI10),I10*$BI10),0)</f>
        <v>0</v>
      </c>
      <c r="BM10" s="311">
        <f ca="1">IF($BI10&lt;&gt;"",IF('Capacity summary'!$D$14="Yes",IF(COUNTBLANK('Capacity summary'!$H129:$BG129)&lt;52,IF('Capacity summary'!J129&lt;&gt;"",IF(LOWER('Capacity summary'!J129)="x",$BI10*J10,VALUE('Capacity summary'!J129)),0),J10*$BI10),J10*$BI10),0)</f>
        <v>0</v>
      </c>
      <c r="BN10" s="311">
        <f ca="1">IF($BI10&lt;&gt;"",IF('Capacity summary'!$D$14="Yes",IF(COUNTBLANK('Capacity summary'!$H129:$BG129)&lt;52,IF('Capacity summary'!K129&lt;&gt;"",IF(LOWER('Capacity summary'!K129)="x",$BI10*K10,VALUE('Capacity summary'!K129)),0),K10*$BI10),K10*$BI10),0)</f>
        <v>0</v>
      </c>
      <c r="BO10" s="311">
        <f ca="1">IF($BI10&lt;&gt;"",IF('Capacity summary'!$D$14="Yes",IF(COUNTBLANK('Capacity summary'!$H129:$BG129)&lt;52,IF('Capacity summary'!L129&lt;&gt;"",IF(LOWER('Capacity summary'!L129)="x",$BI10*L10,VALUE('Capacity summary'!L129)),0),L10*$BI10),L10*$BI10),0)</f>
        <v>0</v>
      </c>
      <c r="BP10" s="311">
        <f ca="1">IF($BI10&lt;&gt;"",IF('Capacity summary'!$D$14="Yes",IF(COUNTBLANK('Capacity summary'!$H129:$BG129)&lt;52,IF('Capacity summary'!M129&lt;&gt;"",IF(LOWER('Capacity summary'!M129)="x",$BI10*M10,VALUE('Capacity summary'!M129)),0),M10*$BI10),M10*$BI10),0)</f>
        <v>0</v>
      </c>
      <c r="BQ10" s="311">
        <f ca="1">IF($BI10&lt;&gt;"",IF('Capacity summary'!$D$14="Yes",IF(COUNTBLANK('Capacity summary'!$H129:$BG129)&lt;52,IF('Capacity summary'!N129&lt;&gt;"",IF(LOWER('Capacity summary'!N129)="x",$BI10*N10,VALUE('Capacity summary'!N129)),0),N10*$BI10),N10*$BI10),0)</f>
        <v>0</v>
      </c>
      <c r="BR10" s="311">
        <f ca="1">IF($BI10&lt;&gt;"",IF('Capacity summary'!$D$14="Yes",IF(COUNTBLANK('Capacity summary'!$H129:$BG129)&lt;52,IF('Capacity summary'!O129&lt;&gt;"",IF(LOWER('Capacity summary'!O129)="x",$BI10*O10,VALUE('Capacity summary'!O129)),0),O10*$BI10),O10*$BI10),0)</f>
        <v>0</v>
      </c>
      <c r="BS10" s="311">
        <f ca="1">IF($BI10&lt;&gt;"",IF('Capacity summary'!$D$14="Yes",IF(COUNTBLANK('Capacity summary'!$H129:$BG129)&lt;52,IF('Capacity summary'!P129&lt;&gt;"",IF(LOWER('Capacity summary'!P129)="x",$BI10*P10,VALUE('Capacity summary'!P129)),0),P10*$BI10),P10*$BI10),0)</f>
        <v>0</v>
      </c>
      <c r="BT10" s="311">
        <f ca="1">IF($BI10&lt;&gt;"",IF('Capacity summary'!$D$14="Yes",IF(COUNTBLANK('Capacity summary'!$H129:$BG129)&lt;52,IF('Capacity summary'!Q129&lt;&gt;"",IF(LOWER('Capacity summary'!Q129)="x",$BI10*Q10,VALUE('Capacity summary'!Q129)),0),Q10*$BI10),Q10*$BI10),0)</f>
        <v>0</v>
      </c>
      <c r="BU10" s="311">
        <f ca="1">IF($BI10&lt;&gt;"",IF('Capacity summary'!$D$14="Yes",IF(COUNTBLANK('Capacity summary'!$H129:$BG129)&lt;52,IF('Capacity summary'!R129&lt;&gt;"",IF(LOWER('Capacity summary'!R129)="x",$BI10*R10,VALUE('Capacity summary'!R129)),0),R10*$BI10),R10*$BI10),0)</f>
        <v>0</v>
      </c>
      <c r="BV10" s="311">
        <f ca="1">IF($BI10&lt;&gt;"",IF('Capacity summary'!$D$14="Yes",IF(COUNTBLANK('Capacity summary'!$H129:$BG129)&lt;52,IF('Capacity summary'!S129&lt;&gt;"",IF(LOWER('Capacity summary'!S129)="x",$BI10*S10,VALUE('Capacity summary'!S129)),0),S10*$BI10),S10*$BI10),0)</f>
        <v>0</v>
      </c>
      <c r="BW10" s="311">
        <f ca="1">IF($BI10&lt;&gt;"",IF('Capacity summary'!$D$14="Yes",IF(COUNTBLANK('Capacity summary'!$H129:$BG129)&lt;52,IF('Capacity summary'!T129&lt;&gt;"",IF(LOWER('Capacity summary'!T129)="x",$BI10*T10,VALUE('Capacity summary'!T129)),0),T10*$BI10),T10*$BI10),0)</f>
        <v>0</v>
      </c>
      <c r="BX10" s="311">
        <f ca="1">IF($BI10&lt;&gt;"",IF('Capacity summary'!$D$14="Yes",IF(COUNTBLANK('Capacity summary'!$H129:$BG129)&lt;52,IF('Capacity summary'!U129&lt;&gt;"",IF(LOWER('Capacity summary'!U129)="x",$BI10*U10,VALUE('Capacity summary'!U129)),0),U10*$BI10),U10*$BI10),0)</f>
        <v>0</v>
      </c>
      <c r="BY10" s="311">
        <f ca="1">IF($BI10&lt;&gt;"",IF('Capacity summary'!$D$14="Yes",IF(COUNTBLANK('Capacity summary'!$H129:$BG129)&lt;52,IF('Capacity summary'!V129&lt;&gt;"",IF(LOWER('Capacity summary'!V129)="x",$BI10*V10,VALUE('Capacity summary'!V129)),0),V10*$BI10),V10*$BI10),0)</f>
        <v>0</v>
      </c>
      <c r="BZ10" s="311">
        <f ca="1">IF($BI10&lt;&gt;"",IF('Capacity summary'!$D$14="Yes",IF(COUNTBLANK('Capacity summary'!$H129:$BG129)&lt;52,IF('Capacity summary'!W129&lt;&gt;"",IF(LOWER('Capacity summary'!W129)="x",$BI10*W10,VALUE('Capacity summary'!W129)),0),W10*$BI10),W10*$BI10),0)</f>
        <v>0</v>
      </c>
      <c r="CA10" s="311">
        <f ca="1">IF($BI10&lt;&gt;"",IF('Capacity summary'!$D$14="Yes",IF(COUNTBLANK('Capacity summary'!$H129:$BG129)&lt;52,IF('Capacity summary'!X129&lt;&gt;"",IF(LOWER('Capacity summary'!X129)="x",$BI10*X10,VALUE('Capacity summary'!X129)),0),X10*$BI10),X10*$BI10),0)</f>
        <v>0</v>
      </c>
      <c r="CB10" s="311">
        <f ca="1">IF($BI10&lt;&gt;"",IF('Capacity summary'!$D$14="Yes",IF(COUNTBLANK('Capacity summary'!$H129:$BG129)&lt;52,IF('Capacity summary'!Y129&lt;&gt;"",IF(LOWER('Capacity summary'!Y129)="x",$BI10*Y10,VALUE('Capacity summary'!Y129)),0),Y10*$BI10),Y10*$BI10),0)</f>
        <v>0</v>
      </c>
      <c r="CC10" s="311">
        <f ca="1">IF($BI10&lt;&gt;"",IF('Capacity summary'!$D$14="Yes",IF(COUNTBLANK('Capacity summary'!$H129:$BG129)&lt;52,IF('Capacity summary'!Z129&lt;&gt;"",IF(LOWER('Capacity summary'!Z129)="x",$BI10*Z10,VALUE('Capacity summary'!Z129)),0),Z10*$BI10),Z10*$BI10),0)</f>
        <v>0</v>
      </c>
      <c r="CD10" s="311">
        <f ca="1">IF($BI10&lt;&gt;"",IF('Capacity summary'!$D$14="Yes",IF(COUNTBLANK('Capacity summary'!$H129:$BG129)&lt;52,IF('Capacity summary'!AA129&lt;&gt;"",IF(LOWER('Capacity summary'!AA129)="x",$BI10*AA10,VALUE('Capacity summary'!AA129)),0),AA10*$BI10),AA10*$BI10),0)</f>
        <v>0</v>
      </c>
      <c r="CE10" s="311">
        <f ca="1">IF($BI10&lt;&gt;"",IF('Capacity summary'!$D$14="Yes",IF(COUNTBLANK('Capacity summary'!$H129:$BG129)&lt;52,IF('Capacity summary'!AB129&lt;&gt;"",IF(LOWER('Capacity summary'!AB129)="x",$BI10*AB10,VALUE('Capacity summary'!AB129)),0),AB10*$BI10),AB10*$BI10),0)</f>
        <v>0</v>
      </c>
      <c r="CF10" s="311">
        <f ca="1">IF($BI10&lt;&gt;"",IF('Capacity summary'!$D$14="Yes",IF(COUNTBLANK('Capacity summary'!$H129:$BG129)&lt;52,IF('Capacity summary'!AC129&lt;&gt;"",IF(LOWER('Capacity summary'!AC129)="x",$BI10*AC10,VALUE('Capacity summary'!AC129)),0),AC10*$BI10),AC10*$BI10),0)</f>
        <v>0</v>
      </c>
      <c r="CG10" s="311">
        <f ca="1">IF($BI10&lt;&gt;"",IF('Capacity summary'!$D$14="Yes",IF(COUNTBLANK('Capacity summary'!$H129:$BG129)&lt;52,IF('Capacity summary'!AD129&lt;&gt;"",IF(LOWER('Capacity summary'!AD129)="x",$BI10*AD10,VALUE('Capacity summary'!AD129)),0),AD10*$BI10),AD10*$BI10),0)</f>
        <v>0</v>
      </c>
      <c r="CH10" s="311">
        <f ca="1">IF($BI10&lt;&gt;"",IF('Capacity summary'!$D$14="Yes",IF(COUNTBLANK('Capacity summary'!$H129:$BG129)&lt;52,IF('Capacity summary'!AE129&lt;&gt;"",IF(LOWER('Capacity summary'!AE129)="x",$BI10*AE10,VALUE('Capacity summary'!AE129)),0),AE10*$BI10),AE10*$BI10),0)</f>
        <v>0</v>
      </c>
      <c r="CI10" s="311">
        <f ca="1">IF($BI10&lt;&gt;"",IF('Capacity summary'!$D$14="Yes",IF(COUNTBLANK('Capacity summary'!$H129:$BG129)&lt;52,IF('Capacity summary'!AF129&lt;&gt;"",IF(LOWER('Capacity summary'!AF129)="x",$BI10*AF10,VALUE('Capacity summary'!AF129)),0),AF10*$BI10),AF10*$BI10),0)</f>
        <v>0</v>
      </c>
      <c r="CJ10" s="311">
        <f ca="1">IF($BI10&lt;&gt;"",IF('Capacity summary'!$D$14="Yes",IF(COUNTBLANK('Capacity summary'!$H129:$BG129)&lt;52,IF('Capacity summary'!AG129&lt;&gt;"",IF(LOWER('Capacity summary'!AG129)="x",$BI10*AG10,VALUE('Capacity summary'!AG129)),0),AG10*$BI10),AG10*$BI10),0)</f>
        <v>0</v>
      </c>
      <c r="CK10" s="311">
        <f ca="1">IF($BI10&lt;&gt;"",IF('Capacity summary'!$D$14="Yes",IF(COUNTBLANK('Capacity summary'!$H129:$BG129)&lt;52,IF('Capacity summary'!AH129&lt;&gt;"",IF(LOWER('Capacity summary'!AH129)="x",$BI10*AH10,VALUE('Capacity summary'!AH129)),0),AH10*$BI10),AH10*$BI10),0)</f>
        <v>0</v>
      </c>
      <c r="CL10" s="311">
        <f ca="1">IF($BI10&lt;&gt;"",IF('Capacity summary'!$D$14="Yes",IF(COUNTBLANK('Capacity summary'!$H129:$BG129)&lt;52,IF('Capacity summary'!AI129&lt;&gt;"",IF(LOWER('Capacity summary'!AI129)="x",$BI10*AI10,VALUE('Capacity summary'!AI129)),0),AI10*$BI10),AI10*$BI10),0)</f>
        <v>0</v>
      </c>
      <c r="CM10" s="311">
        <f ca="1">IF($BI10&lt;&gt;"",IF('Capacity summary'!$D$14="Yes",IF(COUNTBLANK('Capacity summary'!$H129:$BG129)&lt;52,IF('Capacity summary'!AJ129&lt;&gt;"",IF(LOWER('Capacity summary'!AJ129)="x",$BI10*AJ10,VALUE('Capacity summary'!AJ129)),0),AJ10*$BI10),AJ10*$BI10),0)</f>
        <v>0</v>
      </c>
      <c r="CN10" s="311">
        <f ca="1">IF($BI10&lt;&gt;"",IF('Capacity summary'!$D$14="Yes",IF(COUNTBLANK('Capacity summary'!$H129:$BG129)&lt;52,IF('Capacity summary'!AK129&lt;&gt;"",IF(LOWER('Capacity summary'!AK129)="x",$BI10*AK10,VALUE('Capacity summary'!AK129)),0),AK10*$BI10),AK10*$BI10),0)</f>
        <v>0</v>
      </c>
      <c r="CO10" s="311">
        <f ca="1">IF($BI10&lt;&gt;"",IF('Capacity summary'!$D$14="Yes",IF(COUNTBLANK('Capacity summary'!$H129:$BG129)&lt;52,IF('Capacity summary'!AL129&lt;&gt;"",IF(LOWER('Capacity summary'!AL129)="x",$BI10*AL10,VALUE('Capacity summary'!AL129)),0),AL10*$BI10),AL10*$BI10),0)</f>
        <v>0</v>
      </c>
      <c r="CP10" s="311">
        <f ca="1">IF($BI10&lt;&gt;"",IF('Capacity summary'!$D$14="Yes",IF(COUNTBLANK('Capacity summary'!$H129:$BG129)&lt;52,IF('Capacity summary'!AM129&lt;&gt;"",IF(LOWER('Capacity summary'!AM129)="x",$BI10*AM10,VALUE('Capacity summary'!AM129)),0),AM10*$BI10),AM10*$BI10),0)</f>
        <v>0</v>
      </c>
      <c r="CQ10" s="311">
        <f ca="1">IF($BI10&lt;&gt;"",IF('Capacity summary'!$D$14="Yes",IF(COUNTBLANK('Capacity summary'!$H129:$BG129)&lt;52,IF('Capacity summary'!AN129&lt;&gt;"",IF(LOWER('Capacity summary'!AN129)="x",$BI10*AN10,VALUE('Capacity summary'!AN129)),0),AN10*$BI10),AN10*$BI10),0)</f>
        <v>0</v>
      </c>
      <c r="CR10" s="311">
        <f ca="1">IF($BI10&lt;&gt;"",IF('Capacity summary'!$D$14="Yes",IF(COUNTBLANK('Capacity summary'!$H129:$BG129)&lt;52,IF('Capacity summary'!AO129&lt;&gt;"",IF(LOWER('Capacity summary'!AO129)="x",$BI10*AO10,VALUE('Capacity summary'!AO129)),0),AO10*$BI10),AO10*$BI10),0)</f>
        <v>0</v>
      </c>
      <c r="CS10" s="311">
        <f ca="1">IF($BI10&lt;&gt;"",IF('Capacity summary'!$D$14="Yes",IF(COUNTBLANK('Capacity summary'!$H129:$BG129)&lt;52,IF('Capacity summary'!AP129&lt;&gt;"",IF(LOWER('Capacity summary'!AP129)="x",$BI10*AP10,VALUE('Capacity summary'!AP129)),0),AP10*$BI10),AP10*$BI10),0)</f>
        <v>0</v>
      </c>
      <c r="CT10" s="311">
        <f ca="1">IF($BI10&lt;&gt;"",IF('Capacity summary'!$D$14="Yes",IF(COUNTBLANK('Capacity summary'!$H129:$BG129)&lt;52,IF('Capacity summary'!AQ129&lt;&gt;"",IF(LOWER('Capacity summary'!AQ129)="x",$BI10*AQ10,VALUE('Capacity summary'!AQ129)),0),AQ10*$BI10),AQ10*$BI10),0)</f>
        <v>0</v>
      </c>
      <c r="CU10" s="311">
        <f ca="1">IF($BI10&lt;&gt;"",IF('Capacity summary'!$D$14="Yes",IF(COUNTBLANK('Capacity summary'!$H129:$BG129)&lt;52,IF('Capacity summary'!AR129&lt;&gt;"",IF(LOWER('Capacity summary'!AR129)="x",$BI10*AR10,VALUE('Capacity summary'!AR129)),0),AR10*$BI10),AR10*$BI10),0)</f>
        <v>0</v>
      </c>
      <c r="CV10" s="311">
        <f ca="1">IF($BI10&lt;&gt;"",IF('Capacity summary'!$D$14="Yes",IF(COUNTBLANK('Capacity summary'!$H129:$BG129)&lt;52,IF('Capacity summary'!AS129&lt;&gt;"",IF(LOWER('Capacity summary'!AS129)="x",$BI10*AS10,VALUE('Capacity summary'!AS129)),0),AS10*$BI10),AS10*$BI10),0)</f>
        <v>0</v>
      </c>
      <c r="CW10" s="311">
        <f ca="1">IF($BI10&lt;&gt;"",IF('Capacity summary'!$D$14="Yes",IF(COUNTBLANK('Capacity summary'!$H129:$BG129)&lt;52,IF('Capacity summary'!AT129&lt;&gt;"",IF(LOWER('Capacity summary'!AT129)="x",$BI10*AT10,VALUE('Capacity summary'!AT129)),0),AT10*$BI10),AT10*$BI10),0)</f>
        <v>0</v>
      </c>
      <c r="CX10" s="311">
        <f ca="1">IF($BI10&lt;&gt;"",IF('Capacity summary'!$D$14="Yes",IF(COUNTBLANK('Capacity summary'!$H129:$BG129)&lt;52,IF('Capacity summary'!AU129&lt;&gt;"",IF(LOWER('Capacity summary'!AU129)="x",$BI10*AU10,VALUE('Capacity summary'!AU129)),0),AU10*$BI10),AU10*$BI10),0)</f>
        <v>0</v>
      </c>
      <c r="CY10" s="311">
        <f ca="1">IF($BI10&lt;&gt;"",IF('Capacity summary'!$D$14="Yes",IF(COUNTBLANK('Capacity summary'!$H129:$BG129)&lt;52,IF('Capacity summary'!AV129&lt;&gt;"",IF(LOWER('Capacity summary'!AV129)="x",$BI10*AV10,VALUE('Capacity summary'!AV129)),0),AV10*$BI10),AV10*$BI10),0)</f>
        <v>0</v>
      </c>
      <c r="CZ10" s="311">
        <f ca="1">IF($BI10&lt;&gt;"",IF('Capacity summary'!$D$14="Yes",IF(COUNTBLANK('Capacity summary'!$H129:$BG129)&lt;52,IF('Capacity summary'!AW129&lt;&gt;"",IF(LOWER('Capacity summary'!AW129)="x",$BI10*AW10,VALUE('Capacity summary'!AW129)),0),AW10*$BI10),AW10*$BI10),0)</f>
        <v>0</v>
      </c>
      <c r="DA10" s="311">
        <f ca="1">IF($BI10&lt;&gt;"",IF('Capacity summary'!$D$14="Yes",IF(COUNTBLANK('Capacity summary'!$H129:$BG129)&lt;52,IF('Capacity summary'!AX129&lt;&gt;"",IF(LOWER('Capacity summary'!AX129)="x",$BI10*AX10,VALUE('Capacity summary'!AX129)),0),AX10*$BI10),AX10*$BI10),0)</f>
        <v>0</v>
      </c>
      <c r="DB10" s="311">
        <f ca="1">IF($BI10&lt;&gt;"",IF('Capacity summary'!$D$14="Yes",IF(COUNTBLANK('Capacity summary'!$H129:$BG129)&lt;52,IF('Capacity summary'!AY129&lt;&gt;"",IF(LOWER('Capacity summary'!AY129)="x",$BI10*AY10,VALUE('Capacity summary'!AY129)),0),AY10*$BI10),AY10*$BI10),0)</f>
        <v>0</v>
      </c>
      <c r="DC10" s="311">
        <f ca="1">IF($BI10&lt;&gt;"",IF('Capacity summary'!$D$14="Yes",IF(COUNTBLANK('Capacity summary'!$H129:$BG129)&lt;52,IF('Capacity summary'!AZ129&lt;&gt;"",IF(LOWER('Capacity summary'!AZ129)="x",$BI10*AZ10,VALUE('Capacity summary'!AZ129)),0),AZ10*$BI10),AZ10*$BI10),0)</f>
        <v>0</v>
      </c>
      <c r="DD10" s="311">
        <f ca="1">IF($BI10&lt;&gt;"",IF('Capacity summary'!$D$14="Yes",IF(COUNTBLANK('Capacity summary'!$H129:$BG129)&lt;52,IF('Capacity summary'!BA129&lt;&gt;"",IF(LOWER('Capacity summary'!BA129)="x",$BI10*BA10,VALUE('Capacity summary'!BA129)),0),BA10*$BI10),BA10*$BI10),0)</f>
        <v>0</v>
      </c>
      <c r="DE10" s="311">
        <f ca="1">IF($BI10&lt;&gt;"",IF('Capacity summary'!$D$14="Yes",IF(COUNTBLANK('Capacity summary'!$H129:$BG129)&lt;52,IF('Capacity summary'!BB129&lt;&gt;"",IF(LOWER('Capacity summary'!BB129)="x",$BI10*BB10,VALUE('Capacity summary'!BB129)),0),BB10*$BI10),BB10*$BI10),0)</f>
        <v>0</v>
      </c>
      <c r="DF10" s="311">
        <f ca="1">IF($BI10&lt;&gt;"",IF('Capacity summary'!$D$14="Yes",IF(COUNTBLANK('Capacity summary'!$H129:$BG129)&lt;52,IF('Capacity summary'!BC129&lt;&gt;"",IF(LOWER('Capacity summary'!BC129)="x",$BI10*BC10,VALUE('Capacity summary'!BC129)),0),BC10*$BI10),BC10*$BI10),0)</f>
        <v>0</v>
      </c>
      <c r="DG10" s="311">
        <f ca="1">IF($BI10&lt;&gt;"",IF('Capacity summary'!$D$14="Yes",IF(COUNTBLANK('Capacity summary'!$H129:$BG129)&lt;52,IF('Capacity summary'!BD129&lt;&gt;"",IF(LOWER('Capacity summary'!BD129)="x",$BI10*BD10,VALUE('Capacity summary'!BD129)),0),BD10*$BI10),BD10*$BI10),0)</f>
        <v>0</v>
      </c>
      <c r="DH10" s="311">
        <f ca="1">IF($BI10&lt;&gt;"",IF('Capacity summary'!$D$14="Yes",IF(COUNTBLANK('Capacity summary'!$H129:$BG129)&lt;52,IF('Capacity summary'!BE129&lt;&gt;"",IF(LOWER('Capacity summary'!BE129)="x",$BI10*BE10,VALUE('Capacity summary'!BE129)),0),BE10*$BI10),BE10*$BI10),0)</f>
        <v>0</v>
      </c>
      <c r="DI10" s="311">
        <f ca="1">IF($BI10&lt;&gt;"",IF('Capacity summary'!$D$14="Yes",IF(COUNTBLANK('Capacity summary'!$H129:$BG129)&lt;52,IF('Capacity summary'!BF129&lt;&gt;"",IF(LOWER('Capacity summary'!BF129)="x",$BI10*BF10,VALUE('Capacity summary'!BF129)),0),BF10*$BI10),BF10*$BI10),0)</f>
        <v>0</v>
      </c>
      <c r="DJ10" s="311">
        <f ca="1">IF($BI10&lt;&gt;"",IF('Capacity summary'!$D$14="Yes",IF(COUNTBLANK('Capacity summary'!$H129:$BG129)&lt;52,IF('Capacity summary'!BG129&lt;&gt;"",IF(LOWER('Capacity summary'!BG129)="x",$BI10*BG10,VALUE('Capacity summary'!BG129)),0),BG10*$BI10),BG10*$BI10),0)</f>
        <v>0</v>
      </c>
      <c r="DK10" s="390">
        <f t="shared" ca="1" si="2"/>
        <v>0</v>
      </c>
      <c r="DL10" s="136">
        <f t="shared" ca="1" si="3"/>
        <v>0</v>
      </c>
      <c r="DM10" s="311">
        <f>Capacity!H22</f>
        <v>0</v>
      </c>
      <c r="DQ10" s="5"/>
    </row>
    <row r="11" spans="1:121"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90">
        <f t="shared" si="2"/>
        <v>0</v>
      </c>
      <c r="DL11" s="136">
        <f t="shared" si="3"/>
        <v>0</v>
      </c>
      <c r="DM11" s="311" t="str">
        <f>Capacity!H23</f>
        <v/>
      </c>
      <c r="DQ11" s="5"/>
    </row>
    <row r="12" spans="1:121"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90">
        <f t="shared" si="2"/>
        <v>0</v>
      </c>
      <c r="DL12" s="136">
        <f t="shared" si="3"/>
        <v>0</v>
      </c>
      <c r="DM12" s="311" t="str">
        <f>Capacity!H24</f>
        <v/>
      </c>
      <c r="DQ12" s="5"/>
    </row>
    <row r="13" spans="1:121"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90">
        <f t="shared" si="2"/>
        <v>0</v>
      </c>
      <c r="DL13" s="136">
        <f t="shared" si="3"/>
        <v>0</v>
      </c>
      <c r="DM13" s="311" t="str">
        <f>Capacity!H25</f>
        <v/>
      </c>
      <c r="DQ13" s="5"/>
    </row>
    <row r="14" spans="1:121"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90">
        <f t="shared" si="2"/>
        <v>0</v>
      </c>
      <c r="DL14" s="136">
        <f t="shared" si="3"/>
        <v>0</v>
      </c>
      <c r="DM14" s="311" t="str">
        <f>Capacity!H26</f>
        <v/>
      </c>
      <c r="DQ14" s="5"/>
    </row>
    <row r="15" spans="1:121"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90">
        <f t="shared" si="2"/>
        <v>0</v>
      </c>
      <c r="DL15" s="136">
        <f t="shared" si="3"/>
        <v>0</v>
      </c>
      <c r="DM15" s="311" t="str">
        <f>Capacity!H27</f>
        <v/>
      </c>
      <c r="DQ15" s="5"/>
    </row>
    <row r="16" spans="1:121"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90">
        <f t="shared" si="2"/>
        <v>0</v>
      </c>
      <c r="DL16" s="136">
        <f t="shared" si="3"/>
        <v>0</v>
      </c>
      <c r="DM16" s="311" t="str">
        <f>Capacity!H28</f>
        <v/>
      </c>
      <c r="DQ16" s="5"/>
    </row>
    <row r="17" spans="1:121"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90">
        <f t="shared" si="2"/>
        <v>0</v>
      </c>
      <c r="DL17" s="136">
        <f t="shared" si="3"/>
        <v>0</v>
      </c>
      <c r="DM17" s="311" t="str">
        <f>Capacity!H29</f>
        <v/>
      </c>
      <c r="DQ17" s="5"/>
    </row>
    <row r="18" spans="1:121"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90">
        <f t="shared" si="2"/>
        <v>0</v>
      </c>
      <c r="DL18" s="136">
        <f t="shared" si="3"/>
        <v>0</v>
      </c>
      <c r="DM18" s="311" t="str">
        <f>Capacity!H30</f>
        <v/>
      </c>
      <c r="DQ18" s="5"/>
    </row>
    <row r="19" spans="1:121"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90">
        <f t="shared" si="2"/>
        <v>0</v>
      </c>
      <c r="DL19" s="136">
        <f t="shared" si="3"/>
        <v>0</v>
      </c>
      <c r="DM19" s="311" t="str">
        <f>Capacity!H31</f>
        <v/>
      </c>
      <c r="DQ19" s="5"/>
    </row>
    <row r="20" spans="1:121"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90">
        <f t="shared" si="2"/>
        <v>0</v>
      </c>
      <c r="DL20" s="136">
        <f t="shared" si="3"/>
        <v>0</v>
      </c>
      <c r="DM20" s="311" t="str">
        <f>Capacity!H32</f>
        <v/>
      </c>
      <c r="DQ20" s="5"/>
    </row>
    <row r="21" spans="1:121"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90">
        <f t="shared" si="2"/>
        <v>0</v>
      </c>
      <c r="DL21" s="136">
        <f t="shared" si="3"/>
        <v>0</v>
      </c>
      <c r="DM21" s="311" t="str">
        <f>Capacity!H33</f>
        <v/>
      </c>
      <c r="DQ21" s="5"/>
    </row>
    <row r="22" spans="1:121"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90">
        <f t="shared" si="2"/>
        <v>0</v>
      </c>
      <c r="DL22" s="136">
        <f t="shared" si="3"/>
        <v>0</v>
      </c>
      <c r="DM22" s="311" t="str">
        <f>Capacity!H34</f>
        <v/>
      </c>
      <c r="DQ22" s="5"/>
    </row>
    <row r="23" spans="1:121"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90">
        <f t="shared" si="2"/>
        <v>0</v>
      </c>
      <c r="DL23" s="136">
        <f t="shared" si="3"/>
        <v>0</v>
      </c>
      <c r="DM23" s="311" t="str">
        <f>Capacity!H35</f>
        <v/>
      </c>
      <c r="DQ23" s="5"/>
    </row>
    <row r="24" spans="1:121"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90">
        <f t="shared" si="2"/>
        <v>0</v>
      </c>
      <c r="DL24" s="136">
        <f t="shared" si="3"/>
        <v>0</v>
      </c>
      <c r="DM24" s="311" t="str">
        <f>Capacity!H36</f>
        <v/>
      </c>
      <c r="DQ24" s="5"/>
    </row>
    <row r="25" spans="1:121"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90">
        <f t="shared" si="2"/>
        <v>0</v>
      </c>
      <c r="DL25" s="136">
        <f t="shared" si="3"/>
        <v>0</v>
      </c>
      <c r="DM25" s="311" t="str">
        <f>Capacity!H37</f>
        <v/>
      </c>
      <c r="DQ25" s="5"/>
    </row>
    <row r="26" spans="1:121"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90">
        <f t="shared" si="2"/>
        <v>0</v>
      </c>
      <c r="DL26" s="136">
        <f t="shared" si="3"/>
        <v>0</v>
      </c>
      <c r="DM26" s="311" t="str">
        <f>Capacity!H38</f>
        <v/>
      </c>
      <c r="DQ26" s="5"/>
    </row>
    <row r="27" spans="1:121"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90">
        <f t="shared" si="2"/>
        <v>0</v>
      </c>
      <c r="DL27" s="136">
        <f t="shared" si="3"/>
        <v>0</v>
      </c>
      <c r="DM27" s="311" t="str">
        <f>Capacity!H39</f>
        <v/>
      </c>
      <c r="DQ27" s="5"/>
    </row>
    <row r="28" spans="1:121"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90">
        <f t="shared" si="2"/>
        <v>0</v>
      </c>
      <c r="DL28" s="136">
        <f t="shared" si="3"/>
        <v>0</v>
      </c>
      <c r="DM28" s="311" t="str">
        <f>Capacity!H40</f>
        <v/>
      </c>
      <c r="DQ28" s="5"/>
    </row>
    <row r="29" spans="1:121"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90">
        <f t="shared" si="2"/>
        <v>0</v>
      </c>
      <c r="DL29" s="136">
        <f t="shared" si="3"/>
        <v>0</v>
      </c>
      <c r="DM29" s="311" t="str">
        <f>Capacity!H41</f>
        <v/>
      </c>
      <c r="DQ29" s="5"/>
    </row>
    <row r="30" spans="1:121"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90">
        <f t="shared" si="2"/>
        <v>0</v>
      </c>
      <c r="DL30" s="136">
        <f t="shared" si="3"/>
        <v>0</v>
      </c>
      <c r="DM30" s="311" t="str">
        <f>Capacity!H42</f>
        <v/>
      </c>
      <c r="DQ30" s="5"/>
    </row>
    <row r="31" spans="1:121"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90">
        <f t="shared" si="2"/>
        <v>0</v>
      </c>
      <c r="DL31" s="136">
        <f t="shared" si="3"/>
        <v>0</v>
      </c>
      <c r="DM31" s="311" t="str">
        <f>Capacity!H43</f>
        <v/>
      </c>
      <c r="DQ31" s="5"/>
    </row>
    <row r="32" spans="1:121"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90">
        <f t="shared" si="2"/>
        <v>0</v>
      </c>
      <c r="DL32" s="136">
        <f t="shared" si="3"/>
        <v>0</v>
      </c>
      <c r="DM32" s="311" t="str">
        <f>Capacity!H44</f>
        <v/>
      </c>
      <c r="DQ32" s="5"/>
    </row>
    <row r="33" spans="1:121"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90">
        <f t="shared" si="2"/>
        <v>0</v>
      </c>
      <c r="DL33" s="136">
        <f t="shared" si="3"/>
        <v>0</v>
      </c>
      <c r="DM33" s="311" t="str">
        <f>Capacity!H45</f>
        <v/>
      </c>
      <c r="DQ33" s="5"/>
    </row>
    <row r="34" spans="1:121"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90">
        <f t="shared" si="2"/>
        <v>0</v>
      </c>
      <c r="DL34" s="136">
        <f t="shared" si="3"/>
        <v>0</v>
      </c>
      <c r="DM34" s="311" t="str">
        <f>Capacity!H46</f>
        <v/>
      </c>
      <c r="DQ34" s="5"/>
    </row>
    <row r="35" spans="1:121"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90">
        <f t="shared" si="2"/>
        <v>0</v>
      </c>
      <c r="DL35" s="136">
        <f t="shared" si="3"/>
        <v>0</v>
      </c>
      <c r="DM35" s="311" t="str">
        <f>Capacity!H47</f>
        <v/>
      </c>
      <c r="DQ35" s="5"/>
    </row>
    <row r="36" spans="1:121"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90">
        <f t="shared" si="2"/>
        <v>0</v>
      </c>
      <c r="DL36" s="136">
        <f t="shared" si="3"/>
        <v>0</v>
      </c>
      <c r="DM36" s="311" t="str">
        <f>Capacity!H48</f>
        <v/>
      </c>
      <c r="DQ36" s="5"/>
    </row>
    <row r="37" spans="1:121"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90">
        <f t="shared" si="2"/>
        <v>0</v>
      </c>
      <c r="DL37" s="136">
        <f t="shared" si="3"/>
        <v>0</v>
      </c>
      <c r="DM37" s="311" t="str">
        <f>Capacity!H49</f>
        <v/>
      </c>
      <c r="DQ37" s="5"/>
    </row>
    <row r="38" spans="1:121"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90">
        <f t="shared" si="2"/>
        <v>0</v>
      </c>
      <c r="DL38" s="136">
        <f t="shared" si="3"/>
        <v>0</v>
      </c>
      <c r="DM38" s="311" t="str">
        <f>Capacity!H50</f>
        <v/>
      </c>
      <c r="DQ38" s="5"/>
    </row>
    <row r="39" spans="1:121"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90">
        <f t="shared" si="2"/>
        <v>0</v>
      </c>
      <c r="DL39" s="136">
        <f t="shared" si="3"/>
        <v>0</v>
      </c>
      <c r="DM39" s="311" t="str">
        <f>Capacity!H51</f>
        <v/>
      </c>
      <c r="DQ39" s="5"/>
    </row>
    <row r="40" spans="1:121"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90">
        <f t="shared" si="2"/>
        <v>0</v>
      </c>
      <c r="DL40" s="136">
        <f t="shared" si="3"/>
        <v>0</v>
      </c>
      <c r="DM40" s="311" t="str">
        <f>Capacity!H52</f>
        <v/>
      </c>
      <c r="DQ40" s="5"/>
    </row>
    <row r="41" spans="1:121"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90">
        <f t="shared" si="2"/>
        <v>0</v>
      </c>
      <c r="DL41" s="136">
        <f t="shared" si="3"/>
        <v>0</v>
      </c>
      <c r="DM41" s="311" t="str">
        <f>Capacity!H53</f>
        <v/>
      </c>
      <c r="DQ41" s="5"/>
    </row>
    <row r="42" spans="1:121"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90">
        <f t="shared" si="2"/>
        <v>0</v>
      </c>
      <c r="DL42" s="136">
        <f t="shared" si="3"/>
        <v>0</v>
      </c>
      <c r="DM42" s="311" t="str">
        <f>Capacity!H54</f>
        <v/>
      </c>
      <c r="DQ42" s="5"/>
    </row>
    <row r="43" spans="1:121"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90">
        <f t="shared" si="2"/>
        <v>0</v>
      </c>
      <c r="DL43" s="136">
        <f t="shared" si="3"/>
        <v>0</v>
      </c>
      <c r="DM43" s="311" t="str">
        <f>Capacity!H55</f>
        <v/>
      </c>
      <c r="DQ43" s="5"/>
    </row>
    <row r="44" spans="1:121"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90">
        <f t="shared" si="2"/>
        <v>0</v>
      </c>
      <c r="DL44" s="136">
        <f t="shared" si="3"/>
        <v>0</v>
      </c>
      <c r="DM44" s="311" t="str">
        <f>Capacity!H56</f>
        <v/>
      </c>
      <c r="DQ44" s="5"/>
    </row>
    <row r="45" spans="1:121"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90">
        <f t="shared" si="2"/>
        <v>0</v>
      </c>
      <c r="DL45" s="136">
        <f t="shared" si="3"/>
        <v>0</v>
      </c>
      <c r="DM45" s="311" t="str">
        <f>Capacity!H57</f>
        <v/>
      </c>
      <c r="DQ45" s="5"/>
    </row>
    <row r="46" spans="1:121"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90">
        <f t="shared" si="2"/>
        <v>0</v>
      </c>
      <c r="DL46" s="136">
        <f t="shared" si="3"/>
        <v>0</v>
      </c>
      <c r="DM46" s="311" t="str">
        <f>Capacity!H58</f>
        <v/>
      </c>
      <c r="DQ46" s="5"/>
    </row>
    <row r="47" spans="1:121"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90">
        <f t="shared" si="2"/>
        <v>0</v>
      </c>
      <c r="DL47" s="136">
        <f t="shared" si="3"/>
        <v>0</v>
      </c>
      <c r="DM47" s="311" t="str">
        <f>Capacity!H59</f>
        <v/>
      </c>
      <c r="DQ47" s="5"/>
    </row>
    <row r="48" spans="1:121"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90">
        <f t="shared" si="2"/>
        <v>0</v>
      </c>
      <c r="DL48" s="136">
        <f t="shared" si="3"/>
        <v>0</v>
      </c>
      <c r="DM48" s="311" t="str">
        <f>Capacity!H60</f>
        <v/>
      </c>
      <c r="DQ48" s="5"/>
    </row>
    <row r="49" spans="1:121"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90">
        <f t="shared" si="2"/>
        <v>0</v>
      </c>
      <c r="DL49" s="136">
        <f t="shared" si="3"/>
        <v>0</v>
      </c>
      <c r="DM49" s="311" t="str">
        <f>Capacity!H61</f>
        <v/>
      </c>
      <c r="DQ49" s="5"/>
    </row>
    <row r="50" spans="1:121"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90">
        <f t="shared" si="2"/>
        <v>0</v>
      </c>
      <c r="DL50" s="136">
        <f t="shared" si="3"/>
        <v>0</v>
      </c>
      <c r="DM50" s="311" t="str">
        <f>Capacity!H62</f>
        <v/>
      </c>
      <c r="DQ50" s="5"/>
    </row>
    <row r="51" spans="1:121"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90">
        <f t="shared" si="2"/>
        <v>0</v>
      </c>
      <c r="DL51" s="136">
        <f t="shared" si="3"/>
        <v>0</v>
      </c>
      <c r="DM51" s="311" t="str">
        <f>Capacity!H63</f>
        <v/>
      </c>
      <c r="DQ51" s="5"/>
    </row>
    <row r="52" spans="1:121"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90">
        <f t="shared" si="2"/>
        <v>0</v>
      </c>
      <c r="DL52" s="136">
        <f t="shared" si="3"/>
        <v>0</v>
      </c>
      <c r="DM52" s="311" t="str">
        <f>Capacity!H64</f>
        <v/>
      </c>
      <c r="DQ52" s="5"/>
    </row>
    <row r="53" spans="1:121"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90">
        <f t="shared" si="2"/>
        <v>0</v>
      </c>
      <c r="DL53" s="136">
        <f t="shared" si="3"/>
        <v>0</v>
      </c>
      <c r="DM53" s="311" t="str">
        <f>Capacity!H65</f>
        <v/>
      </c>
      <c r="DQ53" s="5"/>
    </row>
    <row r="54" spans="1:121"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90">
        <f t="shared" si="2"/>
        <v>0</v>
      </c>
      <c r="DL54" s="136">
        <f t="shared" si="3"/>
        <v>0</v>
      </c>
      <c r="DM54" s="311" t="str">
        <f>Capacity!H66</f>
        <v/>
      </c>
      <c r="DQ54" s="5"/>
    </row>
    <row r="55" spans="1:121"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90">
        <f t="shared" si="2"/>
        <v>0</v>
      </c>
      <c r="DL55" s="136">
        <f t="shared" si="3"/>
        <v>0</v>
      </c>
      <c r="DM55" s="311" t="str">
        <f>Capacity!H67</f>
        <v/>
      </c>
      <c r="DQ55" s="5"/>
    </row>
    <row r="56" spans="1:121"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90">
        <f t="shared" si="2"/>
        <v>0</v>
      </c>
      <c r="DL56" s="136">
        <f t="shared" si="3"/>
        <v>0</v>
      </c>
      <c r="DM56" s="311" t="str">
        <f>Capacity!H68</f>
        <v/>
      </c>
      <c r="DQ56" s="5"/>
    </row>
    <row r="57" spans="1:121"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90">
        <f t="shared" si="2"/>
        <v>0</v>
      </c>
      <c r="DL57" s="136">
        <f t="shared" si="3"/>
        <v>0</v>
      </c>
      <c r="DM57" s="311" t="str">
        <f>Capacity!H69</f>
        <v/>
      </c>
    </row>
    <row r="58" spans="1:121"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90">
        <f t="shared" si="2"/>
        <v>0</v>
      </c>
      <c r="DL58" s="136">
        <f t="shared" si="3"/>
        <v>0</v>
      </c>
      <c r="DM58" s="311" t="str">
        <f>Capacity!H70</f>
        <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90">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90">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90">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90">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90">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90">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90">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90">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90">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90">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90">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90">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90">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90">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90">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90">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90">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90">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90">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90">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90">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90">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90">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90">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90">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90">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90">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90">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90">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90">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90">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90">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90">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90">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90">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90">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90">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90">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90">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90">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90">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90">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90">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90">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90">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90">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89">
        <v>53</v>
      </c>
      <c r="DL109" s="2" t="s">
        <v>462</v>
      </c>
    </row>
    <row r="110" spans="1:117" x14ac:dyDescent="0.2">
      <c r="C110" t="s">
        <v>466</v>
      </c>
      <c r="H110" s="67"/>
      <c r="BJ110"/>
      <c r="BK110">
        <f ca="1">BK3</f>
        <v>33</v>
      </c>
      <c r="BL110" s="67">
        <f t="shared" ref="BL110:DJ110" ca="1" si="6">BL3</f>
        <v>34</v>
      </c>
      <c r="BM110" s="67">
        <f t="shared" ca="1" si="6"/>
        <v>35</v>
      </c>
      <c r="BN110" s="67">
        <f t="shared" ca="1" si="6"/>
        <v>36</v>
      </c>
      <c r="BO110" s="67">
        <f t="shared" ca="1" si="6"/>
        <v>37</v>
      </c>
      <c r="BP110" s="67">
        <f t="shared" ca="1" si="6"/>
        <v>38</v>
      </c>
      <c r="BQ110" s="67">
        <f t="shared" ca="1" si="6"/>
        <v>39</v>
      </c>
      <c r="BR110" s="67">
        <f t="shared" ca="1" si="6"/>
        <v>40</v>
      </c>
      <c r="BS110" s="67">
        <f t="shared" ca="1" si="6"/>
        <v>41</v>
      </c>
      <c r="BT110" s="67">
        <f t="shared" ca="1" si="6"/>
        <v>42</v>
      </c>
      <c r="BU110" s="67">
        <f t="shared" ca="1" si="6"/>
        <v>43</v>
      </c>
      <c r="BV110" s="67">
        <f t="shared" ca="1" si="6"/>
        <v>44</v>
      </c>
      <c r="BW110" s="67">
        <f t="shared" ca="1" si="6"/>
        <v>45</v>
      </c>
      <c r="BX110" s="67">
        <f t="shared" ca="1" si="6"/>
        <v>46</v>
      </c>
      <c r="BY110" s="67">
        <f t="shared" ca="1" si="6"/>
        <v>47</v>
      </c>
      <c r="BZ110" s="67">
        <f t="shared" ca="1" si="6"/>
        <v>48</v>
      </c>
      <c r="CA110" s="67">
        <f t="shared" ca="1" si="6"/>
        <v>49</v>
      </c>
      <c r="CB110" s="67">
        <f t="shared" ca="1" si="6"/>
        <v>50</v>
      </c>
      <c r="CC110" s="67">
        <f t="shared" ca="1" si="6"/>
        <v>51</v>
      </c>
      <c r="CD110" s="67">
        <f t="shared" ca="1" si="6"/>
        <v>52</v>
      </c>
      <c r="CE110" s="67">
        <f t="shared" ca="1" si="6"/>
        <v>1</v>
      </c>
      <c r="CF110" s="67">
        <f t="shared" ca="1" si="6"/>
        <v>2</v>
      </c>
      <c r="CG110" s="67">
        <f t="shared" ca="1" si="6"/>
        <v>3</v>
      </c>
      <c r="CH110" s="67">
        <f t="shared" ca="1" si="6"/>
        <v>4</v>
      </c>
      <c r="CI110" s="67">
        <f t="shared" ca="1" si="6"/>
        <v>5</v>
      </c>
      <c r="CJ110" s="67">
        <f t="shared" ca="1" si="6"/>
        <v>6</v>
      </c>
      <c r="CK110" s="67">
        <f t="shared" ca="1" si="6"/>
        <v>7</v>
      </c>
      <c r="CL110" s="67">
        <f t="shared" ca="1" si="6"/>
        <v>8</v>
      </c>
      <c r="CM110" s="67">
        <f t="shared" ca="1" si="6"/>
        <v>9</v>
      </c>
      <c r="CN110" s="67">
        <f t="shared" ca="1" si="6"/>
        <v>10</v>
      </c>
      <c r="CO110" s="67">
        <f t="shared" ca="1" si="6"/>
        <v>11</v>
      </c>
      <c r="CP110" s="67">
        <f t="shared" ca="1" si="6"/>
        <v>12</v>
      </c>
      <c r="CQ110" s="67">
        <f t="shared" ca="1" si="6"/>
        <v>13</v>
      </c>
      <c r="CR110" s="67">
        <f t="shared" ca="1" si="6"/>
        <v>14</v>
      </c>
      <c r="CS110" s="67">
        <f t="shared" ca="1" si="6"/>
        <v>15</v>
      </c>
      <c r="CT110" s="67">
        <f t="shared" ca="1" si="6"/>
        <v>16</v>
      </c>
      <c r="CU110" s="67">
        <f t="shared" ca="1" si="6"/>
        <v>17</v>
      </c>
      <c r="CV110" s="67">
        <f t="shared" ca="1" si="6"/>
        <v>18</v>
      </c>
      <c r="CW110" s="67">
        <f t="shared" ca="1" si="6"/>
        <v>19</v>
      </c>
      <c r="CX110" s="67">
        <f t="shared" ca="1" si="6"/>
        <v>20</v>
      </c>
      <c r="CY110" s="67">
        <f t="shared" ca="1" si="6"/>
        <v>21</v>
      </c>
      <c r="CZ110" s="67">
        <f t="shared" ca="1" si="6"/>
        <v>22</v>
      </c>
      <c r="DA110" s="67">
        <f t="shared" ca="1" si="6"/>
        <v>23</v>
      </c>
      <c r="DB110" s="67">
        <f t="shared" ca="1" si="6"/>
        <v>24</v>
      </c>
      <c r="DC110" s="67">
        <f t="shared" ca="1" si="6"/>
        <v>25</v>
      </c>
      <c r="DD110" s="67">
        <f t="shared" ca="1" si="6"/>
        <v>26</v>
      </c>
      <c r="DE110" s="67">
        <f t="shared" ca="1" si="6"/>
        <v>27</v>
      </c>
      <c r="DF110" s="67">
        <f t="shared" ca="1" si="6"/>
        <v>28</v>
      </c>
      <c r="DG110" s="67">
        <f t="shared" ca="1" si="6"/>
        <v>29</v>
      </c>
      <c r="DH110" s="67">
        <f t="shared" ca="1" si="6"/>
        <v>30</v>
      </c>
      <c r="DI110" s="67">
        <f t="shared" ca="1" si="6"/>
        <v>31</v>
      </c>
      <c r="DJ110" s="67">
        <f t="shared" ca="1" si="6"/>
        <v>32</v>
      </c>
      <c r="DK110" s="375">
        <f ca="1">IF(ISERROR(MATCH(53,BK110:DJ110,0)),53,IF(DJ110=52,1,DJ110+1))</f>
        <v>53</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2.1153846153846154</v>
      </c>
      <c r="BL111" s="5">
        <f t="shared" ref="BL111:DJ111" ca="1" si="7">SUM(BL112:BL211)</f>
        <v>2.1153846153846154</v>
      </c>
      <c r="BM111" s="5">
        <f t="shared" ca="1" si="7"/>
        <v>2.1153846153846154</v>
      </c>
      <c r="BN111" s="5">
        <f t="shared" ca="1" si="7"/>
        <v>2.1153846153846154</v>
      </c>
      <c r="BO111" s="5">
        <f t="shared" ca="1" si="7"/>
        <v>2.1153846153846154</v>
      </c>
      <c r="BP111" s="5">
        <f t="shared" ca="1" si="7"/>
        <v>2.1153846153846154</v>
      </c>
      <c r="BQ111" s="5">
        <f t="shared" ca="1" si="7"/>
        <v>2.1153846153846154</v>
      </c>
      <c r="BR111" s="5">
        <f t="shared" ca="1" si="7"/>
        <v>2.1153846153846154</v>
      </c>
      <c r="BS111" s="5">
        <f t="shared" ca="1" si="7"/>
        <v>2.1153846153846154</v>
      </c>
      <c r="BT111" s="5">
        <f t="shared" ca="1" si="7"/>
        <v>2.1153846153846154</v>
      </c>
      <c r="BU111" s="5">
        <f t="shared" ca="1" si="7"/>
        <v>2.1153846153846154</v>
      </c>
      <c r="BV111" s="5">
        <f t="shared" ca="1" si="7"/>
        <v>2.1153846153846154</v>
      </c>
      <c r="BW111" s="5">
        <f t="shared" ca="1" si="7"/>
        <v>2.1153846153846154</v>
      </c>
      <c r="BX111" s="5">
        <f t="shared" ca="1" si="7"/>
        <v>2.1153846153846154</v>
      </c>
      <c r="BY111" s="5">
        <f t="shared" ca="1" si="7"/>
        <v>2.1153846153846154</v>
      </c>
      <c r="BZ111" s="5">
        <f t="shared" ca="1" si="7"/>
        <v>2.1153846153846154</v>
      </c>
      <c r="CA111" s="5">
        <f t="shared" ca="1" si="7"/>
        <v>2.1153846153846154</v>
      </c>
      <c r="CB111" s="5">
        <f t="shared" ca="1" si="7"/>
        <v>2.1153846153846154</v>
      </c>
      <c r="CC111" s="5">
        <f t="shared" ca="1" si="7"/>
        <v>2.1153846153846154</v>
      </c>
      <c r="CD111" s="5">
        <f t="shared" ca="1" si="7"/>
        <v>2.1153846153846154</v>
      </c>
      <c r="CE111" s="5">
        <f t="shared" ca="1" si="7"/>
        <v>2.1153846153846154</v>
      </c>
      <c r="CF111" s="5">
        <f t="shared" ca="1" si="7"/>
        <v>2.1153846153846154</v>
      </c>
      <c r="CG111" s="5">
        <f t="shared" ca="1" si="7"/>
        <v>2.1153846153846154</v>
      </c>
      <c r="CH111" s="5">
        <f t="shared" ca="1" si="7"/>
        <v>2.1153846153846154</v>
      </c>
      <c r="CI111" s="5">
        <f t="shared" ca="1" si="7"/>
        <v>2.1153846153846154</v>
      </c>
      <c r="CJ111" s="5">
        <f t="shared" ca="1" si="7"/>
        <v>2.1153846153846154</v>
      </c>
      <c r="CK111" s="5">
        <f t="shared" ca="1" si="7"/>
        <v>2.1153846153846154</v>
      </c>
      <c r="CL111" s="5">
        <f t="shared" ca="1" si="7"/>
        <v>2.1153846153846154</v>
      </c>
      <c r="CM111" s="5">
        <f t="shared" ca="1" si="7"/>
        <v>2.1153846153846154</v>
      </c>
      <c r="CN111" s="5">
        <f t="shared" ca="1" si="7"/>
        <v>2.1153846153846154</v>
      </c>
      <c r="CO111" s="5">
        <f t="shared" ca="1" si="7"/>
        <v>2.1153846153846154</v>
      </c>
      <c r="CP111" s="5">
        <f t="shared" ca="1" si="7"/>
        <v>2.1153846153846154</v>
      </c>
      <c r="CQ111" s="5">
        <f t="shared" ca="1" si="7"/>
        <v>2.1153846153846154</v>
      </c>
      <c r="CR111" s="5">
        <f t="shared" ca="1" si="7"/>
        <v>2.1153846153846154</v>
      </c>
      <c r="CS111" s="5">
        <f t="shared" ca="1" si="7"/>
        <v>2.1153846153846154</v>
      </c>
      <c r="CT111" s="5">
        <f t="shared" ca="1" si="7"/>
        <v>2.1153846153846154</v>
      </c>
      <c r="CU111" s="5">
        <f t="shared" ca="1" si="7"/>
        <v>2.1153846153846154</v>
      </c>
      <c r="CV111" s="5">
        <f t="shared" ca="1" si="7"/>
        <v>2.1153846153846154</v>
      </c>
      <c r="CW111" s="5">
        <f t="shared" ca="1" si="7"/>
        <v>2.1153846153846154</v>
      </c>
      <c r="CX111" s="5">
        <f t="shared" ca="1" si="7"/>
        <v>2.1153846153846154</v>
      </c>
      <c r="CY111" s="5">
        <f t="shared" ca="1" si="7"/>
        <v>2.1153846153846154</v>
      </c>
      <c r="CZ111" s="5">
        <f t="shared" ca="1" si="7"/>
        <v>2.1153846153846154</v>
      </c>
      <c r="DA111" s="5">
        <f t="shared" ca="1" si="7"/>
        <v>2.1153846153846154</v>
      </c>
      <c r="DB111" s="5">
        <f t="shared" ca="1" si="7"/>
        <v>2.1153846153846154</v>
      </c>
      <c r="DC111" s="5">
        <f t="shared" ca="1" si="7"/>
        <v>2.1153846153846154</v>
      </c>
      <c r="DD111" s="5">
        <f t="shared" ca="1" si="7"/>
        <v>2.1153846153846154</v>
      </c>
      <c r="DE111" s="5">
        <f t="shared" ca="1" si="7"/>
        <v>2.1153846153846154</v>
      </c>
      <c r="DF111" s="5">
        <f t="shared" ca="1" si="7"/>
        <v>2.1153846153846154</v>
      </c>
      <c r="DG111" s="5">
        <f t="shared" ca="1" si="7"/>
        <v>2.1153846153846154</v>
      </c>
      <c r="DH111" s="5">
        <f t="shared" ca="1" si="7"/>
        <v>2.1153846153846154</v>
      </c>
      <c r="DI111" s="5">
        <f t="shared" ca="1" si="7"/>
        <v>2.1153846153846154</v>
      </c>
      <c r="DJ111" s="5">
        <f t="shared" ca="1" si="7"/>
        <v>2.1153846153846154</v>
      </c>
      <c r="DK111" s="390">
        <f ca="1">DJ111</f>
        <v>2.1153846153846154</v>
      </c>
      <c r="DL111" s="5">
        <f ca="1">SUM(BK111:DK111)</f>
        <v>112.11538461538454</v>
      </c>
    </row>
    <row r="112" spans="1:117" x14ac:dyDescent="0.2">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 ca="1">IF(ROW(A1)&lt;=Capacity!$M$16,IF('Capacity summary'!$C$14="No",SUM(H112:BG112),'Capacity summary'!$E24),0)</f>
        <v>52</v>
      </c>
      <c r="BI112">
        <f ca="1">IF(BH112&gt;0,IF(BH112&lt;Capacity!Q17,Capacity!R17,Capacity!T17/'Capacity calculation (hide)'!BH112),"")</f>
        <v>0.96153846153846156</v>
      </c>
      <c r="BJ112" s="5"/>
      <c r="BK112" s="5">
        <f ca="1">IF($BI112&lt;&gt;"",IF('Capacity summary'!$C$14="Yes",IF(COUNTBLANK('Capacity summary'!$H24:$BG24)&lt;52,IF('Capacity summary'!H24&lt;&gt;"",IF(LOWER('Capacity summary'!H24)="x",$BI112*H112,VALUE('Capacity summary'!H24)),0),H112*$BI112),H112*$BI112),0)</f>
        <v>0.96153846153846156</v>
      </c>
      <c r="BL112" s="5">
        <f ca="1">IF($BI112&lt;&gt;"",IF('Capacity summary'!$C$14="Yes",IF(COUNTBLANK('Capacity summary'!$H24:$BG24)&lt;52,IF('Capacity summary'!I24&lt;&gt;"",IF(LOWER('Capacity summary'!I24)="x",$BI112*I112,VALUE('Capacity summary'!I24)),0),I112*$BI112),I112*$BI112),0)</f>
        <v>0.96153846153846156</v>
      </c>
      <c r="BM112" s="5">
        <f ca="1">IF($BI112&lt;&gt;"",IF('Capacity summary'!$C$14="Yes",IF(COUNTBLANK('Capacity summary'!$H24:$BG24)&lt;52,IF('Capacity summary'!J24&lt;&gt;"",IF(LOWER('Capacity summary'!J24)="x",$BI112*J112,VALUE('Capacity summary'!J24)),0),J112*$BI112),J112*$BI112),0)</f>
        <v>0.96153846153846156</v>
      </c>
      <c r="BN112" s="5">
        <f ca="1">IF($BI112&lt;&gt;"",IF('Capacity summary'!$C$14="Yes",IF(COUNTBLANK('Capacity summary'!$H24:$BG24)&lt;52,IF('Capacity summary'!K24&lt;&gt;"",IF(LOWER('Capacity summary'!K24)="x",$BI112*K112,VALUE('Capacity summary'!K24)),0),K112*$BI112),K112*$BI112),0)</f>
        <v>0.96153846153846156</v>
      </c>
      <c r="BO112" s="5">
        <f ca="1">IF($BI112&lt;&gt;"",IF('Capacity summary'!$C$14="Yes",IF(COUNTBLANK('Capacity summary'!$H24:$BG24)&lt;52,IF('Capacity summary'!L24&lt;&gt;"",IF(LOWER('Capacity summary'!L24)="x",$BI112*L112,VALUE('Capacity summary'!L24)),0),L112*$BI112),L112*$BI112),0)</f>
        <v>0.96153846153846156</v>
      </c>
      <c r="BP112" s="5">
        <f ca="1">IF($BI112&lt;&gt;"",IF('Capacity summary'!$C$14="Yes",IF(COUNTBLANK('Capacity summary'!$H24:$BG24)&lt;52,IF('Capacity summary'!M24&lt;&gt;"",IF(LOWER('Capacity summary'!M24)="x",$BI112*M112,VALUE('Capacity summary'!M24)),0),M112*$BI112),M112*$BI112),0)</f>
        <v>0.96153846153846156</v>
      </c>
      <c r="BQ112" s="5">
        <f ca="1">IF($BI112&lt;&gt;"",IF('Capacity summary'!$C$14="Yes",IF(COUNTBLANK('Capacity summary'!$H24:$BG24)&lt;52,IF('Capacity summary'!N24&lt;&gt;"",IF(LOWER('Capacity summary'!N24)="x",$BI112*N112,VALUE('Capacity summary'!N24)),0),N112*$BI112),N112*$BI112),0)</f>
        <v>0.96153846153846156</v>
      </c>
      <c r="BR112" s="5">
        <f ca="1">IF($BI112&lt;&gt;"",IF('Capacity summary'!$C$14="Yes",IF(COUNTBLANK('Capacity summary'!$H24:$BG24)&lt;52,IF('Capacity summary'!O24&lt;&gt;"",IF(LOWER('Capacity summary'!O24)="x",$BI112*O112,VALUE('Capacity summary'!O24)),0),O112*$BI112),O112*$BI112),0)</f>
        <v>0.96153846153846156</v>
      </c>
      <c r="BS112" s="5">
        <f ca="1">IF($BI112&lt;&gt;"",IF('Capacity summary'!$C$14="Yes",IF(COUNTBLANK('Capacity summary'!$H24:$BG24)&lt;52,IF('Capacity summary'!P24&lt;&gt;"",IF(LOWER('Capacity summary'!P24)="x",$BI112*P112,VALUE('Capacity summary'!P24)),0),P112*$BI112),P112*$BI112),0)</f>
        <v>0.96153846153846156</v>
      </c>
      <c r="BT112" s="5">
        <f ca="1">IF($BI112&lt;&gt;"",IF('Capacity summary'!$C$14="Yes",IF(COUNTBLANK('Capacity summary'!$H24:$BG24)&lt;52,IF('Capacity summary'!Q24&lt;&gt;"",IF(LOWER('Capacity summary'!Q24)="x",$BI112*Q112,VALUE('Capacity summary'!Q24)),0),Q112*$BI112),Q112*$BI112),0)</f>
        <v>0.96153846153846156</v>
      </c>
      <c r="BU112" s="5">
        <f ca="1">IF($BI112&lt;&gt;"",IF('Capacity summary'!$C$14="Yes",IF(COUNTBLANK('Capacity summary'!$H24:$BG24)&lt;52,IF('Capacity summary'!R24&lt;&gt;"",IF(LOWER('Capacity summary'!R24)="x",$BI112*R112,VALUE('Capacity summary'!R24)),0),R112*$BI112),R112*$BI112),0)</f>
        <v>0.96153846153846156</v>
      </c>
      <c r="BV112" s="5">
        <f ca="1">IF($BI112&lt;&gt;"",IF('Capacity summary'!$C$14="Yes",IF(COUNTBLANK('Capacity summary'!$H24:$BG24)&lt;52,IF('Capacity summary'!S24&lt;&gt;"",IF(LOWER('Capacity summary'!S24)="x",$BI112*S112,VALUE('Capacity summary'!S24)),0),S112*$BI112),S112*$BI112),0)</f>
        <v>0.96153846153846156</v>
      </c>
      <c r="BW112" s="5">
        <f ca="1">IF($BI112&lt;&gt;"",IF('Capacity summary'!$C$14="Yes",IF(COUNTBLANK('Capacity summary'!$H24:$BG24)&lt;52,IF('Capacity summary'!T24&lt;&gt;"",IF(LOWER('Capacity summary'!T24)="x",$BI112*T112,VALUE('Capacity summary'!T24)),0),T112*$BI112),T112*$BI112),0)</f>
        <v>0.96153846153846156</v>
      </c>
      <c r="BX112" s="5">
        <f ca="1">IF($BI112&lt;&gt;"",IF('Capacity summary'!$C$14="Yes",IF(COUNTBLANK('Capacity summary'!$H24:$BG24)&lt;52,IF('Capacity summary'!U24&lt;&gt;"",IF(LOWER('Capacity summary'!U24)="x",$BI112*U112,VALUE('Capacity summary'!U24)),0),U112*$BI112),U112*$BI112),0)</f>
        <v>0.96153846153846156</v>
      </c>
      <c r="BY112" s="5">
        <f ca="1">IF($BI112&lt;&gt;"",IF('Capacity summary'!$C$14="Yes",IF(COUNTBLANK('Capacity summary'!$H24:$BG24)&lt;52,IF('Capacity summary'!V24&lt;&gt;"",IF(LOWER('Capacity summary'!V24)="x",$BI112*V112,VALUE('Capacity summary'!V24)),0),V112*$BI112),V112*$BI112),0)</f>
        <v>0.96153846153846156</v>
      </c>
      <c r="BZ112" s="5">
        <f ca="1">IF($BI112&lt;&gt;"",IF('Capacity summary'!$C$14="Yes",IF(COUNTBLANK('Capacity summary'!$H24:$BG24)&lt;52,IF('Capacity summary'!W24&lt;&gt;"",IF(LOWER('Capacity summary'!W24)="x",$BI112*W112,VALUE('Capacity summary'!W24)),0),W112*$BI112),W112*$BI112),0)</f>
        <v>0.96153846153846156</v>
      </c>
      <c r="CA112" s="5">
        <f ca="1">IF($BI112&lt;&gt;"",IF('Capacity summary'!$C$14="Yes",IF(COUNTBLANK('Capacity summary'!$H24:$BG24)&lt;52,IF('Capacity summary'!X24&lt;&gt;"",IF(LOWER('Capacity summary'!X24)="x",$BI112*X112,VALUE('Capacity summary'!X24)),0),X112*$BI112),X112*$BI112),0)</f>
        <v>0.96153846153846156</v>
      </c>
      <c r="CB112" s="5">
        <f ca="1">IF($BI112&lt;&gt;"",IF('Capacity summary'!$C$14="Yes",IF(COUNTBLANK('Capacity summary'!$H24:$BG24)&lt;52,IF('Capacity summary'!Y24&lt;&gt;"",IF(LOWER('Capacity summary'!Y24)="x",$BI112*Y112,VALUE('Capacity summary'!Y24)),0),Y112*$BI112),Y112*$BI112),0)</f>
        <v>0.96153846153846156</v>
      </c>
      <c r="CC112" s="5">
        <f ca="1">IF($BI112&lt;&gt;"",IF('Capacity summary'!$C$14="Yes",IF(COUNTBLANK('Capacity summary'!$H24:$BG24)&lt;52,IF('Capacity summary'!Z24&lt;&gt;"",IF(LOWER('Capacity summary'!Z24)="x",$BI112*Z112,VALUE('Capacity summary'!Z24)),0),Z112*$BI112),Z112*$BI112),0)</f>
        <v>0.96153846153846156</v>
      </c>
      <c r="CD112" s="5">
        <f ca="1">IF($BI112&lt;&gt;"",IF('Capacity summary'!$C$14="Yes",IF(COUNTBLANK('Capacity summary'!$H24:$BG24)&lt;52,IF('Capacity summary'!AA24&lt;&gt;"",IF(LOWER('Capacity summary'!AA24)="x",$BI112*AA112,VALUE('Capacity summary'!AA24)),0),AA112*$BI112),AA112*$BI112),0)</f>
        <v>0.96153846153846156</v>
      </c>
      <c r="CE112" s="5">
        <f ca="1">IF($BI112&lt;&gt;"",IF('Capacity summary'!$C$14="Yes",IF(COUNTBLANK('Capacity summary'!$H24:$BG24)&lt;52,IF('Capacity summary'!AB24&lt;&gt;"",IF(LOWER('Capacity summary'!AB24)="x",$BI112*AB112,VALUE('Capacity summary'!AB24)),0),AB112*$BI112),AB112*$BI112),0)</f>
        <v>0.96153846153846156</v>
      </c>
      <c r="CF112" s="5">
        <f ca="1">IF($BI112&lt;&gt;"",IF('Capacity summary'!$C$14="Yes",IF(COUNTBLANK('Capacity summary'!$H24:$BG24)&lt;52,IF('Capacity summary'!AC24&lt;&gt;"",IF(LOWER('Capacity summary'!AC24)="x",$BI112*AC112,VALUE('Capacity summary'!AC24)),0),AC112*$BI112),AC112*$BI112),0)</f>
        <v>0.96153846153846156</v>
      </c>
      <c r="CG112" s="5">
        <f ca="1">IF($BI112&lt;&gt;"",IF('Capacity summary'!$C$14="Yes",IF(COUNTBLANK('Capacity summary'!$H24:$BG24)&lt;52,IF('Capacity summary'!AD24&lt;&gt;"",IF(LOWER('Capacity summary'!AD24)="x",$BI112*AD112,VALUE('Capacity summary'!AD24)),0),AD112*$BI112),AD112*$BI112),0)</f>
        <v>0.96153846153846156</v>
      </c>
      <c r="CH112" s="5">
        <f ca="1">IF($BI112&lt;&gt;"",IF('Capacity summary'!$C$14="Yes",IF(COUNTBLANK('Capacity summary'!$H24:$BG24)&lt;52,IF('Capacity summary'!AE24&lt;&gt;"",IF(LOWER('Capacity summary'!AE24)="x",$BI112*AE112,VALUE('Capacity summary'!AE24)),0),AE112*$BI112),AE112*$BI112),0)</f>
        <v>0.96153846153846156</v>
      </c>
      <c r="CI112" s="5">
        <f ca="1">IF($BI112&lt;&gt;"",IF('Capacity summary'!$C$14="Yes",IF(COUNTBLANK('Capacity summary'!$H24:$BG24)&lt;52,IF('Capacity summary'!AF24&lt;&gt;"",IF(LOWER('Capacity summary'!AF24)="x",$BI112*AF112,VALUE('Capacity summary'!AF24)),0),AF112*$BI112),AF112*$BI112),0)</f>
        <v>0.96153846153846156</v>
      </c>
      <c r="CJ112" s="5">
        <f ca="1">IF($BI112&lt;&gt;"",IF('Capacity summary'!$C$14="Yes",IF(COUNTBLANK('Capacity summary'!$H24:$BG24)&lt;52,IF('Capacity summary'!AG24&lt;&gt;"",IF(LOWER('Capacity summary'!AG24)="x",$BI112*AG112,VALUE('Capacity summary'!AG24)),0),AG112*$BI112),AG112*$BI112),0)</f>
        <v>0.96153846153846156</v>
      </c>
      <c r="CK112" s="5">
        <f ca="1">IF($BI112&lt;&gt;"",IF('Capacity summary'!$C$14="Yes",IF(COUNTBLANK('Capacity summary'!$H24:$BG24)&lt;52,IF('Capacity summary'!AH24&lt;&gt;"",IF(LOWER('Capacity summary'!AH24)="x",$BI112*AH112,VALUE('Capacity summary'!AH24)),0),AH112*$BI112),AH112*$BI112),0)</f>
        <v>0.96153846153846156</v>
      </c>
      <c r="CL112" s="5">
        <f ca="1">IF($BI112&lt;&gt;"",IF('Capacity summary'!$C$14="Yes",IF(COUNTBLANK('Capacity summary'!$H24:$BG24)&lt;52,IF('Capacity summary'!AI24&lt;&gt;"",IF(LOWER('Capacity summary'!AI24)="x",$BI112*AI112,VALUE('Capacity summary'!AI24)),0),AI112*$BI112),AI112*$BI112),0)</f>
        <v>0.96153846153846156</v>
      </c>
      <c r="CM112" s="5">
        <f ca="1">IF($BI112&lt;&gt;"",IF('Capacity summary'!$C$14="Yes",IF(COUNTBLANK('Capacity summary'!$H24:$BG24)&lt;52,IF('Capacity summary'!AJ24&lt;&gt;"",IF(LOWER('Capacity summary'!AJ24)="x",$BI112*AJ112,VALUE('Capacity summary'!AJ24)),0),AJ112*$BI112),AJ112*$BI112),0)</f>
        <v>0.96153846153846156</v>
      </c>
      <c r="CN112" s="5">
        <f ca="1">IF($BI112&lt;&gt;"",IF('Capacity summary'!$C$14="Yes",IF(COUNTBLANK('Capacity summary'!$H24:$BG24)&lt;52,IF('Capacity summary'!AK24&lt;&gt;"",IF(LOWER('Capacity summary'!AK24)="x",$BI112*AK112,VALUE('Capacity summary'!AK24)),0),AK112*$BI112),AK112*$BI112),0)</f>
        <v>0.96153846153846156</v>
      </c>
      <c r="CO112" s="5">
        <f ca="1">IF($BI112&lt;&gt;"",IF('Capacity summary'!$C$14="Yes",IF(COUNTBLANK('Capacity summary'!$H24:$BG24)&lt;52,IF('Capacity summary'!AL24&lt;&gt;"",IF(LOWER('Capacity summary'!AL24)="x",$BI112*AL112,VALUE('Capacity summary'!AL24)),0),AL112*$BI112),AL112*$BI112),0)</f>
        <v>0.96153846153846156</v>
      </c>
      <c r="CP112" s="5">
        <f ca="1">IF($BI112&lt;&gt;"",IF('Capacity summary'!$C$14="Yes",IF(COUNTBLANK('Capacity summary'!$H24:$BG24)&lt;52,IF('Capacity summary'!AM24&lt;&gt;"",IF(LOWER('Capacity summary'!AM24)="x",$BI112*AM112,VALUE('Capacity summary'!AM24)),0),AM112*$BI112),AM112*$BI112),0)</f>
        <v>0.96153846153846156</v>
      </c>
      <c r="CQ112" s="5">
        <f ca="1">IF($BI112&lt;&gt;"",IF('Capacity summary'!$C$14="Yes",IF(COUNTBLANK('Capacity summary'!$H24:$BG24)&lt;52,IF('Capacity summary'!AN24&lt;&gt;"",IF(LOWER('Capacity summary'!AN24)="x",$BI112*AN112,VALUE('Capacity summary'!AN24)),0),AN112*$BI112),AN112*$BI112),0)</f>
        <v>0.96153846153846156</v>
      </c>
      <c r="CR112" s="5">
        <f ca="1">IF($BI112&lt;&gt;"",IF('Capacity summary'!$C$14="Yes",IF(COUNTBLANK('Capacity summary'!$H24:$BG24)&lt;52,IF('Capacity summary'!AO24&lt;&gt;"",IF(LOWER('Capacity summary'!AO24)="x",$BI112*AO112,VALUE('Capacity summary'!AO24)),0),AO112*$BI112),AO112*$BI112),0)</f>
        <v>0.96153846153846156</v>
      </c>
      <c r="CS112" s="5">
        <f ca="1">IF($BI112&lt;&gt;"",IF('Capacity summary'!$C$14="Yes",IF(COUNTBLANK('Capacity summary'!$H24:$BG24)&lt;52,IF('Capacity summary'!AP24&lt;&gt;"",IF(LOWER('Capacity summary'!AP24)="x",$BI112*AP112,VALUE('Capacity summary'!AP24)),0),AP112*$BI112),AP112*$BI112),0)</f>
        <v>0.96153846153846156</v>
      </c>
      <c r="CT112" s="5">
        <f ca="1">IF($BI112&lt;&gt;"",IF('Capacity summary'!$C$14="Yes",IF(COUNTBLANK('Capacity summary'!$H24:$BG24)&lt;52,IF('Capacity summary'!AQ24&lt;&gt;"",IF(LOWER('Capacity summary'!AQ24)="x",$BI112*AQ112,VALUE('Capacity summary'!AQ24)),0),AQ112*$BI112),AQ112*$BI112),0)</f>
        <v>0.96153846153846156</v>
      </c>
      <c r="CU112" s="5">
        <f ca="1">IF($BI112&lt;&gt;"",IF('Capacity summary'!$C$14="Yes",IF(COUNTBLANK('Capacity summary'!$H24:$BG24)&lt;52,IF('Capacity summary'!AR24&lt;&gt;"",IF(LOWER('Capacity summary'!AR24)="x",$BI112*AR112,VALUE('Capacity summary'!AR24)),0),AR112*$BI112),AR112*$BI112),0)</f>
        <v>0.96153846153846156</v>
      </c>
      <c r="CV112" s="5">
        <f ca="1">IF($BI112&lt;&gt;"",IF('Capacity summary'!$C$14="Yes",IF(COUNTBLANK('Capacity summary'!$H24:$BG24)&lt;52,IF('Capacity summary'!AS24&lt;&gt;"",IF(LOWER('Capacity summary'!AS24)="x",$BI112*AS112,VALUE('Capacity summary'!AS24)),0),AS112*$BI112),AS112*$BI112),0)</f>
        <v>0.96153846153846156</v>
      </c>
      <c r="CW112" s="5">
        <f ca="1">IF($BI112&lt;&gt;"",IF('Capacity summary'!$C$14="Yes",IF(COUNTBLANK('Capacity summary'!$H24:$BG24)&lt;52,IF('Capacity summary'!AT24&lt;&gt;"",IF(LOWER('Capacity summary'!AT24)="x",$BI112*AT112,VALUE('Capacity summary'!AT24)),0),AT112*$BI112),AT112*$BI112),0)</f>
        <v>0.96153846153846156</v>
      </c>
      <c r="CX112" s="5">
        <f ca="1">IF($BI112&lt;&gt;"",IF('Capacity summary'!$C$14="Yes",IF(COUNTBLANK('Capacity summary'!$H24:$BG24)&lt;52,IF('Capacity summary'!AU24&lt;&gt;"",IF(LOWER('Capacity summary'!AU24)="x",$BI112*AU112,VALUE('Capacity summary'!AU24)),0),AU112*$BI112),AU112*$BI112),0)</f>
        <v>0.96153846153846156</v>
      </c>
      <c r="CY112" s="5">
        <f ca="1">IF($BI112&lt;&gt;"",IF('Capacity summary'!$C$14="Yes",IF(COUNTBLANK('Capacity summary'!$H24:$BG24)&lt;52,IF('Capacity summary'!AV24&lt;&gt;"",IF(LOWER('Capacity summary'!AV24)="x",$BI112*AV112,VALUE('Capacity summary'!AV24)),0),AV112*$BI112),AV112*$BI112),0)</f>
        <v>0.96153846153846156</v>
      </c>
      <c r="CZ112" s="5">
        <f ca="1">IF($BI112&lt;&gt;"",IF('Capacity summary'!$C$14="Yes",IF(COUNTBLANK('Capacity summary'!$H24:$BG24)&lt;52,IF('Capacity summary'!AW24&lt;&gt;"",IF(LOWER('Capacity summary'!AW24)="x",$BI112*AW112,VALUE('Capacity summary'!AW24)),0),AW112*$BI112),AW112*$BI112),0)</f>
        <v>0.96153846153846156</v>
      </c>
      <c r="DA112" s="5">
        <f ca="1">IF($BI112&lt;&gt;"",IF('Capacity summary'!$C$14="Yes",IF(COUNTBLANK('Capacity summary'!$H24:$BG24)&lt;52,IF('Capacity summary'!AX24&lt;&gt;"",IF(LOWER('Capacity summary'!AX24)="x",$BI112*AX112,VALUE('Capacity summary'!AX24)),0),AX112*$BI112),AX112*$BI112),0)</f>
        <v>0.96153846153846156</v>
      </c>
      <c r="DB112" s="5">
        <f ca="1">IF($BI112&lt;&gt;"",IF('Capacity summary'!$C$14="Yes",IF(COUNTBLANK('Capacity summary'!$H24:$BG24)&lt;52,IF('Capacity summary'!AY24&lt;&gt;"",IF(LOWER('Capacity summary'!AY24)="x",$BI112*AY112,VALUE('Capacity summary'!AY24)),0),AY112*$BI112),AY112*$BI112),0)</f>
        <v>0.96153846153846156</v>
      </c>
      <c r="DC112" s="5">
        <f ca="1">IF($BI112&lt;&gt;"",IF('Capacity summary'!$C$14="Yes",IF(COUNTBLANK('Capacity summary'!$H24:$BG24)&lt;52,IF('Capacity summary'!AZ24&lt;&gt;"",IF(LOWER('Capacity summary'!AZ24)="x",$BI112*AZ112,VALUE('Capacity summary'!AZ24)),0),AZ112*$BI112),AZ112*$BI112),0)</f>
        <v>0.96153846153846156</v>
      </c>
      <c r="DD112" s="5">
        <f ca="1">IF($BI112&lt;&gt;"",IF('Capacity summary'!$C$14="Yes",IF(COUNTBLANK('Capacity summary'!$H24:$BG24)&lt;52,IF('Capacity summary'!BA24&lt;&gt;"",IF(LOWER('Capacity summary'!BA24)="x",$BI112*BA112,VALUE('Capacity summary'!BA24)),0),BA112*$BI112),BA112*$BI112),0)</f>
        <v>0.96153846153846156</v>
      </c>
      <c r="DE112" s="5">
        <f ca="1">IF($BI112&lt;&gt;"",IF('Capacity summary'!$C$14="Yes",IF(COUNTBLANK('Capacity summary'!$H24:$BG24)&lt;52,IF('Capacity summary'!BB24&lt;&gt;"",IF(LOWER('Capacity summary'!BB24)="x",$BI112*BB112,VALUE('Capacity summary'!BB24)),0),BB112*$BI112),BB112*$BI112),0)</f>
        <v>0.96153846153846156</v>
      </c>
      <c r="DF112" s="5">
        <f ca="1">IF($BI112&lt;&gt;"",IF('Capacity summary'!$C$14="Yes",IF(COUNTBLANK('Capacity summary'!$H24:$BG24)&lt;52,IF('Capacity summary'!BC24&lt;&gt;"",IF(LOWER('Capacity summary'!BC24)="x",$BI112*BC112,VALUE('Capacity summary'!BC24)),0),BC112*$BI112),BC112*$BI112),0)</f>
        <v>0.96153846153846156</v>
      </c>
      <c r="DG112" s="5">
        <f ca="1">IF($BI112&lt;&gt;"",IF('Capacity summary'!$C$14="Yes",IF(COUNTBLANK('Capacity summary'!$H24:$BG24)&lt;52,IF('Capacity summary'!BD24&lt;&gt;"",IF(LOWER('Capacity summary'!BD24)="x",$BI112*BD112,VALUE('Capacity summary'!BD24)),0),BD112*$BI112),BD112*$BI112),0)</f>
        <v>0.96153846153846156</v>
      </c>
      <c r="DH112" s="5">
        <f ca="1">IF($BI112&lt;&gt;"",IF('Capacity summary'!$C$14="Yes",IF(COUNTBLANK('Capacity summary'!$H24:$BG24)&lt;52,IF('Capacity summary'!BE24&lt;&gt;"",IF(LOWER('Capacity summary'!BE24)="x",$BI112*BE112,VALUE('Capacity summary'!BE24)),0),BE112*$BI112),BE112*$BI112),0)</f>
        <v>0.96153846153846156</v>
      </c>
      <c r="DI112" s="5">
        <f ca="1">IF($BI112&lt;&gt;"",IF('Capacity summary'!$C$14="Yes",IF(COUNTBLANK('Capacity summary'!$H24:$BG24)&lt;52,IF('Capacity summary'!BF24&lt;&gt;"",IF(LOWER('Capacity summary'!BF24)="x",$BI112*BF112,VALUE('Capacity summary'!BF24)),0),BF112*$BI112),BF112*$BI112),0)</f>
        <v>0.96153846153846156</v>
      </c>
      <c r="DJ112" s="5">
        <f ca="1">IF($BI112&lt;&gt;"",IF('Capacity summary'!$C$14="Yes",IF(COUNTBLANK('Capacity summary'!$H24:$BG24)&lt;52,IF('Capacity summary'!BG24&lt;&gt;"",IF(LOWER('Capacity summary'!BG24)="x",$BI112*BG112,VALUE('Capacity summary'!BG24)),0),BG112*$BI112),BG112*$BI112),0)</f>
        <v>0.96153846153846156</v>
      </c>
      <c r="DK112" s="390">
        <f t="shared" ref="DK112:DK175" ca="1" si="8">DJ112</f>
        <v>0.96153846153846156</v>
      </c>
      <c r="DL112" s="5">
        <f t="shared" ref="DL112:DL175" ca="1" si="9">SUM(BK112:DJ112)</f>
        <v>49.999999999999943</v>
      </c>
    </row>
    <row r="113" spans="3:116" x14ac:dyDescent="0.2">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 ca="1">IF(ROW(A2)&lt;=Capacity!$M$16,IF('Capacity summary'!$C$14="No",SUM(H113:BG113),'Capacity summary'!$E25),0)</f>
        <v>52</v>
      </c>
      <c r="BI113" s="67">
        <f ca="1">IF(BH113&gt;0,IF(BH113&lt;Capacity!Q18,Capacity!R18,Capacity!T18/'Capacity calculation (hide)'!BH113),"")</f>
        <v>1.1538461538461537</v>
      </c>
      <c r="BJ113" s="5"/>
      <c r="BK113" s="5">
        <f ca="1">IF($BI113&lt;&gt;"",IF('Capacity summary'!$C$14="Yes",IF(COUNTBLANK('Capacity summary'!$H25:$BG25)&lt;52,IF('Capacity summary'!H25&lt;&gt;"",IF(LOWER('Capacity summary'!H25)="x",$BI113*H113,VALUE('Capacity summary'!H25)),0),H113*$BI113),H113*$BI113),0)</f>
        <v>1.1538461538461537</v>
      </c>
      <c r="BL113" s="5">
        <f ca="1">IF($BI113&lt;&gt;"",IF('Capacity summary'!$C$14="Yes",IF(COUNTBLANK('Capacity summary'!$H25:$BG25)&lt;52,IF('Capacity summary'!I25&lt;&gt;"",IF(LOWER('Capacity summary'!I25)="x",$BI113*I113,VALUE('Capacity summary'!I25)),0),I113*$BI113),I113*$BI113),0)</f>
        <v>1.1538461538461537</v>
      </c>
      <c r="BM113" s="5">
        <f ca="1">IF($BI113&lt;&gt;"",IF('Capacity summary'!$C$14="Yes",IF(COUNTBLANK('Capacity summary'!$H25:$BG25)&lt;52,IF('Capacity summary'!J25&lt;&gt;"",IF(LOWER('Capacity summary'!J25)="x",$BI113*J113,VALUE('Capacity summary'!J25)),0),J113*$BI113),J113*$BI113),0)</f>
        <v>1.1538461538461537</v>
      </c>
      <c r="BN113" s="5">
        <f ca="1">IF($BI113&lt;&gt;"",IF('Capacity summary'!$C$14="Yes",IF(COUNTBLANK('Capacity summary'!$H25:$BG25)&lt;52,IF('Capacity summary'!K25&lt;&gt;"",IF(LOWER('Capacity summary'!K25)="x",$BI113*K113,VALUE('Capacity summary'!K25)),0),K113*$BI113),K113*$BI113),0)</f>
        <v>1.1538461538461537</v>
      </c>
      <c r="BO113" s="5">
        <f ca="1">IF($BI113&lt;&gt;"",IF('Capacity summary'!$C$14="Yes",IF(COUNTBLANK('Capacity summary'!$H25:$BG25)&lt;52,IF('Capacity summary'!L25&lt;&gt;"",IF(LOWER('Capacity summary'!L25)="x",$BI113*L113,VALUE('Capacity summary'!L25)),0),L113*$BI113),L113*$BI113),0)</f>
        <v>1.1538461538461537</v>
      </c>
      <c r="BP113" s="5">
        <f ca="1">IF($BI113&lt;&gt;"",IF('Capacity summary'!$C$14="Yes",IF(COUNTBLANK('Capacity summary'!$H25:$BG25)&lt;52,IF('Capacity summary'!M25&lt;&gt;"",IF(LOWER('Capacity summary'!M25)="x",$BI113*M113,VALUE('Capacity summary'!M25)),0),M113*$BI113),M113*$BI113),0)</f>
        <v>1.1538461538461537</v>
      </c>
      <c r="BQ113" s="5">
        <f ca="1">IF($BI113&lt;&gt;"",IF('Capacity summary'!$C$14="Yes",IF(COUNTBLANK('Capacity summary'!$H25:$BG25)&lt;52,IF('Capacity summary'!N25&lt;&gt;"",IF(LOWER('Capacity summary'!N25)="x",$BI113*N113,VALUE('Capacity summary'!N25)),0),N113*$BI113),N113*$BI113),0)</f>
        <v>1.1538461538461537</v>
      </c>
      <c r="BR113" s="5">
        <f ca="1">IF($BI113&lt;&gt;"",IF('Capacity summary'!$C$14="Yes",IF(COUNTBLANK('Capacity summary'!$H25:$BG25)&lt;52,IF('Capacity summary'!O25&lt;&gt;"",IF(LOWER('Capacity summary'!O25)="x",$BI113*O113,VALUE('Capacity summary'!O25)),0),O113*$BI113),O113*$BI113),0)</f>
        <v>1.1538461538461537</v>
      </c>
      <c r="BS113" s="5">
        <f ca="1">IF($BI113&lt;&gt;"",IF('Capacity summary'!$C$14="Yes",IF(COUNTBLANK('Capacity summary'!$H25:$BG25)&lt;52,IF('Capacity summary'!P25&lt;&gt;"",IF(LOWER('Capacity summary'!P25)="x",$BI113*P113,VALUE('Capacity summary'!P25)),0),P113*$BI113),P113*$BI113),0)</f>
        <v>1.1538461538461537</v>
      </c>
      <c r="BT113" s="5">
        <f ca="1">IF($BI113&lt;&gt;"",IF('Capacity summary'!$C$14="Yes",IF(COUNTBLANK('Capacity summary'!$H25:$BG25)&lt;52,IF('Capacity summary'!Q25&lt;&gt;"",IF(LOWER('Capacity summary'!Q25)="x",$BI113*Q113,VALUE('Capacity summary'!Q25)),0),Q113*$BI113),Q113*$BI113),0)</f>
        <v>1.1538461538461537</v>
      </c>
      <c r="BU113" s="5">
        <f ca="1">IF($BI113&lt;&gt;"",IF('Capacity summary'!$C$14="Yes",IF(COUNTBLANK('Capacity summary'!$H25:$BG25)&lt;52,IF('Capacity summary'!R25&lt;&gt;"",IF(LOWER('Capacity summary'!R25)="x",$BI113*R113,VALUE('Capacity summary'!R25)),0),R113*$BI113),R113*$BI113),0)</f>
        <v>1.1538461538461537</v>
      </c>
      <c r="BV113" s="5">
        <f ca="1">IF($BI113&lt;&gt;"",IF('Capacity summary'!$C$14="Yes",IF(COUNTBLANK('Capacity summary'!$H25:$BG25)&lt;52,IF('Capacity summary'!S25&lt;&gt;"",IF(LOWER('Capacity summary'!S25)="x",$BI113*S113,VALUE('Capacity summary'!S25)),0),S113*$BI113),S113*$BI113),0)</f>
        <v>1.1538461538461537</v>
      </c>
      <c r="BW113" s="5">
        <f ca="1">IF($BI113&lt;&gt;"",IF('Capacity summary'!$C$14="Yes",IF(COUNTBLANK('Capacity summary'!$H25:$BG25)&lt;52,IF('Capacity summary'!T25&lt;&gt;"",IF(LOWER('Capacity summary'!T25)="x",$BI113*T113,VALUE('Capacity summary'!T25)),0),T113*$BI113),T113*$BI113),0)</f>
        <v>1.1538461538461537</v>
      </c>
      <c r="BX113" s="5">
        <f ca="1">IF($BI113&lt;&gt;"",IF('Capacity summary'!$C$14="Yes",IF(COUNTBLANK('Capacity summary'!$H25:$BG25)&lt;52,IF('Capacity summary'!U25&lt;&gt;"",IF(LOWER('Capacity summary'!U25)="x",$BI113*U113,VALUE('Capacity summary'!U25)),0),U113*$BI113),U113*$BI113),0)</f>
        <v>1.1538461538461537</v>
      </c>
      <c r="BY113" s="5">
        <f ca="1">IF($BI113&lt;&gt;"",IF('Capacity summary'!$C$14="Yes",IF(COUNTBLANK('Capacity summary'!$H25:$BG25)&lt;52,IF('Capacity summary'!V25&lt;&gt;"",IF(LOWER('Capacity summary'!V25)="x",$BI113*V113,VALUE('Capacity summary'!V25)),0),V113*$BI113),V113*$BI113),0)</f>
        <v>1.1538461538461537</v>
      </c>
      <c r="BZ113" s="5">
        <f ca="1">IF($BI113&lt;&gt;"",IF('Capacity summary'!$C$14="Yes",IF(COUNTBLANK('Capacity summary'!$H25:$BG25)&lt;52,IF('Capacity summary'!W25&lt;&gt;"",IF(LOWER('Capacity summary'!W25)="x",$BI113*W113,VALUE('Capacity summary'!W25)),0),W113*$BI113),W113*$BI113),0)</f>
        <v>1.1538461538461537</v>
      </c>
      <c r="CA113" s="5">
        <f ca="1">IF($BI113&lt;&gt;"",IF('Capacity summary'!$C$14="Yes",IF(COUNTBLANK('Capacity summary'!$H25:$BG25)&lt;52,IF('Capacity summary'!X25&lt;&gt;"",IF(LOWER('Capacity summary'!X25)="x",$BI113*X113,VALUE('Capacity summary'!X25)),0),X113*$BI113),X113*$BI113),0)</f>
        <v>1.1538461538461537</v>
      </c>
      <c r="CB113" s="5">
        <f ca="1">IF($BI113&lt;&gt;"",IF('Capacity summary'!$C$14="Yes",IF(COUNTBLANK('Capacity summary'!$H25:$BG25)&lt;52,IF('Capacity summary'!Y25&lt;&gt;"",IF(LOWER('Capacity summary'!Y25)="x",$BI113*Y113,VALUE('Capacity summary'!Y25)),0),Y113*$BI113),Y113*$BI113),0)</f>
        <v>1.1538461538461537</v>
      </c>
      <c r="CC113" s="5">
        <f ca="1">IF($BI113&lt;&gt;"",IF('Capacity summary'!$C$14="Yes",IF(COUNTBLANK('Capacity summary'!$H25:$BG25)&lt;52,IF('Capacity summary'!Z25&lt;&gt;"",IF(LOWER('Capacity summary'!Z25)="x",$BI113*Z113,VALUE('Capacity summary'!Z25)),0),Z113*$BI113),Z113*$BI113),0)</f>
        <v>1.1538461538461537</v>
      </c>
      <c r="CD113" s="5">
        <f ca="1">IF($BI113&lt;&gt;"",IF('Capacity summary'!$C$14="Yes",IF(COUNTBLANK('Capacity summary'!$H25:$BG25)&lt;52,IF('Capacity summary'!AA25&lt;&gt;"",IF(LOWER('Capacity summary'!AA25)="x",$BI113*AA113,VALUE('Capacity summary'!AA25)),0),AA113*$BI113),AA113*$BI113),0)</f>
        <v>1.1538461538461537</v>
      </c>
      <c r="CE113" s="5">
        <f ca="1">IF($BI113&lt;&gt;"",IF('Capacity summary'!$C$14="Yes",IF(COUNTBLANK('Capacity summary'!$H25:$BG25)&lt;52,IF('Capacity summary'!AB25&lt;&gt;"",IF(LOWER('Capacity summary'!AB25)="x",$BI113*AB113,VALUE('Capacity summary'!AB25)),0),AB113*$BI113),AB113*$BI113),0)</f>
        <v>1.1538461538461537</v>
      </c>
      <c r="CF113" s="5">
        <f ca="1">IF($BI113&lt;&gt;"",IF('Capacity summary'!$C$14="Yes",IF(COUNTBLANK('Capacity summary'!$H25:$BG25)&lt;52,IF('Capacity summary'!AC25&lt;&gt;"",IF(LOWER('Capacity summary'!AC25)="x",$BI113*AC113,VALUE('Capacity summary'!AC25)),0),AC113*$BI113),AC113*$BI113),0)</f>
        <v>1.1538461538461537</v>
      </c>
      <c r="CG113" s="5">
        <f ca="1">IF($BI113&lt;&gt;"",IF('Capacity summary'!$C$14="Yes",IF(COUNTBLANK('Capacity summary'!$H25:$BG25)&lt;52,IF('Capacity summary'!AD25&lt;&gt;"",IF(LOWER('Capacity summary'!AD25)="x",$BI113*AD113,VALUE('Capacity summary'!AD25)),0),AD113*$BI113),AD113*$BI113),0)</f>
        <v>1.1538461538461537</v>
      </c>
      <c r="CH113" s="5">
        <f ca="1">IF($BI113&lt;&gt;"",IF('Capacity summary'!$C$14="Yes",IF(COUNTBLANK('Capacity summary'!$H25:$BG25)&lt;52,IF('Capacity summary'!AE25&lt;&gt;"",IF(LOWER('Capacity summary'!AE25)="x",$BI113*AE113,VALUE('Capacity summary'!AE25)),0),AE113*$BI113),AE113*$BI113),0)</f>
        <v>1.1538461538461537</v>
      </c>
      <c r="CI113" s="5">
        <f ca="1">IF($BI113&lt;&gt;"",IF('Capacity summary'!$C$14="Yes",IF(COUNTBLANK('Capacity summary'!$H25:$BG25)&lt;52,IF('Capacity summary'!AF25&lt;&gt;"",IF(LOWER('Capacity summary'!AF25)="x",$BI113*AF113,VALUE('Capacity summary'!AF25)),0),AF113*$BI113),AF113*$BI113),0)</f>
        <v>1.1538461538461537</v>
      </c>
      <c r="CJ113" s="5">
        <f ca="1">IF($BI113&lt;&gt;"",IF('Capacity summary'!$C$14="Yes",IF(COUNTBLANK('Capacity summary'!$H25:$BG25)&lt;52,IF('Capacity summary'!AG25&lt;&gt;"",IF(LOWER('Capacity summary'!AG25)="x",$BI113*AG113,VALUE('Capacity summary'!AG25)),0),AG113*$BI113),AG113*$BI113),0)</f>
        <v>1.1538461538461537</v>
      </c>
      <c r="CK113" s="5">
        <f ca="1">IF($BI113&lt;&gt;"",IF('Capacity summary'!$C$14="Yes",IF(COUNTBLANK('Capacity summary'!$H25:$BG25)&lt;52,IF('Capacity summary'!AH25&lt;&gt;"",IF(LOWER('Capacity summary'!AH25)="x",$BI113*AH113,VALUE('Capacity summary'!AH25)),0),AH113*$BI113),AH113*$BI113),0)</f>
        <v>1.1538461538461537</v>
      </c>
      <c r="CL113" s="5">
        <f ca="1">IF($BI113&lt;&gt;"",IF('Capacity summary'!$C$14="Yes",IF(COUNTBLANK('Capacity summary'!$H25:$BG25)&lt;52,IF('Capacity summary'!AI25&lt;&gt;"",IF(LOWER('Capacity summary'!AI25)="x",$BI113*AI113,VALUE('Capacity summary'!AI25)),0),AI113*$BI113),AI113*$BI113),0)</f>
        <v>1.1538461538461537</v>
      </c>
      <c r="CM113" s="5">
        <f ca="1">IF($BI113&lt;&gt;"",IF('Capacity summary'!$C$14="Yes",IF(COUNTBLANK('Capacity summary'!$H25:$BG25)&lt;52,IF('Capacity summary'!AJ25&lt;&gt;"",IF(LOWER('Capacity summary'!AJ25)="x",$BI113*AJ113,VALUE('Capacity summary'!AJ25)),0),AJ113*$BI113),AJ113*$BI113),0)</f>
        <v>1.1538461538461537</v>
      </c>
      <c r="CN113" s="5">
        <f ca="1">IF($BI113&lt;&gt;"",IF('Capacity summary'!$C$14="Yes",IF(COUNTBLANK('Capacity summary'!$H25:$BG25)&lt;52,IF('Capacity summary'!AK25&lt;&gt;"",IF(LOWER('Capacity summary'!AK25)="x",$BI113*AK113,VALUE('Capacity summary'!AK25)),0),AK113*$BI113),AK113*$BI113),0)</f>
        <v>1.1538461538461537</v>
      </c>
      <c r="CO113" s="5">
        <f ca="1">IF($BI113&lt;&gt;"",IF('Capacity summary'!$C$14="Yes",IF(COUNTBLANK('Capacity summary'!$H25:$BG25)&lt;52,IF('Capacity summary'!AL25&lt;&gt;"",IF(LOWER('Capacity summary'!AL25)="x",$BI113*AL113,VALUE('Capacity summary'!AL25)),0),AL113*$BI113),AL113*$BI113),0)</f>
        <v>1.1538461538461537</v>
      </c>
      <c r="CP113" s="5">
        <f ca="1">IF($BI113&lt;&gt;"",IF('Capacity summary'!$C$14="Yes",IF(COUNTBLANK('Capacity summary'!$H25:$BG25)&lt;52,IF('Capacity summary'!AM25&lt;&gt;"",IF(LOWER('Capacity summary'!AM25)="x",$BI113*AM113,VALUE('Capacity summary'!AM25)),0),AM113*$BI113),AM113*$BI113),0)</f>
        <v>1.1538461538461537</v>
      </c>
      <c r="CQ113" s="5">
        <f ca="1">IF($BI113&lt;&gt;"",IF('Capacity summary'!$C$14="Yes",IF(COUNTBLANK('Capacity summary'!$H25:$BG25)&lt;52,IF('Capacity summary'!AN25&lt;&gt;"",IF(LOWER('Capacity summary'!AN25)="x",$BI113*AN113,VALUE('Capacity summary'!AN25)),0),AN113*$BI113),AN113*$BI113),0)</f>
        <v>1.1538461538461537</v>
      </c>
      <c r="CR113" s="5">
        <f ca="1">IF($BI113&lt;&gt;"",IF('Capacity summary'!$C$14="Yes",IF(COUNTBLANK('Capacity summary'!$H25:$BG25)&lt;52,IF('Capacity summary'!AO25&lt;&gt;"",IF(LOWER('Capacity summary'!AO25)="x",$BI113*AO113,VALUE('Capacity summary'!AO25)),0),AO113*$BI113),AO113*$BI113),0)</f>
        <v>1.1538461538461537</v>
      </c>
      <c r="CS113" s="5">
        <f ca="1">IF($BI113&lt;&gt;"",IF('Capacity summary'!$C$14="Yes",IF(COUNTBLANK('Capacity summary'!$H25:$BG25)&lt;52,IF('Capacity summary'!AP25&lt;&gt;"",IF(LOWER('Capacity summary'!AP25)="x",$BI113*AP113,VALUE('Capacity summary'!AP25)),0),AP113*$BI113),AP113*$BI113),0)</f>
        <v>1.1538461538461537</v>
      </c>
      <c r="CT113" s="5">
        <f ca="1">IF($BI113&lt;&gt;"",IF('Capacity summary'!$C$14="Yes",IF(COUNTBLANK('Capacity summary'!$H25:$BG25)&lt;52,IF('Capacity summary'!AQ25&lt;&gt;"",IF(LOWER('Capacity summary'!AQ25)="x",$BI113*AQ113,VALUE('Capacity summary'!AQ25)),0),AQ113*$BI113),AQ113*$BI113),0)</f>
        <v>1.1538461538461537</v>
      </c>
      <c r="CU113" s="5">
        <f ca="1">IF($BI113&lt;&gt;"",IF('Capacity summary'!$C$14="Yes",IF(COUNTBLANK('Capacity summary'!$H25:$BG25)&lt;52,IF('Capacity summary'!AR25&lt;&gt;"",IF(LOWER('Capacity summary'!AR25)="x",$BI113*AR113,VALUE('Capacity summary'!AR25)),0),AR113*$BI113),AR113*$BI113),0)</f>
        <v>1.1538461538461537</v>
      </c>
      <c r="CV113" s="5">
        <f ca="1">IF($BI113&lt;&gt;"",IF('Capacity summary'!$C$14="Yes",IF(COUNTBLANK('Capacity summary'!$H25:$BG25)&lt;52,IF('Capacity summary'!AS25&lt;&gt;"",IF(LOWER('Capacity summary'!AS25)="x",$BI113*AS113,VALUE('Capacity summary'!AS25)),0),AS113*$BI113),AS113*$BI113),0)</f>
        <v>1.1538461538461537</v>
      </c>
      <c r="CW113" s="5">
        <f ca="1">IF($BI113&lt;&gt;"",IF('Capacity summary'!$C$14="Yes",IF(COUNTBLANK('Capacity summary'!$H25:$BG25)&lt;52,IF('Capacity summary'!AT25&lt;&gt;"",IF(LOWER('Capacity summary'!AT25)="x",$BI113*AT113,VALUE('Capacity summary'!AT25)),0),AT113*$BI113),AT113*$BI113),0)</f>
        <v>1.1538461538461537</v>
      </c>
      <c r="CX113" s="5">
        <f ca="1">IF($BI113&lt;&gt;"",IF('Capacity summary'!$C$14="Yes",IF(COUNTBLANK('Capacity summary'!$H25:$BG25)&lt;52,IF('Capacity summary'!AU25&lt;&gt;"",IF(LOWER('Capacity summary'!AU25)="x",$BI113*AU113,VALUE('Capacity summary'!AU25)),0),AU113*$BI113),AU113*$BI113),0)</f>
        <v>1.1538461538461537</v>
      </c>
      <c r="CY113" s="5">
        <f ca="1">IF($BI113&lt;&gt;"",IF('Capacity summary'!$C$14="Yes",IF(COUNTBLANK('Capacity summary'!$H25:$BG25)&lt;52,IF('Capacity summary'!AV25&lt;&gt;"",IF(LOWER('Capacity summary'!AV25)="x",$BI113*AV113,VALUE('Capacity summary'!AV25)),0),AV113*$BI113),AV113*$BI113),0)</f>
        <v>1.1538461538461537</v>
      </c>
      <c r="CZ113" s="5">
        <f ca="1">IF($BI113&lt;&gt;"",IF('Capacity summary'!$C$14="Yes",IF(COUNTBLANK('Capacity summary'!$H25:$BG25)&lt;52,IF('Capacity summary'!AW25&lt;&gt;"",IF(LOWER('Capacity summary'!AW25)="x",$BI113*AW113,VALUE('Capacity summary'!AW25)),0),AW113*$BI113),AW113*$BI113),0)</f>
        <v>1.1538461538461537</v>
      </c>
      <c r="DA113" s="5">
        <f ca="1">IF($BI113&lt;&gt;"",IF('Capacity summary'!$C$14="Yes",IF(COUNTBLANK('Capacity summary'!$H25:$BG25)&lt;52,IF('Capacity summary'!AX25&lt;&gt;"",IF(LOWER('Capacity summary'!AX25)="x",$BI113*AX113,VALUE('Capacity summary'!AX25)),0),AX113*$BI113),AX113*$BI113),0)</f>
        <v>1.1538461538461537</v>
      </c>
      <c r="DB113" s="5">
        <f ca="1">IF($BI113&lt;&gt;"",IF('Capacity summary'!$C$14="Yes",IF(COUNTBLANK('Capacity summary'!$H25:$BG25)&lt;52,IF('Capacity summary'!AY25&lt;&gt;"",IF(LOWER('Capacity summary'!AY25)="x",$BI113*AY113,VALUE('Capacity summary'!AY25)),0),AY113*$BI113),AY113*$BI113),0)</f>
        <v>1.1538461538461537</v>
      </c>
      <c r="DC113" s="5">
        <f ca="1">IF($BI113&lt;&gt;"",IF('Capacity summary'!$C$14="Yes",IF(COUNTBLANK('Capacity summary'!$H25:$BG25)&lt;52,IF('Capacity summary'!AZ25&lt;&gt;"",IF(LOWER('Capacity summary'!AZ25)="x",$BI113*AZ113,VALUE('Capacity summary'!AZ25)),0),AZ113*$BI113),AZ113*$BI113),0)</f>
        <v>1.1538461538461537</v>
      </c>
      <c r="DD113" s="5">
        <f ca="1">IF($BI113&lt;&gt;"",IF('Capacity summary'!$C$14="Yes",IF(COUNTBLANK('Capacity summary'!$H25:$BG25)&lt;52,IF('Capacity summary'!BA25&lt;&gt;"",IF(LOWER('Capacity summary'!BA25)="x",$BI113*BA113,VALUE('Capacity summary'!BA25)),0),BA113*$BI113),BA113*$BI113),0)</f>
        <v>1.1538461538461537</v>
      </c>
      <c r="DE113" s="5">
        <f ca="1">IF($BI113&lt;&gt;"",IF('Capacity summary'!$C$14="Yes",IF(COUNTBLANK('Capacity summary'!$H25:$BG25)&lt;52,IF('Capacity summary'!BB25&lt;&gt;"",IF(LOWER('Capacity summary'!BB25)="x",$BI113*BB113,VALUE('Capacity summary'!BB25)),0),BB113*$BI113),BB113*$BI113),0)</f>
        <v>1.1538461538461537</v>
      </c>
      <c r="DF113" s="5">
        <f ca="1">IF($BI113&lt;&gt;"",IF('Capacity summary'!$C$14="Yes",IF(COUNTBLANK('Capacity summary'!$H25:$BG25)&lt;52,IF('Capacity summary'!BC25&lt;&gt;"",IF(LOWER('Capacity summary'!BC25)="x",$BI113*BC113,VALUE('Capacity summary'!BC25)),0),BC113*$BI113),BC113*$BI113),0)</f>
        <v>1.1538461538461537</v>
      </c>
      <c r="DG113" s="5">
        <f ca="1">IF($BI113&lt;&gt;"",IF('Capacity summary'!$C$14="Yes",IF(COUNTBLANK('Capacity summary'!$H25:$BG25)&lt;52,IF('Capacity summary'!BD25&lt;&gt;"",IF(LOWER('Capacity summary'!BD25)="x",$BI113*BD113,VALUE('Capacity summary'!BD25)),0),BD113*$BI113),BD113*$BI113),0)</f>
        <v>1.1538461538461537</v>
      </c>
      <c r="DH113" s="5">
        <f ca="1">IF($BI113&lt;&gt;"",IF('Capacity summary'!$C$14="Yes",IF(COUNTBLANK('Capacity summary'!$H25:$BG25)&lt;52,IF('Capacity summary'!BE25&lt;&gt;"",IF(LOWER('Capacity summary'!BE25)="x",$BI113*BE113,VALUE('Capacity summary'!BE25)),0),BE113*$BI113),BE113*$BI113),0)</f>
        <v>1.1538461538461537</v>
      </c>
      <c r="DI113" s="5">
        <f ca="1">IF($BI113&lt;&gt;"",IF('Capacity summary'!$C$14="Yes",IF(COUNTBLANK('Capacity summary'!$H25:$BG25)&lt;52,IF('Capacity summary'!BF25&lt;&gt;"",IF(LOWER('Capacity summary'!BF25)="x",$BI113*BF113,VALUE('Capacity summary'!BF25)),0),BF113*$BI113),BF113*$BI113),0)</f>
        <v>1.1538461538461537</v>
      </c>
      <c r="DJ113" s="5">
        <f ca="1">IF($BI113&lt;&gt;"",IF('Capacity summary'!$C$14="Yes",IF(COUNTBLANK('Capacity summary'!$H25:$BG25)&lt;52,IF('Capacity summary'!BG25&lt;&gt;"",IF(LOWER('Capacity summary'!BG25)="x",$BI113*BG113,VALUE('Capacity summary'!BG25)),0),BG113*$BI113),BG113*$BI113),0)</f>
        <v>1.1538461538461537</v>
      </c>
      <c r="DK113" s="390">
        <f t="shared" ca="1" si="8"/>
        <v>1.1538461538461537</v>
      </c>
      <c r="DL113" s="5">
        <f t="shared" ca="1" si="9"/>
        <v>59.999999999999979</v>
      </c>
    </row>
    <row r="114" spans="3:116"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90">
        <f t="shared" si="8"/>
        <v>0</v>
      </c>
      <c r="DL114" s="5">
        <f t="shared" si="9"/>
        <v>0</v>
      </c>
    </row>
    <row r="115" spans="3:116"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90">
        <f t="shared" si="8"/>
        <v>0</v>
      </c>
      <c r="DL115" s="5">
        <f t="shared" si="9"/>
        <v>0</v>
      </c>
    </row>
    <row r="116" spans="3:116"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90">
        <f t="shared" si="8"/>
        <v>0</v>
      </c>
      <c r="DL116" s="5">
        <f t="shared" si="9"/>
        <v>0</v>
      </c>
    </row>
    <row r="117" spans="3:116"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90">
        <f t="shared" si="8"/>
        <v>0</v>
      </c>
      <c r="DL117" s="5">
        <f t="shared" si="9"/>
        <v>0</v>
      </c>
    </row>
    <row r="118" spans="3:116"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90">
        <f t="shared" si="8"/>
        <v>0</v>
      </c>
      <c r="DL118" s="5">
        <f t="shared" si="9"/>
        <v>0</v>
      </c>
    </row>
    <row r="119" spans="3:116"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90">
        <f t="shared" si="8"/>
        <v>0</v>
      </c>
      <c r="DL119" s="5">
        <f t="shared" si="9"/>
        <v>0</v>
      </c>
    </row>
    <row r="120" spans="3:116"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90">
        <f t="shared" si="8"/>
        <v>0</v>
      </c>
      <c r="DL120" s="5">
        <f t="shared" si="9"/>
        <v>0</v>
      </c>
    </row>
    <row r="121" spans="3:116"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90">
        <f t="shared" si="8"/>
        <v>0</v>
      </c>
      <c r="DL121" s="5">
        <f t="shared" si="9"/>
        <v>0</v>
      </c>
    </row>
    <row r="122" spans="3:116"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90">
        <f t="shared" si="8"/>
        <v>0</v>
      </c>
      <c r="DL122" s="5">
        <f t="shared" si="9"/>
        <v>0</v>
      </c>
    </row>
    <row r="123" spans="3:116"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90">
        <f t="shared" si="8"/>
        <v>0</v>
      </c>
      <c r="DL123" s="5">
        <f t="shared" si="9"/>
        <v>0</v>
      </c>
    </row>
    <row r="124" spans="3:116"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90">
        <f t="shared" si="8"/>
        <v>0</v>
      </c>
      <c r="DL124" s="5">
        <f t="shared" si="9"/>
        <v>0</v>
      </c>
    </row>
    <row r="125" spans="3:116"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90">
        <f t="shared" si="8"/>
        <v>0</v>
      </c>
      <c r="DL125" s="5">
        <f t="shared" si="9"/>
        <v>0</v>
      </c>
    </row>
    <row r="126" spans="3:116"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90">
        <f t="shared" si="8"/>
        <v>0</v>
      </c>
      <c r="DL126" s="5">
        <f t="shared" si="9"/>
        <v>0</v>
      </c>
    </row>
    <row r="127" spans="3:116"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90">
        <f t="shared" si="8"/>
        <v>0</v>
      </c>
      <c r="DL127" s="5">
        <f t="shared" si="9"/>
        <v>0</v>
      </c>
    </row>
    <row r="128" spans="3:116"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90">
        <f t="shared" si="8"/>
        <v>0</v>
      </c>
      <c r="DL128" s="5">
        <f t="shared" si="9"/>
        <v>0</v>
      </c>
    </row>
    <row r="129" spans="3:116"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90">
        <f t="shared" si="8"/>
        <v>0</v>
      </c>
      <c r="DL129" s="5">
        <f t="shared" si="9"/>
        <v>0</v>
      </c>
    </row>
    <row r="130" spans="3:116"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90">
        <f t="shared" si="8"/>
        <v>0</v>
      </c>
      <c r="DL130" s="5">
        <f t="shared" si="9"/>
        <v>0</v>
      </c>
    </row>
    <row r="131" spans="3:116"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90">
        <f t="shared" si="8"/>
        <v>0</v>
      </c>
      <c r="DL131" s="5">
        <f t="shared" si="9"/>
        <v>0</v>
      </c>
    </row>
    <row r="132" spans="3:116"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90">
        <f t="shared" si="8"/>
        <v>0</v>
      </c>
      <c r="DL132" s="5">
        <f t="shared" si="9"/>
        <v>0</v>
      </c>
    </row>
    <row r="133" spans="3:116"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90">
        <f t="shared" si="8"/>
        <v>0</v>
      </c>
      <c r="DL133" s="5">
        <f t="shared" si="9"/>
        <v>0</v>
      </c>
    </row>
    <row r="134" spans="3:116"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90">
        <f t="shared" si="8"/>
        <v>0</v>
      </c>
      <c r="DL134" s="5">
        <f t="shared" si="9"/>
        <v>0</v>
      </c>
    </row>
    <row r="135" spans="3:116"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90">
        <f t="shared" si="8"/>
        <v>0</v>
      </c>
      <c r="DL135" s="5">
        <f t="shared" si="9"/>
        <v>0</v>
      </c>
    </row>
    <row r="136" spans="3:116"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90">
        <f t="shared" si="8"/>
        <v>0</v>
      </c>
      <c r="DL136" s="5">
        <f t="shared" si="9"/>
        <v>0</v>
      </c>
    </row>
    <row r="137" spans="3:116"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90">
        <f t="shared" si="8"/>
        <v>0</v>
      </c>
      <c r="DL137" s="5">
        <f t="shared" si="9"/>
        <v>0</v>
      </c>
    </row>
    <row r="138" spans="3:116"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90">
        <f t="shared" si="8"/>
        <v>0</v>
      </c>
      <c r="DL138" s="5">
        <f t="shared" si="9"/>
        <v>0</v>
      </c>
    </row>
    <row r="139" spans="3:116"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90">
        <f t="shared" si="8"/>
        <v>0</v>
      </c>
      <c r="DL139" s="5">
        <f t="shared" si="9"/>
        <v>0</v>
      </c>
    </row>
    <row r="140" spans="3:116"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90">
        <f t="shared" si="8"/>
        <v>0</v>
      </c>
      <c r="DL140" s="5">
        <f t="shared" si="9"/>
        <v>0</v>
      </c>
    </row>
    <row r="141" spans="3:116"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90">
        <f t="shared" si="8"/>
        <v>0</v>
      </c>
      <c r="DL141" s="5">
        <f t="shared" si="9"/>
        <v>0</v>
      </c>
    </row>
    <row r="142" spans="3:116"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90">
        <f t="shared" si="8"/>
        <v>0</v>
      </c>
      <c r="DL142" s="5">
        <f t="shared" si="9"/>
        <v>0</v>
      </c>
    </row>
    <row r="143" spans="3:116"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90">
        <f t="shared" si="8"/>
        <v>0</v>
      </c>
      <c r="DL143" s="5">
        <f t="shared" si="9"/>
        <v>0</v>
      </c>
    </row>
    <row r="144" spans="3:116"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90">
        <f t="shared" si="8"/>
        <v>0</v>
      </c>
      <c r="DL144" s="5">
        <f t="shared" si="9"/>
        <v>0</v>
      </c>
    </row>
    <row r="145" spans="3:116"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90">
        <f t="shared" si="8"/>
        <v>0</v>
      </c>
      <c r="DL145" s="5">
        <f t="shared" si="9"/>
        <v>0</v>
      </c>
    </row>
    <row r="146" spans="3:116"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90">
        <f t="shared" si="8"/>
        <v>0</v>
      </c>
      <c r="DL146" s="5">
        <f t="shared" si="9"/>
        <v>0</v>
      </c>
    </row>
    <row r="147" spans="3:116"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90">
        <f t="shared" si="8"/>
        <v>0</v>
      </c>
      <c r="DL147" s="5">
        <f t="shared" si="9"/>
        <v>0</v>
      </c>
    </row>
    <row r="148" spans="3:116"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90">
        <f t="shared" si="8"/>
        <v>0</v>
      </c>
      <c r="DL148" s="5">
        <f t="shared" si="9"/>
        <v>0</v>
      </c>
    </row>
    <row r="149" spans="3:116"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90">
        <f t="shared" si="8"/>
        <v>0</v>
      </c>
      <c r="DL149" s="5">
        <f t="shared" si="9"/>
        <v>0</v>
      </c>
    </row>
    <row r="150" spans="3:116"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90">
        <f t="shared" si="8"/>
        <v>0</v>
      </c>
      <c r="DL150" s="5">
        <f t="shared" si="9"/>
        <v>0</v>
      </c>
    </row>
    <row r="151" spans="3:116"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90">
        <f t="shared" si="8"/>
        <v>0</v>
      </c>
      <c r="DL151" s="5">
        <f t="shared" si="9"/>
        <v>0</v>
      </c>
    </row>
    <row r="152" spans="3:116"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90">
        <f t="shared" si="8"/>
        <v>0</v>
      </c>
      <c r="DL152" s="5">
        <f t="shared" si="9"/>
        <v>0</v>
      </c>
    </row>
    <row r="153" spans="3:116"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90">
        <f t="shared" si="8"/>
        <v>0</v>
      </c>
      <c r="DL153" s="5">
        <f t="shared" si="9"/>
        <v>0</v>
      </c>
    </row>
    <row r="154" spans="3:116"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90">
        <f t="shared" si="8"/>
        <v>0</v>
      </c>
      <c r="DL154" s="5">
        <f t="shared" si="9"/>
        <v>0</v>
      </c>
    </row>
    <row r="155" spans="3:116"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90">
        <f t="shared" si="8"/>
        <v>0</v>
      </c>
      <c r="DL155" s="5">
        <f t="shared" si="9"/>
        <v>0</v>
      </c>
    </row>
    <row r="156" spans="3:116"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90">
        <f t="shared" si="8"/>
        <v>0</v>
      </c>
      <c r="DL156" s="5">
        <f t="shared" si="9"/>
        <v>0</v>
      </c>
    </row>
    <row r="157" spans="3:116"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90">
        <f t="shared" si="8"/>
        <v>0</v>
      </c>
      <c r="DL157" s="5">
        <f t="shared" si="9"/>
        <v>0</v>
      </c>
    </row>
    <row r="158" spans="3:116"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90">
        <f t="shared" si="8"/>
        <v>0</v>
      </c>
      <c r="DL158" s="5">
        <f t="shared" si="9"/>
        <v>0</v>
      </c>
    </row>
    <row r="159" spans="3:116"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90">
        <f t="shared" si="8"/>
        <v>0</v>
      </c>
      <c r="DL159" s="5">
        <f t="shared" si="9"/>
        <v>0</v>
      </c>
    </row>
    <row r="160" spans="3:116"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90">
        <f t="shared" si="8"/>
        <v>0</v>
      </c>
      <c r="DL160" s="5">
        <f t="shared" si="9"/>
        <v>0</v>
      </c>
    </row>
    <row r="161" spans="3:116"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90">
        <f t="shared" si="8"/>
        <v>0</v>
      </c>
      <c r="DL161" s="5">
        <f t="shared" si="9"/>
        <v>0</v>
      </c>
    </row>
    <row r="162" spans="3:116"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90">
        <f t="shared" si="8"/>
        <v>0</v>
      </c>
      <c r="DL162" s="5">
        <f t="shared" si="9"/>
        <v>0</v>
      </c>
    </row>
    <row r="163" spans="3:116"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90">
        <f t="shared" si="8"/>
        <v>0</v>
      </c>
      <c r="DL163" s="5">
        <f t="shared" si="9"/>
        <v>0</v>
      </c>
    </row>
    <row r="164" spans="3:116"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90">
        <f t="shared" si="8"/>
        <v>0</v>
      </c>
      <c r="DL164" s="5">
        <f t="shared" si="9"/>
        <v>0</v>
      </c>
    </row>
    <row r="165" spans="3:116"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90">
        <f t="shared" si="8"/>
        <v>0</v>
      </c>
      <c r="DL165" s="5">
        <f t="shared" si="9"/>
        <v>0</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90">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90">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90">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90">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90">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90">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90">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90">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90">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90">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90">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90">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90">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90">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90">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90">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90">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90">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90">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90">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90">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90">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90">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90">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90">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90">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90">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90">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90">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90">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90">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90">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90">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90">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90">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90">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90">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90">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90">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90">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90">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90">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90">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90">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90">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90">
        <f t="shared" si="10"/>
        <v>0</v>
      </c>
      <c r="DL211" s="5">
        <f t="shared" si="11"/>
        <v>0</v>
      </c>
    </row>
    <row r="212" spans="2:116" x14ac:dyDescent="0.2">
      <c r="B212" s="67"/>
    </row>
    <row r="213" spans="2:116" x14ac:dyDescent="0.2">
      <c r="B213" s="67"/>
    </row>
    <row r="214" spans="2:116" ht="15" x14ac:dyDescent="0.25">
      <c r="B214" s="67"/>
      <c r="BI214" s="305" t="s">
        <v>1113</v>
      </c>
      <c r="BK214">
        <f ca="1">SUMIFS(BK$112:BK$211,Capacity!$V$17:$V$116,"X")</f>
        <v>2.1153846153846154</v>
      </c>
      <c r="BL214" s="67">
        <f ca="1">SUMIFS(BL$112:BL$211,Capacity!$V$17:$V$116,"X")</f>
        <v>2.1153846153846154</v>
      </c>
      <c r="BM214" s="67">
        <f ca="1">SUMIFS(BM$112:BM$211,Capacity!$V$17:$V$116,"X")</f>
        <v>2.1153846153846154</v>
      </c>
      <c r="BN214" s="67">
        <f ca="1">SUMIFS(BN$112:BN$211,Capacity!$V$17:$V$116,"X")</f>
        <v>2.1153846153846154</v>
      </c>
      <c r="BO214" s="67">
        <f ca="1">SUMIFS(BO$112:BO$211,Capacity!$V$17:$V$116,"X")</f>
        <v>2.1153846153846154</v>
      </c>
      <c r="BP214" s="67">
        <f ca="1">SUMIFS(BP$112:BP$211,Capacity!$V$17:$V$116,"X")</f>
        <v>2.1153846153846154</v>
      </c>
      <c r="BQ214" s="67">
        <f ca="1">SUMIFS(BQ$112:BQ$211,Capacity!$V$17:$V$116,"X")</f>
        <v>2.1153846153846154</v>
      </c>
      <c r="BR214" s="67">
        <f ca="1">SUMIFS(BR$112:BR$211,Capacity!$V$17:$V$116,"X")</f>
        <v>2.1153846153846154</v>
      </c>
      <c r="BS214" s="67">
        <f ca="1">SUMIFS(BS$112:BS$211,Capacity!$V$17:$V$116,"X")</f>
        <v>2.1153846153846154</v>
      </c>
      <c r="BT214" s="67">
        <f ca="1">SUMIFS(BT$112:BT$211,Capacity!$V$17:$V$116,"X")</f>
        <v>2.1153846153846154</v>
      </c>
      <c r="BU214" s="67">
        <f ca="1">SUMIFS(BU$112:BU$211,Capacity!$V$17:$V$116,"X")</f>
        <v>2.1153846153846154</v>
      </c>
      <c r="BV214" s="67">
        <f ca="1">SUMIFS(BV$112:BV$211,Capacity!$V$17:$V$116,"X")</f>
        <v>2.1153846153846154</v>
      </c>
      <c r="BW214" s="67">
        <f ca="1">SUMIFS(BW$112:BW$211,Capacity!$V$17:$V$116,"X")</f>
        <v>2.1153846153846154</v>
      </c>
      <c r="BX214" s="67">
        <f ca="1">SUMIFS(BX$112:BX$211,Capacity!$V$17:$V$116,"X")</f>
        <v>2.1153846153846154</v>
      </c>
      <c r="BY214" s="67">
        <f ca="1">SUMIFS(BY$112:BY$211,Capacity!$V$17:$V$116,"X")</f>
        <v>2.1153846153846154</v>
      </c>
      <c r="BZ214" s="67">
        <f ca="1">SUMIFS(BZ$112:BZ$211,Capacity!$V$17:$V$116,"X")</f>
        <v>2.1153846153846154</v>
      </c>
      <c r="CA214" s="67">
        <f ca="1">SUMIFS(CA$112:CA$211,Capacity!$V$17:$V$116,"X")</f>
        <v>2.1153846153846154</v>
      </c>
      <c r="CB214" s="67">
        <f ca="1">SUMIFS(CB$112:CB$211,Capacity!$V$17:$V$116,"X")</f>
        <v>2.1153846153846154</v>
      </c>
      <c r="CC214" s="67">
        <f ca="1">SUMIFS(CC$112:CC$211,Capacity!$V$17:$V$116,"X")</f>
        <v>2.1153846153846154</v>
      </c>
      <c r="CD214" s="67">
        <f ca="1">SUMIFS(CD$112:CD$211,Capacity!$V$17:$V$116,"X")</f>
        <v>2.1153846153846154</v>
      </c>
      <c r="CE214" s="67">
        <f ca="1">SUMIFS(CE$112:CE$211,Capacity!$V$17:$V$116,"X")</f>
        <v>2.1153846153846154</v>
      </c>
      <c r="CF214" s="67">
        <f ca="1">SUMIFS(CF$112:CF$211,Capacity!$V$17:$V$116,"X")</f>
        <v>2.1153846153846154</v>
      </c>
      <c r="CG214" s="67">
        <f ca="1">SUMIFS(CG$112:CG$211,Capacity!$V$17:$V$116,"X")</f>
        <v>2.1153846153846154</v>
      </c>
      <c r="CH214" s="67">
        <f ca="1">SUMIFS(CH$112:CH$211,Capacity!$V$17:$V$116,"X")</f>
        <v>2.1153846153846154</v>
      </c>
      <c r="CI214" s="67">
        <f ca="1">SUMIFS(CI$112:CI$211,Capacity!$V$17:$V$116,"X")</f>
        <v>2.1153846153846154</v>
      </c>
      <c r="CJ214" s="67">
        <f ca="1">SUMIFS(CJ$112:CJ$211,Capacity!$V$17:$V$116,"X")</f>
        <v>2.1153846153846154</v>
      </c>
      <c r="CK214" s="67">
        <f ca="1">SUMIFS(CK$112:CK$211,Capacity!$V$17:$V$116,"X")</f>
        <v>2.1153846153846154</v>
      </c>
      <c r="CL214" s="67">
        <f ca="1">SUMIFS(CL$112:CL$211,Capacity!$V$17:$V$116,"X")</f>
        <v>2.1153846153846154</v>
      </c>
      <c r="CM214" s="67">
        <f ca="1">SUMIFS(CM$112:CM$211,Capacity!$V$17:$V$116,"X")</f>
        <v>2.1153846153846154</v>
      </c>
      <c r="CN214" s="67">
        <f ca="1">SUMIFS(CN$112:CN$211,Capacity!$V$17:$V$116,"X")</f>
        <v>2.1153846153846154</v>
      </c>
      <c r="CO214" s="67">
        <f ca="1">SUMIFS(CO$112:CO$211,Capacity!$V$17:$V$116,"X")</f>
        <v>2.1153846153846154</v>
      </c>
      <c r="CP214" s="67">
        <f ca="1">SUMIFS(CP$112:CP$211,Capacity!$V$17:$V$116,"X")</f>
        <v>2.1153846153846154</v>
      </c>
      <c r="CQ214" s="67">
        <f ca="1">SUMIFS(CQ$112:CQ$211,Capacity!$V$17:$V$116,"X")</f>
        <v>2.1153846153846154</v>
      </c>
      <c r="CR214" s="67">
        <f ca="1">SUMIFS(CR$112:CR$211,Capacity!$V$17:$V$116,"X")</f>
        <v>2.1153846153846154</v>
      </c>
      <c r="CS214" s="67">
        <f ca="1">SUMIFS(CS$112:CS$211,Capacity!$V$17:$V$116,"X")</f>
        <v>2.1153846153846154</v>
      </c>
      <c r="CT214" s="67">
        <f ca="1">SUMIFS(CT$112:CT$211,Capacity!$V$17:$V$116,"X")</f>
        <v>2.1153846153846154</v>
      </c>
      <c r="CU214" s="67">
        <f ca="1">SUMIFS(CU$112:CU$211,Capacity!$V$17:$V$116,"X")</f>
        <v>2.1153846153846154</v>
      </c>
      <c r="CV214" s="67">
        <f ca="1">SUMIFS(CV$112:CV$211,Capacity!$V$17:$V$116,"X")</f>
        <v>2.1153846153846154</v>
      </c>
      <c r="CW214" s="67">
        <f ca="1">SUMIFS(CW$112:CW$211,Capacity!$V$17:$V$116,"X")</f>
        <v>2.1153846153846154</v>
      </c>
      <c r="CX214" s="67">
        <f ca="1">SUMIFS(CX$112:CX$211,Capacity!$V$17:$V$116,"X")</f>
        <v>2.1153846153846154</v>
      </c>
      <c r="CY214" s="67">
        <f ca="1">SUMIFS(CY$112:CY$211,Capacity!$V$17:$V$116,"X")</f>
        <v>2.1153846153846154</v>
      </c>
      <c r="CZ214" s="67">
        <f ca="1">SUMIFS(CZ$112:CZ$211,Capacity!$V$17:$V$116,"X")</f>
        <v>2.1153846153846154</v>
      </c>
      <c r="DA214" s="67">
        <f ca="1">SUMIFS(DA$112:DA$211,Capacity!$V$17:$V$116,"X")</f>
        <v>2.1153846153846154</v>
      </c>
      <c r="DB214" s="67">
        <f ca="1">SUMIFS(DB$112:DB$211,Capacity!$V$17:$V$116,"X")</f>
        <v>2.1153846153846154</v>
      </c>
      <c r="DC214" s="67">
        <f ca="1">SUMIFS(DC$112:DC$211,Capacity!$V$17:$V$116,"X")</f>
        <v>2.1153846153846154</v>
      </c>
      <c r="DD214" s="67">
        <f ca="1">SUMIFS(DD$112:DD$211,Capacity!$V$17:$V$116,"X")</f>
        <v>2.1153846153846154</v>
      </c>
      <c r="DE214" s="67">
        <f ca="1">SUMIFS(DE$112:DE$211,Capacity!$V$17:$V$116,"X")</f>
        <v>2.1153846153846154</v>
      </c>
      <c r="DF214" s="67">
        <f ca="1">SUMIFS(DF$112:DF$211,Capacity!$V$17:$V$116,"X")</f>
        <v>2.1153846153846154</v>
      </c>
      <c r="DG214" s="67">
        <f ca="1">SUMIFS(DG$112:DG$211,Capacity!$V$17:$V$116,"X")</f>
        <v>2.1153846153846154</v>
      </c>
      <c r="DH214" s="67">
        <f ca="1">SUMIFS(DH$112:DH$211,Capacity!$V$17:$V$116,"X")</f>
        <v>2.1153846153846154</v>
      </c>
      <c r="DI214" s="67">
        <f ca="1">SUMIFS(DI$112:DI$211,Capacity!$V$17:$V$116,"X")</f>
        <v>2.1153846153846154</v>
      </c>
      <c r="DJ214" s="67">
        <f ca="1">SUMIFS(DJ$112:DJ$211,Capacity!$V$17:$V$116,"X")</f>
        <v>2.1153846153846154</v>
      </c>
      <c r="DK214" s="67">
        <f ca="1">SUMIFS(DK$112:DK$211,Capacity!$V$17:$V$116,"X")</f>
        <v>2.1153846153846154</v>
      </c>
      <c r="DL214" s="67">
        <f ca="1">SUMIFS(DL$112:DL$211,Capacity!$V$17:$V$116,"X")</f>
        <v>109.99999999999991</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407" t="s">
        <v>87</v>
      </c>
      <c r="D2" s="409"/>
      <c r="F2" s="240" t="str">
        <f ca="1">"On aggregate, 1 patient = "&amp;TEXT('Demand background (hide)'!$BN$16,"#.#")&amp;" "&amp;Setup!$I$17</f>
        <v>On aggregate, 1 patient = 37. Minutes</v>
      </c>
    </row>
    <row r="3" spans="1:15" x14ac:dyDescent="0.2">
      <c r="A3" t="s">
        <v>328</v>
      </c>
      <c r="C3" s="438">
        <v>52</v>
      </c>
      <c r="D3" s="439"/>
      <c r="F3" s="347" t="s">
        <v>326</v>
      </c>
    </row>
    <row r="4" spans="1:15" x14ac:dyDescent="0.2">
      <c r="A4" t="s">
        <v>14</v>
      </c>
      <c r="C4" s="407" t="s">
        <v>19</v>
      </c>
      <c r="D4" s="409"/>
    </row>
    <row r="5" spans="1:15" x14ac:dyDescent="0.2">
      <c r="K5" s="72"/>
    </row>
    <row r="6" spans="1:15" ht="14.65" customHeight="1" thickBot="1" x14ac:dyDescent="0.3">
      <c r="A6" s="102" t="s">
        <v>309</v>
      </c>
      <c r="B6" s="103"/>
      <c r="C6" s="103"/>
      <c r="D6" s="9"/>
      <c r="E6" s="456" t="s">
        <v>346</v>
      </c>
      <c r="F6" s="456"/>
      <c r="G6" s="63" t="s">
        <v>87</v>
      </c>
      <c r="H6" s="9" t="s">
        <v>88</v>
      </c>
      <c r="I6" s="9"/>
      <c r="K6" s="72"/>
    </row>
    <row r="7" spans="1:15" ht="15" thickBot="1" x14ac:dyDescent="0.25">
      <c r="A7" s="10"/>
      <c r="B7" s="11"/>
      <c r="C7" s="11"/>
      <c r="D7" s="9"/>
      <c r="E7" s="457" t="s">
        <v>214</v>
      </c>
      <c r="F7" s="449"/>
      <c r="G7" s="442">
        <v>0.1</v>
      </c>
      <c r="H7" s="452">
        <f ca="1">'Parameters calculator (hide)'!B25</f>
        <v>69.600000000000009</v>
      </c>
      <c r="I7" s="9"/>
    </row>
    <row r="8" spans="1:15" ht="15" thickBot="1" x14ac:dyDescent="0.25">
      <c r="A8" s="11"/>
      <c r="B8" s="11"/>
      <c r="C8" s="11"/>
      <c r="D8" s="12"/>
      <c r="E8" s="13"/>
      <c r="F8" s="14"/>
      <c r="G8" s="443"/>
      <c r="H8" s="453"/>
      <c r="I8" s="9"/>
    </row>
    <row r="9" spans="1:15" ht="15" thickBot="1" x14ac:dyDescent="0.25">
      <c r="A9" s="85" t="s">
        <v>338</v>
      </c>
      <c r="B9" s="444" t="str">
        <f ca="1">TEXT('Parameters calculator (hide)'!B19,"#,#")</f>
        <v>696</v>
      </c>
      <c r="C9" s="11"/>
      <c r="D9" s="12"/>
      <c r="E9" s="9"/>
      <c r="F9" s="9"/>
      <c r="G9" s="9"/>
      <c r="H9" s="9"/>
      <c r="I9" s="9"/>
    </row>
    <row r="10" spans="1:15" ht="15" thickBot="1" x14ac:dyDescent="0.25">
      <c r="A10" s="242" t="str">
        <f>"("&amp;$C$4&amp;")"</f>
        <v>(Patients)</v>
      </c>
      <c r="B10" s="445"/>
      <c r="C10" s="15"/>
      <c r="D10" s="16"/>
      <c r="E10" s="446" t="s">
        <v>348</v>
      </c>
      <c r="F10" s="447"/>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48" t="s">
        <v>89</v>
      </c>
      <c r="F11" s="449"/>
      <c r="G11" s="450"/>
      <c r="H11" s="452">
        <f ca="1">'Parameters calculator (hide)'!C25</f>
        <v>0</v>
      </c>
      <c r="I11" s="9"/>
      <c r="O11" s="371"/>
    </row>
    <row r="12" spans="1:15" ht="15" thickBot="1" x14ac:dyDescent="0.25">
      <c r="A12" s="91" t="str">
        <f ca="1">"normalised to "&amp;TEXT('Parameters calculator (hide)'!$B$18,"#")&amp;" wks"</f>
        <v>normalised to 52 wks</v>
      </c>
      <c r="B12" s="11"/>
      <c r="C12" s="17"/>
      <c r="D12" s="9"/>
      <c r="E12" s="18"/>
      <c r="F12" s="14"/>
      <c r="G12" s="451"/>
      <c r="H12" s="453"/>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54" t="s">
        <v>373</v>
      </c>
      <c r="D15" s="455"/>
      <c r="E15" s="20"/>
      <c r="F15" s="458" t="s">
        <v>399</v>
      </c>
      <c r="G15" s="458"/>
      <c r="H15" s="20"/>
      <c r="I15" s="64" t="s">
        <v>87</v>
      </c>
      <c r="J15" s="20" t="s">
        <v>88</v>
      </c>
      <c r="K15" s="20"/>
      <c r="L15" s="20"/>
    </row>
    <row r="16" spans="1:15" ht="15" thickBot="1" x14ac:dyDescent="0.25">
      <c r="B16" s="20"/>
      <c r="C16" s="459">
        <f ca="1">IF(B9-H7-H11+J16&lt;0, 0, B9-H7-H11+J16)</f>
        <v>626.4</v>
      </c>
      <c r="D16" s="460"/>
      <c r="E16" s="20"/>
      <c r="F16" s="20" t="s">
        <v>92</v>
      </c>
      <c r="G16" s="20"/>
      <c r="H16" s="20"/>
      <c r="I16" s="463">
        <f>'Parameters calculator (hide)'!$H$24</f>
        <v>0</v>
      </c>
      <c r="J16" s="465">
        <f ca="1">'Parameters calculator (hide)'!H25</f>
        <v>0</v>
      </c>
      <c r="K16" s="20"/>
      <c r="L16" s="20"/>
    </row>
    <row r="17" spans="1:13" ht="15" thickBot="1" x14ac:dyDescent="0.25">
      <c r="B17" s="20"/>
      <c r="C17" s="461"/>
      <c r="D17" s="462"/>
      <c r="E17" s="22"/>
      <c r="F17" s="23"/>
      <c r="G17" s="23"/>
      <c r="H17" s="23"/>
      <c r="I17" s="464"/>
      <c r="J17" s="466"/>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67" t="s">
        <v>347</v>
      </c>
      <c r="F20" s="467"/>
      <c r="G20" s="64" t="s">
        <v>87</v>
      </c>
      <c r="H20" s="25" t="s">
        <v>88</v>
      </c>
      <c r="I20" s="25"/>
      <c r="J20" s="25"/>
      <c r="K20" s="26"/>
      <c r="L20" s="20"/>
    </row>
    <row r="21" spans="1:13" ht="15" thickBot="1" x14ac:dyDescent="0.25">
      <c r="B21" s="20"/>
      <c r="C21" s="20"/>
      <c r="D21" s="28"/>
      <c r="E21" s="468" t="s">
        <v>93</v>
      </c>
      <c r="F21" s="469"/>
      <c r="G21" s="442">
        <v>0.1</v>
      </c>
      <c r="H21" s="452">
        <f ca="1">'Parameters calculator (hide)'!E25</f>
        <v>62.64</v>
      </c>
      <c r="I21" s="29"/>
      <c r="J21" s="29"/>
      <c r="K21" s="21"/>
      <c r="L21" s="20"/>
    </row>
    <row r="22" spans="1:13" ht="15" thickBot="1" x14ac:dyDescent="0.25">
      <c r="B22" s="90"/>
      <c r="C22" s="26"/>
      <c r="D22" s="23"/>
      <c r="E22" s="23"/>
      <c r="F22" s="24"/>
      <c r="G22" s="443"/>
      <c r="H22" s="453"/>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37" t="s">
        <v>372</v>
      </c>
      <c r="B25" s="31"/>
      <c r="C25" s="32"/>
      <c r="D25" s="31"/>
      <c r="E25" s="31"/>
      <c r="F25" s="31"/>
      <c r="G25" s="31"/>
      <c r="H25" s="31"/>
      <c r="I25" s="32"/>
      <c r="J25" s="31"/>
      <c r="K25" s="31"/>
    </row>
    <row r="26" spans="1:13" ht="15" thickBot="1" x14ac:dyDescent="0.25">
      <c r="A26" s="437"/>
      <c r="B26" s="440">
        <f ca="1">'Parameters calculator (hide)'!B27</f>
        <v>563.76</v>
      </c>
      <c r="C26" s="33"/>
      <c r="D26" s="31"/>
      <c r="E26" s="31"/>
      <c r="F26" s="31"/>
      <c r="G26" s="92"/>
      <c r="H26" s="31"/>
      <c r="I26" s="32" t="s">
        <v>87</v>
      </c>
      <c r="J26" s="31" t="s">
        <v>88</v>
      </c>
      <c r="K26" s="31"/>
    </row>
    <row r="27" spans="1:13" ht="15" thickBot="1" x14ac:dyDescent="0.25">
      <c r="A27" s="243" t="str">
        <f>"("&amp;$C$4&amp;")"</f>
        <v>(Patients)</v>
      </c>
      <c r="B27" s="441"/>
      <c r="C27" s="31"/>
      <c r="D27" s="31"/>
      <c r="E27" s="31"/>
      <c r="F27" s="83" t="s">
        <v>400</v>
      </c>
      <c r="G27" s="92"/>
      <c r="H27" s="31"/>
      <c r="I27" s="442">
        <v>1</v>
      </c>
      <c r="J27" s="452">
        <f ca="1">'Parameters calculator (hide)'!F25</f>
        <v>62.64</v>
      </c>
      <c r="K27" s="31"/>
    </row>
    <row r="28" spans="1:13" ht="15" thickBot="1" x14ac:dyDescent="0.25">
      <c r="A28" s="83"/>
      <c r="B28" s="31"/>
      <c r="C28" s="31"/>
      <c r="D28" s="31"/>
      <c r="E28" s="31"/>
      <c r="F28" s="31" t="s">
        <v>95</v>
      </c>
      <c r="G28" s="31"/>
      <c r="H28" s="31"/>
      <c r="I28" s="443"/>
      <c r="J28" s="453"/>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Test name 1</v>
      </c>
      <c r="B9" s="214"/>
      <c r="C9" s="214"/>
      <c r="E9" s="214"/>
      <c r="G9" s="214"/>
    </row>
    <row r="10" spans="1:7" x14ac:dyDescent="0.2">
      <c r="A10" s="86" t="str">
        <f>IF(Setup!C28&lt;&gt;"",Setup!C28,"Modality "&amp;ROW(A2))</f>
        <v>Test name 2</v>
      </c>
      <c r="B10" s="214"/>
      <c r="C10" s="214"/>
      <c r="E10" s="214"/>
      <c r="G10" s="214"/>
    </row>
    <row r="11" spans="1:7" hidden="1" x14ac:dyDescent="0.2">
      <c r="A11" s="86" t="str">
        <f>IF(Setup!C29&lt;&gt;"",Setup!C29,"Modality "&amp;ROW(A3))</f>
        <v>Another modality</v>
      </c>
      <c r="B11" s="214"/>
      <c r="C11" s="214"/>
      <c r="E11" s="214"/>
      <c r="G11" s="214"/>
    </row>
    <row r="12" spans="1:7" hidden="1" x14ac:dyDescent="0.2">
      <c r="A12" s="86" t="str">
        <f>IF(Setup!C30&lt;&gt;"",Setup!C30,"Modality "&amp;ROW(A8))</f>
        <v>Modality 4</v>
      </c>
      <c r="B12" s="214"/>
      <c r="C12" s="214"/>
      <c r="E12" s="214"/>
      <c r="G12" s="214"/>
    </row>
    <row r="13" spans="1:7" hidden="1" x14ac:dyDescent="0.2">
      <c r="A13" s="86" t="str">
        <f>IF(Setup!C31&lt;&gt;"",Setup!C31,"Modality "&amp;ROW(A9))</f>
        <v>Modality 5</v>
      </c>
      <c r="B13" s="214"/>
      <c r="C13" s="214"/>
      <c r="E13" s="214"/>
      <c r="G13" s="214"/>
    </row>
    <row r="14" spans="1:7" hidden="1" x14ac:dyDescent="0.2">
      <c r="A14" s="86" t="str">
        <f>IF(Setup!C32&lt;&gt;"",Setup!C32,"Modality "&amp;ROW(A10))</f>
        <v>Modality 6</v>
      </c>
      <c r="B14" s="214"/>
      <c r="C14" s="214"/>
      <c r="E14" s="214"/>
      <c r="G14" s="214"/>
    </row>
    <row r="15" spans="1:7" hidden="1" x14ac:dyDescent="0.2">
      <c r="A15" s="86" t="str">
        <f>IF(Setup!C33&lt;&gt;"",Setup!C33,"Modality "&amp;ROW(A11))</f>
        <v>Modality 7</v>
      </c>
      <c r="B15" s="214"/>
      <c r="C15" s="214"/>
      <c r="E15" s="214"/>
      <c r="G15" s="214"/>
    </row>
    <row r="16" spans="1:7" hidden="1" x14ac:dyDescent="0.2">
      <c r="A16" s="86" t="str">
        <f>IF(Setup!C34&lt;&gt;"",Setup!C34,"Modality "&amp;ROW(A12))</f>
        <v>Modality 8</v>
      </c>
      <c r="B16" s="214"/>
      <c r="C16" s="214"/>
      <c r="E16" s="214"/>
      <c r="G16" s="214"/>
    </row>
    <row r="17" spans="1:7" hidden="1" x14ac:dyDescent="0.2">
      <c r="A17" s="86" t="str">
        <f>IF(Setup!C35&lt;&gt;"",Setup!C35,"Modality "&amp;ROW(A13))</f>
        <v>Modality 9</v>
      </c>
      <c r="B17" s="214"/>
      <c r="C17" s="214"/>
      <c r="E17" s="214"/>
      <c r="G17" s="214"/>
    </row>
    <row r="18" spans="1:7" hidden="1"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696</v>
      </c>
      <c r="C21" s="95">
        <f ca="1">'Parameters calculator (hide)'!B19*'Parameters calculator (hide)'!E18</f>
        <v>25740.000000000004</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np4uZ/rbNGXr+8L0y4oMlEPvlBBs+zohZV/Wc0Amibboe+loF9+rbCyXS2DDrwmKsXxYmzD2jZ0VY5gf/pP8Q==" saltValue="mKK08r5T2RirXqcZAUQ/c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f ca="1">C15/'Parameters calculator'!$C$21</f>
        <v>0</v>
      </c>
      <c r="E16" s="84">
        <f ca="1">E15/('Parameters calculator'!$C$21-C15)</f>
        <v>0</v>
      </c>
      <c r="G16" s="84">
        <f ca="1">G15/('Parameters calculator'!$C$21-C15)</f>
        <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36.982758620689658</v>
      </c>
      <c r="G18" s="67" t="s">
        <v>394</v>
      </c>
      <c r="H18" s="51" t="s">
        <v>501</v>
      </c>
    </row>
    <row r="19" spans="1:13" x14ac:dyDescent="0.2">
      <c r="A19" t="s">
        <v>329</v>
      </c>
      <c r="B19">
        <f ca="1">'Demand background (hide)'!$BM$18*'Parameters calculator (hide)'!$B$18*IF(OR(Parameters!C4="Patients",B34=1),1/E18,1)</f>
        <v>696</v>
      </c>
    </row>
    <row r="20" spans="1:13" x14ac:dyDescent="0.2">
      <c r="B20" t="s">
        <v>75</v>
      </c>
      <c r="C20" t="s">
        <v>336</v>
      </c>
      <c r="E20" t="s">
        <v>99</v>
      </c>
      <c r="F20" t="s">
        <v>337</v>
      </c>
      <c r="H20" t="s">
        <v>101</v>
      </c>
    </row>
    <row r="21" spans="1:13" s="67" customFormat="1" x14ac:dyDescent="0.2">
      <c r="A21" s="67" t="s">
        <v>334</v>
      </c>
      <c r="B21" s="84">
        <f>Parameters!$G$7</f>
        <v>0.1</v>
      </c>
      <c r="C21" s="84">
        <f>Parameters!$G$11</f>
        <v>0</v>
      </c>
      <c r="D21" s="47"/>
      <c r="E21" s="84">
        <f>Parameters!$G$21</f>
        <v>0.1</v>
      </c>
      <c r="F21" s="84">
        <f>Parameters!$I$27</f>
        <v>1</v>
      </c>
      <c r="G21" s="47"/>
      <c r="H21" s="84">
        <f>1-F21</f>
        <v>0</v>
      </c>
      <c r="M21" s="67" t="s">
        <v>393</v>
      </c>
    </row>
    <row r="22" spans="1:13" s="67" customFormat="1" x14ac:dyDescent="0.2">
      <c r="A22" s="67" t="s">
        <v>335</v>
      </c>
      <c r="B22" s="5">
        <f ca="1">Parameters!$H$7</f>
        <v>69.600000000000009</v>
      </c>
      <c r="C22" s="5">
        <f ca="1">Parameters!$H$11</f>
        <v>0</v>
      </c>
      <c r="E22" s="5">
        <f ca="1">Parameters!$H$21</f>
        <v>62.64</v>
      </c>
      <c r="F22" s="5">
        <f ca="1">Parameters!$J$27</f>
        <v>62.64</v>
      </c>
      <c r="H22" s="5">
        <f ca="1">E22-F22</f>
        <v>0</v>
      </c>
    </row>
    <row r="23" spans="1:13" s="67" customFormat="1" x14ac:dyDescent="0.2"/>
    <row r="24" spans="1:13" x14ac:dyDescent="0.2">
      <c r="A24" s="67" t="s">
        <v>332</v>
      </c>
      <c r="B24" s="84">
        <f ca="1">IF($B$34=2,IFERROR(B22/B19,NA()),C16)</f>
        <v>0.1</v>
      </c>
      <c r="C24" s="84">
        <f ca="1">IF($B$34=2,IFERROR(C22/(B19-B22),NA()),E16)</f>
        <v>0</v>
      </c>
      <c r="D24" s="47"/>
      <c r="E24" s="84">
        <f ca="1">IF($B$34=2,IFERROR(E22/(B19-B22),NA()),G16)</f>
        <v>0.1</v>
      </c>
      <c r="F24" s="84">
        <f ca="1">IF($B$34=2,IF(E22=0,0,IFERROR(F22/E22,NA())),I16)</f>
        <v>1</v>
      </c>
      <c r="G24" s="47"/>
      <c r="H24" s="84">
        <f>IF(Parameters!$C$2="%",'Parameters calculator (hide)'!$H$21,1-F24)</f>
        <v>0</v>
      </c>
    </row>
    <row r="25" spans="1:13" x14ac:dyDescent="0.2">
      <c r="A25" t="s">
        <v>333</v>
      </c>
      <c r="B25" s="5">
        <f ca="1">IFERROR(B19*B21,NA())</f>
        <v>69.600000000000009</v>
      </c>
      <c r="C25" s="5">
        <f ca="1">IFERROR((B19*(1-B21)*C21),NA())</f>
        <v>0</v>
      </c>
      <c r="D25" s="67"/>
      <c r="E25" s="5">
        <f ca="1">IFERROR(B19*(1-B21)*E21,NA())</f>
        <v>62.64</v>
      </c>
      <c r="F25" s="5">
        <f ca="1">IFERROR(E25*F21,NA())</f>
        <v>62.64</v>
      </c>
      <c r="G25" s="67"/>
      <c r="H25" s="5">
        <f ca="1">E25-F25</f>
        <v>0</v>
      </c>
    </row>
    <row r="27" spans="1:13" x14ac:dyDescent="0.2">
      <c r="A27" t="s">
        <v>340</v>
      </c>
      <c r="B27">
        <f ca="1">IF(Parameters!$C$2="Volume",B19-B22-C22+H22-E22,B19-B25-C25+H25-E25)</f>
        <v>563.76</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f ca="1">IF(B34=1,C16,B24)</f>
        <v>0.1</v>
      </c>
      <c r="C43" s="146">
        <f ca="1">(1-B43)</f>
        <v>0.9</v>
      </c>
      <c r="E43" s="148"/>
      <c r="G43" s="146"/>
    </row>
    <row r="44" spans="1:13" x14ac:dyDescent="0.2">
      <c r="A44" t="s">
        <v>336</v>
      </c>
      <c r="B44" s="100">
        <f ca="1">IF(B34=1,E16,C24)</f>
        <v>0</v>
      </c>
      <c r="C44" s="146">
        <f ca="1">B44</f>
        <v>0</v>
      </c>
      <c r="E44" s="146" t="s">
        <v>508</v>
      </c>
      <c r="G44" s="146"/>
      <c r="H44" s="67"/>
    </row>
    <row r="45" spans="1:13" x14ac:dyDescent="0.2">
      <c r="A45" t="s">
        <v>99</v>
      </c>
      <c r="B45" s="100">
        <f ca="1">IF(B34=1,G16,E24)</f>
        <v>0.1</v>
      </c>
      <c r="C45" s="146"/>
      <c r="E45" s="146" t="str">
        <f>IF(E42&gt;0,E42/(1-C44-(B45*B46))/C43,"")</f>
        <v/>
      </c>
      <c r="G45" s="146"/>
      <c r="H45" s="67"/>
    </row>
    <row r="46" spans="1:13" x14ac:dyDescent="0.2">
      <c r="A46" t="s">
        <v>337</v>
      </c>
      <c r="B46" s="100">
        <f ca="1">IF(B34=1,I16,F24)</f>
        <v>1</v>
      </c>
      <c r="C46" s="146">
        <f ca="1">B46*B45</f>
        <v>0.1</v>
      </c>
      <c r="E46" s="146"/>
      <c r="G46" s="146"/>
      <c r="H46" s="67"/>
    </row>
    <row r="47" spans="1:13" x14ac:dyDescent="0.2">
      <c r="A47" t="s">
        <v>406</v>
      </c>
      <c r="B47" s="100">
        <f ca="1">IF(B34=1,1-I16,1-F24)</f>
        <v>0</v>
      </c>
      <c r="C47" s="146">
        <f ca="1">B47*B45</f>
        <v>0</v>
      </c>
      <c r="D47" s="36"/>
      <c r="E47" s="146"/>
      <c r="F47" s="146"/>
      <c r="G47" s="146"/>
      <c r="H47" s="67"/>
    </row>
    <row r="51" spans="1:14" x14ac:dyDescent="0.2">
      <c r="A51" t="s">
        <v>407</v>
      </c>
      <c r="E51" t="s">
        <v>877</v>
      </c>
      <c r="F51" t="s">
        <v>413</v>
      </c>
      <c r="L51" t="s">
        <v>420</v>
      </c>
    </row>
    <row r="53" spans="1:14" x14ac:dyDescent="0.2">
      <c r="A53" t="s">
        <v>408</v>
      </c>
      <c r="B53" t="s">
        <v>148</v>
      </c>
      <c r="C53" t="s">
        <v>149</v>
      </c>
      <c r="D53" t="s">
        <v>883</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
      <c r="F61" s="5"/>
      <c r="H61" t="s">
        <v>165</v>
      </c>
      <c r="I61" t="s">
        <v>166</v>
      </c>
    </row>
    <row r="62" spans="1:14" x14ac:dyDescent="0.2">
      <c r="A62" t="s">
        <v>415</v>
      </c>
      <c r="F62" s="5">
        <f ca="1">SUM(F55:G57)</f>
        <v>1656.9230769230769</v>
      </c>
      <c r="H62" s="5">
        <f ca="1">F62*0.95</f>
        <v>1574.0769230769231</v>
      </c>
      <c r="I62" s="5">
        <f ca="1">F62*1.05</f>
        <v>1739.7692307692307</v>
      </c>
    </row>
    <row r="63" spans="1:14" x14ac:dyDescent="0.2">
      <c r="A63" t="s">
        <v>416</v>
      </c>
      <c r="F63" s="5">
        <f ca="1">F62/E18</f>
        <v>44.802582033351257</v>
      </c>
      <c r="H63" s="5">
        <f ca="1">F63*0.95</f>
        <v>42.562452931683694</v>
      </c>
      <c r="I63" s="5">
        <f ca="1">F63*1.05</f>
        <v>47.04271113501882</v>
      </c>
    </row>
    <row r="65" spans="1:10" x14ac:dyDescent="0.2">
      <c r="G65" t="str">
        <f>"Waiting list position ("&amp;LOWER(Summary!$C$8)&amp;")"</f>
        <v>Waiting list position (minutes)</v>
      </c>
    </row>
    <row r="66" spans="1:10" x14ac:dyDescent="0.2">
      <c r="A66" t="s">
        <v>417</v>
      </c>
      <c r="G66" t="s">
        <v>430</v>
      </c>
      <c r="H66" s="5">
        <f ca="1">IF(Summary!$C$8&lt;&gt;"Patients",H62,H63)</f>
        <v>1574.0769230769231</v>
      </c>
      <c r="I66" s="5">
        <f ca="1">IF(Summary!$C$8&lt;&gt;"Patients",I62,I63)</f>
        <v>1739.7692307692307</v>
      </c>
      <c r="J66" s="5">
        <f ca="1">I66-H66</f>
        <v>165.69230769230762</v>
      </c>
    </row>
    <row r="67" spans="1:10" x14ac:dyDescent="0.2">
      <c r="B67" t="s">
        <v>429</v>
      </c>
      <c r="C67" t="s">
        <v>313</v>
      </c>
      <c r="G67" t="s">
        <v>431</v>
      </c>
      <c r="H67" s="5">
        <f ca="1">IF(Summary!$C$8&lt;&gt;"Patients",C79,B79)</f>
        <v>2100</v>
      </c>
    </row>
    <row r="68" spans="1:10" x14ac:dyDescent="0.2">
      <c r="A68" t="str">
        <f>Setup!C27</f>
        <v>Test name 1</v>
      </c>
      <c r="B68" s="5">
        <f>IF(ROW(A1)&lt;=Num_Modalities,Setup!G27,0)</f>
        <v>30</v>
      </c>
      <c r="C68" s="5">
        <f ca="1">Setup!G27*'Demand background (hide)'!BN6</f>
        <v>900</v>
      </c>
      <c r="D68" s="67"/>
      <c r="I68" s="5"/>
    </row>
    <row r="69" spans="1:10" x14ac:dyDescent="0.2">
      <c r="A69" s="67" t="str">
        <f>Setup!C28</f>
        <v>Test name 2</v>
      </c>
      <c r="B69" s="5">
        <f>IF(ROW(A2)&lt;=Num_Modalities,Setup!G28,0)</f>
        <v>30</v>
      </c>
      <c r="C69" s="5">
        <f ca="1">Setup!G28*'Demand background (hide)'!BN7</f>
        <v>1200</v>
      </c>
      <c r="D69" s="67"/>
      <c r="G69" t="s">
        <v>307</v>
      </c>
      <c r="H69" t="str">
        <f ca="1">IF(H67&gt;I66,ROUND(H67-I66,0),0)&amp;" - "&amp;IF(H67&gt;H66,ROUND(H67-H66,0),0)</f>
        <v>360 - 526</v>
      </c>
    </row>
    <row r="70" spans="1:10" x14ac:dyDescent="0.2">
      <c r="A70" s="67" t="str">
        <f>Setup!C29</f>
        <v>Another modality</v>
      </c>
      <c r="B70" s="5">
        <f>IF(ROW(A3)&lt;=Num_Modalities,Setup!G29,0)</f>
        <v>0</v>
      </c>
      <c r="C70" s="5">
        <f ca="1">Setup!G29*'Demand background (hide)'!BN8</f>
        <v>20</v>
      </c>
      <c r="D70" s="67"/>
    </row>
    <row r="71" spans="1:10" x14ac:dyDescent="0.2">
      <c r="A71" s="67" t="str">
        <f>Setup!C30</f>
        <v>Modality 4</v>
      </c>
      <c r="B71" s="5">
        <f>IF(ROW(A4)&lt;=Num_Modalities,Setup!G30,0)</f>
        <v>0</v>
      </c>
      <c r="C71" s="5">
        <f ca="1">B71*'Demand background (hide)'!BN9</f>
        <v>0</v>
      </c>
      <c r="D71" s="67"/>
      <c r="H71" s="5">
        <f ca="1">H67-H66</f>
        <v>525.92307692307691</v>
      </c>
      <c r="I71" s="5">
        <f ca="1">H67-I66</f>
        <v>360.23076923076928</v>
      </c>
    </row>
    <row r="72" spans="1:10" x14ac:dyDescent="0.2">
      <c r="A72" s="67" t="str">
        <f>Setup!C31</f>
        <v>Modality 5</v>
      </c>
      <c r="B72" s="5">
        <f>IF(ROW(A5)&lt;=Num_Modalities,Setup!G31,0)</f>
        <v>0</v>
      </c>
      <c r="C72" s="5">
        <f ca="1">B72*'Demand background (hide)'!BN10</f>
        <v>0</v>
      </c>
      <c r="D72" s="67"/>
    </row>
    <row r="73" spans="1:10" x14ac:dyDescent="0.2">
      <c r="A73" s="67" t="str">
        <f>Setup!C32</f>
        <v>Modality 6</v>
      </c>
      <c r="B73" s="5">
        <f>IF(ROW(A6)&lt;=Num_Modalities,Setup!G32,0)</f>
        <v>0</v>
      </c>
      <c r="C73" s="5">
        <f ca="1">B73*'Demand background (hide)'!BN11</f>
        <v>0</v>
      </c>
      <c r="D73" s="67"/>
    </row>
    <row r="74" spans="1:10" x14ac:dyDescent="0.2">
      <c r="A74" s="67" t="str">
        <f>Setup!C33</f>
        <v>Modality 7</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60</v>
      </c>
      <c r="C79" s="5">
        <f ca="1">SUM(OFFSET($C$68,0,0,Num_Modalities,1))</f>
        <v>2100</v>
      </c>
    </row>
    <row r="80" spans="1:10" x14ac:dyDescent="0.2">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N3" sqref="DN3"/>
    </sheetView>
  </sheetViews>
  <sheetFormatPr defaultRowHeight="14.25" x14ac:dyDescent="0.2"/>
  <cols>
    <col min="7" max="7" width="8.75" style="67"/>
    <col min="13" max="13" width="8.75" style="67"/>
    <col min="65" max="65" width="8.75" style="67"/>
  </cols>
  <sheetData>
    <row r="1" spans="1:131" x14ac:dyDescent="0.2">
      <c r="A1">
        <v>1</v>
      </c>
      <c r="B1" t="s">
        <v>1249</v>
      </c>
      <c r="G1" s="67" t="s">
        <v>1251</v>
      </c>
      <c r="H1" t="s">
        <v>1250</v>
      </c>
      <c r="M1" s="67" t="s">
        <v>1251</v>
      </c>
      <c r="N1" t="s">
        <v>1249</v>
      </c>
      <c r="BN1" t="s">
        <v>1250</v>
      </c>
      <c r="EA1" t="s">
        <v>1280</v>
      </c>
    </row>
    <row r="2" spans="1:131" x14ac:dyDescent="0.2">
      <c r="A2" t="s">
        <v>1295</v>
      </c>
      <c r="B2" t="s">
        <v>1281</v>
      </c>
      <c r="C2" t="s">
        <v>1282</v>
      </c>
      <c r="E2">
        <v>30</v>
      </c>
      <c r="F2">
        <v>7</v>
      </c>
      <c r="G2" t="s">
        <v>1237</v>
      </c>
      <c r="H2" t="s">
        <v>1283</v>
      </c>
      <c r="K2">
        <v>10</v>
      </c>
      <c r="L2">
        <v>5</v>
      </c>
      <c r="M2" t="s">
        <v>1237</v>
      </c>
      <c r="AC2" t="s">
        <v>1237</v>
      </c>
      <c r="AD2" t="s">
        <v>1237</v>
      </c>
      <c r="AE2" t="s">
        <v>1237</v>
      </c>
      <c r="AF2" t="s">
        <v>1237</v>
      </c>
      <c r="AG2" t="s">
        <v>1237</v>
      </c>
      <c r="AH2" t="s">
        <v>1237</v>
      </c>
      <c r="AI2" t="s">
        <v>1237</v>
      </c>
      <c r="AJ2" t="s">
        <v>1237</v>
      </c>
      <c r="AK2" t="s">
        <v>1237</v>
      </c>
      <c r="AL2" t="s">
        <v>1237</v>
      </c>
      <c r="AM2" t="s">
        <v>1237</v>
      </c>
      <c r="AN2" t="s">
        <v>1237</v>
      </c>
      <c r="AO2" t="s">
        <v>1237</v>
      </c>
      <c r="AP2" t="s">
        <v>1237</v>
      </c>
      <c r="AQ2" t="s">
        <v>1237</v>
      </c>
      <c r="AR2" t="s">
        <v>1237</v>
      </c>
      <c r="AS2" t="s">
        <v>1237</v>
      </c>
      <c r="AT2" t="s">
        <v>1237</v>
      </c>
      <c r="AU2" t="s">
        <v>1237</v>
      </c>
      <c r="AV2" t="s">
        <v>1237</v>
      </c>
      <c r="AW2" t="s">
        <v>1237</v>
      </c>
      <c r="AX2" t="s">
        <v>1237</v>
      </c>
      <c r="AY2" t="s">
        <v>1237</v>
      </c>
      <c r="AZ2" t="s">
        <v>1237</v>
      </c>
      <c r="BA2" t="s">
        <v>1237</v>
      </c>
      <c r="BB2" t="s">
        <v>1237</v>
      </c>
      <c r="BC2" t="s">
        <v>1237</v>
      </c>
      <c r="BM2"/>
      <c r="DM2" t="s">
        <v>1237</v>
      </c>
      <c r="DN2" t="s">
        <v>19</v>
      </c>
      <c r="EA2" t="s">
        <v>1295</v>
      </c>
    </row>
    <row r="3" spans="1:131" x14ac:dyDescent="0.2">
      <c r="B3" t="s">
        <v>1284</v>
      </c>
      <c r="C3" t="s">
        <v>1282</v>
      </c>
      <c r="E3">
        <v>30</v>
      </c>
      <c r="F3">
        <v>7</v>
      </c>
      <c r="G3" t="s">
        <v>1237</v>
      </c>
      <c r="H3" t="s">
        <v>1285</v>
      </c>
      <c r="K3">
        <v>12</v>
      </c>
      <c r="L3">
        <v>5</v>
      </c>
      <c r="M3" t="s">
        <v>1237</v>
      </c>
      <c r="Y3" t="s">
        <v>1237</v>
      </c>
      <c r="Z3" t="s">
        <v>1237</v>
      </c>
      <c r="AA3" t="s">
        <v>1237</v>
      </c>
      <c r="AB3" t="s">
        <v>1237</v>
      </c>
      <c r="AC3" t="s">
        <v>1237</v>
      </c>
      <c r="AD3" t="s">
        <v>1237</v>
      </c>
      <c r="AE3" t="s">
        <v>1237</v>
      </c>
      <c r="AF3" t="s">
        <v>1237</v>
      </c>
      <c r="AG3" t="s">
        <v>1237</v>
      </c>
      <c r="AH3" t="s">
        <v>1237</v>
      </c>
      <c r="AI3" t="s">
        <v>1237</v>
      </c>
      <c r="AJ3" t="s">
        <v>1237</v>
      </c>
      <c r="AK3" t="s">
        <v>1237</v>
      </c>
      <c r="AL3" t="s">
        <v>1237</v>
      </c>
      <c r="AM3" t="s">
        <v>1237</v>
      </c>
      <c r="AN3" t="s">
        <v>1237</v>
      </c>
      <c r="AO3" t="s">
        <v>1237</v>
      </c>
      <c r="AP3" t="s">
        <v>1237</v>
      </c>
      <c r="AQ3" t="s">
        <v>1237</v>
      </c>
      <c r="AR3" t="s">
        <v>1237</v>
      </c>
      <c r="AS3" t="s">
        <v>1237</v>
      </c>
      <c r="AT3" t="s">
        <v>1237</v>
      </c>
      <c r="AU3" t="s">
        <v>1237</v>
      </c>
      <c r="AV3" t="s">
        <v>1237</v>
      </c>
      <c r="AW3" t="s">
        <v>1237</v>
      </c>
      <c r="AX3" t="s">
        <v>1237</v>
      </c>
      <c r="AY3" t="s">
        <v>1237</v>
      </c>
      <c r="AZ3" t="s">
        <v>1237</v>
      </c>
      <c r="BA3" t="s">
        <v>1237</v>
      </c>
      <c r="BB3" t="s">
        <v>1237</v>
      </c>
      <c r="BC3" t="s">
        <v>1237</v>
      </c>
      <c r="BM3"/>
    </row>
    <row r="4" spans="1:131" x14ac:dyDescent="0.2">
      <c r="B4" t="s">
        <v>1286</v>
      </c>
      <c r="C4" t="s">
        <v>1287</v>
      </c>
      <c r="E4">
        <v>21</v>
      </c>
      <c r="F4">
        <v>4</v>
      </c>
      <c r="G4" t="s">
        <v>1237</v>
      </c>
      <c r="M4" t="s">
        <v>1237</v>
      </c>
      <c r="T4" t="s">
        <v>1237</v>
      </c>
      <c r="U4" t="s">
        <v>1237</v>
      </c>
      <c r="V4" t="s">
        <v>1237</v>
      </c>
      <c r="W4" t="s">
        <v>1237</v>
      </c>
      <c r="X4" t="s">
        <v>1237</v>
      </c>
      <c r="Y4" t="s">
        <v>1237</v>
      </c>
      <c r="Z4" t="s">
        <v>1237</v>
      </c>
      <c r="AA4" t="s">
        <v>1237</v>
      </c>
      <c r="AB4" t="s">
        <v>1237</v>
      </c>
      <c r="AC4" t="s">
        <v>1237</v>
      </c>
      <c r="AD4" t="s">
        <v>1237</v>
      </c>
      <c r="AE4" t="s">
        <v>1237</v>
      </c>
      <c r="AF4" t="s">
        <v>1237</v>
      </c>
      <c r="AG4" t="s">
        <v>1237</v>
      </c>
      <c r="AH4" t="s">
        <v>1237</v>
      </c>
      <c r="AI4" t="s">
        <v>1237</v>
      </c>
      <c r="AJ4" t="s">
        <v>1237</v>
      </c>
      <c r="AK4" t="s">
        <v>1237</v>
      </c>
      <c r="AL4" t="s">
        <v>1237</v>
      </c>
      <c r="AM4" t="s">
        <v>1237</v>
      </c>
      <c r="AN4" t="s">
        <v>1237</v>
      </c>
      <c r="AO4" t="s">
        <v>1237</v>
      </c>
      <c r="AP4" t="s">
        <v>1237</v>
      </c>
      <c r="AQ4" t="s">
        <v>1237</v>
      </c>
      <c r="AR4" t="s">
        <v>1237</v>
      </c>
      <c r="AS4" t="s">
        <v>1237</v>
      </c>
      <c r="AT4" t="s">
        <v>1237</v>
      </c>
      <c r="AU4" t="s">
        <v>1237</v>
      </c>
      <c r="AV4" t="s">
        <v>1237</v>
      </c>
      <c r="AW4" t="s">
        <v>1237</v>
      </c>
      <c r="AX4" t="s">
        <v>1237</v>
      </c>
      <c r="AY4" t="s">
        <v>1237</v>
      </c>
      <c r="AZ4" t="s">
        <v>1237</v>
      </c>
      <c r="BA4" t="s">
        <v>1237</v>
      </c>
      <c r="BB4" t="s">
        <v>1237</v>
      </c>
      <c r="BC4" t="s">
        <v>1237</v>
      </c>
      <c r="BM4"/>
    </row>
    <row r="5" spans="1:131" x14ac:dyDescent="0.2">
      <c r="B5" t="s">
        <v>1288</v>
      </c>
      <c r="C5" t="s">
        <v>1289</v>
      </c>
      <c r="E5">
        <v>12</v>
      </c>
      <c r="F5">
        <v>4</v>
      </c>
      <c r="G5" t="s">
        <v>1237</v>
      </c>
      <c r="M5" t="s">
        <v>1237</v>
      </c>
      <c r="X5" t="s">
        <v>1237</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
      <c r="B6" t="s">
        <v>1290</v>
      </c>
      <c r="C6" t="s">
        <v>1291</v>
      </c>
      <c r="E6">
        <v>42</v>
      </c>
      <c r="F6">
        <v>3</v>
      </c>
      <c r="G6" t="s">
        <v>1237</v>
      </c>
      <c r="M6" t="s">
        <v>1237</v>
      </c>
      <c r="N6" t="s">
        <v>1237</v>
      </c>
      <c r="O6" t="s">
        <v>1237</v>
      </c>
      <c r="P6" t="s">
        <v>1237</v>
      </c>
      <c r="Q6" t="s">
        <v>1237</v>
      </c>
      <c r="R6" t="s">
        <v>1237</v>
      </c>
      <c r="S6" t="s">
        <v>1237</v>
      </c>
      <c r="T6" t="s">
        <v>1237</v>
      </c>
      <c r="U6" t="s">
        <v>1237</v>
      </c>
      <c r="V6" t="s">
        <v>1237</v>
      </c>
      <c r="W6" t="s">
        <v>1237</v>
      </c>
      <c r="X6" t="s">
        <v>1237</v>
      </c>
      <c r="Y6" t="s">
        <v>1237</v>
      </c>
      <c r="Z6" t="s">
        <v>1237</v>
      </c>
      <c r="AA6" t="s">
        <v>1237</v>
      </c>
      <c r="AB6" t="s">
        <v>1237</v>
      </c>
      <c r="AC6" t="s">
        <v>1237</v>
      </c>
      <c r="AD6" t="s">
        <v>1237</v>
      </c>
      <c r="AE6" t="s">
        <v>1237</v>
      </c>
      <c r="AF6" t="s">
        <v>1237</v>
      </c>
      <c r="AG6" t="s">
        <v>1237</v>
      </c>
      <c r="AH6" t="s">
        <v>1237</v>
      </c>
      <c r="AI6" t="s">
        <v>1237</v>
      </c>
      <c r="AJ6" t="s">
        <v>1237</v>
      </c>
      <c r="AK6" t="s">
        <v>1237</v>
      </c>
      <c r="AL6" t="s">
        <v>1237</v>
      </c>
      <c r="AM6" t="s">
        <v>1237</v>
      </c>
      <c r="AN6" t="s">
        <v>1237</v>
      </c>
      <c r="AO6" t="s">
        <v>1237</v>
      </c>
      <c r="AP6" t="s">
        <v>1237</v>
      </c>
      <c r="AQ6" t="s">
        <v>1237</v>
      </c>
      <c r="AR6" t="s">
        <v>1237</v>
      </c>
      <c r="BM6"/>
    </row>
    <row r="7" spans="1:131" x14ac:dyDescent="0.2">
      <c r="G7" t="s">
        <v>1237</v>
      </c>
      <c r="M7" t="s">
        <v>1237</v>
      </c>
      <c r="N7">
        <v>0.2163170163170163</v>
      </c>
      <c r="BM7"/>
    </row>
    <row r="8" spans="1:131" x14ac:dyDescent="0.2">
      <c r="G8" t="s">
        <v>1237</v>
      </c>
      <c r="M8" t="s">
        <v>1237</v>
      </c>
      <c r="BM8"/>
    </row>
    <row r="9" spans="1:131" x14ac:dyDescent="0.2">
      <c r="G9" t="s">
        <v>1237</v>
      </c>
      <c r="M9" t="s">
        <v>1237</v>
      </c>
      <c r="BM9"/>
    </row>
    <row r="10" spans="1:131" x14ac:dyDescent="0.2">
      <c r="G10" t="s">
        <v>1237</v>
      </c>
      <c r="M10" t="s">
        <v>1237</v>
      </c>
      <c r="BM10"/>
    </row>
    <row r="11" spans="1:131" x14ac:dyDescent="0.2">
      <c r="G11" t="s">
        <v>1237</v>
      </c>
      <c r="M11" t="s">
        <v>1237</v>
      </c>
      <c r="BM11"/>
    </row>
    <row r="12" spans="1:131" x14ac:dyDescent="0.2">
      <c r="G12" t="s">
        <v>1237</v>
      </c>
      <c r="M12" t="s">
        <v>1237</v>
      </c>
      <c r="BM12"/>
    </row>
    <row r="13" spans="1:131" x14ac:dyDescent="0.2">
      <c r="G13" t="s">
        <v>1237</v>
      </c>
      <c r="M13" t="s">
        <v>1237</v>
      </c>
      <c r="BM13"/>
    </row>
    <row r="14" spans="1:131" x14ac:dyDescent="0.2">
      <c r="G14" t="s">
        <v>1237</v>
      </c>
      <c r="M14" t="s">
        <v>1237</v>
      </c>
      <c r="BM14"/>
    </row>
    <row r="15" spans="1:131" x14ac:dyDescent="0.2">
      <c r="G15" t="s">
        <v>1237</v>
      </c>
      <c r="M15" t="s">
        <v>1237</v>
      </c>
      <c r="BM15"/>
    </row>
    <row r="16" spans="1:131" x14ac:dyDescent="0.2">
      <c r="G16" t="s">
        <v>1237</v>
      </c>
      <c r="M16" t="s">
        <v>1237</v>
      </c>
      <c r="BM16"/>
    </row>
    <row r="17" spans="7:65" x14ac:dyDescent="0.2">
      <c r="G17" t="s">
        <v>1237</v>
      </c>
      <c r="M17" t="s">
        <v>1237</v>
      </c>
      <c r="BM17"/>
    </row>
    <row r="18" spans="7:65" x14ac:dyDescent="0.2">
      <c r="G18" t="s">
        <v>1237</v>
      </c>
      <c r="M18" t="s">
        <v>1237</v>
      </c>
      <c r="BM18"/>
    </row>
    <row r="19" spans="7:65" x14ac:dyDescent="0.2">
      <c r="G19" t="s">
        <v>1237</v>
      </c>
      <c r="M19" t="s">
        <v>1237</v>
      </c>
      <c r="BM19"/>
    </row>
    <row r="20" spans="7:65" x14ac:dyDescent="0.2">
      <c r="G20" t="s">
        <v>1237</v>
      </c>
      <c r="M20" t="s">
        <v>1237</v>
      </c>
      <c r="BM20"/>
    </row>
    <row r="21" spans="7:65" x14ac:dyDescent="0.2">
      <c r="G21" t="s">
        <v>1237</v>
      </c>
      <c r="M21" t="s">
        <v>1237</v>
      </c>
      <c r="BM21"/>
    </row>
    <row r="22" spans="7:65" x14ac:dyDescent="0.2">
      <c r="G22" t="s">
        <v>1237</v>
      </c>
      <c r="M22" t="s">
        <v>1237</v>
      </c>
      <c r="BM22"/>
    </row>
    <row r="23" spans="7:65" x14ac:dyDescent="0.2">
      <c r="G23" t="s">
        <v>1237</v>
      </c>
      <c r="M23" t="s">
        <v>1237</v>
      </c>
      <c r="BM23"/>
    </row>
    <row r="24" spans="7:65" x14ac:dyDescent="0.2">
      <c r="G24" t="s">
        <v>1237</v>
      </c>
      <c r="M24" t="s">
        <v>1237</v>
      </c>
      <c r="BM24"/>
    </row>
    <row r="25" spans="7:65" x14ac:dyDescent="0.2">
      <c r="G25" t="s">
        <v>1237</v>
      </c>
      <c r="M25" t="s">
        <v>1237</v>
      </c>
      <c r="BM25"/>
    </row>
    <row r="26" spans="7:65" x14ac:dyDescent="0.2">
      <c r="G26" t="s">
        <v>1237</v>
      </c>
      <c r="M26" t="s">
        <v>1237</v>
      </c>
      <c r="BM26"/>
    </row>
    <row r="27" spans="7:65" x14ac:dyDescent="0.2">
      <c r="G27" t="s">
        <v>1237</v>
      </c>
      <c r="M27" t="s">
        <v>1237</v>
      </c>
      <c r="BM27"/>
    </row>
    <row r="28" spans="7:65" x14ac:dyDescent="0.2">
      <c r="G28" t="s">
        <v>1237</v>
      </c>
      <c r="M28" t="s">
        <v>1237</v>
      </c>
      <c r="BM28"/>
    </row>
    <row r="29" spans="7:65" x14ac:dyDescent="0.2">
      <c r="G29" t="s">
        <v>1237</v>
      </c>
      <c r="M29" t="s">
        <v>1237</v>
      </c>
      <c r="BM29"/>
    </row>
    <row r="30" spans="7:65" x14ac:dyDescent="0.2">
      <c r="G30" t="s">
        <v>1237</v>
      </c>
      <c r="M30" t="s">
        <v>1237</v>
      </c>
      <c r="BM30"/>
    </row>
    <row r="31" spans="7:65" x14ac:dyDescent="0.2">
      <c r="G31" t="s">
        <v>1237</v>
      </c>
      <c r="M31" t="s">
        <v>1237</v>
      </c>
      <c r="BM31"/>
    </row>
    <row r="32" spans="7:65" x14ac:dyDescent="0.2">
      <c r="G32" t="s">
        <v>1237</v>
      </c>
      <c r="M32" t="s">
        <v>1237</v>
      </c>
      <c r="BM32"/>
    </row>
    <row r="33" spans="7:65" x14ac:dyDescent="0.2">
      <c r="G33" t="s">
        <v>1237</v>
      </c>
      <c r="M33" t="s">
        <v>1237</v>
      </c>
      <c r="BM33"/>
    </row>
    <row r="34" spans="7:65" x14ac:dyDescent="0.2">
      <c r="G34" t="s">
        <v>1237</v>
      </c>
      <c r="M34" t="s">
        <v>1237</v>
      </c>
      <c r="BM34"/>
    </row>
    <row r="35" spans="7:65" x14ac:dyDescent="0.2">
      <c r="G35" t="s">
        <v>1237</v>
      </c>
      <c r="M35" t="s">
        <v>1237</v>
      </c>
      <c r="BM35"/>
    </row>
    <row r="36" spans="7:65" x14ac:dyDescent="0.2">
      <c r="G36" t="s">
        <v>1237</v>
      </c>
      <c r="M36" t="s">
        <v>1237</v>
      </c>
      <c r="BM36"/>
    </row>
    <row r="37" spans="7:65" x14ac:dyDescent="0.2">
      <c r="G37" t="s">
        <v>1237</v>
      </c>
      <c r="M37" t="s">
        <v>1237</v>
      </c>
      <c r="BM37"/>
    </row>
    <row r="38" spans="7:65" x14ac:dyDescent="0.2">
      <c r="G38" t="s">
        <v>1237</v>
      </c>
      <c r="M38" t="s">
        <v>1237</v>
      </c>
      <c r="BM38"/>
    </row>
    <row r="39" spans="7:65" x14ac:dyDescent="0.2">
      <c r="G39" t="s">
        <v>1237</v>
      </c>
      <c r="M39" t="s">
        <v>1237</v>
      </c>
      <c r="BM39"/>
    </row>
    <row r="40" spans="7:65" x14ac:dyDescent="0.2">
      <c r="G40" t="s">
        <v>1237</v>
      </c>
      <c r="M40" t="s">
        <v>1237</v>
      </c>
      <c r="BM40"/>
    </row>
    <row r="41" spans="7:65" x14ac:dyDescent="0.2">
      <c r="G41" t="s">
        <v>1237</v>
      </c>
      <c r="M41" t="s">
        <v>1237</v>
      </c>
      <c r="BM41"/>
    </row>
    <row r="42" spans="7:65" x14ac:dyDescent="0.2">
      <c r="G42" t="s">
        <v>1237</v>
      </c>
      <c r="M42" t="s">
        <v>1237</v>
      </c>
      <c r="BM42"/>
    </row>
    <row r="43" spans="7:65" x14ac:dyDescent="0.2">
      <c r="G43" t="s">
        <v>1237</v>
      </c>
      <c r="M43" t="s">
        <v>1237</v>
      </c>
      <c r="BM43"/>
    </row>
    <row r="44" spans="7:65" x14ac:dyDescent="0.2">
      <c r="G44" t="s">
        <v>1237</v>
      </c>
      <c r="M44" t="s">
        <v>1237</v>
      </c>
      <c r="BM44"/>
    </row>
    <row r="45" spans="7:65" x14ac:dyDescent="0.2">
      <c r="G45" t="s">
        <v>1237</v>
      </c>
      <c r="M45" t="s">
        <v>1237</v>
      </c>
      <c r="BM45"/>
    </row>
    <row r="46" spans="7:65" x14ac:dyDescent="0.2">
      <c r="G46" t="s">
        <v>1237</v>
      </c>
      <c r="M46" t="s">
        <v>1237</v>
      </c>
      <c r="BM46"/>
    </row>
    <row r="47" spans="7:65" x14ac:dyDescent="0.2">
      <c r="G47" t="s">
        <v>1237</v>
      </c>
      <c r="M47" t="s">
        <v>1237</v>
      </c>
      <c r="BM47"/>
    </row>
    <row r="48" spans="7:65" x14ac:dyDescent="0.2">
      <c r="G48" t="s">
        <v>1237</v>
      </c>
      <c r="M48" t="s">
        <v>1237</v>
      </c>
      <c r="BM48"/>
    </row>
    <row r="49" spans="7:65" x14ac:dyDescent="0.2">
      <c r="G49" t="s">
        <v>1237</v>
      </c>
      <c r="M49" t="s">
        <v>1237</v>
      </c>
      <c r="BM49"/>
    </row>
    <row r="50" spans="7:65" x14ac:dyDescent="0.2">
      <c r="G50" t="s">
        <v>1237</v>
      </c>
      <c r="M50" t="s">
        <v>1237</v>
      </c>
      <c r="BM50"/>
    </row>
    <row r="51" spans="7:65" x14ac:dyDescent="0.2">
      <c r="G51" t="s">
        <v>1237</v>
      </c>
      <c r="M51" t="s">
        <v>1237</v>
      </c>
      <c r="BM51"/>
    </row>
    <row r="52" spans="7:65" x14ac:dyDescent="0.2">
      <c r="G52" t="s">
        <v>1237</v>
      </c>
      <c r="M52" t="s">
        <v>1237</v>
      </c>
      <c r="BM52"/>
    </row>
    <row r="53" spans="7:65" x14ac:dyDescent="0.2">
      <c r="G53" t="s">
        <v>1237</v>
      </c>
      <c r="M53" t="s">
        <v>1237</v>
      </c>
      <c r="BM53"/>
    </row>
    <row r="54" spans="7:65" x14ac:dyDescent="0.2">
      <c r="G54" t="s">
        <v>1237</v>
      </c>
      <c r="M54" t="s">
        <v>1237</v>
      </c>
      <c r="BM54"/>
    </row>
    <row r="55" spans="7:65" x14ac:dyDescent="0.2">
      <c r="G55" t="s">
        <v>1237</v>
      </c>
      <c r="M55" t="s">
        <v>1237</v>
      </c>
      <c r="BM55"/>
    </row>
    <row r="56" spans="7:65" x14ac:dyDescent="0.2">
      <c r="G56" t="s">
        <v>1237</v>
      </c>
      <c r="M56" t="s">
        <v>1237</v>
      </c>
      <c r="BM56"/>
    </row>
    <row r="57" spans="7:65" x14ac:dyDescent="0.2">
      <c r="G57" t="s">
        <v>1237</v>
      </c>
      <c r="M57" t="s">
        <v>1237</v>
      </c>
      <c r="BM57"/>
    </row>
    <row r="58" spans="7:65" x14ac:dyDescent="0.2">
      <c r="G58" t="s">
        <v>1237</v>
      </c>
      <c r="M58" t="s">
        <v>1237</v>
      </c>
      <c r="BM58"/>
    </row>
    <row r="59" spans="7:65" x14ac:dyDescent="0.2">
      <c r="G59" t="s">
        <v>1237</v>
      </c>
      <c r="M59" t="s">
        <v>1237</v>
      </c>
      <c r="BM59"/>
    </row>
    <row r="60" spans="7:65" x14ac:dyDescent="0.2">
      <c r="G60" t="s">
        <v>1237</v>
      </c>
      <c r="M60" t="s">
        <v>1237</v>
      </c>
      <c r="BM60"/>
    </row>
    <row r="61" spans="7:65" x14ac:dyDescent="0.2">
      <c r="G61" t="s">
        <v>1237</v>
      </c>
      <c r="M61" t="s">
        <v>1237</v>
      </c>
      <c r="BM61"/>
    </row>
    <row r="62" spans="7:65" x14ac:dyDescent="0.2">
      <c r="G62" t="s">
        <v>1237</v>
      </c>
      <c r="M62" t="s">
        <v>1237</v>
      </c>
      <c r="BM62"/>
    </row>
    <row r="63" spans="7:65" x14ac:dyDescent="0.2">
      <c r="G63" t="s">
        <v>1237</v>
      </c>
      <c r="M63" t="s">
        <v>1237</v>
      </c>
      <c r="BM63"/>
    </row>
    <row r="64" spans="7:65" x14ac:dyDescent="0.2">
      <c r="G64" t="s">
        <v>1237</v>
      </c>
      <c r="M64" t="s">
        <v>1237</v>
      </c>
      <c r="BM64"/>
    </row>
    <row r="65" spans="7:65" x14ac:dyDescent="0.2">
      <c r="G65" t="s">
        <v>1237</v>
      </c>
      <c r="M65" t="s">
        <v>1237</v>
      </c>
      <c r="BM65"/>
    </row>
    <row r="66" spans="7:65" x14ac:dyDescent="0.2">
      <c r="G66" t="s">
        <v>1237</v>
      </c>
      <c r="M66" t="s">
        <v>1237</v>
      </c>
      <c r="BM66"/>
    </row>
    <row r="67" spans="7:65" x14ac:dyDescent="0.2">
      <c r="G67" t="s">
        <v>1237</v>
      </c>
      <c r="M67" t="s">
        <v>1237</v>
      </c>
      <c r="BM67"/>
    </row>
    <row r="68" spans="7:65" x14ac:dyDescent="0.2">
      <c r="G68" t="s">
        <v>1237</v>
      </c>
      <c r="M68" t="s">
        <v>1237</v>
      </c>
      <c r="BM68"/>
    </row>
    <row r="69" spans="7:65" x14ac:dyDescent="0.2">
      <c r="G69" t="s">
        <v>1237</v>
      </c>
      <c r="M69" t="s">
        <v>1237</v>
      </c>
      <c r="BM69"/>
    </row>
    <row r="70" spans="7:65" x14ac:dyDescent="0.2">
      <c r="G70" t="s">
        <v>1237</v>
      </c>
      <c r="M70" t="s">
        <v>1237</v>
      </c>
      <c r="BM70"/>
    </row>
    <row r="71" spans="7:65" x14ac:dyDescent="0.2">
      <c r="G71" t="s">
        <v>1237</v>
      </c>
      <c r="M71" t="s">
        <v>1237</v>
      </c>
      <c r="BM71"/>
    </row>
    <row r="72" spans="7:65" x14ac:dyDescent="0.2">
      <c r="G72" t="s">
        <v>1237</v>
      </c>
      <c r="M72" t="s">
        <v>1237</v>
      </c>
      <c r="BM72"/>
    </row>
    <row r="73" spans="7:65" x14ac:dyDescent="0.2">
      <c r="G73" t="s">
        <v>1237</v>
      </c>
      <c r="M73" t="s">
        <v>1237</v>
      </c>
      <c r="BM73"/>
    </row>
    <row r="74" spans="7:65" x14ac:dyDescent="0.2">
      <c r="G74" t="s">
        <v>1237</v>
      </c>
      <c r="M74" t="s">
        <v>1237</v>
      </c>
      <c r="BM74"/>
    </row>
    <row r="75" spans="7:65" x14ac:dyDescent="0.2">
      <c r="G75" t="s">
        <v>1237</v>
      </c>
      <c r="M75" t="s">
        <v>1237</v>
      </c>
      <c r="BM75"/>
    </row>
    <row r="76" spans="7:65" x14ac:dyDescent="0.2">
      <c r="G76" t="s">
        <v>1237</v>
      </c>
      <c r="M76" t="s">
        <v>1237</v>
      </c>
      <c r="BM76"/>
    </row>
    <row r="77" spans="7:65" x14ac:dyDescent="0.2">
      <c r="G77" t="s">
        <v>1237</v>
      </c>
      <c r="M77" t="s">
        <v>1237</v>
      </c>
      <c r="BM77"/>
    </row>
    <row r="78" spans="7:65" x14ac:dyDescent="0.2">
      <c r="G78" t="s">
        <v>1237</v>
      </c>
      <c r="M78" t="s">
        <v>1237</v>
      </c>
      <c r="BM78"/>
    </row>
    <row r="79" spans="7:65" x14ac:dyDescent="0.2">
      <c r="G79" t="s">
        <v>1237</v>
      </c>
      <c r="M79" t="s">
        <v>1237</v>
      </c>
      <c r="BM79"/>
    </row>
    <row r="80" spans="7:65" x14ac:dyDescent="0.2">
      <c r="G80" t="s">
        <v>1237</v>
      </c>
      <c r="M80" t="s">
        <v>1237</v>
      </c>
      <c r="BM80"/>
    </row>
    <row r="81" spans="7:65" x14ac:dyDescent="0.2">
      <c r="G81" t="s">
        <v>1237</v>
      </c>
      <c r="M81" t="s">
        <v>1237</v>
      </c>
      <c r="BM81"/>
    </row>
    <row r="82" spans="7:65" x14ac:dyDescent="0.2">
      <c r="G82" t="s">
        <v>1237</v>
      </c>
      <c r="M82" t="s">
        <v>1237</v>
      </c>
      <c r="BM82"/>
    </row>
    <row r="83" spans="7:65" x14ac:dyDescent="0.2">
      <c r="G83" t="s">
        <v>1237</v>
      </c>
      <c r="M83" t="s">
        <v>1237</v>
      </c>
      <c r="BM83"/>
    </row>
    <row r="84" spans="7:65" x14ac:dyDescent="0.2">
      <c r="G84" t="s">
        <v>1237</v>
      </c>
      <c r="M84" t="s">
        <v>1237</v>
      </c>
      <c r="BM84"/>
    </row>
    <row r="85" spans="7:65" x14ac:dyDescent="0.2">
      <c r="G85" t="s">
        <v>1237</v>
      </c>
      <c r="M85" t="s">
        <v>1237</v>
      </c>
      <c r="BM85"/>
    </row>
    <row r="86" spans="7:65" x14ac:dyDescent="0.2">
      <c r="G86" t="s">
        <v>1237</v>
      </c>
      <c r="M86" t="s">
        <v>1237</v>
      </c>
      <c r="BM86"/>
    </row>
    <row r="87" spans="7:65" x14ac:dyDescent="0.2">
      <c r="G87" t="s">
        <v>1237</v>
      </c>
      <c r="M87" t="s">
        <v>1237</v>
      </c>
      <c r="BM87"/>
    </row>
    <row r="88" spans="7:65" x14ac:dyDescent="0.2">
      <c r="G88" t="s">
        <v>1237</v>
      </c>
      <c r="M88" t="s">
        <v>1237</v>
      </c>
      <c r="BM88"/>
    </row>
    <row r="89" spans="7:65" x14ac:dyDescent="0.2">
      <c r="G89" t="s">
        <v>1237</v>
      </c>
      <c r="M89" t="s">
        <v>1237</v>
      </c>
      <c r="BM89"/>
    </row>
    <row r="90" spans="7:65" x14ac:dyDescent="0.2">
      <c r="G90" t="s">
        <v>1237</v>
      </c>
      <c r="M90" t="s">
        <v>1237</v>
      </c>
      <c r="BM90"/>
    </row>
    <row r="91" spans="7:65" x14ac:dyDescent="0.2">
      <c r="G91" t="s">
        <v>1237</v>
      </c>
      <c r="M91" t="s">
        <v>1237</v>
      </c>
      <c r="BM91"/>
    </row>
    <row r="92" spans="7:65" x14ac:dyDescent="0.2">
      <c r="G92" t="s">
        <v>1237</v>
      </c>
      <c r="M92" t="s">
        <v>1237</v>
      </c>
      <c r="BM92"/>
    </row>
    <row r="93" spans="7:65" x14ac:dyDescent="0.2">
      <c r="G93" t="s">
        <v>1237</v>
      </c>
      <c r="M93" t="s">
        <v>1237</v>
      </c>
      <c r="BM93"/>
    </row>
    <row r="94" spans="7:65" x14ac:dyDescent="0.2">
      <c r="G94" t="s">
        <v>1237</v>
      </c>
      <c r="M94" t="s">
        <v>1237</v>
      </c>
      <c r="BM94"/>
    </row>
    <row r="95" spans="7:65" x14ac:dyDescent="0.2">
      <c r="G95" t="s">
        <v>1237</v>
      </c>
      <c r="M95" t="s">
        <v>1237</v>
      </c>
      <c r="BM95"/>
    </row>
    <row r="96" spans="7:65" x14ac:dyDescent="0.2">
      <c r="G96" t="s">
        <v>1237</v>
      </c>
      <c r="M96" t="s">
        <v>1237</v>
      </c>
      <c r="BM96"/>
    </row>
    <row r="97" spans="7:65" x14ac:dyDescent="0.2">
      <c r="G97" t="s">
        <v>1237</v>
      </c>
      <c r="M97" t="s">
        <v>1237</v>
      </c>
      <c r="BM97"/>
    </row>
    <row r="98" spans="7:65" x14ac:dyDescent="0.2">
      <c r="G98" t="s">
        <v>1237</v>
      </c>
      <c r="M98" t="s">
        <v>1237</v>
      </c>
      <c r="BM98"/>
    </row>
    <row r="99" spans="7:65" x14ac:dyDescent="0.2">
      <c r="G99" t="s">
        <v>1237</v>
      </c>
      <c r="M99" t="s">
        <v>1237</v>
      </c>
      <c r="BM99"/>
    </row>
    <row r="100" spans="7:65" x14ac:dyDescent="0.2">
      <c r="G100" t="s">
        <v>1237</v>
      </c>
      <c r="M100" t="s">
        <v>1237</v>
      </c>
      <c r="BM100"/>
    </row>
    <row r="101" spans="7:65" x14ac:dyDescent="0.2">
      <c r="G101" t="s">
        <v>1237</v>
      </c>
      <c r="M101" t="s">
        <v>1237</v>
      </c>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spans="7:65" x14ac:dyDescent="0.2">
      <c r="G113"/>
      <c r="M113"/>
      <c r="BM113"/>
    </row>
    <row r="114" spans="7:65" x14ac:dyDescent="0.2">
      <c r="G114"/>
      <c r="M114"/>
      <c r="BM114"/>
    </row>
    <row r="115" spans="7:65" x14ac:dyDescent="0.2">
      <c r="G115"/>
      <c r="M115"/>
      <c r="BM115"/>
    </row>
    <row r="116" spans="7:65" x14ac:dyDescent="0.2">
      <c r="G116"/>
      <c r="M116"/>
      <c r="BM116"/>
    </row>
    <row r="117" spans="7:65" x14ac:dyDescent="0.2">
      <c r="G117"/>
      <c r="M117"/>
      <c r="BM117"/>
    </row>
    <row r="118" spans="7:65" x14ac:dyDescent="0.2">
      <c r="G118"/>
      <c r="M118"/>
      <c r="BM118"/>
    </row>
    <row r="119" spans="7:65" x14ac:dyDescent="0.2">
      <c r="G119"/>
      <c r="M119"/>
      <c r="BM119"/>
    </row>
    <row r="120" spans="7:65" x14ac:dyDescent="0.2">
      <c r="G120"/>
      <c r="M120"/>
      <c r="BM120"/>
    </row>
    <row r="121" spans="7:65" x14ac:dyDescent="0.2">
      <c r="G121"/>
      <c r="M121"/>
      <c r="BM121"/>
    </row>
    <row r="122" spans="7:65" x14ac:dyDescent="0.2">
      <c r="G122"/>
      <c r="M122"/>
      <c r="BM122"/>
    </row>
    <row r="123" spans="7:65" x14ac:dyDescent="0.2">
      <c r="G123"/>
      <c r="M123"/>
      <c r="BM123"/>
    </row>
    <row r="124" spans="7:65" x14ac:dyDescent="0.2">
      <c r="G124"/>
      <c r="M124"/>
      <c r="BM124"/>
    </row>
    <row r="125" spans="7:65" x14ac:dyDescent="0.2">
      <c r="G125"/>
      <c r="M125"/>
      <c r="BM125"/>
    </row>
    <row r="126" spans="7:65" x14ac:dyDescent="0.2">
      <c r="G126"/>
      <c r="M126"/>
      <c r="BM126"/>
    </row>
    <row r="127" spans="7:65" x14ac:dyDescent="0.2">
      <c r="G127"/>
      <c r="M127"/>
      <c r="BM127"/>
    </row>
    <row r="128" spans="7:65" x14ac:dyDescent="0.2">
      <c r="G128"/>
      <c r="M128"/>
      <c r="BM128"/>
    </row>
    <row r="129" spans="7:65" x14ac:dyDescent="0.2">
      <c r="G129"/>
      <c r="M129"/>
      <c r="BM129"/>
    </row>
    <row r="130" spans="7:65" x14ac:dyDescent="0.2">
      <c r="G130"/>
      <c r="M130"/>
      <c r="BM130"/>
    </row>
    <row r="131" spans="7:65" x14ac:dyDescent="0.2">
      <c r="G131"/>
      <c r="M131"/>
      <c r="BM131"/>
    </row>
    <row r="132" spans="7:65" x14ac:dyDescent="0.2">
      <c r="G132"/>
      <c r="M132"/>
      <c r="BM132"/>
    </row>
    <row r="133" spans="7:65" x14ac:dyDescent="0.2">
      <c r="G133"/>
      <c r="M133"/>
      <c r="BM133"/>
    </row>
    <row r="134" spans="7:65" x14ac:dyDescent="0.2">
      <c r="G134"/>
      <c r="M134"/>
      <c r="BM134"/>
    </row>
    <row r="135" spans="7:65" x14ac:dyDescent="0.2">
      <c r="G135"/>
      <c r="M135"/>
      <c r="BM135"/>
    </row>
    <row r="136" spans="7:65" x14ac:dyDescent="0.2">
      <c r="G136"/>
      <c r="M136"/>
      <c r="BM136"/>
    </row>
    <row r="137" spans="7:65" x14ac:dyDescent="0.2">
      <c r="G137"/>
      <c r="M137"/>
      <c r="BM137"/>
    </row>
    <row r="138" spans="7:65" x14ac:dyDescent="0.2">
      <c r="G138"/>
      <c r="M138"/>
      <c r="BM138"/>
    </row>
    <row r="139" spans="7:65" x14ac:dyDescent="0.2">
      <c r="G139"/>
      <c r="M139"/>
      <c r="BM139"/>
    </row>
    <row r="140" spans="7:65" x14ac:dyDescent="0.2">
      <c r="G140"/>
      <c r="M140"/>
      <c r="BM140"/>
    </row>
    <row r="141" spans="7:65" x14ac:dyDescent="0.2">
      <c r="G141"/>
      <c r="M141"/>
      <c r="BM141"/>
    </row>
    <row r="142" spans="7:65" x14ac:dyDescent="0.2">
      <c r="G142"/>
      <c r="M142"/>
      <c r="BM142"/>
    </row>
    <row r="143" spans="7:65" x14ac:dyDescent="0.2">
      <c r="G143"/>
      <c r="M143"/>
      <c r="BM143"/>
    </row>
    <row r="144" spans="7:65" x14ac:dyDescent="0.2">
      <c r="G144"/>
      <c r="M144"/>
      <c r="BM144"/>
    </row>
    <row r="145" spans="7:65" x14ac:dyDescent="0.2">
      <c r="G145"/>
      <c r="M145"/>
      <c r="BM145"/>
    </row>
    <row r="146" spans="7:65" x14ac:dyDescent="0.2">
      <c r="G146"/>
      <c r="M146"/>
      <c r="BM146"/>
    </row>
    <row r="147" spans="7:65" x14ac:dyDescent="0.2">
      <c r="G147"/>
      <c r="M147"/>
      <c r="BM147"/>
    </row>
    <row r="148" spans="7:65" x14ac:dyDescent="0.2">
      <c r="G148"/>
      <c r="M148"/>
      <c r="BM148"/>
    </row>
    <row r="149" spans="7:65" x14ac:dyDescent="0.2">
      <c r="G149"/>
      <c r="M149"/>
      <c r="BM149"/>
    </row>
    <row r="150" spans="7:65" x14ac:dyDescent="0.2">
      <c r="G150"/>
      <c r="M150"/>
      <c r="BM150"/>
    </row>
    <row r="151" spans="7:65" x14ac:dyDescent="0.2">
      <c r="G151"/>
      <c r="M151"/>
      <c r="BM151"/>
    </row>
    <row r="152" spans="7:65" x14ac:dyDescent="0.2">
      <c r="G152"/>
      <c r="M152"/>
      <c r="BM152"/>
    </row>
    <row r="153" spans="7:65" x14ac:dyDescent="0.2">
      <c r="G153"/>
      <c r="M153"/>
      <c r="BM153"/>
    </row>
    <row r="154" spans="7:65" x14ac:dyDescent="0.2">
      <c r="G154"/>
      <c r="M154"/>
      <c r="BM154"/>
    </row>
    <row r="155" spans="7:65" x14ac:dyDescent="0.2">
      <c r="G155"/>
      <c r="M155"/>
      <c r="BM155"/>
    </row>
    <row r="156" spans="7:65" x14ac:dyDescent="0.2">
      <c r="G156"/>
      <c r="M156"/>
      <c r="BM156"/>
    </row>
    <row r="157" spans="7:65" x14ac:dyDescent="0.2">
      <c r="G157"/>
      <c r="M157"/>
      <c r="BM157"/>
    </row>
    <row r="158" spans="7:65" x14ac:dyDescent="0.2">
      <c r="G158"/>
      <c r="M158"/>
      <c r="BM158"/>
    </row>
    <row r="159" spans="7:65" x14ac:dyDescent="0.2">
      <c r="G159"/>
      <c r="M159"/>
      <c r="BM159"/>
    </row>
    <row r="160" spans="7:65" x14ac:dyDescent="0.2">
      <c r="G160"/>
      <c r="M160"/>
      <c r="BM160"/>
    </row>
    <row r="161" spans="7:65" x14ac:dyDescent="0.2">
      <c r="G161"/>
      <c r="M161"/>
      <c r="BM161"/>
    </row>
    <row r="162" spans="7:65" x14ac:dyDescent="0.2">
      <c r="G162"/>
      <c r="M162"/>
      <c r="BM162"/>
    </row>
    <row r="163" spans="7:65" x14ac:dyDescent="0.2">
      <c r="G163"/>
      <c r="M163"/>
      <c r="BM163"/>
    </row>
    <row r="164" spans="7:65" x14ac:dyDescent="0.2">
      <c r="G164"/>
      <c r="M164"/>
      <c r="BM164"/>
    </row>
    <row r="165" spans="7:65" x14ac:dyDescent="0.2">
      <c r="G165"/>
      <c r="M165"/>
      <c r="BM165"/>
    </row>
    <row r="166" spans="7:65" x14ac:dyDescent="0.2">
      <c r="G166"/>
      <c r="M166"/>
      <c r="BM166"/>
    </row>
    <row r="167" spans="7:65" x14ac:dyDescent="0.2">
      <c r="G167"/>
      <c r="M167"/>
      <c r="BM167"/>
    </row>
    <row r="168" spans="7:65" x14ac:dyDescent="0.2">
      <c r="G168"/>
      <c r="M168"/>
      <c r="BM168"/>
    </row>
    <row r="169" spans="7:65" x14ac:dyDescent="0.2">
      <c r="G169"/>
      <c r="M169"/>
      <c r="BM169"/>
    </row>
    <row r="170" spans="7:65" x14ac:dyDescent="0.2">
      <c r="G170"/>
      <c r="M170"/>
      <c r="BM170"/>
    </row>
    <row r="171" spans="7:65" x14ac:dyDescent="0.2">
      <c r="G171"/>
      <c r="M171"/>
      <c r="BM171"/>
    </row>
    <row r="172" spans="7:65" x14ac:dyDescent="0.2">
      <c r="G172"/>
      <c r="M172"/>
      <c r="BM172"/>
    </row>
    <row r="173" spans="7:65" x14ac:dyDescent="0.2">
      <c r="G173"/>
      <c r="M173"/>
      <c r="BM173"/>
    </row>
    <row r="174" spans="7:65" x14ac:dyDescent="0.2">
      <c r="G174"/>
      <c r="M174"/>
      <c r="BM174"/>
    </row>
    <row r="175" spans="7:65" x14ac:dyDescent="0.2">
      <c r="G175"/>
      <c r="M175"/>
      <c r="BM175"/>
    </row>
    <row r="176" spans="7:65" x14ac:dyDescent="0.2">
      <c r="G176"/>
      <c r="M176"/>
      <c r="BM176"/>
    </row>
    <row r="177" spans="7:65" x14ac:dyDescent="0.2">
      <c r="G177"/>
      <c r="M177"/>
      <c r="BM177"/>
    </row>
    <row r="178" spans="7:65" x14ac:dyDescent="0.2">
      <c r="G178"/>
      <c r="M178"/>
      <c r="BM178"/>
    </row>
    <row r="179" spans="7:65" x14ac:dyDescent="0.2">
      <c r="G179"/>
      <c r="M179"/>
      <c r="BM179"/>
    </row>
    <row r="180" spans="7:65" x14ac:dyDescent="0.2">
      <c r="G180"/>
      <c r="M180"/>
      <c r="BM180"/>
    </row>
    <row r="181" spans="7:65" x14ac:dyDescent="0.2">
      <c r="G181"/>
      <c r="M181"/>
      <c r="BM181"/>
    </row>
    <row r="182" spans="7:65" x14ac:dyDescent="0.2">
      <c r="G182"/>
      <c r="M182"/>
      <c r="BM182"/>
    </row>
    <row r="183" spans="7:65" x14ac:dyDescent="0.2">
      <c r="G183"/>
      <c r="M183"/>
      <c r="BM183"/>
    </row>
    <row r="184" spans="7:65" x14ac:dyDescent="0.2">
      <c r="G184"/>
      <c r="M184"/>
      <c r="BM184"/>
    </row>
    <row r="185" spans="7:65" x14ac:dyDescent="0.2">
      <c r="G185"/>
      <c r="M185"/>
      <c r="BM185"/>
    </row>
    <row r="186" spans="7:65" x14ac:dyDescent="0.2">
      <c r="G186"/>
      <c r="M186"/>
      <c r="BM186"/>
    </row>
    <row r="187" spans="7:65" x14ac:dyDescent="0.2">
      <c r="G187"/>
      <c r="M187"/>
      <c r="BM187"/>
    </row>
    <row r="188" spans="7:65" x14ac:dyDescent="0.2">
      <c r="G188"/>
      <c r="M188"/>
      <c r="BM188"/>
    </row>
    <row r="189" spans="7:65" x14ac:dyDescent="0.2">
      <c r="G189"/>
      <c r="M189"/>
      <c r="BM189"/>
    </row>
    <row r="190" spans="7:65" x14ac:dyDescent="0.2">
      <c r="G190"/>
      <c r="M190"/>
      <c r="BM190"/>
    </row>
    <row r="191" spans="7:65" x14ac:dyDescent="0.2">
      <c r="G191"/>
      <c r="M191"/>
      <c r="BM191"/>
    </row>
    <row r="192" spans="7:65" x14ac:dyDescent="0.2">
      <c r="G192"/>
      <c r="M192"/>
      <c r="BM192"/>
    </row>
    <row r="193" spans="7:65" x14ac:dyDescent="0.2">
      <c r="G193"/>
      <c r="M193"/>
      <c r="BM193"/>
    </row>
    <row r="194" spans="7:65" x14ac:dyDescent="0.2">
      <c r="G194"/>
      <c r="M194"/>
      <c r="BM194"/>
    </row>
    <row r="195" spans="7:65" x14ac:dyDescent="0.2">
      <c r="G195"/>
      <c r="M195"/>
      <c r="BM195"/>
    </row>
    <row r="196" spans="7:65" x14ac:dyDescent="0.2">
      <c r="G196"/>
      <c r="M196"/>
      <c r="BM196"/>
    </row>
    <row r="197" spans="7:65" x14ac:dyDescent="0.2">
      <c r="G197"/>
      <c r="M197"/>
      <c r="BM197"/>
    </row>
    <row r="198" spans="7:65" x14ac:dyDescent="0.2">
      <c r="G198"/>
      <c r="M198"/>
      <c r="BM198"/>
    </row>
    <row r="199" spans="7:65" x14ac:dyDescent="0.2">
      <c r="G199"/>
      <c r="M199"/>
      <c r="BM199"/>
    </row>
    <row r="200" spans="7:65" x14ac:dyDescent="0.2">
      <c r="G200"/>
      <c r="M200"/>
      <c r="BM200"/>
    </row>
    <row r="201" spans="7:65" x14ac:dyDescent="0.2">
      <c r="G201"/>
      <c r="M201"/>
      <c r="BM201"/>
    </row>
    <row r="202" spans="7:65" x14ac:dyDescent="0.2">
      <c r="G202"/>
      <c r="M202"/>
      <c r="BM202"/>
    </row>
    <row r="203" spans="7:65" x14ac:dyDescent="0.2">
      <c r="G203"/>
      <c r="M203"/>
      <c r="BM203"/>
    </row>
    <row r="204" spans="7:65" x14ac:dyDescent="0.2">
      <c r="G204"/>
      <c r="M204"/>
      <c r="BM204"/>
    </row>
    <row r="205" spans="7:65" x14ac:dyDescent="0.2">
      <c r="G205"/>
      <c r="M205"/>
      <c r="BM205"/>
    </row>
    <row r="206" spans="7:65" x14ac:dyDescent="0.2">
      <c r="G206"/>
      <c r="M206"/>
      <c r="BM206"/>
    </row>
    <row r="207" spans="7:65" x14ac:dyDescent="0.2">
      <c r="G207"/>
      <c r="M207"/>
      <c r="BM207"/>
    </row>
    <row r="208" spans="7:65" x14ac:dyDescent="0.2">
      <c r="G208"/>
      <c r="M208"/>
      <c r="BM208"/>
    </row>
    <row r="209" spans="7:65" x14ac:dyDescent="0.2">
      <c r="G209"/>
      <c r="M209"/>
      <c r="BM209"/>
    </row>
    <row r="210" spans="7:65" x14ac:dyDescent="0.2">
      <c r="G210"/>
      <c r="M210"/>
      <c r="BM210"/>
    </row>
    <row r="211" spans="7:65" x14ac:dyDescent="0.2">
      <c r="G211"/>
      <c r="M211"/>
      <c r="BM211"/>
    </row>
    <row r="212" spans="7:65" x14ac:dyDescent="0.2">
      <c r="G212"/>
      <c r="M212"/>
      <c r="BM212"/>
    </row>
    <row r="213" spans="7:65" x14ac:dyDescent="0.2">
      <c r="G213"/>
      <c r="M213"/>
      <c r="BM213"/>
    </row>
    <row r="214" spans="7:65" x14ac:dyDescent="0.2">
      <c r="G214"/>
      <c r="M214"/>
      <c r="BM214"/>
    </row>
    <row r="215" spans="7:65" x14ac:dyDescent="0.2">
      <c r="G215"/>
      <c r="M215"/>
      <c r="BM215"/>
    </row>
    <row r="216" spans="7:65" x14ac:dyDescent="0.2">
      <c r="G216"/>
      <c r="M216"/>
      <c r="BM216"/>
    </row>
    <row r="217" spans="7:65" x14ac:dyDescent="0.2">
      <c r="G217"/>
      <c r="M217"/>
      <c r="BM217"/>
    </row>
    <row r="218" spans="7:65" x14ac:dyDescent="0.2">
      <c r="G218"/>
      <c r="M218"/>
      <c r="BM218"/>
    </row>
    <row r="219" spans="7:65" x14ac:dyDescent="0.2">
      <c r="G219"/>
      <c r="M219"/>
      <c r="BM219"/>
    </row>
    <row r="220" spans="7:65" x14ac:dyDescent="0.2">
      <c r="G220"/>
      <c r="M220"/>
      <c r="BM220"/>
    </row>
    <row r="221" spans="7:65" x14ac:dyDescent="0.2">
      <c r="G221"/>
      <c r="M221"/>
      <c r="BM221"/>
    </row>
    <row r="222" spans="7:65" x14ac:dyDescent="0.2">
      <c r="G222"/>
      <c r="M222"/>
      <c r="BM222"/>
    </row>
    <row r="223" spans="7:65" x14ac:dyDescent="0.2">
      <c r="G223"/>
      <c r="M223"/>
      <c r="BM223"/>
    </row>
    <row r="224" spans="7:65" x14ac:dyDescent="0.2">
      <c r="G224"/>
      <c r="M224"/>
      <c r="BM224"/>
    </row>
    <row r="225" spans="7:65" x14ac:dyDescent="0.2">
      <c r="G225"/>
      <c r="M225"/>
      <c r="BM225"/>
    </row>
    <row r="226" spans="7:65" x14ac:dyDescent="0.2">
      <c r="G226"/>
      <c r="M226"/>
      <c r="BM226"/>
    </row>
    <row r="227" spans="7:65" x14ac:dyDescent="0.2">
      <c r="G227"/>
      <c r="M227"/>
      <c r="BM227"/>
    </row>
    <row r="228" spans="7:65" x14ac:dyDescent="0.2">
      <c r="G228"/>
      <c r="M228"/>
      <c r="BM228"/>
    </row>
    <row r="229" spans="7:65" x14ac:dyDescent="0.2">
      <c r="G229"/>
      <c r="M229"/>
      <c r="BM229"/>
    </row>
    <row r="230" spans="7:65" x14ac:dyDescent="0.2">
      <c r="G230"/>
      <c r="M230"/>
      <c r="BM230"/>
    </row>
    <row r="231" spans="7:65" x14ac:dyDescent="0.2">
      <c r="G231"/>
      <c r="M231"/>
      <c r="BM231"/>
    </row>
    <row r="232" spans="7:65" x14ac:dyDescent="0.2">
      <c r="G232"/>
      <c r="M232"/>
      <c r="BM232"/>
    </row>
    <row r="233" spans="7:65" x14ac:dyDescent="0.2">
      <c r="G233"/>
      <c r="M233"/>
      <c r="BM233"/>
    </row>
    <row r="234" spans="7:65" x14ac:dyDescent="0.2">
      <c r="G234"/>
      <c r="M234"/>
      <c r="BM234"/>
    </row>
    <row r="235" spans="7:65" x14ac:dyDescent="0.2">
      <c r="G235"/>
      <c r="M235"/>
      <c r="BM235"/>
    </row>
    <row r="236" spans="7:65" x14ac:dyDescent="0.2">
      <c r="G236"/>
      <c r="M236"/>
      <c r="BM236"/>
    </row>
    <row r="237" spans="7:65" x14ac:dyDescent="0.2">
      <c r="G237"/>
      <c r="M237"/>
      <c r="BM237"/>
    </row>
    <row r="238" spans="7:65" x14ac:dyDescent="0.2">
      <c r="G238"/>
      <c r="M238"/>
      <c r="BM238"/>
    </row>
    <row r="239" spans="7:65" x14ac:dyDescent="0.2">
      <c r="G239"/>
      <c r="M239"/>
      <c r="BM239"/>
    </row>
    <row r="240" spans="7:65" x14ac:dyDescent="0.2">
      <c r="G240"/>
      <c r="M240"/>
      <c r="BM240"/>
    </row>
    <row r="241" spans="7:65" x14ac:dyDescent="0.2">
      <c r="G241"/>
      <c r="M241"/>
      <c r="BM241"/>
    </row>
    <row r="242" spans="7:65" x14ac:dyDescent="0.2">
      <c r="G242"/>
      <c r="M242"/>
      <c r="BM242"/>
    </row>
    <row r="243" spans="7:65" x14ac:dyDescent="0.2">
      <c r="G243"/>
      <c r="M243"/>
      <c r="BM243"/>
    </row>
    <row r="244" spans="7:65" x14ac:dyDescent="0.2">
      <c r="G244"/>
      <c r="M244"/>
      <c r="BM244"/>
    </row>
    <row r="245" spans="7:65" x14ac:dyDescent="0.2">
      <c r="G245"/>
      <c r="M245"/>
      <c r="BM245"/>
    </row>
    <row r="246" spans="7:65" x14ac:dyDescent="0.2">
      <c r="G246"/>
      <c r="M246"/>
      <c r="BM246"/>
    </row>
    <row r="247" spans="7:65" x14ac:dyDescent="0.2">
      <c r="G247"/>
      <c r="M247"/>
      <c r="BM247"/>
    </row>
    <row r="248" spans="7:65" x14ac:dyDescent="0.2">
      <c r="G248"/>
      <c r="M248"/>
      <c r="BM248"/>
    </row>
    <row r="249" spans="7:65" x14ac:dyDescent="0.2">
      <c r="G249"/>
      <c r="M249"/>
      <c r="BM249"/>
    </row>
    <row r="250" spans="7:65" x14ac:dyDescent="0.2">
      <c r="G250"/>
      <c r="M250"/>
      <c r="BM250"/>
    </row>
    <row r="251" spans="7:65" x14ac:dyDescent="0.2">
      <c r="G251"/>
      <c r="M251"/>
      <c r="BM251"/>
    </row>
    <row r="252" spans="7:65" x14ac:dyDescent="0.2">
      <c r="G252"/>
      <c r="M252"/>
      <c r="BM252"/>
    </row>
    <row r="253" spans="7:65" x14ac:dyDescent="0.2">
      <c r="G253"/>
      <c r="M253"/>
      <c r="BM253"/>
    </row>
    <row r="254" spans="7:65" x14ac:dyDescent="0.2">
      <c r="G254"/>
      <c r="M254"/>
      <c r="BM254"/>
    </row>
    <row r="255" spans="7:65" x14ac:dyDescent="0.2">
      <c r="G255"/>
      <c r="M255"/>
      <c r="BM255"/>
    </row>
    <row r="256" spans="7:65" x14ac:dyDescent="0.2">
      <c r="G256"/>
      <c r="M256"/>
      <c r="BM256"/>
    </row>
    <row r="257" spans="7:65" x14ac:dyDescent="0.2">
      <c r="G257"/>
      <c r="M257"/>
      <c r="BM257"/>
    </row>
    <row r="258" spans="7:65" x14ac:dyDescent="0.2">
      <c r="G258"/>
      <c r="M258"/>
      <c r="BM258"/>
    </row>
    <row r="259" spans="7:65" x14ac:dyDescent="0.2">
      <c r="G259"/>
      <c r="M259"/>
      <c r="BM259"/>
    </row>
    <row r="260" spans="7:65" x14ac:dyDescent="0.2">
      <c r="G260"/>
      <c r="M260"/>
      <c r="BM260"/>
    </row>
    <row r="261" spans="7:65" x14ac:dyDescent="0.2">
      <c r="G261"/>
      <c r="M261"/>
      <c r="BM261"/>
    </row>
    <row r="262" spans="7:65" x14ac:dyDescent="0.2">
      <c r="G262"/>
      <c r="M262"/>
      <c r="BM262"/>
    </row>
    <row r="263" spans="7:65" x14ac:dyDescent="0.2">
      <c r="G263"/>
      <c r="M263"/>
      <c r="BM263"/>
    </row>
    <row r="264" spans="7:65" x14ac:dyDescent="0.2">
      <c r="G264"/>
      <c r="M264"/>
      <c r="BM264"/>
    </row>
    <row r="265" spans="7:65" x14ac:dyDescent="0.2">
      <c r="G265"/>
      <c r="M265"/>
      <c r="BM265"/>
    </row>
    <row r="266" spans="7:65" x14ac:dyDescent="0.2">
      <c r="G266"/>
      <c r="M266"/>
      <c r="BM266"/>
    </row>
    <row r="267" spans="7:65" x14ac:dyDescent="0.2">
      <c r="G267"/>
      <c r="M267"/>
      <c r="BM267"/>
    </row>
    <row r="268" spans="7:65" x14ac:dyDescent="0.2">
      <c r="G268"/>
      <c r="M268"/>
      <c r="BM268"/>
    </row>
    <row r="269" spans="7:65" x14ac:dyDescent="0.2">
      <c r="G269"/>
      <c r="M269"/>
      <c r="BM269"/>
    </row>
    <row r="270" spans="7:65" x14ac:dyDescent="0.2">
      <c r="G270"/>
      <c r="M270"/>
      <c r="BM270"/>
    </row>
    <row r="271" spans="7:65" x14ac:dyDescent="0.2">
      <c r="G271"/>
      <c r="M271"/>
      <c r="BM271"/>
    </row>
    <row r="272" spans="7:65" x14ac:dyDescent="0.2">
      <c r="G272"/>
      <c r="M272"/>
      <c r="BM272"/>
    </row>
    <row r="273" spans="7:65" x14ac:dyDescent="0.2">
      <c r="G273"/>
      <c r="M273"/>
      <c r="BM273"/>
    </row>
    <row r="274" spans="7:65" x14ac:dyDescent="0.2">
      <c r="G274"/>
      <c r="M274"/>
      <c r="BM274"/>
    </row>
    <row r="275" spans="7:65" x14ac:dyDescent="0.2">
      <c r="G275"/>
      <c r="M275"/>
      <c r="BM275"/>
    </row>
    <row r="276" spans="7:65" x14ac:dyDescent="0.2">
      <c r="G276"/>
      <c r="M276"/>
      <c r="BM276"/>
    </row>
    <row r="277" spans="7:65" x14ac:dyDescent="0.2">
      <c r="G277"/>
      <c r="M277"/>
      <c r="BM277"/>
    </row>
    <row r="278" spans="7:65" x14ac:dyDescent="0.2">
      <c r="G278"/>
      <c r="M278"/>
      <c r="BM278"/>
    </row>
    <row r="279" spans="7:65" x14ac:dyDescent="0.2">
      <c r="G279"/>
      <c r="M279"/>
      <c r="BM279"/>
    </row>
    <row r="280" spans="7:65" x14ac:dyDescent="0.2">
      <c r="G280"/>
      <c r="M280"/>
      <c r="BM280"/>
    </row>
    <row r="281" spans="7:65" x14ac:dyDescent="0.2">
      <c r="G281"/>
      <c r="M281"/>
      <c r="BM281"/>
    </row>
    <row r="282" spans="7:65" x14ac:dyDescent="0.2">
      <c r="G282"/>
      <c r="M282"/>
      <c r="BM282"/>
    </row>
    <row r="283" spans="7:65" x14ac:dyDescent="0.2">
      <c r="G283"/>
      <c r="M283"/>
      <c r="BM283"/>
    </row>
    <row r="284" spans="7:65" x14ac:dyDescent="0.2">
      <c r="G284"/>
      <c r="M284"/>
      <c r="BM284"/>
    </row>
    <row r="285" spans="7:65" x14ac:dyDescent="0.2">
      <c r="G285"/>
      <c r="M285"/>
      <c r="BM285"/>
    </row>
    <row r="286" spans="7:65" x14ac:dyDescent="0.2">
      <c r="G286"/>
      <c r="M286"/>
      <c r="BM286"/>
    </row>
    <row r="287" spans="7:65" x14ac:dyDescent="0.2">
      <c r="G287"/>
      <c r="M287"/>
      <c r="BM287"/>
    </row>
    <row r="288" spans="7:65" x14ac:dyDescent="0.2">
      <c r="G288"/>
      <c r="M288"/>
      <c r="BM288"/>
    </row>
    <row r="289" spans="7:65" x14ac:dyDescent="0.2">
      <c r="G289"/>
      <c r="M289"/>
      <c r="BM289"/>
    </row>
    <row r="290" spans="7:65" x14ac:dyDescent="0.2">
      <c r="G290"/>
      <c r="M290"/>
      <c r="BM290"/>
    </row>
    <row r="291" spans="7:65" x14ac:dyDescent="0.2">
      <c r="G291"/>
      <c r="M291"/>
      <c r="BM291"/>
    </row>
    <row r="292" spans="7:65" x14ac:dyDescent="0.2">
      <c r="G292"/>
      <c r="M292"/>
      <c r="BM292"/>
    </row>
    <row r="293" spans="7:65" x14ac:dyDescent="0.2">
      <c r="G293"/>
      <c r="M293"/>
      <c r="BM293"/>
    </row>
    <row r="294" spans="7:65" x14ac:dyDescent="0.2">
      <c r="G294"/>
      <c r="M294"/>
      <c r="BM294"/>
    </row>
    <row r="295" spans="7:65" x14ac:dyDescent="0.2">
      <c r="G295"/>
      <c r="M295"/>
      <c r="BM295"/>
    </row>
    <row r="296" spans="7:65" x14ac:dyDescent="0.2">
      <c r="G296"/>
      <c r="M296"/>
      <c r="BM296"/>
    </row>
    <row r="297" spans="7:65" x14ac:dyDescent="0.2">
      <c r="G297"/>
      <c r="M297"/>
      <c r="BM297"/>
    </row>
    <row r="298" spans="7:65" x14ac:dyDescent="0.2">
      <c r="G298"/>
      <c r="M298"/>
      <c r="BM298"/>
    </row>
    <row r="299" spans="7:65" x14ac:dyDescent="0.2">
      <c r="G299"/>
      <c r="M299"/>
      <c r="BM299"/>
    </row>
    <row r="300" spans="7:65" x14ac:dyDescent="0.2">
      <c r="G300"/>
      <c r="M300"/>
      <c r="BM300"/>
    </row>
    <row r="301" spans="7:65" x14ac:dyDescent="0.2">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8.25" x14ac:dyDescent="0.2">
      <c r="A5" s="231" t="s">
        <v>408</v>
      </c>
      <c r="B5" s="235" t="s">
        <v>148</v>
      </c>
      <c r="C5" s="236" t="s">
        <v>403</v>
      </c>
      <c r="D5" s="278" t="s">
        <v>882</v>
      </c>
      <c r="E5" s="279" t="s">
        <v>14</v>
      </c>
      <c r="F5" s="147"/>
      <c r="G5" s="237" t="s">
        <v>504</v>
      </c>
      <c r="H5" s="265" t="s">
        <v>875</v>
      </c>
      <c r="J5" s="67"/>
    </row>
    <row r="6" spans="1:13" x14ac:dyDescent="0.2">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
      <c r="A7" s="233" t="str">
        <f>Setup!B23</f>
        <v>Urgent</v>
      </c>
      <c r="B7" s="154">
        <v>0</v>
      </c>
      <c r="C7" s="154">
        <v>2</v>
      </c>
      <c r="D7" s="277"/>
      <c r="E7" s="160" t="s">
        <v>402</v>
      </c>
      <c r="G7" s="227">
        <f ca="1">IFERROR('Demand background (hide)'!BK20,"")</f>
        <v>0.21756021756021757</v>
      </c>
      <c r="H7" s="230"/>
      <c r="J7" s="67"/>
    </row>
    <row r="8" spans="1:13" x14ac:dyDescent="0.2">
      <c r="A8" s="234" t="str">
        <f>Setup!B24</f>
        <v>Routine</v>
      </c>
      <c r="B8" s="154">
        <v>2</v>
      </c>
      <c r="C8" s="154">
        <v>6</v>
      </c>
      <c r="D8" s="277"/>
      <c r="E8" s="160" t="s">
        <v>402</v>
      </c>
      <c r="G8" s="227">
        <f ca="1">IFERROR('Demand background (hide)'!BL20,"")</f>
        <v>0.78243978243978252</v>
      </c>
      <c r="H8" s="230"/>
      <c r="J8" s="67"/>
    </row>
    <row r="10" spans="1:13" x14ac:dyDescent="0.2">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3" sqref="B13"/>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80" t="s">
        <v>1296</v>
      </c>
      <c r="G2" s="374" t="s">
        <v>1297</v>
      </c>
    </row>
    <row r="3" spans="2:21" ht="15" x14ac:dyDescent="0.25">
      <c r="E3" s="380" t="s">
        <v>1262</v>
      </c>
      <c r="G3" s="374" t="s">
        <v>1262</v>
      </c>
      <c r="H3" s="374" t="s">
        <v>1263</v>
      </c>
      <c r="I3" s="374"/>
      <c r="J3" s="374" t="s">
        <v>1264</v>
      </c>
      <c r="K3" s="374"/>
      <c r="L3" s="374" t="s">
        <v>1268</v>
      </c>
      <c r="M3" s="374"/>
      <c r="N3" s="374" t="s">
        <v>1267</v>
      </c>
      <c r="O3" s="374"/>
      <c r="P3" s="374" t="s">
        <v>1269</v>
      </c>
      <c r="R3" s="380"/>
    </row>
    <row r="4" spans="2:21" ht="15" x14ac:dyDescent="0.2">
      <c r="B4" s="470" t="s">
        <v>884</v>
      </c>
      <c r="C4" s="470"/>
      <c r="D4" s="470"/>
      <c r="E4" s="383"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ht="15" x14ac:dyDescent="0.25">
      <c r="B6" s="2" t="s">
        <v>304</v>
      </c>
    </row>
    <row r="7" spans="2:21" x14ac:dyDescent="0.2">
      <c r="B7" t="s">
        <v>489</v>
      </c>
      <c r="C7" s="153" t="s">
        <v>421</v>
      </c>
    </row>
    <row r="8" spans="2:21" x14ac:dyDescent="0.2">
      <c r="B8" t="s">
        <v>490</v>
      </c>
      <c r="C8" s="153" t="s">
        <v>21</v>
      </c>
    </row>
    <row r="12" spans="2:21" ht="15" x14ac:dyDescent="0.25">
      <c r="B12" s="324" t="s">
        <v>426</v>
      </c>
      <c r="C12" s="67"/>
    </row>
    <row r="13" spans="2:21" x14ac:dyDescent="0.2">
      <c r="B13" s="386">
        <v>44197</v>
      </c>
    </row>
    <row r="14" spans="2:21" ht="15" x14ac:dyDescent="0.25">
      <c r="B14" s="369" t="s">
        <v>1252</v>
      </c>
    </row>
    <row r="15" spans="2:21" s="67" customFormat="1" ht="40.9" customHeight="1" x14ac:dyDescent="0.2">
      <c r="B15" s="373">
        <v>0</v>
      </c>
      <c r="C15" s="373" t="s">
        <v>1293</v>
      </c>
    </row>
    <row r="16" spans="2:21" s="67" customFormat="1" ht="51" customHeight="1" x14ac:dyDescent="0.2">
      <c r="B16" s="372" t="s">
        <v>1261</v>
      </c>
      <c r="C16" s="368"/>
    </row>
    <row r="17" spans="2:16" ht="15" x14ac:dyDescent="0.25">
      <c r="B17" s="370" t="s">
        <v>945</v>
      </c>
    </row>
    <row r="18" spans="2:16" ht="17.649999999999999" customHeight="1" x14ac:dyDescent="0.2">
      <c r="B18" s="329"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71" t="str">
        <f ca="1">"On aggregate, 1 patient = "&amp;TEXT('Demand background (hide)'!$BN$16,"#.#")&amp;" "&amp;Setup!$I$17</f>
        <v>On aggregate, 1 patient = 37. Minutes</v>
      </c>
      <c r="E24" s="471"/>
      <c r="F24" s="471"/>
      <c r="G24" s="471"/>
      <c r="H24" s="471"/>
      <c r="I24" s="471"/>
      <c r="J24" s="471"/>
      <c r="K24" s="471"/>
      <c r="P24" s="170" t="s">
        <v>500</v>
      </c>
    </row>
    <row r="26" spans="2:16" s="67" customFormat="1" x14ac:dyDescent="0.2"/>
    <row r="27" spans="2:16" s="67" customFormat="1" ht="15" x14ac:dyDescent="0.25">
      <c r="B27" s="474" t="s">
        <v>1272</v>
      </c>
      <c r="C27" s="474"/>
      <c r="D27" s="280" t="s">
        <v>497</v>
      </c>
      <c r="E27" s="280" t="s">
        <v>128</v>
      </c>
    </row>
    <row r="28" spans="2:16" s="67" customFormat="1" x14ac:dyDescent="0.2">
      <c r="B28" s="475" t="s">
        <v>1300</v>
      </c>
      <c r="C28" s="476"/>
      <c r="D28" s="382">
        <f ca="1">IFERROR('Summary Calculations (hide)'!N70,"")</f>
        <v>597.59999999999945</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583 minutes to meet the 85th percentile of demand. It may be advisable to review your capacity if you have an urgent, or very variable service.</v>
      </c>
    </row>
    <row r="29" spans="2:16" s="67" customFormat="1" x14ac:dyDescent="0.2">
      <c r="B29" s="475" t="s">
        <v>1301</v>
      </c>
      <c r="C29" s="476"/>
      <c r="D29" s="275">
        <f ca="1">IFERROR('Summary Calculations (hide)'!M70,"")</f>
        <v>496.34999999999962</v>
      </c>
      <c r="E29" s="276" t="s">
        <v>499</v>
      </c>
      <c r="G29" s="274" t="str">
        <f ca="1">IF(D29&lt;&gt;"",IF(SUM(D32:D33)&lt;D29,"You need an additional "&amp;CEILING((D29-SUM(D32:D33)),1)&amp;IF($C$8="Patients"," slots",IF($C$8="Minutes"," minutes"," points"))&amp;" to meet the "&amp;Setup!$I$19&amp;"th percentile of demand. Your waiting list size is likely to increase over time.",""),"")</f>
        <v>You need an additional 482 minutes to meet the 65th percentile of demand. Your waiting list size is likely to increase over time.</v>
      </c>
    </row>
    <row r="30" spans="2:16" s="67" customFormat="1" x14ac:dyDescent="0.2">
      <c r="B30" s="477" t="s">
        <v>503</v>
      </c>
      <c r="C30" s="478"/>
      <c r="D30" s="387">
        <f ca="1">IFERROR('Summary Calculations (hide)'!X70,"")</f>
        <v>445.5</v>
      </c>
      <c r="E30" s="388">
        <f ca="1">IFERROR('Summary Calculations (hide)'!X71,"")</f>
        <v>23166</v>
      </c>
    </row>
    <row r="31" spans="2:16" s="67" customFormat="1" ht="15" x14ac:dyDescent="0.25">
      <c r="B31" s="144" t="s">
        <v>303</v>
      </c>
      <c r="C31" s="142"/>
    </row>
    <row r="32" spans="2:16" s="67" customFormat="1" x14ac:dyDescent="0.2">
      <c r="B32" s="475" t="s">
        <v>495</v>
      </c>
      <c r="C32" s="476"/>
      <c r="D32" s="275">
        <f ca="1">IFERROR('Summary Calculations (hide)'!R70,"")</f>
        <v>13.038461538461545</v>
      </c>
      <c r="E32" s="275">
        <f ca="1">IFERROR('Summary Calculations (hide)'!R71,"")</f>
        <v>678.00000000000034</v>
      </c>
      <c r="H32" s="5"/>
    </row>
    <row r="33" spans="2:21" s="67" customFormat="1" x14ac:dyDescent="0.2">
      <c r="B33" s="475" t="s">
        <v>496</v>
      </c>
      <c r="C33" s="476"/>
      <c r="D33" s="275">
        <f ca="1">IFERROR('Summary Calculations (hide)'!S70,"")</f>
        <v>2.1153846153846141</v>
      </c>
      <c r="E33" s="275">
        <f ca="1">IFERROR('Summary Calculations (hide)'!S71,"")</f>
        <v>109.99999999999993</v>
      </c>
    </row>
    <row r="34" spans="2:21" s="67" customFormat="1" ht="15" x14ac:dyDescent="0.25">
      <c r="B34" s="144" t="s">
        <v>928</v>
      </c>
    </row>
    <row r="35" spans="2:21" s="67" customFormat="1" x14ac:dyDescent="0.2">
      <c r="B35" s="475" t="s">
        <v>927</v>
      </c>
      <c r="C35" s="476"/>
      <c r="D35" s="275">
        <f>IFERROR('Summary Calculations (hide)'!V70,"")</f>
        <v>0</v>
      </c>
      <c r="E35" s="275">
        <f>IFERROR('Summary Calculations (hide)'!V71,"")</f>
        <v>0</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83" t="str">
        <f>"Current waiting list vs Estimated sustainable waiting list ("&amp;C8&amp;")"</f>
        <v>Current waiting list vs Estimated sustainable waiting list (Minutes)</v>
      </c>
      <c r="C38" s="483"/>
      <c r="D38" s="483"/>
      <c r="E38" s="483"/>
      <c r="F38" s="483"/>
      <c r="G38" s="483"/>
      <c r="H38" s="483"/>
    </row>
    <row r="40" spans="2:21" ht="15" x14ac:dyDescent="0.25">
      <c r="B40" s="481" t="s">
        <v>489</v>
      </c>
      <c r="C40" s="482"/>
      <c r="D40" s="407" t="s">
        <v>249</v>
      </c>
      <c r="E40" s="409"/>
    </row>
    <row r="41" spans="2:21" x14ac:dyDescent="0.2">
      <c r="B41" s="345" t="str">
        <f>IF(AND(LEFT(Demand!C8,1)="H",'Demand adjustments for Covid'!F9="No"),"","WL predictions are disabled when forecast demand or Covid adjustments are enabled.")</f>
        <v/>
      </c>
    </row>
    <row r="42" spans="2:21" x14ac:dyDescent="0.2">
      <c r="B42" s="479" t="s">
        <v>1139</v>
      </c>
      <c r="C42" s="480"/>
      <c r="D42" s="330">
        <v>0</v>
      </c>
    </row>
    <row r="43" spans="2:21" x14ac:dyDescent="0.2">
      <c r="B43" s="479" t="s">
        <v>1140</v>
      </c>
      <c r="C43" s="480"/>
      <c r="D43" s="330">
        <v>0</v>
      </c>
    </row>
    <row r="49" spans="2:4" x14ac:dyDescent="0.2">
      <c r="B49" s="137" t="s">
        <v>305</v>
      </c>
      <c r="C49" s="472">
        <f ca="1">'Parameters calculator (hide)'!H67</f>
        <v>2100</v>
      </c>
      <c r="D49" s="472"/>
    </row>
    <row r="50" spans="2:4" x14ac:dyDescent="0.2">
      <c r="B50" s="138" t="s">
        <v>306</v>
      </c>
      <c r="C50" s="473" t="str">
        <f ca="1">IFERROR(TEXT('Parameters calculator (hide)'!H66,"#,#")&amp;" - "&amp;TEXT('Parameters calculator (hide)'!I66,"#,#"),"")</f>
        <v>1,574 - 1,740</v>
      </c>
      <c r="D50" s="473"/>
    </row>
    <row r="53" spans="2:4" x14ac:dyDescent="0.2">
      <c r="B53" s="20" t="s">
        <v>307</v>
      </c>
      <c r="C53" s="473" t="str">
        <f ca="1">IFERROR('Parameters calculator (hide)'!H69,"")</f>
        <v>360 - 526</v>
      </c>
      <c r="D53" s="473"/>
    </row>
    <row r="55" spans="2:4" x14ac:dyDescent="0.2">
      <c r="B55" t="s">
        <v>929</v>
      </c>
    </row>
    <row r="57" spans="2:4" x14ac:dyDescent="0.2">
      <c r="B57" t="s">
        <v>930</v>
      </c>
    </row>
    <row r="58" spans="2:4" x14ac:dyDescent="0.2">
      <c r="B58" s="283">
        <v>10</v>
      </c>
      <c r="C58" t="s">
        <v>402</v>
      </c>
    </row>
    <row r="60" spans="2:4" x14ac:dyDescent="0.2">
      <c r="B60" t="s">
        <v>931</v>
      </c>
    </row>
    <row r="61" spans="2:4" x14ac:dyDescent="0.2">
      <c r="B61" s="281" t="str">
        <f ca="1">IF(OR(C53=0,B58=0,C53=""),"--",TEXT('Parameters calculator (hide)'!I71/B58,"#")&amp;" - "&amp;TEXT('Parameters calculator (hide)'!H71/B58,"#"))</f>
        <v>36 - 53</v>
      </c>
      <c r="C61" t="str">
        <f>LOWER(C8)&amp;" per week to clear in the time specified"</f>
        <v>minutes per week to clear in the time specified</v>
      </c>
    </row>
  </sheetData>
  <mergeCells count="17">
    <mergeCell ref="C53:D53"/>
    <mergeCell ref="B42:C42"/>
    <mergeCell ref="B43:C43"/>
    <mergeCell ref="B40:C40"/>
    <mergeCell ref="B38:H38"/>
    <mergeCell ref="B4:D4"/>
    <mergeCell ref="D40:E40"/>
    <mergeCell ref="D24:K24"/>
    <mergeCell ref="C49:D49"/>
    <mergeCell ref="C50:D50"/>
    <mergeCell ref="B27:C27"/>
    <mergeCell ref="B28:C28"/>
    <mergeCell ref="B29:C29"/>
    <mergeCell ref="B30:C30"/>
    <mergeCell ref="B32:C32"/>
    <mergeCell ref="B33:C33"/>
    <mergeCell ref="B35:C35"/>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885</v>
      </c>
      <c r="J28" t="s">
        <v>938</v>
      </c>
    </row>
    <row r="30" spans="1:12" x14ac:dyDescent="0.2">
      <c r="A30" t="s">
        <v>392</v>
      </c>
      <c r="B30" t="s">
        <v>886</v>
      </c>
      <c r="J30" t="s">
        <v>939</v>
      </c>
      <c r="K30" t="s">
        <v>392</v>
      </c>
      <c r="L30" t="s">
        <v>886</v>
      </c>
    </row>
    <row r="31" spans="1:12" x14ac:dyDescent="0.2">
      <c r="A31" t="s">
        <v>11</v>
      </c>
      <c r="B31" t="s">
        <v>924</v>
      </c>
      <c r="J31" t="s">
        <v>940</v>
      </c>
      <c r="K31" t="s">
        <v>97</v>
      </c>
      <c r="L31" t="s">
        <v>934</v>
      </c>
    </row>
    <row r="32" spans="1:12" x14ac:dyDescent="0.2">
      <c r="A32" t="s">
        <v>51</v>
      </c>
      <c r="B32" t="s">
        <v>887</v>
      </c>
      <c r="J32" t="s">
        <v>942</v>
      </c>
      <c r="K32" t="s">
        <v>389</v>
      </c>
      <c r="L32" t="s">
        <v>935</v>
      </c>
    </row>
    <row r="33" spans="1:12" x14ac:dyDescent="0.2">
      <c r="A33" s="67" t="s">
        <v>51</v>
      </c>
      <c r="B33" t="s">
        <v>888</v>
      </c>
      <c r="J33" t="s">
        <v>941</v>
      </c>
      <c r="K33" t="s">
        <v>391</v>
      </c>
      <c r="L33" t="s">
        <v>936</v>
      </c>
    </row>
    <row r="34" spans="1:12" x14ac:dyDescent="0.2">
      <c r="A34" s="67" t="s">
        <v>51</v>
      </c>
      <c r="B34" t="s">
        <v>889</v>
      </c>
      <c r="J34" t="s">
        <v>943</v>
      </c>
      <c r="K34" t="s">
        <v>391</v>
      </c>
      <c r="L34" t="s">
        <v>937</v>
      </c>
    </row>
    <row r="35" spans="1:12" x14ac:dyDescent="0.2">
      <c r="A35" s="67" t="s">
        <v>51</v>
      </c>
      <c r="B35" t="s">
        <v>890</v>
      </c>
    </row>
    <row r="36" spans="1:12" x14ac:dyDescent="0.2">
      <c r="A36" s="67" t="s">
        <v>51</v>
      </c>
      <c r="B36" t="s">
        <v>891</v>
      </c>
    </row>
    <row r="37" spans="1:12" x14ac:dyDescent="0.2">
      <c r="A37" s="67" t="s">
        <v>51</v>
      </c>
      <c r="B37" t="s">
        <v>892</v>
      </c>
    </row>
    <row r="38" spans="1:12" x14ac:dyDescent="0.2">
      <c r="A38" s="67" t="s">
        <v>51</v>
      </c>
      <c r="B38" t="s">
        <v>893</v>
      </c>
    </row>
    <row r="39" spans="1:12" x14ac:dyDescent="0.2">
      <c r="A39" s="67" t="s">
        <v>51</v>
      </c>
      <c r="B39" t="s">
        <v>894</v>
      </c>
    </row>
    <row r="40" spans="1:12" x14ac:dyDescent="0.2">
      <c r="A40" t="s">
        <v>51</v>
      </c>
      <c r="B40" t="s">
        <v>895</v>
      </c>
    </row>
    <row r="41" spans="1:12" x14ac:dyDescent="0.2">
      <c r="A41" t="s">
        <v>51</v>
      </c>
      <c r="B41" t="s">
        <v>896</v>
      </c>
    </row>
    <row r="42" spans="1:12" x14ac:dyDescent="0.2">
      <c r="A42" t="s">
        <v>97</v>
      </c>
      <c r="B42" t="s">
        <v>897</v>
      </c>
    </row>
    <row r="43" spans="1:12" x14ac:dyDescent="0.2">
      <c r="A43" t="s">
        <v>899</v>
      </c>
      <c r="B43" t="s">
        <v>1172</v>
      </c>
    </row>
    <row r="44" spans="1:12" x14ac:dyDescent="0.2">
      <c r="A44" t="s">
        <v>388</v>
      </c>
      <c r="B44" t="s">
        <v>900</v>
      </c>
    </row>
    <row r="45" spans="1:12" x14ac:dyDescent="0.2">
      <c r="A45" t="s">
        <v>388</v>
      </c>
      <c r="B45" t="s">
        <v>901</v>
      </c>
    </row>
    <row r="46" spans="1:12" x14ac:dyDescent="0.2">
      <c r="A46" t="s">
        <v>388</v>
      </c>
      <c r="B46" t="s">
        <v>385</v>
      </c>
    </row>
    <row r="47" spans="1:12" x14ac:dyDescent="0.2">
      <c r="A47" t="s">
        <v>388</v>
      </c>
      <c r="B47" t="s">
        <v>902</v>
      </c>
    </row>
    <row r="48" spans="1:12" x14ac:dyDescent="0.2">
      <c r="A48" t="s">
        <v>388</v>
      </c>
      <c r="B48" t="s">
        <v>903</v>
      </c>
    </row>
    <row r="49" spans="1:2" x14ac:dyDescent="0.2">
      <c r="A49" t="s">
        <v>389</v>
      </c>
      <c r="B49" t="s">
        <v>897</v>
      </c>
    </row>
    <row r="50" spans="1:2" x14ac:dyDescent="0.2">
      <c r="A50" t="s">
        <v>389</v>
      </c>
      <c r="B50" t="s">
        <v>904</v>
      </c>
    </row>
    <row r="51" spans="1:2" x14ac:dyDescent="0.2">
      <c r="A51" t="s">
        <v>390</v>
      </c>
      <c r="B51" t="s">
        <v>905</v>
      </c>
    </row>
    <row r="52" spans="1:2" x14ac:dyDescent="0.2">
      <c r="A52" t="s">
        <v>390</v>
      </c>
      <c r="B52" t="s">
        <v>906</v>
      </c>
    </row>
    <row r="53" spans="1:2" x14ac:dyDescent="0.2">
      <c r="A53" t="s">
        <v>907</v>
      </c>
      <c r="B53" t="s">
        <v>908</v>
      </c>
    </row>
    <row r="54" spans="1:2" x14ac:dyDescent="0.2">
      <c r="A54" t="s">
        <v>909</v>
      </c>
      <c r="B54" t="s">
        <v>910</v>
      </c>
    </row>
    <row r="55" spans="1:2" x14ac:dyDescent="0.2">
      <c r="A55" t="s">
        <v>391</v>
      </c>
      <c r="B55" t="s">
        <v>911</v>
      </c>
    </row>
    <row r="56" spans="1:2" x14ac:dyDescent="0.2">
      <c r="A56" t="s">
        <v>477</v>
      </c>
      <c r="B56" t="s">
        <v>905</v>
      </c>
    </row>
    <row r="57" spans="1:2" x14ac:dyDescent="0.2">
      <c r="A57" s="67" t="s">
        <v>477</v>
      </c>
      <c r="B57" t="s">
        <v>911</v>
      </c>
    </row>
    <row r="58" spans="1:2" x14ac:dyDescent="0.2">
      <c r="A58" s="67" t="s">
        <v>477</v>
      </c>
      <c r="B58" t="s">
        <v>912</v>
      </c>
    </row>
    <row r="59" spans="1:2" x14ac:dyDescent="0.2">
      <c r="A59" s="67" t="s">
        <v>477</v>
      </c>
      <c r="B59" t="s">
        <v>913</v>
      </c>
    </row>
    <row r="60" spans="1:2" x14ac:dyDescent="0.2">
      <c r="A60" t="s">
        <v>477</v>
      </c>
      <c r="B60" t="s">
        <v>1236</v>
      </c>
    </row>
    <row r="61" spans="1:2" x14ac:dyDescent="0.2">
      <c r="A61" t="s">
        <v>914</v>
      </c>
      <c r="B61" t="s">
        <v>915</v>
      </c>
    </row>
    <row r="62" spans="1:2" x14ac:dyDescent="0.2">
      <c r="A62" t="s">
        <v>914</v>
      </c>
      <c r="B62" t="s">
        <v>916</v>
      </c>
    </row>
    <row r="63" spans="1:2" x14ac:dyDescent="0.2">
      <c r="A63" t="s">
        <v>914</v>
      </c>
      <c r="B63" t="s">
        <v>917</v>
      </c>
    </row>
    <row r="64" spans="1:2" x14ac:dyDescent="0.2">
      <c r="A64" t="s">
        <v>249</v>
      </c>
      <c r="B64" t="s">
        <v>918</v>
      </c>
    </row>
    <row r="65" spans="1:8" x14ac:dyDescent="0.2">
      <c r="A65" t="s">
        <v>510</v>
      </c>
      <c r="B65" t="s">
        <v>922</v>
      </c>
    </row>
    <row r="66" spans="1:8" x14ac:dyDescent="0.2">
      <c r="A66" t="s">
        <v>510</v>
      </c>
      <c r="B66" t="s">
        <v>923</v>
      </c>
    </row>
    <row r="67" spans="1:8" x14ac:dyDescent="0.2">
      <c r="A67" t="s">
        <v>510</v>
      </c>
      <c r="B67" t="s">
        <v>919</v>
      </c>
    </row>
    <row r="68" spans="1:8" x14ac:dyDescent="0.2">
      <c r="A68" t="s">
        <v>510</v>
      </c>
      <c r="B68" t="s">
        <v>920</v>
      </c>
    </row>
    <row r="69" spans="1:8" x14ac:dyDescent="0.2">
      <c r="A69" s="67" t="s">
        <v>510</v>
      </c>
      <c r="B69" t="s">
        <v>921</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52" workbookViewId="0">
      <selection activeCell="P69" sqref="P69"/>
    </sheetView>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(Minutes)</v>
      </c>
    </row>
    <row r="3" spans="1:24" x14ac:dyDescent="0.2">
      <c r="E3" t="s">
        <v>244</v>
      </c>
      <c r="F3" t="s">
        <v>245</v>
      </c>
      <c r="H3" t="s">
        <v>250</v>
      </c>
      <c r="J3" t="s">
        <v>876</v>
      </c>
      <c r="L3" s="67" t="s">
        <v>1155</v>
      </c>
    </row>
    <row r="4" spans="1:24" x14ac:dyDescent="0.2">
      <c r="D4" t="s">
        <v>239</v>
      </c>
      <c r="E4">
        <f>IFERROR('SPC background (hide)'!C4,"")</f>
        <v>99</v>
      </c>
      <c r="F4">
        <f ca="1">'SPC background (hide)'!G5+'Summary Calculations (hide)'!E4-1</f>
        <v>150</v>
      </c>
      <c r="H4" t="s">
        <v>75</v>
      </c>
      <c r="I4" s="100">
        <f ca="1">'Parameters calculator (hide)'!B43</f>
        <v>0.1</v>
      </c>
      <c r="J4">
        <f ca="1">IF(Planning!C15="",'Summary Calculations (hide)'!I4,Planning!C15)</f>
        <v>0.1</v>
      </c>
      <c r="L4" s="67">
        <f ca="1">(1-J4)*(1-J5+(J6*J7))</f>
        <v>0.9</v>
      </c>
    </row>
    <row r="5" spans="1:24" x14ac:dyDescent="0.2">
      <c r="D5" t="s">
        <v>240</v>
      </c>
      <c r="E5" t="str">
        <f ca="1">IFERROR('SPC background (hide)'!D6,"")</f>
        <v/>
      </c>
      <c r="F5" t="e">
        <f ca="1">'SPC background (hide)'!H7+'Summary Calculations (hide)'!E5-1</f>
        <v>#VALUE!</v>
      </c>
      <c r="H5" t="s">
        <v>251</v>
      </c>
      <c r="I5" s="100">
        <f ca="1">'Parameters calculator (hide)'!B44</f>
        <v>0</v>
      </c>
      <c r="J5" s="67">
        <f ca="1">IF(Planning!C16="",'Summary Calculations (hide)'!I5,Planning!C16)</f>
        <v>0</v>
      </c>
    </row>
    <row r="6" spans="1:24" x14ac:dyDescent="0.2">
      <c r="D6" t="s">
        <v>241</v>
      </c>
      <c r="E6" t="str">
        <f ca="1">IFERROR('SPC background (hide)'!D8,"")</f>
        <v/>
      </c>
      <c r="F6" t="str">
        <f ca="1">IFERROR('SPC background (hide)'!H9-'Summary Calculations (hide)'!E6-1,"")</f>
        <v/>
      </c>
      <c r="H6" t="s">
        <v>99</v>
      </c>
      <c r="I6" s="100">
        <f ca="1">'Parameters calculator (hide)'!B45</f>
        <v>0.1</v>
      </c>
      <c r="J6" s="67">
        <f ca="1">IF(Planning!C17="",'Summary Calculations (hide)'!I6,Planning!C17)</f>
        <v>0.1</v>
      </c>
    </row>
    <row r="7" spans="1:24" x14ac:dyDescent="0.2">
      <c r="D7" t="s">
        <v>242</v>
      </c>
      <c r="E7" t="str">
        <f ca="1">IFERROR('SPC background (hide)'!D10,"")</f>
        <v/>
      </c>
      <c r="F7" t="str">
        <f ca="1">IFERROR('SPC background (hide)'!H11-'Summary Calculations (hide)'!E7-1,"")</f>
        <v/>
      </c>
      <c r="H7" t="s">
        <v>418</v>
      </c>
      <c r="I7" s="100">
        <f ca="1">'Parameters calculator (hide)'!B47</f>
        <v>0</v>
      </c>
      <c r="J7" s="67">
        <f ca="1">IF(Planning!C18="",'Summary Calculations (hide)'!I7,1-Planning!C18)</f>
        <v>0</v>
      </c>
    </row>
    <row r="9" spans="1:24" x14ac:dyDescent="0.2">
      <c r="H9" t="s">
        <v>422</v>
      </c>
      <c r="I9" s="5">
        <f ca="1">'Demand background (hide)'!BN16</f>
        <v>36.982758620689658</v>
      </c>
    </row>
    <row r="11" spans="1:24" x14ac:dyDescent="0.2">
      <c r="D11" t="s">
        <v>243</v>
      </c>
      <c r="E11" s="87">
        <f>IF(Summary!$B$13="",'Critical resources (hide)'!B6,Summary!$B$13)</f>
        <v>44197</v>
      </c>
    </row>
    <row r="12" spans="1:24" x14ac:dyDescent="0.2">
      <c r="E12" s="317"/>
      <c r="P12" t="s">
        <v>411</v>
      </c>
      <c r="R12" t="str">
        <f>"Required vs available capacity ("&amp;LOWER(Summary!$C$8)&amp;")"</f>
        <v>Required vs available capacity (minutes)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E11-WEEKDAY(E11,3)</f>
        <v>44193</v>
      </c>
      <c r="B15">
        <f>YEAR(A15)</f>
        <v>2020</v>
      </c>
      <c r="C15" s="67" t="str">
        <f>TEXT(A15,"MMM")</f>
        <v>Dec</v>
      </c>
      <c r="D15">
        <f t="shared" ref="D15:D46" si="0">WEEKNUM(A15,21)</f>
        <v>53</v>
      </c>
      <c r="E15" s="5">
        <f ca="1">IF(LEFT(Demand!$C$8,1)="H",VLOOKUP($D15,'SPC background (hide)'!$AG$2:$AS$54,12,0),'Demand background (hide)'!X4)</f>
        <v>551.5</v>
      </c>
      <c r="F15" s="5">
        <f ca="1">IF(LEFT(Demand!$C$8,1)="H",VLOOKUP($D15,'SPC background (hide)'!$AG$2:$AS$54,13,0),E15*1.1)</f>
        <v>664</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13.038461538461538</v>
      </c>
      <c r="J15" s="5">
        <f ca="1">HLOOKUP(D15,'Capacity calculation (hide)'!$BK$110:$DK$111,2,0)</f>
        <v>2.1153846153846154</v>
      </c>
      <c r="K15" s="5">
        <f ca="1">IF(I15-IF(AND(Setup!$I$15="Yes",OR('Demand adjustments for Covid'!$F$9="No",'Demand adjustments for Covid'!$F$20="No")),$G15,0)-IF(Setup!$I$13="Yes",$H15,0)&lt;0,0,I15-IF(AND(Setup!$I$15="Yes",OR('Demand adjustments for Covid'!$F$9="No",'Demand adjustments for Covid'!$F$20="No")),$G15,0)-IF(Setup!$I$13="Yes",$H15,0))</f>
        <v>13.038461538461538</v>
      </c>
      <c r="L15" s="5">
        <f ca="1">J15</f>
        <v>2.1153846153846154</v>
      </c>
      <c r="M15" s="5">
        <f ca="1">(IF('Demand adjustments for Covid'!$F$9="No",E15,SUM('Demand background (hide)'!DS4,'Demand background (hide)'!DV4:DW4))*(1-'Parameters calculator (hide)'!$B$43))*(1-'Parameters calculator (hide)'!$B$44+('Parameters calculator (hide)'!$B$45*'Parameters calculator (hide)'!$B$47))</f>
        <v>496.35</v>
      </c>
      <c r="N15" s="5">
        <f ca="1">(IF('Demand adjustments for Covid'!$F$9="No",F15,SUM('Demand background (hide)'!DT4,'Demand background (hide)'!DV4:DW4))*(1-'Parameters calculator (hide)'!$B$43))*(1-'Parameters calculator (hide)'!$B$44+('Parameters calculator (hide)'!$B$45*'Parameters calculator (hide)'!$B$47))</f>
        <v>597.6</v>
      </c>
      <c r="P15" s="5">
        <f ca="1">I15</f>
        <v>13.038461538461538</v>
      </c>
      <c r="Q15" s="5">
        <f ca="1">J15</f>
        <v>2.1153846153846154</v>
      </c>
      <c r="R15" s="5">
        <f ca="1">IF(P15-V15&lt;0,0,P15-V15)</f>
        <v>13.038461538461538</v>
      </c>
      <c r="S15" s="5">
        <f ca="1">IF(R15=0,IF(P15+Q15-V15&lt;0,0,P15+Q15-V15),Q15)</f>
        <v>2.1153846153846154</v>
      </c>
      <c r="T15" s="5">
        <f ca="1">M15/IF(Summary!$C$8&lt;&gt;"Patients",1,$I$9)</f>
        <v>496.35</v>
      </c>
      <c r="U15" s="5">
        <f ca="1">((N15-M15)/IF(Summary!$C$8&lt;&gt;"Patients",1,$I$9))</f>
        <v>101.25</v>
      </c>
      <c r="V15" s="5">
        <f>SUM(G15:H15)</f>
        <v>0</v>
      </c>
      <c r="X15" s="5">
        <f ca="1">(VLOOKUP(D15,'SPC background (hide)'!$AG$2:$AN$54,8,0)/IF(Summary!$C$8&lt;&gt;"Patients",1,$I$9))*(1-$I$4)*(1-$I$5+($I$6*$I$7))</f>
        <v>445.5</v>
      </c>
    </row>
    <row r="16" spans="1:24" x14ac:dyDescent="0.2">
      <c r="A16" s="87">
        <f>A15+7</f>
        <v>44200</v>
      </c>
      <c r="B16" s="67">
        <f t="shared" ref="B16:B47" si="1">IF(YEAR(A16)&lt;&gt;YEAR(A15),YEAR(A16),"")</f>
        <v>2021</v>
      </c>
      <c r="C16" s="67" t="str">
        <f t="shared" ref="C16:C47" si="2">IF(TEXT(A16,"MMM")&lt;&gt;TEXT(A15,"MMM"),TEXT(A16,"MMM"),"")</f>
        <v>Jan</v>
      </c>
      <c r="D16" s="67">
        <f t="shared" si="0"/>
        <v>1</v>
      </c>
      <c r="E16" s="5">
        <f ca="1">IF(LEFT(Demand!$C$8,1)="H",VLOOKUP($D16,'SPC background (hide)'!$AG$2:$AS$54,12,0),'Demand background (hide)'!X5)</f>
        <v>551.5</v>
      </c>
      <c r="F16" s="5">
        <f ca="1">IF(LEFT(Demand!$C$8,1)="H",VLOOKUP($D16,'SPC background (hide)'!$AG$2:$AS$54,13,0),E16*1.1)</f>
        <v>664</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13.038461538461538</v>
      </c>
      <c r="J16" s="5">
        <f ca="1">HLOOKUP(D16,'Capacity calculation (hide)'!$BK$110:$DK$111,2,0)</f>
        <v>2.1153846153846154</v>
      </c>
      <c r="K16" s="5">
        <f ca="1">IF(I16-IF(Setup!$I$15="Yes",$G16,0)-IF(Setup!$I$13="Yes",$H16,0)&lt;0,0,I16-IF(Setup!$I$15="Yes",$G16,0)-IF(Setup!$I$13="Yes",$H16,0))</f>
        <v>13.038461538461538</v>
      </c>
      <c r="L16" s="5">
        <f t="shared" ref="L16:L66" ca="1" si="3">J16</f>
        <v>2.1153846153846154</v>
      </c>
      <c r="M16" s="5">
        <f ca="1">(IF('Demand adjustments for Covid'!$F$9="No",E16,SUM('Demand background (hide)'!DS5,'Demand background (hide)'!DV5:DW5))*(1-'Parameters calculator (hide)'!$B$43))*(1-'Parameters calculator (hide)'!$B$44+('Parameters calculator (hide)'!$B$45*'Parameters calculator (hide)'!$B$47))</f>
        <v>496.35</v>
      </c>
      <c r="N16" s="5">
        <f ca="1">(IF('Demand adjustments for Covid'!$F$9="No",F16,SUM('Demand background (hide)'!DT5,'Demand background (hide)'!DV5:DW5))*(1-'Parameters calculator (hide)'!$B$43))*(1-'Parameters calculator (hide)'!$B$44+('Parameters calculator (hide)'!$B$45*'Parameters calculator (hide)'!$B$47))</f>
        <v>597.6</v>
      </c>
      <c r="P16" s="5">
        <f t="shared" ref="P16:P66" ca="1" si="4">I16</f>
        <v>13.038461538461538</v>
      </c>
      <c r="Q16" s="5">
        <f t="shared" ref="Q16:Q66" ca="1" si="5">J16</f>
        <v>2.1153846153846154</v>
      </c>
      <c r="R16" s="5">
        <f t="shared" ref="R16:R66" ca="1" si="6">IF(P16-V16&lt;0,0,P16-V16)</f>
        <v>13.038461538461538</v>
      </c>
      <c r="S16" s="5">
        <f t="shared" ref="S16:S66" ca="1" si="7">IF(R16=0,IF(P16+Q16-V16&lt;0,0,P16+Q16-V16),Q16)</f>
        <v>2.1153846153846154</v>
      </c>
      <c r="T16" s="5">
        <f ca="1">M16/IF(Summary!$C$8&lt;&gt;"Patients",1,$I$9)</f>
        <v>496.35</v>
      </c>
      <c r="U16" s="5">
        <f ca="1">((N16-M16)/IF(Summary!$C$8&lt;&gt;"Patients",1,$I$9))</f>
        <v>101.25</v>
      </c>
      <c r="V16" s="5">
        <f t="shared" ref="V16:V66" si="8">SUM(G16:H16)</f>
        <v>0</v>
      </c>
      <c r="X16" s="5">
        <f ca="1">(VLOOKUP(D16,'SPC background (hide)'!$AG$2:$AN$54,8,0)/IF(Summary!$C$8&lt;&gt;"Patients",1,$I$9))*(1-$I$4)*(1-$I$5+($I$6*$I$7))</f>
        <v>445.5</v>
      </c>
    </row>
    <row r="17" spans="1:24" x14ac:dyDescent="0.2">
      <c r="A17" s="87">
        <f t="shared" ref="A17:A67" si="9">A16+7</f>
        <v>44207</v>
      </c>
      <c r="B17" s="67" t="str">
        <f t="shared" si="1"/>
        <v/>
      </c>
      <c r="C17" s="67" t="str">
        <f t="shared" si="2"/>
        <v/>
      </c>
      <c r="D17" s="67">
        <f t="shared" si="0"/>
        <v>2</v>
      </c>
      <c r="E17" s="5">
        <f ca="1">IF(LEFT(Demand!$C$8,1)="H",VLOOKUP($D17,'SPC background (hide)'!$AG$2:$AS$54,12,0),'Demand background (hide)'!X6)</f>
        <v>551.5</v>
      </c>
      <c r="F17" s="5">
        <f ca="1">IF(LEFT(Demand!$C$8,1)="H",VLOOKUP($D17,'SPC background (hide)'!$AG$2:$AS$54,13,0),E17*1.1)</f>
        <v>664</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13.038461538461538</v>
      </c>
      <c r="J17" s="5">
        <f ca="1">HLOOKUP(D17,'Capacity calculation (hide)'!$BK$110:$DK$111,2,0)</f>
        <v>2.1153846153846154</v>
      </c>
      <c r="K17" s="5">
        <f ca="1">IF(I17-IF(Setup!$I$15="Yes",$G17,0)-IF(Setup!$I$13="Yes",$H17,0)&lt;0,0,I17-IF(Setup!$I$15="Yes",$G17,0)-IF(Setup!$I$13="Yes",$H17,0))</f>
        <v>13.038461538461538</v>
      </c>
      <c r="L17" s="5">
        <f t="shared" ca="1" si="3"/>
        <v>2.1153846153846154</v>
      </c>
      <c r="M17" s="5">
        <f ca="1">(IF('Demand adjustments for Covid'!$F$9="No",E17,SUM('Demand background (hide)'!DS6,'Demand background (hide)'!DV6:DW6))*(1-'Parameters calculator (hide)'!$B$43))*(1-'Parameters calculator (hide)'!$B$44+('Parameters calculator (hide)'!$B$45*'Parameters calculator (hide)'!$B$47))</f>
        <v>496.35</v>
      </c>
      <c r="N17" s="5">
        <f ca="1">(IF('Demand adjustments for Covid'!$F$9="No",F17,SUM('Demand background (hide)'!DT6,'Demand background (hide)'!DV6:DW6))*(1-'Parameters calculator (hide)'!$B$43))*(1-'Parameters calculator (hide)'!$B$44+('Parameters calculator (hide)'!$B$45*'Parameters calculator (hide)'!$B$47))</f>
        <v>597.6</v>
      </c>
      <c r="P17" s="5">
        <f t="shared" ca="1" si="4"/>
        <v>13.038461538461538</v>
      </c>
      <c r="Q17" s="5">
        <f t="shared" ca="1" si="5"/>
        <v>2.1153846153846154</v>
      </c>
      <c r="R17" s="5">
        <f t="shared" ca="1" si="6"/>
        <v>13.038461538461538</v>
      </c>
      <c r="S17" s="5">
        <f t="shared" ca="1" si="7"/>
        <v>2.1153846153846154</v>
      </c>
      <c r="T17" s="5">
        <f ca="1">M17/IF(Summary!$C$8&lt;&gt;"Patients",1,$I$9)</f>
        <v>496.35</v>
      </c>
      <c r="U17" s="5">
        <f ca="1">((N17-M17)/IF(Summary!$C$8&lt;&gt;"Patients",1,$I$9))</f>
        <v>101.25</v>
      </c>
      <c r="V17" s="5">
        <f t="shared" si="8"/>
        <v>0</v>
      </c>
      <c r="X17" s="5">
        <f ca="1">(VLOOKUP(D17,'SPC background (hide)'!$AG$2:$AN$54,8,0)/IF(Summary!$C$8&lt;&gt;"Patients",1,$I$9))*(1-$I$4)*(1-$I$5+($I$6*$I$7))</f>
        <v>445.5</v>
      </c>
    </row>
    <row r="18" spans="1:24" x14ac:dyDescent="0.2">
      <c r="A18" s="87">
        <f t="shared" si="9"/>
        <v>44214</v>
      </c>
      <c r="B18" s="67" t="str">
        <f t="shared" si="1"/>
        <v/>
      </c>
      <c r="C18" s="67" t="str">
        <f t="shared" si="2"/>
        <v/>
      </c>
      <c r="D18" s="67">
        <f t="shared" si="0"/>
        <v>3</v>
      </c>
      <c r="E18" s="5">
        <f ca="1">IF(LEFT(Demand!$C$8,1)="H",VLOOKUP($D18,'SPC background (hide)'!$AG$2:$AS$54,12,0),'Demand background (hide)'!X7)</f>
        <v>551.5</v>
      </c>
      <c r="F18" s="5">
        <f ca="1">IF(LEFT(Demand!$C$8,1)="H",VLOOKUP($D18,'SPC background (hide)'!$AG$2:$AS$54,13,0),E18*1.1)</f>
        <v>664</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13.038461538461538</v>
      </c>
      <c r="J18" s="5">
        <f ca="1">HLOOKUP(D18,'Capacity calculation (hide)'!$BK$110:$DK$111,2,0)</f>
        <v>2.1153846153846154</v>
      </c>
      <c r="K18" s="5">
        <f ca="1">IF(I18-IF(Setup!$I$15="Yes",$G18,0)-IF(Setup!$I$13="Yes",$H18,0)&lt;0,0,I18-IF(Setup!$I$15="Yes",$G18,0)-IF(Setup!$I$13="Yes",$H18,0))</f>
        <v>13.038461538461538</v>
      </c>
      <c r="L18" s="5">
        <f t="shared" ca="1" si="3"/>
        <v>2.1153846153846154</v>
      </c>
      <c r="M18" s="5">
        <f ca="1">(IF('Demand adjustments for Covid'!$F$9="No",E18,SUM('Demand background (hide)'!DS7,'Demand background (hide)'!DV7:DW7))*(1-'Parameters calculator (hide)'!$B$43))*(1-'Parameters calculator (hide)'!$B$44+('Parameters calculator (hide)'!$B$45*'Parameters calculator (hide)'!$B$47))</f>
        <v>496.35</v>
      </c>
      <c r="N18" s="5">
        <f ca="1">(IF('Demand adjustments for Covid'!$F$9="No",F18,SUM('Demand background (hide)'!DT7,'Demand background (hide)'!DV7:DW7))*(1-'Parameters calculator (hide)'!$B$43))*(1-'Parameters calculator (hide)'!$B$44+('Parameters calculator (hide)'!$B$45*'Parameters calculator (hide)'!$B$47))</f>
        <v>597.6</v>
      </c>
      <c r="P18" s="5">
        <f t="shared" ca="1" si="4"/>
        <v>13.038461538461538</v>
      </c>
      <c r="Q18" s="5">
        <f t="shared" ca="1" si="5"/>
        <v>2.1153846153846154</v>
      </c>
      <c r="R18" s="5">
        <f t="shared" ca="1" si="6"/>
        <v>13.038461538461538</v>
      </c>
      <c r="S18" s="5">
        <f t="shared" ca="1" si="7"/>
        <v>2.1153846153846154</v>
      </c>
      <c r="T18" s="5">
        <f ca="1">M18/IF(Summary!$C$8&lt;&gt;"Patients",1,$I$9)</f>
        <v>496.35</v>
      </c>
      <c r="U18" s="5">
        <f ca="1">((N18-M18)/IF(Summary!$C$8&lt;&gt;"Patients",1,$I$9))</f>
        <v>101.25</v>
      </c>
      <c r="V18" s="5">
        <f t="shared" si="8"/>
        <v>0</v>
      </c>
      <c r="X18" s="5">
        <f ca="1">(VLOOKUP(D18,'SPC background (hide)'!$AG$2:$AN$54,8,0)/IF(Summary!$C$8&lt;&gt;"Patients",1,$I$9))*(1-$I$4)*(1-$I$5+($I$6*$I$7))</f>
        <v>445.5</v>
      </c>
    </row>
    <row r="19" spans="1:24" x14ac:dyDescent="0.2">
      <c r="A19" s="87">
        <f t="shared" si="9"/>
        <v>44221</v>
      </c>
      <c r="B19" s="67" t="str">
        <f t="shared" si="1"/>
        <v/>
      </c>
      <c r="C19" s="67" t="str">
        <f t="shared" si="2"/>
        <v/>
      </c>
      <c r="D19" s="67">
        <f t="shared" si="0"/>
        <v>4</v>
      </c>
      <c r="E19" s="5">
        <f ca="1">IF(LEFT(Demand!$C$8,1)="H",VLOOKUP($D19,'SPC background (hide)'!$AG$2:$AS$54,12,0),'Demand background (hide)'!X8)</f>
        <v>551.5</v>
      </c>
      <c r="F19" s="5">
        <f ca="1">IF(LEFT(Demand!$C$8,1)="H",VLOOKUP($D19,'SPC background (hide)'!$AG$2:$AS$54,13,0),E19*1.1)</f>
        <v>664</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13.038461538461538</v>
      </c>
      <c r="J19" s="5">
        <f ca="1">HLOOKUP(D19,'Capacity calculation (hide)'!$BK$110:$DK$111,2,0)</f>
        <v>2.1153846153846154</v>
      </c>
      <c r="K19" s="5">
        <f ca="1">IF(I19-IF(Setup!$I$15="Yes",$G19,0)-IF(Setup!$I$13="Yes",$H19,0)&lt;0,0,I19-IF(Setup!$I$15="Yes",$G19,0)-IF(Setup!$I$13="Yes",$H19,0))</f>
        <v>13.038461538461538</v>
      </c>
      <c r="L19" s="5">
        <f t="shared" ca="1" si="3"/>
        <v>2.1153846153846154</v>
      </c>
      <c r="M19" s="5">
        <f ca="1">(IF('Demand adjustments for Covid'!$F$9="No",E19,SUM('Demand background (hide)'!DS8,'Demand background (hide)'!DV8:DW8))*(1-'Parameters calculator (hide)'!$B$43))*(1-'Parameters calculator (hide)'!$B$44+('Parameters calculator (hide)'!$B$45*'Parameters calculator (hide)'!$B$47))</f>
        <v>496.35</v>
      </c>
      <c r="N19" s="5">
        <f ca="1">(IF('Demand adjustments for Covid'!$F$9="No",F19,SUM('Demand background (hide)'!DT8,'Demand background (hide)'!DV8:DW8))*(1-'Parameters calculator (hide)'!$B$43))*(1-'Parameters calculator (hide)'!$B$44+('Parameters calculator (hide)'!$B$45*'Parameters calculator (hide)'!$B$47))</f>
        <v>597.6</v>
      </c>
      <c r="P19" s="5">
        <f t="shared" ca="1" si="4"/>
        <v>13.038461538461538</v>
      </c>
      <c r="Q19" s="5">
        <f t="shared" ca="1" si="5"/>
        <v>2.1153846153846154</v>
      </c>
      <c r="R19" s="5">
        <f t="shared" ca="1" si="6"/>
        <v>13.038461538461538</v>
      </c>
      <c r="S19" s="5">
        <f t="shared" ca="1" si="7"/>
        <v>2.1153846153846154</v>
      </c>
      <c r="T19" s="5">
        <f ca="1">M19/IF(Summary!$C$8&lt;&gt;"Patients",1,$I$9)</f>
        <v>496.35</v>
      </c>
      <c r="U19" s="5">
        <f ca="1">((N19-M19)/IF(Summary!$C$8&lt;&gt;"Patients",1,$I$9))</f>
        <v>101.25</v>
      </c>
      <c r="V19" s="5">
        <f t="shared" si="8"/>
        <v>0</v>
      </c>
      <c r="X19" s="5">
        <f ca="1">(VLOOKUP(D19,'SPC background (hide)'!$AG$2:$AN$54,8,0)/IF(Summary!$C$8&lt;&gt;"Patients",1,$I$9))*(1-$I$4)*(1-$I$5+($I$6*$I$7))</f>
        <v>445.5</v>
      </c>
    </row>
    <row r="20" spans="1:24" x14ac:dyDescent="0.2">
      <c r="A20" s="87">
        <f t="shared" si="9"/>
        <v>44228</v>
      </c>
      <c r="B20" s="67" t="str">
        <f t="shared" si="1"/>
        <v/>
      </c>
      <c r="C20" s="67" t="str">
        <f t="shared" si="2"/>
        <v>Feb</v>
      </c>
      <c r="D20" s="67">
        <f t="shared" si="0"/>
        <v>5</v>
      </c>
      <c r="E20" s="5">
        <f ca="1">IF(LEFT(Demand!$C$8,1)="H",VLOOKUP($D20,'SPC background (hide)'!$AG$2:$AS$54,12,0),'Demand background (hide)'!X9)</f>
        <v>551.5</v>
      </c>
      <c r="F20" s="5">
        <f ca="1">IF(LEFT(Demand!$C$8,1)="H",VLOOKUP($D20,'SPC background (hide)'!$AG$2:$AS$54,13,0),E20*1.1)</f>
        <v>664</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13.038461538461538</v>
      </c>
      <c r="J20" s="5">
        <f ca="1">HLOOKUP(D20,'Capacity calculation (hide)'!$BK$110:$DK$111,2,0)</f>
        <v>2.1153846153846154</v>
      </c>
      <c r="K20" s="5">
        <f ca="1">IF(I20-IF(Setup!$I$15="Yes",$G20,0)-IF(Setup!$I$13="Yes",$H20,0)&lt;0,0,I20-IF(Setup!$I$15="Yes",$G20,0)-IF(Setup!$I$13="Yes",$H20,0))</f>
        <v>13.038461538461538</v>
      </c>
      <c r="L20" s="5">
        <f t="shared" ca="1" si="3"/>
        <v>2.1153846153846154</v>
      </c>
      <c r="M20" s="5">
        <f ca="1">(IF('Demand adjustments for Covid'!$F$9="No",E20,SUM('Demand background (hide)'!DS9,'Demand background (hide)'!DV9:DW9))*(1-'Parameters calculator (hide)'!$B$43))*(1-'Parameters calculator (hide)'!$B$44+('Parameters calculator (hide)'!$B$45*'Parameters calculator (hide)'!$B$47))</f>
        <v>496.35</v>
      </c>
      <c r="N20" s="5">
        <f ca="1">(IF('Demand adjustments for Covid'!$F$9="No",F20,SUM('Demand background (hide)'!DT9,'Demand background (hide)'!DV9:DW9))*(1-'Parameters calculator (hide)'!$B$43))*(1-'Parameters calculator (hide)'!$B$44+('Parameters calculator (hide)'!$B$45*'Parameters calculator (hide)'!$B$47))</f>
        <v>597.6</v>
      </c>
      <c r="P20" s="5">
        <f t="shared" ca="1" si="4"/>
        <v>13.038461538461538</v>
      </c>
      <c r="Q20" s="5">
        <f t="shared" ca="1" si="5"/>
        <v>2.1153846153846154</v>
      </c>
      <c r="R20" s="5">
        <f t="shared" ca="1" si="6"/>
        <v>13.038461538461538</v>
      </c>
      <c r="S20" s="5">
        <f t="shared" ca="1" si="7"/>
        <v>2.1153846153846154</v>
      </c>
      <c r="T20" s="5">
        <f ca="1">M20/IF(Summary!$C$8&lt;&gt;"Patients",1,$I$9)</f>
        <v>496.35</v>
      </c>
      <c r="U20" s="5">
        <f ca="1">((N20-M20)/IF(Summary!$C$8&lt;&gt;"Patients",1,$I$9))</f>
        <v>101.25</v>
      </c>
      <c r="V20" s="5">
        <f t="shared" si="8"/>
        <v>0</v>
      </c>
      <c r="X20" s="5">
        <f ca="1">(VLOOKUP(D20,'SPC background (hide)'!$AG$2:$AN$54,8,0)/IF(Summary!$C$8&lt;&gt;"Patients",1,$I$9))*(1-$I$4)*(1-$I$5+($I$6*$I$7))</f>
        <v>445.5</v>
      </c>
    </row>
    <row r="21" spans="1:24" x14ac:dyDescent="0.2">
      <c r="A21" s="87">
        <f t="shared" si="9"/>
        <v>44235</v>
      </c>
      <c r="B21" s="67" t="str">
        <f t="shared" si="1"/>
        <v/>
      </c>
      <c r="C21" s="67" t="str">
        <f t="shared" si="2"/>
        <v/>
      </c>
      <c r="D21" s="67">
        <f t="shared" si="0"/>
        <v>6</v>
      </c>
      <c r="E21" s="5">
        <f ca="1">IF(LEFT(Demand!$C$8,1)="H",VLOOKUP($D21,'SPC background (hide)'!$AG$2:$AS$54,12,0),'Demand background (hide)'!X10)</f>
        <v>551.5</v>
      </c>
      <c r="F21" s="5">
        <f ca="1">IF(LEFT(Demand!$C$8,1)="H",VLOOKUP($D21,'SPC background (hide)'!$AG$2:$AS$54,13,0),E21*1.1)</f>
        <v>664</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13.038461538461538</v>
      </c>
      <c r="J21" s="5">
        <f ca="1">HLOOKUP(D21,'Capacity calculation (hide)'!$BK$110:$DK$111,2,0)</f>
        <v>2.1153846153846154</v>
      </c>
      <c r="K21" s="5">
        <f ca="1">IF(I21-IF(Setup!$I$15="Yes",$G21,0)-IF(Setup!$I$13="Yes",$H21,0)&lt;0,0,I21-IF(Setup!$I$15="Yes",$G21,0)-IF(Setup!$I$13="Yes",$H21,0))</f>
        <v>13.038461538461538</v>
      </c>
      <c r="L21" s="5">
        <f t="shared" ca="1" si="3"/>
        <v>2.1153846153846154</v>
      </c>
      <c r="M21" s="5">
        <f ca="1">(IF('Demand adjustments for Covid'!$F$9="No",E21,SUM('Demand background (hide)'!DS10,'Demand background (hide)'!DV10:DW10))*(1-'Parameters calculator (hide)'!$B$43))*(1-'Parameters calculator (hide)'!$B$44+('Parameters calculator (hide)'!$B$45*'Parameters calculator (hide)'!$B$47))</f>
        <v>496.35</v>
      </c>
      <c r="N21" s="5">
        <f ca="1">(IF('Demand adjustments for Covid'!$F$9="No",F21,SUM('Demand background (hide)'!DT10,'Demand background (hide)'!DV10:DW10))*(1-'Parameters calculator (hide)'!$B$43))*(1-'Parameters calculator (hide)'!$B$44+('Parameters calculator (hide)'!$B$45*'Parameters calculator (hide)'!$B$47))</f>
        <v>597.6</v>
      </c>
      <c r="P21" s="5">
        <f t="shared" ca="1" si="4"/>
        <v>13.038461538461538</v>
      </c>
      <c r="Q21" s="5">
        <f t="shared" ca="1" si="5"/>
        <v>2.1153846153846154</v>
      </c>
      <c r="R21" s="5">
        <f t="shared" ca="1" si="6"/>
        <v>13.038461538461538</v>
      </c>
      <c r="S21" s="5">
        <f t="shared" ca="1" si="7"/>
        <v>2.1153846153846154</v>
      </c>
      <c r="T21" s="5">
        <f ca="1">M21/IF(Summary!$C$8&lt;&gt;"Patients",1,$I$9)</f>
        <v>496.35</v>
      </c>
      <c r="U21" s="5">
        <f ca="1">((N21-M21)/IF(Summary!$C$8&lt;&gt;"Patients",1,$I$9))</f>
        <v>101.25</v>
      </c>
      <c r="V21" s="5">
        <f t="shared" si="8"/>
        <v>0</v>
      </c>
      <c r="X21" s="5">
        <f ca="1">(VLOOKUP(D21,'SPC background (hide)'!$AG$2:$AN$54,8,0)/IF(Summary!$C$8&lt;&gt;"Patients",1,$I$9))*(1-$I$4)*(1-$I$5+($I$6*$I$7))</f>
        <v>445.5</v>
      </c>
    </row>
    <row r="22" spans="1:24" x14ac:dyDescent="0.2">
      <c r="A22" s="87">
        <f t="shared" si="9"/>
        <v>44242</v>
      </c>
      <c r="B22" s="67" t="str">
        <f t="shared" si="1"/>
        <v/>
      </c>
      <c r="C22" s="67" t="str">
        <f t="shared" si="2"/>
        <v/>
      </c>
      <c r="D22" s="67">
        <f t="shared" si="0"/>
        <v>7</v>
      </c>
      <c r="E22" s="5">
        <f ca="1">IF(LEFT(Demand!$C$8,1)="H",VLOOKUP($D22,'SPC background (hide)'!$AG$2:$AS$54,12,0),'Demand background (hide)'!X11)</f>
        <v>551.5</v>
      </c>
      <c r="F22" s="5">
        <f ca="1">IF(LEFT(Demand!$C$8,1)="H",VLOOKUP($D22,'SPC background (hide)'!$AG$2:$AS$54,13,0),E22*1.1)</f>
        <v>664</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13.038461538461538</v>
      </c>
      <c r="J22" s="5">
        <f ca="1">HLOOKUP(D22,'Capacity calculation (hide)'!$BK$110:$DK$111,2,0)</f>
        <v>2.1153846153846154</v>
      </c>
      <c r="K22" s="5">
        <f ca="1">IF(I22-IF(Setup!$I$15="Yes",$G22,0)-IF(Setup!$I$13="Yes",$H22,0)&lt;0,0,I22-IF(Setup!$I$15="Yes",$G22,0)-IF(Setup!$I$13="Yes",$H22,0))</f>
        <v>13.038461538461538</v>
      </c>
      <c r="L22" s="5">
        <f t="shared" ca="1" si="3"/>
        <v>2.1153846153846154</v>
      </c>
      <c r="M22" s="5">
        <f ca="1">(IF('Demand adjustments for Covid'!$F$9="No",E22,SUM('Demand background (hide)'!DS11,'Demand background (hide)'!DV11:DW11))*(1-'Parameters calculator (hide)'!$B$43))*(1-'Parameters calculator (hide)'!$B$44+('Parameters calculator (hide)'!$B$45*'Parameters calculator (hide)'!$B$47))</f>
        <v>496.35</v>
      </c>
      <c r="N22" s="5">
        <f ca="1">(IF('Demand adjustments for Covid'!$F$9="No",F22,SUM('Demand background (hide)'!DT11,'Demand background (hide)'!DV11:DW11))*(1-'Parameters calculator (hide)'!$B$43))*(1-'Parameters calculator (hide)'!$B$44+('Parameters calculator (hide)'!$B$45*'Parameters calculator (hide)'!$B$47))</f>
        <v>597.6</v>
      </c>
      <c r="P22" s="5">
        <f t="shared" ca="1" si="4"/>
        <v>13.038461538461538</v>
      </c>
      <c r="Q22" s="5">
        <f t="shared" ca="1" si="5"/>
        <v>2.1153846153846154</v>
      </c>
      <c r="R22" s="5">
        <f t="shared" ca="1" si="6"/>
        <v>13.038461538461538</v>
      </c>
      <c r="S22" s="5">
        <f t="shared" ca="1" si="7"/>
        <v>2.1153846153846154</v>
      </c>
      <c r="T22" s="5">
        <f ca="1">M22/IF(Summary!$C$8&lt;&gt;"Patients",1,$I$9)</f>
        <v>496.35</v>
      </c>
      <c r="U22" s="5">
        <f ca="1">((N22-M22)/IF(Summary!$C$8&lt;&gt;"Patients",1,$I$9))</f>
        <v>101.25</v>
      </c>
      <c r="V22" s="5">
        <f t="shared" si="8"/>
        <v>0</v>
      </c>
      <c r="X22" s="5">
        <f ca="1">(VLOOKUP(D22,'SPC background (hide)'!$AG$2:$AN$54,8,0)/IF(Summary!$C$8&lt;&gt;"Patients",1,$I$9))*(1-$I$4)*(1-$I$5+($I$6*$I$7))</f>
        <v>445.5</v>
      </c>
    </row>
    <row r="23" spans="1:24" x14ac:dyDescent="0.2">
      <c r="A23" s="87">
        <f t="shared" si="9"/>
        <v>44249</v>
      </c>
      <c r="B23" s="67" t="str">
        <f t="shared" si="1"/>
        <v/>
      </c>
      <c r="C23" s="67" t="str">
        <f t="shared" si="2"/>
        <v/>
      </c>
      <c r="D23" s="67">
        <f t="shared" si="0"/>
        <v>8</v>
      </c>
      <c r="E23" s="5">
        <f ca="1">IF(LEFT(Demand!$C$8,1)="H",VLOOKUP($D23,'SPC background (hide)'!$AG$2:$AS$54,12,0),'Demand background (hide)'!X12)</f>
        <v>551.5</v>
      </c>
      <c r="F23" s="5">
        <f ca="1">IF(LEFT(Demand!$C$8,1)="H",VLOOKUP($D23,'SPC background (hide)'!$AG$2:$AS$54,13,0),E23*1.1)</f>
        <v>664</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13.038461538461538</v>
      </c>
      <c r="J23" s="5">
        <f ca="1">HLOOKUP(D23,'Capacity calculation (hide)'!$BK$110:$DK$111,2,0)</f>
        <v>2.1153846153846154</v>
      </c>
      <c r="K23" s="5">
        <f ca="1">IF(I23-IF(Setup!$I$15="Yes",$G23,0)-IF(Setup!$I$13="Yes",$H23,0)&lt;0,0,I23-IF(Setup!$I$15="Yes",$G23,0)-IF(Setup!$I$13="Yes",$H23,0))</f>
        <v>13.038461538461538</v>
      </c>
      <c r="L23" s="5">
        <f t="shared" ca="1" si="3"/>
        <v>2.1153846153846154</v>
      </c>
      <c r="M23" s="5">
        <f ca="1">(IF('Demand adjustments for Covid'!$F$9="No",E23,SUM('Demand background (hide)'!DS12,'Demand background (hide)'!DV12:DW12))*(1-'Parameters calculator (hide)'!$B$43))*(1-'Parameters calculator (hide)'!$B$44+('Parameters calculator (hide)'!$B$45*'Parameters calculator (hide)'!$B$47))</f>
        <v>496.35</v>
      </c>
      <c r="N23" s="5">
        <f ca="1">(IF('Demand adjustments for Covid'!$F$9="No",F23,SUM('Demand background (hide)'!DT12,'Demand background (hide)'!DV12:DW12))*(1-'Parameters calculator (hide)'!$B$43))*(1-'Parameters calculator (hide)'!$B$44+('Parameters calculator (hide)'!$B$45*'Parameters calculator (hide)'!$B$47))</f>
        <v>597.6</v>
      </c>
      <c r="P23" s="5">
        <f t="shared" ca="1" si="4"/>
        <v>13.038461538461538</v>
      </c>
      <c r="Q23" s="5">
        <f t="shared" ca="1" si="5"/>
        <v>2.1153846153846154</v>
      </c>
      <c r="R23" s="5">
        <f t="shared" ca="1" si="6"/>
        <v>13.038461538461538</v>
      </c>
      <c r="S23" s="5">
        <f t="shared" ca="1" si="7"/>
        <v>2.1153846153846154</v>
      </c>
      <c r="T23" s="5">
        <f ca="1">M23/IF(Summary!$C$8&lt;&gt;"Patients",1,$I$9)</f>
        <v>496.35</v>
      </c>
      <c r="U23" s="5">
        <f ca="1">((N23-M23)/IF(Summary!$C$8&lt;&gt;"Patients",1,$I$9))</f>
        <v>101.25</v>
      </c>
      <c r="V23" s="5">
        <f t="shared" si="8"/>
        <v>0</v>
      </c>
      <c r="X23" s="5">
        <f ca="1">(VLOOKUP(D23,'SPC background (hide)'!$AG$2:$AN$54,8,0)/IF(Summary!$C$8&lt;&gt;"Patients",1,$I$9))*(1-$I$4)*(1-$I$5+($I$6*$I$7))</f>
        <v>445.5</v>
      </c>
    </row>
    <row r="24" spans="1:24" x14ac:dyDescent="0.2">
      <c r="A24" s="87">
        <f t="shared" si="9"/>
        <v>44256</v>
      </c>
      <c r="B24" s="67" t="str">
        <f t="shared" si="1"/>
        <v/>
      </c>
      <c r="C24" s="67" t="str">
        <f t="shared" si="2"/>
        <v>Mar</v>
      </c>
      <c r="D24" s="67">
        <f t="shared" si="0"/>
        <v>9</v>
      </c>
      <c r="E24" s="5">
        <f ca="1">IF(LEFT(Demand!$C$8,1)="H",VLOOKUP($D24,'SPC background (hide)'!$AG$2:$AS$54,12,0),'Demand background (hide)'!X13)</f>
        <v>551.5</v>
      </c>
      <c r="F24" s="5">
        <f ca="1">IF(LEFT(Demand!$C$8,1)="H",VLOOKUP($D24,'SPC background (hide)'!$AG$2:$AS$54,13,0),E24*1.1)</f>
        <v>664</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13.038461538461538</v>
      </c>
      <c r="J24" s="5">
        <f ca="1">HLOOKUP(D24,'Capacity calculation (hide)'!$BK$110:$DK$111,2,0)</f>
        <v>2.1153846153846154</v>
      </c>
      <c r="K24" s="5">
        <f ca="1">IF(I24-IF(Setup!$I$15="Yes",$G24,0)-IF(Setup!$I$13="Yes",$H24,0)&lt;0,0,I24-IF(Setup!$I$15="Yes",$G24,0)-IF(Setup!$I$13="Yes",$H24,0))</f>
        <v>13.038461538461538</v>
      </c>
      <c r="L24" s="5">
        <f t="shared" ca="1" si="3"/>
        <v>2.1153846153846154</v>
      </c>
      <c r="M24" s="5">
        <f ca="1">(IF('Demand adjustments for Covid'!$F$9="No",E24,SUM('Demand background (hide)'!DS13,'Demand background (hide)'!DV13:DW13))*(1-'Parameters calculator (hide)'!$B$43))*(1-'Parameters calculator (hide)'!$B$44+('Parameters calculator (hide)'!$B$45*'Parameters calculator (hide)'!$B$47))</f>
        <v>496.35</v>
      </c>
      <c r="N24" s="5">
        <f ca="1">(IF('Demand adjustments for Covid'!$F$9="No",F24,SUM('Demand background (hide)'!DT13,'Demand background (hide)'!DV13:DW13))*(1-'Parameters calculator (hide)'!$B$43))*(1-'Parameters calculator (hide)'!$B$44+('Parameters calculator (hide)'!$B$45*'Parameters calculator (hide)'!$B$47))</f>
        <v>597.6</v>
      </c>
      <c r="P24" s="5">
        <f t="shared" ca="1" si="4"/>
        <v>13.038461538461538</v>
      </c>
      <c r="Q24" s="5">
        <f t="shared" ca="1" si="5"/>
        <v>2.1153846153846154</v>
      </c>
      <c r="R24" s="5">
        <f t="shared" ca="1" si="6"/>
        <v>13.038461538461538</v>
      </c>
      <c r="S24" s="5">
        <f t="shared" ca="1" si="7"/>
        <v>2.1153846153846154</v>
      </c>
      <c r="T24" s="5">
        <f ca="1">M24/IF(Summary!$C$8&lt;&gt;"Patients",1,$I$9)</f>
        <v>496.35</v>
      </c>
      <c r="U24" s="5">
        <f ca="1">((N24-M24)/IF(Summary!$C$8&lt;&gt;"Patients",1,$I$9))</f>
        <v>101.25</v>
      </c>
      <c r="V24" s="5">
        <f t="shared" si="8"/>
        <v>0</v>
      </c>
      <c r="X24" s="5">
        <f ca="1">(VLOOKUP(D24,'SPC background (hide)'!$AG$2:$AN$54,8,0)/IF(Summary!$C$8&lt;&gt;"Patients",1,$I$9))*(1-$I$4)*(1-$I$5+($I$6*$I$7))</f>
        <v>445.5</v>
      </c>
    </row>
    <row r="25" spans="1:24" x14ac:dyDescent="0.2">
      <c r="A25" s="87">
        <f t="shared" si="9"/>
        <v>44263</v>
      </c>
      <c r="B25" s="67" t="str">
        <f t="shared" si="1"/>
        <v/>
      </c>
      <c r="C25" s="67" t="str">
        <f t="shared" si="2"/>
        <v/>
      </c>
      <c r="D25" s="67">
        <f t="shared" si="0"/>
        <v>10</v>
      </c>
      <c r="E25" s="5">
        <f ca="1">IF(LEFT(Demand!$C$8,1)="H",VLOOKUP($D25,'SPC background (hide)'!$AG$2:$AS$54,12,0),'Demand background (hide)'!X14)</f>
        <v>551.5</v>
      </c>
      <c r="F25" s="5">
        <f ca="1">IF(LEFT(Demand!$C$8,1)="H",VLOOKUP($D25,'SPC background (hide)'!$AG$2:$AS$54,13,0),E25*1.1)</f>
        <v>664</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13.038461538461538</v>
      </c>
      <c r="J25" s="5">
        <f ca="1">HLOOKUP(D25,'Capacity calculation (hide)'!$BK$110:$DK$111,2,0)</f>
        <v>2.1153846153846154</v>
      </c>
      <c r="K25" s="5">
        <f ca="1">IF(I25-IF(Setup!$I$15="Yes",$G25,0)-IF(Setup!$I$13="Yes",$H25,0)&lt;0,0,I25-IF(Setup!$I$15="Yes",$G25,0)-IF(Setup!$I$13="Yes",$H25,0))</f>
        <v>13.038461538461538</v>
      </c>
      <c r="L25" s="5">
        <f t="shared" ca="1" si="3"/>
        <v>2.1153846153846154</v>
      </c>
      <c r="M25" s="5">
        <f ca="1">(IF('Demand adjustments for Covid'!$F$9="No",E25,SUM('Demand background (hide)'!DS14,'Demand background (hide)'!DV14:DW14))*(1-'Parameters calculator (hide)'!$B$43))*(1-'Parameters calculator (hide)'!$B$44+('Parameters calculator (hide)'!$B$45*'Parameters calculator (hide)'!$B$47))</f>
        <v>496.35</v>
      </c>
      <c r="N25" s="5">
        <f ca="1">(IF('Demand adjustments for Covid'!$F$9="No",F25,SUM('Demand background (hide)'!DT14,'Demand background (hide)'!DV14:DW14))*(1-'Parameters calculator (hide)'!$B$43))*(1-'Parameters calculator (hide)'!$B$44+('Parameters calculator (hide)'!$B$45*'Parameters calculator (hide)'!$B$47))</f>
        <v>597.6</v>
      </c>
      <c r="P25" s="5">
        <f t="shared" ca="1" si="4"/>
        <v>13.038461538461538</v>
      </c>
      <c r="Q25" s="5">
        <f t="shared" ca="1" si="5"/>
        <v>2.1153846153846154</v>
      </c>
      <c r="R25" s="5">
        <f t="shared" ca="1" si="6"/>
        <v>13.038461538461538</v>
      </c>
      <c r="S25" s="5">
        <f t="shared" ca="1" si="7"/>
        <v>2.1153846153846154</v>
      </c>
      <c r="T25" s="5">
        <f ca="1">M25/IF(Summary!$C$8&lt;&gt;"Patients",1,$I$9)</f>
        <v>496.35</v>
      </c>
      <c r="U25" s="5">
        <f ca="1">((N25-M25)/IF(Summary!$C$8&lt;&gt;"Patients",1,$I$9))</f>
        <v>101.25</v>
      </c>
      <c r="V25" s="5">
        <f t="shared" si="8"/>
        <v>0</v>
      </c>
      <c r="X25" s="5">
        <f ca="1">(VLOOKUP(D25,'SPC background (hide)'!$AG$2:$AN$54,8,0)/IF(Summary!$C$8&lt;&gt;"Patients",1,$I$9))*(1-$I$4)*(1-$I$5+($I$6*$I$7))</f>
        <v>445.5</v>
      </c>
    </row>
    <row r="26" spans="1:24" x14ac:dyDescent="0.2">
      <c r="A26" s="87">
        <f t="shared" si="9"/>
        <v>44270</v>
      </c>
      <c r="B26" s="67" t="str">
        <f t="shared" si="1"/>
        <v/>
      </c>
      <c r="C26" s="67" t="str">
        <f t="shared" si="2"/>
        <v/>
      </c>
      <c r="D26" s="67">
        <f t="shared" si="0"/>
        <v>11</v>
      </c>
      <c r="E26" s="5">
        <f ca="1">IF(LEFT(Demand!$C$8,1)="H",VLOOKUP($D26,'SPC background (hide)'!$AG$2:$AS$54,12,0),'Demand background (hide)'!X15)</f>
        <v>551.5</v>
      </c>
      <c r="F26" s="5">
        <f ca="1">IF(LEFT(Demand!$C$8,1)="H",VLOOKUP($D26,'SPC background (hide)'!$AG$2:$AS$54,13,0),E26*1.1)</f>
        <v>664</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13.038461538461538</v>
      </c>
      <c r="J26" s="5">
        <f ca="1">HLOOKUP(D26,'Capacity calculation (hide)'!$BK$110:$DK$111,2,0)</f>
        <v>2.1153846153846154</v>
      </c>
      <c r="K26" s="5">
        <f ca="1">IF(I26-IF(Setup!$I$15="Yes",$G26,0)-IF(Setup!$I$13="Yes",$H26,0)&lt;0,0,I26-IF(Setup!$I$15="Yes",$G26,0)-IF(Setup!$I$13="Yes",$H26,0))</f>
        <v>13.038461538461538</v>
      </c>
      <c r="L26" s="5">
        <f t="shared" ca="1" si="3"/>
        <v>2.1153846153846154</v>
      </c>
      <c r="M26" s="5">
        <f ca="1">(IF('Demand adjustments for Covid'!$F$9="No",E26,SUM('Demand background (hide)'!DS15,'Demand background (hide)'!DV15:DW15))*(1-'Parameters calculator (hide)'!$B$43))*(1-'Parameters calculator (hide)'!$B$44+('Parameters calculator (hide)'!$B$45*'Parameters calculator (hide)'!$B$47))</f>
        <v>496.35</v>
      </c>
      <c r="N26" s="5">
        <f ca="1">(IF('Demand adjustments for Covid'!$F$9="No",F26,SUM('Demand background (hide)'!DT15,'Demand background (hide)'!DV15:DW15))*(1-'Parameters calculator (hide)'!$B$43))*(1-'Parameters calculator (hide)'!$B$44+('Parameters calculator (hide)'!$B$45*'Parameters calculator (hide)'!$B$47))</f>
        <v>597.6</v>
      </c>
      <c r="P26" s="5">
        <f t="shared" ca="1" si="4"/>
        <v>13.038461538461538</v>
      </c>
      <c r="Q26" s="5">
        <f t="shared" ca="1" si="5"/>
        <v>2.1153846153846154</v>
      </c>
      <c r="R26" s="5">
        <f t="shared" ca="1" si="6"/>
        <v>13.038461538461538</v>
      </c>
      <c r="S26" s="5">
        <f t="shared" ca="1" si="7"/>
        <v>2.1153846153846154</v>
      </c>
      <c r="T26" s="5">
        <f ca="1">M26/IF(Summary!$C$8&lt;&gt;"Patients",1,$I$9)</f>
        <v>496.35</v>
      </c>
      <c r="U26" s="5">
        <f ca="1">((N26-M26)/IF(Summary!$C$8&lt;&gt;"Patients",1,$I$9))</f>
        <v>101.25</v>
      </c>
      <c r="V26" s="5">
        <f t="shared" si="8"/>
        <v>0</v>
      </c>
      <c r="X26" s="5">
        <f ca="1">(VLOOKUP(D26,'SPC background (hide)'!$AG$2:$AN$54,8,0)/IF(Summary!$C$8&lt;&gt;"Patients",1,$I$9))*(1-$I$4)*(1-$I$5+($I$6*$I$7))</f>
        <v>445.5</v>
      </c>
    </row>
    <row r="27" spans="1:24" x14ac:dyDescent="0.2">
      <c r="A27" s="87">
        <f t="shared" si="9"/>
        <v>44277</v>
      </c>
      <c r="B27" s="67" t="str">
        <f t="shared" si="1"/>
        <v/>
      </c>
      <c r="C27" s="67" t="str">
        <f t="shared" si="2"/>
        <v/>
      </c>
      <c r="D27" s="67">
        <f t="shared" si="0"/>
        <v>12</v>
      </c>
      <c r="E27" s="5">
        <f ca="1">IF(LEFT(Demand!$C$8,1)="H",VLOOKUP($D27,'SPC background (hide)'!$AG$2:$AS$54,12,0),'Demand background (hide)'!X16)</f>
        <v>551.5</v>
      </c>
      <c r="F27" s="5">
        <f ca="1">IF(LEFT(Demand!$C$8,1)="H",VLOOKUP($D27,'SPC background (hide)'!$AG$2:$AS$54,13,0),E27*1.1)</f>
        <v>664</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13.038461538461538</v>
      </c>
      <c r="J27" s="5">
        <f ca="1">HLOOKUP(D27,'Capacity calculation (hide)'!$BK$110:$DK$111,2,0)</f>
        <v>2.1153846153846154</v>
      </c>
      <c r="K27" s="5">
        <f ca="1">IF(I27-IF(Setup!$I$15="Yes",$G27,0)-IF(Setup!$I$13="Yes",$H27,0)&lt;0,0,I27-IF(Setup!$I$15="Yes",$G27,0)-IF(Setup!$I$13="Yes",$H27,0))</f>
        <v>13.038461538461538</v>
      </c>
      <c r="L27" s="5">
        <f t="shared" ca="1" si="3"/>
        <v>2.1153846153846154</v>
      </c>
      <c r="M27" s="5">
        <f ca="1">(IF('Demand adjustments for Covid'!$F$9="No",E27,SUM('Demand background (hide)'!DS16,'Demand background (hide)'!DV16:DW16))*(1-'Parameters calculator (hide)'!$B$43))*(1-'Parameters calculator (hide)'!$B$44+('Parameters calculator (hide)'!$B$45*'Parameters calculator (hide)'!$B$47))</f>
        <v>496.35</v>
      </c>
      <c r="N27" s="5">
        <f ca="1">(IF('Demand adjustments for Covid'!$F$9="No",F27,SUM('Demand background (hide)'!DT16,'Demand background (hide)'!DV16:DW16))*(1-'Parameters calculator (hide)'!$B$43))*(1-'Parameters calculator (hide)'!$B$44+('Parameters calculator (hide)'!$B$45*'Parameters calculator (hide)'!$B$47))</f>
        <v>597.6</v>
      </c>
      <c r="P27" s="5">
        <f t="shared" ca="1" si="4"/>
        <v>13.038461538461538</v>
      </c>
      <c r="Q27" s="5">
        <f t="shared" ca="1" si="5"/>
        <v>2.1153846153846154</v>
      </c>
      <c r="R27" s="5">
        <f t="shared" ca="1" si="6"/>
        <v>13.038461538461538</v>
      </c>
      <c r="S27" s="5">
        <f t="shared" ca="1" si="7"/>
        <v>2.1153846153846154</v>
      </c>
      <c r="T27" s="5">
        <f ca="1">M27/IF(Summary!$C$8&lt;&gt;"Patients",1,$I$9)</f>
        <v>496.35</v>
      </c>
      <c r="U27" s="5">
        <f ca="1">((N27-M27)/IF(Summary!$C$8&lt;&gt;"Patients",1,$I$9))</f>
        <v>101.25</v>
      </c>
      <c r="V27" s="5">
        <f t="shared" si="8"/>
        <v>0</v>
      </c>
      <c r="X27" s="5">
        <f ca="1">(VLOOKUP(D27,'SPC background (hide)'!$AG$2:$AN$54,8,0)/IF(Summary!$C$8&lt;&gt;"Patients",1,$I$9))*(1-$I$4)*(1-$I$5+($I$6*$I$7))</f>
        <v>445.5</v>
      </c>
    </row>
    <row r="28" spans="1:24" x14ac:dyDescent="0.2">
      <c r="A28" s="87">
        <f t="shared" si="9"/>
        <v>44284</v>
      </c>
      <c r="B28" s="67" t="str">
        <f t="shared" si="1"/>
        <v/>
      </c>
      <c r="C28" s="67" t="str">
        <f t="shared" si="2"/>
        <v/>
      </c>
      <c r="D28" s="67">
        <f t="shared" si="0"/>
        <v>13</v>
      </c>
      <c r="E28" s="5">
        <f ca="1">IF(LEFT(Demand!$C$8,1)="H",VLOOKUP($D28,'SPC background (hide)'!$AG$2:$AS$54,12,0),'Demand background (hide)'!X17)</f>
        <v>551.5</v>
      </c>
      <c r="F28" s="5">
        <f ca="1">IF(LEFT(Demand!$C$8,1)="H",VLOOKUP($D28,'SPC background (hide)'!$AG$2:$AS$54,13,0),E28*1.1)</f>
        <v>664</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13.038461538461538</v>
      </c>
      <c r="J28" s="5">
        <f ca="1">HLOOKUP(D28,'Capacity calculation (hide)'!$BK$110:$DK$111,2,0)</f>
        <v>2.1153846153846154</v>
      </c>
      <c r="K28" s="5">
        <f ca="1">IF(I28-IF(Setup!$I$15="Yes",$G28,0)-IF(Setup!$I$13="Yes",$H28,0)&lt;0,0,I28-IF(Setup!$I$15="Yes",$G28,0)-IF(Setup!$I$13="Yes",$H28,0))</f>
        <v>13.038461538461538</v>
      </c>
      <c r="L28" s="5">
        <f t="shared" ca="1" si="3"/>
        <v>2.1153846153846154</v>
      </c>
      <c r="M28" s="5">
        <f ca="1">(IF('Demand adjustments for Covid'!$F$9="No",E28,SUM('Demand background (hide)'!DS17,'Demand background (hide)'!DV17:DW17))*(1-'Parameters calculator (hide)'!$B$43))*(1-'Parameters calculator (hide)'!$B$44+('Parameters calculator (hide)'!$B$45*'Parameters calculator (hide)'!$B$47))</f>
        <v>496.35</v>
      </c>
      <c r="N28" s="5">
        <f ca="1">(IF('Demand adjustments for Covid'!$F$9="No",F28,SUM('Demand background (hide)'!DT17,'Demand background (hide)'!DV17:DW17))*(1-'Parameters calculator (hide)'!$B$43))*(1-'Parameters calculator (hide)'!$B$44+('Parameters calculator (hide)'!$B$45*'Parameters calculator (hide)'!$B$47))</f>
        <v>597.6</v>
      </c>
      <c r="P28" s="5">
        <f t="shared" ca="1" si="4"/>
        <v>13.038461538461538</v>
      </c>
      <c r="Q28" s="5">
        <f t="shared" ca="1" si="5"/>
        <v>2.1153846153846154</v>
      </c>
      <c r="R28" s="5">
        <f t="shared" ca="1" si="6"/>
        <v>13.038461538461538</v>
      </c>
      <c r="S28" s="5">
        <f t="shared" ca="1" si="7"/>
        <v>2.1153846153846154</v>
      </c>
      <c r="T28" s="5">
        <f ca="1">M28/IF(Summary!$C$8&lt;&gt;"Patients",1,$I$9)</f>
        <v>496.35</v>
      </c>
      <c r="U28" s="5">
        <f ca="1">((N28-M28)/IF(Summary!$C$8&lt;&gt;"Patients",1,$I$9))</f>
        <v>101.25</v>
      </c>
      <c r="V28" s="5">
        <f t="shared" si="8"/>
        <v>0</v>
      </c>
      <c r="X28" s="5">
        <f ca="1">(VLOOKUP(D28,'SPC background (hide)'!$AG$2:$AN$54,8,0)/IF(Summary!$C$8&lt;&gt;"Patients",1,$I$9))*(1-$I$4)*(1-$I$5+($I$6*$I$7))</f>
        <v>445.5</v>
      </c>
    </row>
    <row r="29" spans="1:24" x14ac:dyDescent="0.2">
      <c r="A29" s="87">
        <f t="shared" si="9"/>
        <v>44291</v>
      </c>
      <c r="B29" s="67" t="str">
        <f t="shared" si="1"/>
        <v/>
      </c>
      <c r="C29" s="67" t="str">
        <f t="shared" si="2"/>
        <v>Apr</v>
      </c>
      <c r="D29" s="67">
        <f t="shared" si="0"/>
        <v>14</v>
      </c>
      <c r="E29" s="5">
        <f ca="1">IF(LEFT(Demand!$C$8,1)="H",VLOOKUP($D29,'SPC background (hide)'!$AG$2:$AS$54,12,0),'Demand background (hide)'!X18)</f>
        <v>551.5</v>
      </c>
      <c r="F29" s="5">
        <f ca="1">IF(LEFT(Demand!$C$8,1)="H",VLOOKUP($D29,'SPC background (hide)'!$AG$2:$AS$54,13,0),E29*1.1)</f>
        <v>664</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13.038461538461538</v>
      </c>
      <c r="J29" s="5">
        <f ca="1">HLOOKUP(D29,'Capacity calculation (hide)'!$BK$110:$DK$111,2,0)</f>
        <v>2.1153846153846154</v>
      </c>
      <c r="K29" s="5">
        <f ca="1">IF(I29-IF(Setup!$I$15="Yes",$G29,0)-IF(Setup!$I$13="Yes",$H29,0)&lt;0,0,I29-IF(Setup!$I$15="Yes",$G29,0)-IF(Setup!$I$13="Yes",$H29,0))</f>
        <v>13.038461538461538</v>
      </c>
      <c r="L29" s="5">
        <f t="shared" ca="1" si="3"/>
        <v>2.1153846153846154</v>
      </c>
      <c r="M29" s="5">
        <f ca="1">(IF('Demand adjustments for Covid'!$F$9="No",E29,SUM('Demand background (hide)'!DS18,'Demand background (hide)'!DV18:DW18))*(1-'Parameters calculator (hide)'!$B$43))*(1-'Parameters calculator (hide)'!$B$44+('Parameters calculator (hide)'!$B$45*'Parameters calculator (hide)'!$B$47))</f>
        <v>496.35</v>
      </c>
      <c r="N29" s="5">
        <f ca="1">(IF('Demand adjustments for Covid'!$F$9="No",F29,SUM('Demand background (hide)'!DT18,'Demand background (hide)'!DV18:DW18))*(1-'Parameters calculator (hide)'!$B$43))*(1-'Parameters calculator (hide)'!$B$44+('Parameters calculator (hide)'!$B$45*'Parameters calculator (hide)'!$B$47))</f>
        <v>597.6</v>
      </c>
      <c r="P29" s="5">
        <f t="shared" ca="1" si="4"/>
        <v>13.038461538461538</v>
      </c>
      <c r="Q29" s="5">
        <f t="shared" ca="1" si="5"/>
        <v>2.1153846153846154</v>
      </c>
      <c r="R29" s="5">
        <f t="shared" ca="1" si="6"/>
        <v>13.038461538461538</v>
      </c>
      <c r="S29" s="5">
        <f t="shared" ca="1" si="7"/>
        <v>2.1153846153846154</v>
      </c>
      <c r="T29" s="5">
        <f ca="1">M29/IF(Summary!$C$8&lt;&gt;"Patients",1,$I$9)</f>
        <v>496.35</v>
      </c>
      <c r="U29" s="5">
        <f ca="1">((N29-M29)/IF(Summary!$C$8&lt;&gt;"Patients",1,$I$9))</f>
        <v>101.25</v>
      </c>
      <c r="V29" s="5">
        <f t="shared" si="8"/>
        <v>0</v>
      </c>
      <c r="X29" s="5">
        <f ca="1">(VLOOKUP(D29,'SPC background (hide)'!$AG$2:$AN$54,8,0)/IF(Summary!$C$8&lt;&gt;"Patients",1,$I$9))*(1-$I$4)*(1-$I$5+($I$6*$I$7))</f>
        <v>445.5</v>
      </c>
    </row>
    <row r="30" spans="1:24" x14ac:dyDescent="0.2">
      <c r="A30" s="87">
        <f t="shared" si="9"/>
        <v>44298</v>
      </c>
      <c r="B30" s="67" t="str">
        <f t="shared" si="1"/>
        <v/>
      </c>
      <c r="C30" s="67" t="str">
        <f t="shared" si="2"/>
        <v/>
      </c>
      <c r="D30" s="67">
        <f t="shared" si="0"/>
        <v>15</v>
      </c>
      <c r="E30" s="5">
        <f ca="1">IF(LEFT(Demand!$C$8,1)="H",VLOOKUP($D30,'SPC background (hide)'!$AG$2:$AS$54,12,0),'Demand background (hide)'!X19)</f>
        <v>551.5</v>
      </c>
      <c r="F30" s="5">
        <f ca="1">IF(LEFT(Demand!$C$8,1)="H",VLOOKUP($D30,'SPC background (hide)'!$AG$2:$AS$54,13,0),E30*1.1)</f>
        <v>664</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13.038461538461538</v>
      </c>
      <c r="J30" s="5">
        <f ca="1">HLOOKUP(D30,'Capacity calculation (hide)'!$BK$110:$DK$111,2,0)</f>
        <v>2.1153846153846154</v>
      </c>
      <c r="K30" s="5">
        <f ca="1">IF(I30-IF(Setup!$I$15="Yes",$G30,0)-IF(Setup!$I$13="Yes",$H30,0)&lt;0,0,I30-IF(Setup!$I$15="Yes",$G30,0)-IF(Setup!$I$13="Yes",$H30,0))</f>
        <v>13.038461538461538</v>
      </c>
      <c r="L30" s="5">
        <f t="shared" ca="1" si="3"/>
        <v>2.1153846153846154</v>
      </c>
      <c r="M30" s="5">
        <f ca="1">(IF('Demand adjustments for Covid'!$F$9="No",E30,SUM('Demand background (hide)'!DS19,'Demand background (hide)'!DV19:DW19))*(1-'Parameters calculator (hide)'!$B$43))*(1-'Parameters calculator (hide)'!$B$44+('Parameters calculator (hide)'!$B$45*'Parameters calculator (hide)'!$B$47))</f>
        <v>496.35</v>
      </c>
      <c r="N30" s="5">
        <f ca="1">(IF('Demand adjustments for Covid'!$F$9="No",F30,SUM('Demand background (hide)'!DT19,'Demand background (hide)'!DV19:DW19))*(1-'Parameters calculator (hide)'!$B$43))*(1-'Parameters calculator (hide)'!$B$44+('Parameters calculator (hide)'!$B$45*'Parameters calculator (hide)'!$B$47))</f>
        <v>597.6</v>
      </c>
      <c r="P30" s="5">
        <f t="shared" ca="1" si="4"/>
        <v>13.038461538461538</v>
      </c>
      <c r="Q30" s="5">
        <f t="shared" ca="1" si="5"/>
        <v>2.1153846153846154</v>
      </c>
      <c r="R30" s="5">
        <f t="shared" ca="1" si="6"/>
        <v>13.038461538461538</v>
      </c>
      <c r="S30" s="5">
        <f t="shared" ca="1" si="7"/>
        <v>2.1153846153846154</v>
      </c>
      <c r="T30" s="5">
        <f ca="1">M30/IF(Summary!$C$8&lt;&gt;"Patients",1,$I$9)</f>
        <v>496.35</v>
      </c>
      <c r="U30" s="5">
        <f ca="1">((N30-M30)/IF(Summary!$C$8&lt;&gt;"Patients",1,$I$9))</f>
        <v>101.25</v>
      </c>
      <c r="V30" s="5">
        <f t="shared" si="8"/>
        <v>0</v>
      </c>
      <c r="X30" s="5">
        <f ca="1">(VLOOKUP(D30,'SPC background (hide)'!$AG$2:$AN$54,8,0)/IF(Summary!$C$8&lt;&gt;"Patients",1,$I$9))*(1-$I$4)*(1-$I$5+($I$6*$I$7))</f>
        <v>445.5</v>
      </c>
    </row>
    <row r="31" spans="1:24" x14ac:dyDescent="0.2">
      <c r="A31" s="87">
        <f t="shared" si="9"/>
        <v>44305</v>
      </c>
      <c r="B31" s="67" t="str">
        <f t="shared" si="1"/>
        <v/>
      </c>
      <c r="C31" s="67" t="str">
        <f t="shared" si="2"/>
        <v/>
      </c>
      <c r="D31" s="67">
        <f t="shared" si="0"/>
        <v>16</v>
      </c>
      <c r="E31" s="5">
        <f ca="1">IF(LEFT(Demand!$C$8,1)="H",VLOOKUP($D31,'SPC background (hide)'!$AG$2:$AS$54,12,0),'Demand background (hide)'!X20)</f>
        <v>551.5</v>
      </c>
      <c r="F31" s="5">
        <f ca="1">IF(LEFT(Demand!$C$8,1)="H",VLOOKUP($D31,'SPC background (hide)'!$AG$2:$AS$54,13,0),E31*1.1)</f>
        <v>664</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13.038461538461538</v>
      </c>
      <c r="J31" s="5">
        <f ca="1">HLOOKUP(D31,'Capacity calculation (hide)'!$BK$110:$DK$111,2,0)</f>
        <v>2.1153846153846154</v>
      </c>
      <c r="K31" s="5">
        <f ca="1">IF(I31-IF(Setup!$I$15="Yes",$G31,0)-IF(Setup!$I$13="Yes",$H31,0)&lt;0,0,I31-IF(Setup!$I$15="Yes",$G31,0)-IF(Setup!$I$13="Yes",$H31,0))</f>
        <v>13.038461538461538</v>
      </c>
      <c r="L31" s="5">
        <f t="shared" ca="1" si="3"/>
        <v>2.1153846153846154</v>
      </c>
      <c r="M31" s="5">
        <f ca="1">(IF('Demand adjustments for Covid'!$F$9="No",E31,SUM('Demand background (hide)'!DS20,'Demand background (hide)'!DV20:DW20))*(1-'Parameters calculator (hide)'!$B$43))*(1-'Parameters calculator (hide)'!$B$44+('Parameters calculator (hide)'!$B$45*'Parameters calculator (hide)'!$B$47))</f>
        <v>496.35</v>
      </c>
      <c r="N31" s="5">
        <f ca="1">(IF('Demand adjustments for Covid'!$F$9="No",F31,SUM('Demand background (hide)'!DT20,'Demand background (hide)'!DV20:DW20))*(1-'Parameters calculator (hide)'!$B$43))*(1-'Parameters calculator (hide)'!$B$44+('Parameters calculator (hide)'!$B$45*'Parameters calculator (hide)'!$B$47))</f>
        <v>597.6</v>
      </c>
      <c r="P31" s="5">
        <f t="shared" ca="1" si="4"/>
        <v>13.038461538461538</v>
      </c>
      <c r="Q31" s="5">
        <f t="shared" ca="1" si="5"/>
        <v>2.1153846153846154</v>
      </c>
      <c r="R31" s="5">
        <f t="shared" ca="1" si="6"/>
        <v>13.038461538461538</v>
      </c>
      <c r="S31" s="5">
        <f t="shared" ca="1" si="7"/>
        <v>2.1153846153846154</v>
      </c>
      <c r="T31" s="5">
        <f ca="1">M31/IF(Summary!$C$8&lt;&gt;"Patients",1,$I$9)</f>
        <v>496.35</v>
      </c>
      <c r="U31" s="5">
        <f ca="1">((N31-M31)/IF(Summary!$C$8&lt;&gt;"Patients",1,$I$9))</f>
        <v>101.25</v>
      </c>
      <c r="V31" s="5">
        <f t="shared" si="8"/>
        <v>0</v>
      </c>
      <c r="X31" s="5">
        <f ca="1">(VLOOKUP(D31,'SPC background (hide)'!$AG$2:$AN$54,8,0)/IF(Summary!$C$8&lt;&gt;"Patients",1,$I$9))*(1-$I$4)*(1-$I$5+($I$6*$I$7))</f>
        <v>445.5</v>
      </c>
    </row>
    <row r="32" spans="1:24" x14ac:dyDescent="0.2">
      <c r="A32" s="87">
        <f t="shared" si="9"/>
        <v>44312</v>
      </c>
      <c r="B32" s="67" t="str">
        <f t="shared" si="1"/>
        <v/>
      </c>
      <c r="C32" s="67" t="str">
        <f t="shared" si="2"/>
        <v/>
      </c>
      <c r="D32" s="67">
        <f t="shared" si="0"/>
        <v>17</v>
      </c>
      <c r="E32" s="5">
        <f ca="1">IF(LEFT(Demand!$C$8,1)="H",VLOOKUP($D32,'SPC background (hide)'!$AG$2:$AS$54,12,0),'Demand background (hide)'!X21)</f>
        <v>551.5</v>
      </c>
      <c r="F32" s="5">
        <f ca="1">IF(LEFT(Demand!$C$8,1)="H",VLOOKUP($D32,'SPC background (hide)'!$AG$2:$AS$54,13,0),E32*1.1)</f>
        <v>664</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13.038461538461538</v>
      </c>
      <c r="J32" s="5">
        <f ca="1">HLOOKUP(D32,'Capacity calculation (hide)'!$BK$110:$DK$111,2,0)</f>
        <v>2.1153846153846154</v>
      </c>
      <c r="K32" s="5">
        <f ca="1">IF(I32-IF(Setup!$I$15="Yes",$G32,0)-IF(Setup!$I$13="Yes",$H32,0)&lt;0,0,I32-IF(Setup!$I$15="Yes",$G32,0)-IF(Setup!$I$13="Yes",$H32,0))</f>
        <v>13.038461538461538</v>
      </c>
      <c r="L32" s="5">
        <f t="shared" ca="1" si="3"/>
        <v>2.1153846153846154</v>
      </c>
      <c r="M32" s="5">
        <f ca="1">(IF('Demand adjustments for Covid'!$F$9="No",E32,SUM('Demand background (hide)'!DS21,'Demand background (hide)'!DV21:DW21))*(1-'Parameters calculator (hide)'!$B$43))*(1-'Parameters calculator (hide)'!$B$44+('Parameters calculator (hide)'!$B$45*'Parameters calculator (hide)'!$B$47))</f>
        <v>496.35</v>
      </c>
      <c r="N32" s="5">
        <f ca="1">(IF('Demand adjustments for Covid'!$F$9="No",F32,SUM('Demand background (hide)'!DT21,'Demand background (hide)'!DV21:DW21))*(1-'Parameters calculator (hide)'!$B$43))*(1-'Parameters calculator (hide)'!$B$44+('Parameters calculator (hide)'!$B$45*'Parameters calculator (hide)'!$B$47))</f>
        <v>597.6</v>
      </c>
      <c r="P32" s="5">
        <f t="shared" ca="1" si="4"/>
        <v>13.038461538461538</v>
      </c>
      <c r="Q32" s="5">
        <f t="shared" ca="1" si="5"/>
        <v>2.1153846153846154</v>
      </c>
      <c r="R32" s="5">
        <f t="shared" ca="1" si="6"/>
        <v>13.038461538461538</v>
      </c>
      <c r="S32" s="5">
        <f t="shared" ca="1" si="7"/>
        <v>2.1153846153846154</v>
      </c>
      <c r="T32" s="5">
        <f ca="1">M32/IF(Summary!$C$8&lt;&gt;"Patients",1,$I$9)</f>
        <v>496.35</v>
      </c>
      <c r="U32" s="5">
        <f ca="1">((N32-M32)/IF(Summary!$C$8&lt;&gt;"Patients",1,$I$9))</f>
        <v>101.25</v>
      </c>
      <c r="V32" s="5">
        <f t="shared" si="8"/>
        <v>0</v>
      </c>
      <c r="X32" s="5">
        <f ca="1">(VLOOKUP(D32,'SPC background (hide)'!$AG$2:$AN$54,8,0)/IF(Summary!$C$8&lt;&gt;"Patients",1,$I$9))*(1-$I$4)*(1-$I$5+($I$6*$I$7))</f>
        <v>445.5</v>
      </c>
    </row>
    <row r="33" spans="1:24" x14ac:dyDescent="0.2">
      <c r="A33" s="87">
        <f t="shared" si="9"/>
        <v>44319</v>
      </c>
      <c r="B33" s="67" t="str">
        <f t="shared" si="1"/>
        <v/>
      </c>
      <c r="C33" s="67" t="str">
        <f t="shared" si="2"/>
        <v>May</v>
      </c>
      <c r="D33" s="67">
        <f t="shared" si="0"/>
        <v>18</v>
      </c>
      <c r="E33" s="5">
        <f ca="1">IF(LEFT(Demand!$C$8,1)="H",VLOOKUP($D33,'SPC background (hide)'!$AG$2:$AS$54,12,0),'Demand background (hide)'!X22)</f>
        <v>551.5</v>
      </c>
      <c r="F33" s="5">
        <f ca="1">IF(LEFT(Demand!$C$8,1)="H",VLOOKUP($D33,'SPC background (hide)'!$AG$2:$AS$54,13,0),E33*1.1)</f>
        <v>664</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13.038461538461538</v>
      </c>
      <c r="J33" s="5">
        <f ca="1">HLOOKUP(D33,'Capacity calculation (hide)'!$BK$110:$DK$111,2,0)</f>
        <v>2.1153846153846154</v>
      </c>
      <c r="K33" s="5">
        <f ca="1">IF(I33-IF(Setup!$I$15="Yes",$G33,0)-IF(Setup!$I$13="Yes",$H33,0)&lt;0,0,I33-IF(Setup!$I$15="Yes",$G33,0)-IF(Setup!$I$13="Yes",$H33,0))</f>
        <v>13.038461538461538</v>
      </c>
      <c r="L33" s="5">
        <f t="shared" ca="1" si="3"/>
        <v>2.1153846153846154</v>
      </c>
      <c r="M33" s="5">
        <f ca="1">(IF('Demand adjustments for Covid'!$F$9="No",E33,SUM('Demand background (hide)'!DS22,'Demand background (hide)'!DV22:DW22))*(1-'Parameters calculator (hide)'!$B$43))*(1-'Parameters calculator (hide)'!$B$44+('Parameters calculator (hide)'!$B$45*'Parameters calculator (hide)'!$B$47))</f>
        <v>496.35</v>
      </c>
      <c r="N33" s="5">
        <f ca="1">(IF('Demand adjustments for Covid'!$F$9="No",F33,SUM('Demand background (hide)'!DT22,'Demand background (hide)'!DV22:DW22))*(1-'Parameters calculator (hide)'!$B$43))*(1-'Parameters calculator (hide)'!$B$44+('Parameters calculator (hide)'!$B$45*'Parameters calculator (hide)'!$B$47))</f>
        <v>597.6</v>
      </c>
      <c r="P33" s="5">
        <f t="shared" ca="1" si="4"/>
        <v>13.038461538461538</v>
      </c>
      <c r="Q33" s="5">
        <f t="shared" ca="1" si="5"/>
        <v>2.1153846153846154</v>
      </c>
      <c r="R33" s="5">
        <f t="shared" ca="1" si="6"/>
        <v>13.038461538461538</v>
      </c>
      <c r="S33" s="5">
        <f t="shared" ca="1" si="7"/>
        <v>2.1153846153846154</v>
      </c>
      <c r="T33" s="5">
        <f ca="1">M33/IF(Summary!$C$8&lt;&gt;"Patients",1,$I$9)</f>
        <v>496.35</v>
      </c>
      <c r="U33" s="5">
        <f ca="1">((N33-M33)/IF(Summary!$C$8&lt;&gt;"Patients",1,$I$9))</f>
        <v>101.25</v>
      </c>
      <c r="V33" s="5">
        <f t="shared" si="8"/>
        <v>0</v>
      </c>
      <c r="X33" s="5">
        <f ca="1">(VLOOKUP(D33,'SPC background (hide)'!$AG$2:$AN$54,8,0)/IF(Summary!$C$8&lt;&gt;"Patients",1,$I$9))*(1-$I$4)*(1-$I$5+($I$6*$I$7))</f>
        <v>445.5</v>
      </c>
    </row>
    <row r="34" spans="1:24" x14ac:dyDescent="0.2">
      <c r="A34" s="87">
        <f t="shared" si="9"/>
        <v>44326</v>
      </c>
      <c r="B34" s="67" t="str">
        <f t="shared" si="1"/>
        <v/>
      </c>
      <c r="C34" s="67" t="str">
        <f t="shared" si="2"/>
        <v/>
      </c>
      <c r="D34" s="67">
        <f t="shared" si="0"/>
        <v>19</v>
      </c>
      <c r="E34" s="5">
        <f ca="1">IF(LEFT(Demand!$C$8,1)="H",VLOOKUP($D34,'SPC background (hide)'!$AG$2:$AS$54,12,0),'Demand background (hide)'!X23)</f>
        <v>551.5</v>
      </c>
      <c r="F34" s="5">
        <f ca="1">IF(LEFT(Demand!$C$8,1)="H",VLOOKUP($D34,'SPC background (hide)'!$AG$2:$AS$54,13,0),E34*1.1)</f>
        <v>664</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13.038461538461538</v>
      </c>
      <c r="J34" s="5">
        <f ca="1">HLOOKUP(D34,'Capacity calculation (hide)'!$BK$110:$DK$111,2,0)</f>
        <v>2.1153846153846154</v>
      </c>
      <c r="K34" s="5">
        <f ca="1">IF(I34-IF(Setup!$I$15="Yes",$G34,0)-IF(Setup!$I$13="Yes",$H34,0)&lt;0,0,I34-IF(Setup!$I$15="Yes",$G34,0)-IF(Setup!$I$13="Yes",$H34,0))</f>
        <v>13.038461538461538</v>
      </c>
      <c r="L34" s="5">
        <f t="shared" ca="1" si="3"/>
        <v>2.1153846153846154</v>
      </c>
      <c r="M34" s="5">
        <f ca="1">(IF('Demand adjustments for Covid'!$F$9="No",E34,SUM('Demand background (hide)'!DS23,'Demand background (hide)'!DV23:DW23))*(1-'Parameters calculator (hide)'!$B$43))*(1-'Parameters calculator (hide)'!$B$44+('Parameters calculator (hide)'!$B$45*'Parameters calculator (hide)'!$B$47))</f>
        <v>496.35</v>
      </c>
      <c r="N34" s="5">
        <f ca="1">(IF('Demand adjustments for Covid'!$F$9="No",F34,SUM('Demand background (hide)'!DT23,'Demand background (hide)'!DV23:DW23))*(1-'Parameters calculator (hide)'!$B$43))*(1-'Parameters calculator (hide)'!$B$44+('Parameters calculator (hide)'!$B$45*'Parameters calculator (hide)'!$B$47))</f>
        <v>597.6</v>
      </c>
      <c r="P34" s="5">
        <f t="shared" ca="1" si="4"/>
        <v>13.038461538461538</v>
      </c>
      <c r="Q34" s="5">
        <f t="shared" ca="1" si="5"/>
        <v>2.1153846153846154</v>
      </c>
      <c r="R34" s="5">
        <f t="shared" ca="1" si="6"/>
        <v>13.038461538461538</v>
      </c>
      <c r="S34" s="5">
        <f t="shared" ca="1" si="7"/>
        <v>2.1153846153846154</v>
      </c>
      <c r="T34" s="5">
        <f ca="1">M34/IF(Summary!$C$8&lt;&gt;"Patients",1,$I$9)</f>
        <v>496.35</v>
      </c>
      <c r="U34" s="5">
        <f ca="1">((N34-M34)/IF(Summary!$C$8&lt;&gt;"Patients",1,$I$9))</f>
        <v>101.25</v>
      </c>
      <c r="V34" s="5">
        <f t="shared" si="8"/>
        <v>0</v>
      </c>
      <c r="X34" s="5">
        <f ca="1">(VLOOKUP(D34,'SPC background (hide)'!$AG$2:$AN$54,8,0)/IF(Summary!$C$8&lt;&gt;"Patients",1,$I$9))*(1-$I$4)*(1-$I$5+($I$6*$I$7))</f>
        <v>445.5</v>
      </c>
    </row>
    <row r="35" spans="1:24" x14ac:dyDescent="0.2">
      <c r="A35" s="87">
        <f t="shared" si="9"/>
        <v>44333</v>
      </c>
      <c r="B35" s="67" t="str">
        <f t="shared" si="1"/>
        <v/>
      </c>
      <c r="C35" s="67" t="str">
        <f t="shared" si="2"/>
        <v/>
      </c>
      <c r="D35" s="67">
        <f t="shared" si="0"/>
        <v>20</v>
      </c>
      <c r="E35" s="5">
        <f ca="1">IF(LEFT(Demand!$C$8,1)="H",VLOOKUP($D35,'SPC background (hide)'!$AG$2:$AS$54,12,0),'Demand background (hide)'!X24)</f>
        <v>551.5</v>
      </c>
      <c r="F35" s="5">
        <f ca="1">IF(LEFT(Demand!$C$8,1)="H",VLOOKUP($D35,'SPC background (hide)'!$AG$2:$AS$54,13,0),E35*1.1)</f>
        <v>664</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13.038461538461538</v>
      </c>
      <c r="J35" s="5">
        <f ca="1">HLOOKUP(D35,'Capacity calculation (hide)'!$BK$110:$DK$111,2,0)</f>
        <v>2.1153846153846154</v>
      </c>
      <c r="K35" s="5">
        <f ca="1">IF(I35-IF(Setup!$I$15="Yes",$G35,0)-IF(Setup!$I$13="Yes",$H35,0)&lt;0,0,I35-IF(Setup!$I$15="Yes",$G35,0)-IF(Setup!$I$13="Yes",$H35,0))</f>
        <v>13.038461538461538</v>
      </c>
      <c r="L35" s="5">
        <f t="shared" ca="1" si="3"/>
        <v>2.1153846153846154</v>
      </c>
      <c r="M35" s="5">
        <f ca="1">(IF('Demand adjustments for Covid'!$F$9="No",E35,SUM('Demand background (hide)'!DS24,'Demand background (hide)'!DV24:DW24))*(1-'Parameters calculator (hide)'!$B$43))*(1-'Parameters calculator (hide)'!$B$44+('Parameters calculator (hide)'!$B$45*'Parameters calculator (hide)'!$B$47))</f>
        <v>496.35</v>
      </c>
      <c r="N35" s="5">
        <f ca="1">(IF('Demand adjustments for Covid'!$F$9="No",F35,SUM('Demand background (hide)'!DT24,'Demand background (hide)'!DV24:DW24))*(1-'Parameters calculator (hide)'!$B$43))*(1-'Parameters calculator (hide)'!$B$44+('Parameters calculator (hide)'!$B$45*'Parameters calculator (hide)'!$B$47))</f>
        <v>597.6</v>
      </c>
      <c r="P35" s="5">
        <f t="shared" ca="1" si="4"/>
        <v>13.038461538461538</v>
      </c>
      <c r="Q35" s="5">
        <f t="shared" ca="1" si="5"/>
        <v>2.1153846153846154</v>
      </c>
      <c r="R35" s="5">
        <f t="shared" ca="1" si="6"/>
        <v>13.038461538461538</v>
      </c>
      <c r="S35" s="5">
        <f t="shared" ca="1" si="7"/>
        <v>2.1153846153846154</v>
      </c>
      <c r="T35" s="5">
        <f ca="1">M35/IF(Summary!$C$8&lt;&gt;"Patients",1,$I$9)</f>
        <v>496.35</v>
      </c>
      <c r="U35" s="5">
        <f ca="1">((N35-M35)/IF(Summary!$C$8&lt;&gt;"Patients",1,$I$9))</f>
        <v>101.25</v>
      </c>
      <c r="V35" s="5">
        <f t="shared" si="8"/>
        <v>0</v>
      </c>
      <c r="X35" s="5">
        <f ca="1">(VLOOKUP(D35,'SPC background (hide)'!$AG$2:$AN$54,8,0)/IF(Summary!$C$8&lt;&gt;"Patients",1,$I$9))*(1-$I$4)*(1-$I$5+($I$6*$I$7))</f>
        <v>445.5</v>
      </c>
    </row>
    <row r="36" spans="1:24" x14ac:dyDescent="0.2">
      <c r="A36" s="87">
        <f t="shared" si="9"/>
        <v>44340</v>
      </c>
      <c r="B36" s="67" t="str">
        <f t="shared" si="1"/>
        <v/>
      </c>
      <c r="C36" s="67" t="str">
        <f t="shared" si="2"/>
        <v/>
      </c>
      <c r="D36" s="67">
        <f t="shared" si="0"/>
        <v>21</v>
      </c>
      <c r="E36" s="5">
        <f ca="1">IF(LEFT(Demand!$C$8,1)="H",VLOOKUP($D36,'SPC background (hide)'!$AG$2:$AS$54,12,0),'Demand background (hide)'!X25)</f>
        <v>551.5</v>
      </c>
      <c r="F36" s="5">
        <f ca="1">IF(LEFT(Demand!$C$8,1)="H",VLOOKUP($D36,'SPC background (hide)'!$AG$2:$AS$54,13,0),E36*1.1)</f>
        <v>664</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13.038461538461538</v>
      </c>
      <c r="J36" s="5">
        <f ca="1">HLOOKUP(D36,'Capacity calculation (hide)'!$BK$110:$DK$111,2,0)</f>
        <v>2.1153846153846154</v>
      </c>
      <c r="K36" s="5">
        <f ca="1">IF(I36-IF(Setup!$I$15="Yes",$G36,0)-IF(Setup!$I$13="Yes",$H36,0)&lt;0,0,I36-IF(Setup!$I$15="Yes",$G36,0)-IF(Setup!$I$13="Yes",$H36,0))</f>
        <v>13.038461538461538</v>
      </c>
      <c r="L36" s="5">
        <f t="shared" ca="1" si="3"/>
        <v>2.1153846153846154</v>
      </c>
      <c r="M36" s="5">
        <f ca="1">(IF('Demand adjustments for Covid'!$F$9="No",E36,SUM('Demand background (hide)'!DS25,'Demand background (hide)'!DV25:DW25))*(1-'Parameters calculator (hide)'!$B$43))*(1-'Parameters calculator (hide)'!$B$44+('Parameters calculator (hide)'!$B$45*'Parameters calculator (hide)'!$B$47))</f>
        <v>496.35</v>
      </c>
      <c r="N36" s="5">
        <f ca="1">(IF('Demand adjustments for Covid'!$F$9="No",F36,SUM('Demand background (hide)'!DT25,'Demand background (hide)'!DV25:DW25))*(1-'Parameters calculator (hide)'!$B$43))*(1-'Parameters calculator (hide)'!$B$44+('Parameters calculator (hide)'!$B$45*'Parameters calculator (hide)'!$B$47))</f>
        <v>597.6</v>
      </c>
      <c r="P36" s="5">
        <f t="shared" ca="1" si="4"/>
        <v>13.038461538461538</v>
      </c>
      <c r="Q36" s="5">
        <f t="shared" ca="1" si="5"/>
        <v>2.1153846153846154</v>
      </c>
      <c r="R36" s="5">
        <f t="shared" ca="1" si="6"/>
        <v>13.038461538461538</v>
      </c>
      <c r="S36" s="5">
        <f t="shared" ca="1" si="7"/>
        <v>2.1153846153846154</v>
      </c>
      <c r="T36" s="5">
        <f ca="1">M36/IF(Summary!$C$8&lt;&gt;"Patients",1,$I$9)</f>
        <v>496.35</v>
      </c>
      <c r="U36" s="5">
        <f ca="1">((N36-M36)/IF(Summary!$C$8&lt;&gt;"Patients",1,$I$9))</f>
        <v>101.25</v>
      </c>
      <c r="V36" s="5">
        <f t="shared" si="8"/>
        <v>0</v>
      </c>
      <c r="X36" s="5">
        <f ca="1">(VLOOKUP(D36,'SPC background (hide)'!$AG$2:$AN$54,8,0)/IF(Summary!$C$8&lt;&gt;"Patients",1,$I$9))*(1-$I$4)*(1-$I$5+($I$6*$I$7))</f>
        <v>445.5</v>
      </c>
    </row>
    <row r="37" spans="1:24" x14ac:dyDescent="0.2">
      <c r="A37" s="87">
        <f t="shared" si="9"/>
        <v>44347</v>
      </c>
      <c r="B37" s="67" t="str">
        <f t="shared" si="1"/>
        <v/>
      </c>
      <c r="C37" s="67" t="str">
        <f t="shared" si="2"/>
        <v/>
      </c>
      <c r="D37" s="67">
        <f t="shared" si="0"/>
        <v>22</v>
      </c>
      <c r="E37" s="5">
        <f ca="1">IF(LEFT(Demand!$C$8,1)="H",VLOOKUP($D37,'SPC background (hide)'!$AG$2:$AS$54,12,0),'Demand background (hide)'!X26)</f>
        <v>551.5</v>
      </c>
      <c r="F37" s="5">
        <f ca="1">IF(LEFT(Demand!$C$8,1)="H",VLOOKUP($D37,'SPC background (hide)'!$AG$2:$AS$54,13,0),E37*1.1)</f>
        <v>664</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13.038461538461538</v>
      </c>
      <c r="J37" s="5">
        <f ca="1">HLOOKUP(D37,'Capacity calculation (hide)'!$BK$110:$DK$111,2,0)</f>
        <v>2.1153846153846154</v>
      </c>
      <c r="K37" s="5">
        <f ca="1">IF(I37-IF(Setup!$I$15="Yes",$G37,0)-IF(Setup!$I$13="Yes",$H37,0)&lt;0,0,I37-IF(Setup!$I$15="Yes",$G37,0)-IF(Setup!$I$13="Yes",$H37,0))</f>
        <v>13.038461538461538</v>
      </c>
      <c r="L37" s="5">
        <f t="shared" ca="1" si="3"/>
        <v>2.1153846153846154</v>
      </c>
      <c r="M37" s="5">
        <f ca="1">(IF('Demand adjustments for Covid'!$F$9="No",E37,SUM('Demand background (hide)'!DS26,'Demand background (hide)'!DV26:DW26))*(1-'Parameters calculator (hide)'!$B$43))*(1-'Parameters calculator (hide)'!$B$44+('Parameters calculator (hide)'!$B$45*'Parameters calculator (hide)'!$B$47))</f>
        <v>496.35</v>
      </c>
      <c r="N37" s="5">
        <f ca="1">(IF('Demand adjustments for Covid'!$F$9="No",F37,SUM('Demand background (hide)'!DT26,'Demand background (hide)'!DV26:DW26))*(1-'Parameters calculator (hide)'!$B$43))*(1-'Parameters calculator (hide)'!$B$44+('Parameters calculator (hide)'!$B$45*'Parameters calculator (hide)'!$B$47))</f>
        <v>597.6</v>
      </c>
      <c r="P37" s="5">
        <f t="shared" ca="1" si="4"/>
        <v>13.038461538461538</v>
      </c>
      <c r="Q37" s="5">
        <f t="shared" ca="1" si="5"/>
        <v>2.1153846153846154</v>
      </c>
      <c r="R37" s="5">
        <f t="shared" ca="1" si="6"/>
        <v>13.038461538461538</v>
      </c>
      <c r="S37" s="5">
        <f t="shared" ca="1" si="7"/>
        <v>2.1153846153846154</v>
      </c>
      <c r="T37" s="5">
        <f ca="1">M37/IF(Summary!$C$8&lt;&gt;"Patients",1,$I$9)</f>
        <v>496.35</v>
      </c>
      <c r="U37" s="5">
        <f ca="1">((N37-M37)/IF(Summary!$C$8&lt;&gt;"Patients",1,$I$9))</f>
        <v>101.25</v>
      </c>
      <c r="V37" s="5">
        <f t="shared" si="8"/>
        <v>0</v>
      </c>
      <c r="X37" s="5">
        <f ca="1">(VLOOKUP(D37,'SPC background (hide)'!$AG$2:$AN$54,8,0)/IF(Summary!$C$8&lt;&gt;"Patients",1,$I$9))*(1-$I$4)*(1-$I$5+($I$6*$I$7))</f>
        <v>445.5</v>
      </c>
    </row>
    <row r="38" spans="1:24" x14ac:dyDescent="0.2">
      <c r="A38" s="87">
        <f t="shared" si="9"/>
        <v>44354</v>
      </c>
      <c r="B38" s="67" t="str">
        <f t="shared" si="1"/>
        <v/>
      </c>
      <c r="C38" s="67" t="str">
        <f t="shared" si="2"/>
        <v>Jun</v>
      </c>
      <c r="D38" s="67">
        <f t="shared" si="0"/>
        <v>23</v>
      </c>
      <c r="E38" s="5">
        <f ca="1">IF(LEFT(Demand!$C$8,1)="H",VLOOKUP($D38,'SPC background (hide)'!$AG$2:$AS$54,12,0),'Demand background (hide)'!X27)</f>
        <v>551.5</v>
      </c>
      <c r="F38" s="5">
        <f ca="1">IF(LEFT(Demand!$C$8,1)="H",VLOOKUP($D38,'SPC background (hide)'!$AG$2:$AS$54,13,0),E38*1.1)</f>
        <v>664</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13.038461538461538</v>
      </c>
      <c r="J38" s="5">
        <f ca="1">HLOOKUP(D38,'Capacity calculation (hide)'!$BK$110:$DK$111,2,0)</f>
        <v>2.1153846153846154</v>
      </c>
      <c r="K38" s="5">
        <f ca="1">IF(I38-IF(Setup!$I$15="Yes",$G38,0)-IF(Setup!$I$13="Yes",$H38,0)&lt;0,0,I38-IF(Setup!$I$15="Yes",$G38,0)-IF(Setup!$I$13="Yes",$H38,0))</f>
        <v>13.038461538461538</v>
      </c>
      <c r="L38" s="5">
        <f t="shared" ca="1" si="3"/>
        <v>2.1153846153846154</v>
      </c>
      <c r="M38" s="5">
        <f ca="1">(IF('Demand adjustments for Covid'!$F$9="No",E38,SUM('Demand background (hide)'!DS27,'Demand background (hide)'!DV27:DW27))*(1-'Parameters calculator (hide)'!$B$43))*(1-'Parameters calculator (hide)'!$B$44+('Parameters calculator (hide)'!$B$45*'Parameters calculator (hide)'!$B$47))</f>
        <v>496.35</v>
      </c>
      <c r="N38" s="5">
        <f ca="1">(IF('Demand adjustments for Covid'!$F$9="No",F38,SUM('Demand background (hide)'!DT27,'Demand background (hide)'!DV27:DW27))*(1-'Parameters calculator (hide)'!$B$43))*(1-'Parameters calculator (hide)'!$B$44+('Parameters calculator (hide)'!$B$45*'Parameters calculator (hide)'!$B$47))</f>
        <v>597.6</v>
      </c>
      <c r="P38" s="5">
        <f t="shared" ca="1" si="4"/>
        <v>13.038461538461538</v>
      </c>
      <c r="Q38" s="5">
        <f t="shared" ca="1" si="5"/>
        <v>2.1153846153846154</v>
      </c>
      <c r="R38" s="5">
        <f t="shared" ca="1" si="6"/>
        <v>13.038461538461538</v>
      </c>
      <c r="S38" s="5">
        <f t="shared" ca="1" si="7"/>
        <v>2.1153846153846154</v>
      </c>
      <c r="T38" s="5">
        <f ca="1">M38/IF(Summary!$C$8&lt;&gt;"Patients",1,$I$9)</f>
        <v>496.35</v>
      </c>
      <c r="U38" s="5">
        <f ca="1">((N38-M38)/IF(Summary!$C$8&lt;&gt;"Patients",1,$I$9))</f>
        <v>101.25</v>
      </c>
      <c r="V38" s="5">
        <f t="shared" si="8"/>
        <v>0</v>
      </c>
      <c r="X38" s="5">
        <f ca="1">(VLOOKUP(D38,'SPC background (hide)'!$AG$2:$AN$54,8,0)/IF(Summary!$C$8&lt;&gt;"Patients",1,$I$9))*(1-$I$4)*(1-$I$5+($I$6*$I$7))</f>
        <v>445.5</v>
      </c>
    </row>
    <row r="39" spans="1:24" x14ac:dyDescent="0.2">
      <c r="A39" s="87">
        <f t="shared" si="9"/>
        <v>44361</v>
      </c>
      <c r="B39" s="67" t="str">
        <f t="shared" si="1"/>
        <v/>
      </c>
      <c r="C39" s="67" t="str">
        <f t="shared" si="2"/>
        <v/>
      </c>
      <c r="D39" s="67">
        <f t="shared" si="0"/>
        <v>24</v>
      </c>
      <c r="E39" s="5">
        <f ca="1">IF(LEFT(Demand!$C$8,1)="H",VLOOKUP($D39,'SPC background (hide)'!$AG$2:$AS$54,12,0),'Demand background (hide)'!X28)</f>
        <v>551.5</v>
      </c>
      <c r="F39" s="5">
        <f ca="1">IF(LEFT(Demand!$C$8,1)="H",VLOOKUP($D39,'SPC background (hide)'!$AG$2:$AS$54,13,0),E39*1.1)</f>
        <v>664</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13.038461538461538</v>
      </c>
      <c r="J39" s="5">
        <f ca="1">HLOOKUP(D39,'Capacity calculation (hide)'!$BK$110:$DK$111,2,0)</f>
        <v>2.1153846153846154</v>
      </c>
      <c r="K39" s="5">
        <f ca="1">IF(I39-IF(Setup!$I$15="Yes",$G39,0)-IF(Setup!$I$13="Yes",$H39,0)&lt;0,0,I39-IF(Setup!$I$15="Yes",$G39,0)-IF(Setup!$I$13="Yes",$H39,0))</f>
        <v>13.038461538461538</v>
      </c>
      <c r="L39" s="5">
        <f t="shared" ca="1" si="3"/>
        <v>2.1153846153846154</v>
      </c>
      <c r="M39" s="5">
        <f ca="1">(IF('Demand adjustments for Covid'!$F$9="No",E39,SUM('Demand background (hide)'!DS28,'Demand background (hide)'!DV28:DW28))*(1-'Parameters calculator (hide)'!$B$43))*(1-'Parameters calculator (hide)'!$B$44+('Parameters calculator (hide)'!$B$45*'Parameters calculator (hide)'!$B$47))</f>
        <v>496.35</v>
      </c>
      <c r="N39" s="5">
        <f ca="1">(IF('Demand adjustments for Covid'!$F$9="No",F39,SUM('Demand background (hide)'!DT28,'Demand background (hide)'!DV28:DW28))*(1-'Parameters calculator (hide)'!$B$43))*(1-'Parameters calculator (hide)'!$B$44+('Parameters calculator (hide)'!$B$45*'Parameters calculator (hide)'!$B$47))</f>
        <v>597.6</v>
      </c>
      <c r="P39" s="5">
        <f t="shared" ca="1" si="4"/>
        <v>13.038461538461538</v>
      </c>
      <c r="Q39" s="5">
        <f t="shared" ca="1" si="5"/>
        <v>2.1153846153846154</v>
      </c>
      <c r="R39" s="5">
        <f t="shared" ca="1" si="6"/>
        <v>13.038461538461538</v>
      </c>
      <c r="S39" s="5">
        <f t="shared" ca="1" si="7"/>
        <v>2.1153846153846154</v>
      </c>
      <c r="T39" s="5">
        <f ca="1">M39/IF(Summary!$C$8&lt;&gt;"Patients",1,$I$9)</f>
        <v>496.35</v>
      </c>
      <c r="U39" s="5">
        <f ca="1">((N39-M39)/IF(Summary!$C$8&lt;&gt;"Patients",1,$I$9))</f>
        <v>101.25</v>
      </c>
      <c r="V39" s="5">
        <f t="shared" si="8"/>
        <v>0</v>
      </c>
      <c r="X39" s="5">
        <f ca="1">(VLOOKUP(D39,'SPC background (hide)'!$AG$2:$AN$54,8,0)/IF(Summary!$C$8&lt;&gt;"Patients",1,$I$9))*(1-$I$4)*(1-$I$5+($I$6*$I$7))</f>
        <v>445.5</v>
      </c>
    </row>
    <row r="40" spans="1:24" x14ac:dyDescent="0.2">
      <c r="A40" s="87">
        <f t="shared" si="9"/>
        <v>44368</v>
      </c>
      <c r="B40" s="67" t="str">
        <f t="shared" si="1"/>
        <v/>
      </c>
      <c r="C40" s="67" t="str">
        <f t="shared" si="2"/>
        <v/>
      </c>
      <c r="D40" s="67">
        <f t="shared" si="0"/>
        <v>25</v>
      </c>
      <c r="E40" s="5">
        <f ca="1">IF(LEFT(Demand!$C$8,1)="H",VLOOKUP($D40,'SPC background (hide)'!$AG$2:$AS$54,12,0),'Demand background (hide)'!X29)</f>
        <v>551.5</v>
      </c>
      <c r="F40" s="5">
        <f ca="1">IF(LEFT(Demand!$C$8,1)="H",VLOOKUP($D40,'SPC background (hide)'!$AG$2:$AS$54,13,0),E40*1.1)</f>
        <v>664</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13.038461538461538</v>
      </c>
      <c r="J40" s="5">
        <f ca="1">HLOOKUP(D40,'Capacity calculation (hide)'!$BK$110:$DK$111,2,0)</f>
        <v>2.1153846153846154</v>
      </c>
      <c r="K40" s="5">
        <f ca="1">IF(I40-IF(Setup!$I$15="Yes",$G40,0)-IF(Setup!$I$13="Yes",$H40,0)&lt;0,0,I40-IF(Setup!$I$15="Yes",$G40,0)-IF(Setup!$I$13="Yes",$H40,0))</f>
        <v>13.038461538461538</v>
      </c>
      <c r="L40" s="5">
        <f t="shared" ca="1" si="3"/>
        <v>2.1153846153846154</v>
      </c>
      <c r="M40" s="5">
        <f ca="1">(IF('Demand adjustments for Covid'!$F$9="No",E40,SUM('Demand background (hide)'!DS29,'Demand background (hide)'!DV29:DW29))*(1-'Parameters calculator (hide)'!$B$43))*(1-'Parameters calculator (hide)'!$B$44+('Parameters calculator (hide)'!$B$45*'Parameters calculator (hide)'!$B$47))</f>
        <v>496.35</v>
      </c>
      <c r="N40" s="5">
        <f ca="1">(IF('Demand adjustments for Covid'!$F$9="No",F40,SUM('Demand background (hide)'!DT29,'Demand background (hide)'!DV29:DW29))*(1-'Parameters calculator (hide)'!$B$43))*(1-'Parameters calculator (hide)'!$B$44+('Parameters calculator (hide)'!$B$45*'Parameters calculator (hide)'!$B$47))</f>
        <v>597.6</v>
      </c>
      <c r="P40" s="5">
        <f t="shared" ca="1" si="4"/>
        <v>13.038461538461538</v>
      </c>
      <c r="Q40" s="5">
        <f t="shared" ca="1" si="5"/>
        <v>2.1153846153846154</v>
      </c>
      <c r="R40" s="5">
        <f t="shared" ca="1" si="6"/>
        <v>13.038461538461538</v>
      </c>
      <c r="S40" s="5">
        <f t="shared" ca="1" si="7"/>
        <v>2.1153846153846154</v>
      </c>
      <c r="T40" s="5">
        <f ca="1">M40/IF(Summary!$C$8&lt;&gt;"Patients",1,$I$9)</f>
        <v>496.35</v>
      </c>
      <c r="U40" s="5">
        <f ca="1">((N40-M40)/IF(Summary!$C$8&lt;&gt;"Patients",1,$I$9))</f>
        <v>101.25</v>
      </c>
      <c r="V40" s="5">
        <f t="shared" si="8"/>
        <v>0</v>
      </c>
      <c r="X40" s="5">
        <f ca="1">(VLOOKUP(D40,'SPC background (hide)'!$AG$2:$AN$54,8,0)/IF(Summary!$C$8&lt;&gt;"Patients",1,$I$9))*(1-$I$4)*(1-$I$5+($I$6*$I$7))</f>
        <v>445.5</v>
      </c>
    </row>
    <row r="41" spans="1:24" x14ac:dyDescent="0.2">
      <c r="A41" s="87">
        <f t="shared" si="9"/>
        <v>44375</v>
      </c>
      <c r="B41" s="67" t="str">
        <f t="shared" si="1"/>
        <v/>
      </c>
      <c r="C41" s="67" t="str">
        <f t="shared" si="2"/>
        <v/>
      </c>
      <c r="D41" s="67">
        <f t="shared" si="0"/>
        <v>26</v>
      </c>
      <c r="E41" s="5">
        <f ca="1">IF(LEFT(Demand!$C$8,1)="H",VLOOKUP($D41,'SPC background (hide)'!$AG$2:$AS$54,12,0),'Demand background (hide)'!X30)</f>
        <v>551.5</v>
      </c>
      <c r="F41" s="5">
        <f ca="1">IF(LEFT(Demand!$C$8,1)="H",VLOOKUP($D41,'SPC background (hide)'!$AG$2:$AS$54,13,0),E41*1.1)</f>
        <v>664</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13.038461538461538</v>
      </c>
      <c r="J41" s="5">
        <f ca="1">HLOOKUP(D41,'Capacity calculation (hide)'!$BK$110:$DK$111,2,0)</f>
        <v>2.1153846153846154</v>
      </c>
      <c r="K41" s="5">
        <f ca="1">IF(I41-IF(Setup!$I$15="Yes",$G41,0)-IF(Setup!$I$13="Yes",$H41,0)&lt;0,0,I41-IF(Setup!$I$15="Yes",$G41,0)-IF(Setup!$I$13="Yes",$H41,0))</f>
        <v>13.038461538461538</v>
      </c>
      <c r="L41" s="5">
        <f t="shared" ca="1" si="3"/>
        <v>2.1153846153846154</v>
      </c>
      <c r="M41" s="5">
        <f ca="1">(IF('Demand adjustments for Covid'!$F$9="No",E41,SUM('Demand background (hide)'!DS30,'Demand background (hide)'!DV30:DW30))*(1-'Parameters calculator (hide)'!$B$43))*(1-'Parameters calculator (hide)'!$B$44+('Parameters calculator (hide)'!$B$45*'Parameters calculator (hide)'!$B$47))</f>
        <v>496.35</v>
      </c>
      <c r="N41" s="5">
        <f ca="1">(IF('Demand adjustments for Covid'!$F$9="No",F41,SUM('Demand background (hide)'!DT30,'Demand background (hide)'!DV30:DW30))*(1-'Parameters calculator (hide)'!$B$43))*(1-'Parameters calculator (hide)'!$B$44+('Parameters calculator (hide)'!$B$45*'Parameters calculator (hide)'!$B$47))</f>
        <v>597.6</v>
      </c>
      <c r="P41" s="5">
        <f t="shared" ca="1" si="4"/>
        <v>13.038461538461538</v>
      </c>
      <c r="Q41" s="5">
        <f t="shared" ca="1" si="5"/>
        <v>2.1153846153846154</v>
      </c>
      <c r="R41" s="5">
        <f t="shared" ca="1" si="6"/>
        <v>13.038461538461538</v>
      </c>
      <c r="S41" s="5">
        <f t="shared" ca="1" si="7"/>
        <v>2.1153846153846154</v>
      </c>
      <c r="T41" s="5">
        <f ca="1">M41/IF(Summary!$C$8&lt;&gt;"Patients",1,$I$9)</f>
        <v>496.35</v>
      </c>
      <c r="U41" s="5">
        <f ca="1">((N41-M41)/IF(Summary!$C$8&lt;&gt;"Patients",1,$I$9))</f>
        <v>101.25</v>
      </c>
      <c r="V41" s="5">
        <f t="shared" si="8"/>
        <v>0</v>
      </c>
      <c r="X41" s="5">
        <f ca="1">(VLOOKUP(D41,'SPC background (hide)'!$AG$2:$AN$54,8,0)/IF(Summary!$C$8&lt;&gt;"Patients",1,$I$9))*(1-$I$4)*(1-$I$5+($I$6*$I$7))</f>
        <v>445.5</v>
      </c>
    </row>
    <row r="42" spans="1:24" x14ac:dyDescent="0.2">
      <c r="A42" s="87">
        <f t="shared" si="9"/>
        <v>44382</v>
      </c>
      <c r="B42" s="67" t="str">
        <f t="shared" si="1"/>
        <v/>
      </c>
      <c r="C42" s="67" t="str">
        <f t="shared" si="2"/>
        <v>Jul</v>
      </c>
      <c r="D42" s="67">
        <f t="shared" si="0"/>
        <v>27</v>
      </c>
      <c r="E42" s="5">
        <f ca="1">IF(LEFT(Demand!$C$8,1)="H",VLOOKUP($D42,'SPC background (hide)'!$AG$2:$AS$54,12,0),'Demand background (hide)'!X31)</f>
        <v>551.5</v>
      </c>
      <c r="F42" s="5">
        <f ca="1">IF(LEFT(Demand!$C$8,1)="H",VLOOKUP($D42,'SPC background (hide)'!$AG$2:$AS$54,13,0),E42*1.1)</f>
        <v>664</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13.038461538461538</v>
      </c>
      <c r="J42" s="5">
        <f ca="1">HLOOKUP(D42,'Capacity calculation (hide)'!$BK$110:$DK$111,2,0)</f>
        <v>2.1153846153846154</v>
      </c>
      <c r="K42" s="5">
        <f ca="1">IF(I42-IF(Setup!$I$15="Yes",$G42,0)-IF(Setup!$I$13="Yes",$H42,0)&lt;0,0,I42-IF(Setup!$I$15="Yes",$G42,0)-IF(Setup!$I$13="Yes",$H42,0))</f>
        <v>13.038461538461538</v>
      </c>
      <c r="L42" s="5">
        <f t="shared" ca="1" si="3"/>
        <v>2.1153846153846154</v>
      </c>
      <c r="M42" s="5">
        <f ca="1">(IF('Demand adjustments for Covid'!$F$9="No",E42,SUM('Demand background (hide)'!DS31,'Demand background (hide)'!DV31:DW31))*(1-'Parameters calculator (hide)'!$B$43))*(1-'Parameters calculator (hide)'!$B$44+('Parameters calculator (hide)'!$B$45*'Parameters calculator (hide)'!$B$47))</f>
        <v>496.35</v>
      </c>
      <c r="N42" s="5">
        <f ca="1">(IF('Demand adjustments for Covid'!$F$9="No",F42,SUM('Demand background (hide)'!DT31,'Demand background (hide)'!DV31:DW31))*(1-'Parameters calculator (hide)'!$B$43))*(1-'Parameters calculator (hide)'!$B$44+('Parameters calculator (hide)'!$B$45*'Parameters calculator (hide)'!$B$47))</f>
        <v>597.6</v>
      </c>
      <c r="P42" s="5">
        <f t="shared" ca="1" si="4"/>
        <v>13.038461538461538</v>
      </c>
      <c r="Q42" s="5">
        <f t="shared" ca="1" si="5"/>
        <v>2.1153846153846154</v>
      </c>
      <c r="R42" s="5">
        <f t="shared" ca="1" si="6"/>
        <v>13.038461538461538</v>
      </c>
      <c r="S42" s="5">
        <f t="shared" ca="1" si="7"/>
        <v>2.1153846153846154</v>
      </c>
      <c r="T42" s="5">
        <f ca="1">M42/IF(Summary!$C$8&lt;&gt;"Patients",1,$I$9)</f>
        <v>496.35</v>
      </c>
      <c r="U42" s="5">
        <f ca="1">((N42-M42)/IF(Summary!$C$8&lt;&gt;"Patients",1,$I$9))</f>
        <v>101.25</v>
      </c>
      <c r="V42" s="5">
        <f t="shared" si="8"/>
        <v>0</v>
      </c>
      <c r="X42" s="5">
        <f ca="1">(VLOOKUP(D42,'SPC background (hide)'!$AG$2:$AN$54,8,0)/IF(Summary!$C$8&lt;&gt;"Patients",1,$I$9))*(1-$I$4)*(1-$I$5+($I$6*$I$7))</f>
        <v>445.5</v>
      </c>
    </row>
    <row r="43" spans="1:24" x14ac:dyDescent="0.2">
      <c r="A43" s="87">
        <f t="shared" si="9"/>
        <v>44389</v>
      </c>
      <c r="B43" s="67" t="str">
        <f t="shared" si="1"/>
        <v/>
      </c>
      <c r="C43" s="67" t="str">
        <f t="shared" si="2"/>
        <v/>
      </c>
      <c r="D43" s="67">
        <f t="shared" si="0"/>
        <v>28</v>
      </c>
      <c r="E43" s="5">
        <f ca="1">IF(LEFT(Demand!$C$8,1)="H",VLOOKUP($D43,'SPC background (hide)'!$AG$2:$AS$54,12,0),'Demand background (hide)'!X32)</f>
        <v>551.5</v>
      </c>
      <c r="F43" s="5">
        <f ca="1">IF(LEFT(Demand!$C$8,1)="H",VLOOKUP($D43,'SPC background (hide)'!$AG$2:$AS$54,13,0),E43*1.1)</f>
        <v>664</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13.038461538461538</v>
      </c>
      <c r="J43" s="5">
        <f ca="1">HLOOKUP(D43,'Capacity calculation (hide)'!$BK$110:$DK$111,2,0)</f>
        <v>2.1153846153846154</v>
      </c>
      <c r="K43" s="5">
        <f ca="1">IF(I43-IF(Setup!$I$15="Yes",$G43,0)-IF(Setup!$I$13="Yes",$H43,0)&lt;0,0,I43-IF(Setup!$I$15="Yes",$G43,0)-IF(Setup!$I$13="Yes",$H43,0))</f>
        <v>13.038461538461538</v>
      </c>
      <c r="L43" s="5">
        <f t="shared" ca="1" si="3"/>
        <v>2.1153846153846154</v>
      </c>
      <c r="M43" s="5">
        <f ca="1">(IF('Demand adjustments for Covid'!$F$9="No",E43,SUM('Demand background (hide)'!DS32,'Demand background (hide)'!DV32:DW32))*(1-'Parameters calculator (hide)'!$B$43))*(1-'Parameters calculator (hide)'!$B$44+('Parameters calculator (hide)'!$B$45*'Parameters calculator (hide)'!$B$47))</f>
        <v>496.35</v>
      </c>
      <c r="N43" s="5">
        <f ca="1">(IF('Demand adjustments for Covid'!$F$9="No",F43,SUM('Demand background (hide)'!DT32,'Demand background (hide)'!DV32:DW32))*(1-'Parameters calculator (hide)'!$B$43))*(1-'Parameters calculator (hide)'!$B$44+('Parameters calculator (hide)'!$B$45*'Parameters calculator (hide)'!$B$47))</f>
        <v>597.6</v>
      </c>
      <c r="P43" s="5">
        <f t="shared" ca="1" si="4"/>
        <v>13.038461538461538</v>
      </c>
      <c r="Q43" s="5">
        <f t="shared" ca="1" si="5"/>
        <v>2.1153846153846154</v>
      </c>
      <c r="R43" s="5">
        <f t="shared" ca="1" si="6"/>
        <v>13.038461538461538</v>
      </c>
      <c r="S43" s="5">
        <f t="shared" ca="1" si="7"/>
        <v>2.1153846153846154</v>
      </c>
      <c r="T43" s="5">
        <f ca="1">M43/IF(Summary!$C$8&lt;&gt;"Patients",1,$I$9)</f>
        <v>496.35</v>
      </c>
      <c r="U43" s="5">
        <f ca="1">((N43-M43)/IF(Summary!$C$8&lt;&gt;"Patients",1,$I$9))</f>
        <v>101.25</v>
      </c>
      <c r="V43" s="5">
        <f t="shared" si="8"/>
        <v>0</v>
      </c>
      <c r="X43" s="5">
        <f ca="1">(VLOOKUP(D43,'SPC background (hide)'!$AG$2:$AN$54,8,0)/IF(Summary!$C$8&lt;&gt;"Patients",1,$I$9))*(1-$I$4)*(1-$I$5+($I$6*$I$7))</f>
        <v>445.5</v>
      </c>
    </row>
    <row r="44" spans="1:24" x14ac:dyDescent="0.2">
      <c r="A44" s="87">
        <f t="shared" si="9"/>
        <v>44396</v>
      </c>
      <c r="B44" s="67" t="str">
        <f t="shared" si="1"/>
        <v/>
      </c>
      <c r="C44" s="67" t="str">
        <f t="shared" si="2"/>
        <v/>
      </c>
      <c r="D44" s="67">
        <f t="shared" si="0"/>
        <v>29</v>
      </c>
      <c r="E44" s="5">
        <f ca="1">IF(LEFT(Demand!$C$8,1)="H",VLOOKUP($D44,'SPC background (hide)'!$AG$2:$AS$54,12,0),'Demand background (hide)'!X33)</f>
        <v>551.5</v>
      </c>
      <c r="F44" s="5">
        <f ca="1">IF(LEFT(Demand!$C$8,1)="H",VLOOKUP($D44,'SPC background (hide)'!$AG$2:$AS$54,13,0),E44*1.1)</f>
        <v>664</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13.038461538461538</v>
      </c>
      <c r="J44" s="5">
        <f ca="1">HLOOKUP(D44,'Capacity calculation (hide)'!$BK$110:$DK$111,2,0)</f>
        <v>2.1153846153846154</v>
      </c>
      <c r="K44" s="5">
        <f ca="1">IF(I44-IF(Setup!$I$15="Yes",$G44,0)-IF(Setup!$I$13="Yes",$H44,0)&lt;0,0,I44-IF(Setup!$I$15="Yes",$G44,0)-IF(Setup!$I$13="Yes",$H44,0))</f>
        <v>13.038461538461538</v>
      </c>
      <c r="L44" s="5">
        <f t="shared" ca="1" si="3"/>
        <v>2.1153846153846154</v>
      </c>
      <c r="M44" s="5">
        <f ca="1">(IF('Demand adjustments for Covid'!$F$9="No",E44,SUM('Demand background (hide)'!DS33,'Demand background (hide)'!DV33:DW33))*(1-'Parameters calculator (hide)'!$B$43))*(1-'Parameters calculator (hide)'!$B$44+('Parameters calculator (hide)'!$B$45*'Parameters calculator (hide)'!$B$47))</f>
        <v>496.35</v>
      </c>
      <c r="N44" s="5">
        <f ca="1">(IF('Demand adjustments for Covid'!$F$9="No",F44,SUM('Demand background (hide)'!DT33,'Demand background (hide)'!DV33:DW33))*(1-'Parameters calculator (hide)'!$B$43))*(1-'Parameters calculator (hide)'!$B$44+('Parameters calculator (hide)'!$B$45*'Parameters calculator (hide)'!$B$47))</f>
        <v>597.6</v>
      </c>
      <c r="P44" s="5">
        <f t="shared" ca="1" si="4"/>
        <v>13.038461538461538</v>
      </c>
      <c r="Q44" s="5">
        <f t="shared" ca="1" si="5"/>
        <v>2.1153846153846154</v>
      </c>
      <c r="R44" s="5">
        <f t="shared" ca="1" si="6"/>
        <v>13.038461538461538</v>
      </c>
      <c r="S44" s="5">
        <f t="shared" ca="1" si="7"/>
        <v>2.1153846153846154</v>
      </c>
      <c r="T44" s="5">
        <f ca="1">M44/IF(Summary!$C$8&lt;&gt;"Patients",1,$I$9)</f>
        <v>496.35</v>
      </c>
      <c r="U44" s="5">
        <f ca="1">((N44-M44)/IF(Summary!$C$8&lt;&gt;"Patients",1,$I$9))</f>
        <v>101.25</v>
      </c>
      <c r="V44" s="5">
        <f t="shared" si="8"/>
        <v>0</v>
      </c>
      <c r="X44" s="5">
        <f ca="1">(VLOOKUP(D44,'SPC background (hide)'!$AG$2:$AN$54,8,0)/IF(Summary!$C$8&lt;&gt;"Patients",1,$I$9))*(1-$I$4)*(1-$I$5+($I$6*$I$7))</f>
        <v>445.5</v>
      </c>
    </row>
    <row r="45" spans="1:24" x14ac:dyDescent="0.2">
      <c r="A45" s="87">
        <f t="shared" si="9"/>
        <v>44403</v>
      </c>
      <c r="B45" s="67" t="str">
        <f t="shared" si="1"/>
        <v/>
      </c>
      <c r="C45" s="67" t="str">
        <f t="shared" si="2"/>
        <v/>
      </c>
      <c r="D45" s="67">
        <f t="shared" si="0"/>
        <v>30</v>
      </c>
      <c r="E45" s="5">
        <f ca="1">IF(LEFT(Demand!$C$8,1)="H",VLOOKUP($D45,'SPC background (hide)'!$AG$2:$AS$54,12,0),'Demand background (hide)'!X34)</f>
        <v>551.5</v>
      </c>
      <c r="F45" s="5">
        <f ca="1">IF(LEFT(Demand!$C$8,1)="H",VLOOKUP($D45,'SPC background (hide)'!$AG$2:$AS$54,13,0),E45*1.1)</f>
        <v>664</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13.038461538461538</v>
      </c>
      <c r="J45" s="5">
        <f ca="1">HLOOKUP(D45,'Capacity calculation (hide)'!$BK$110:$DK$111,2,0)</f>
        <v>2.1153846153846154</v>
      </c>
      <c r="K45" s="5">
        <f ca="1">IF(I45-IF(Setup!$I$15="Yes",$G45,0)-IF(Setup!$I$13="Yes",$H45,0)&lt;0,0,I45-IF(Setup!$I$15="Yes",$G45,0)-IF(Setup!$I$13="Yes",$H45,0))</f>
        <v>13.038461538461538</v>
      </c>
      <c r="L45" s="5">
        <f t="shared" ca="1" si="3"/>
        <v>2.1153846153846154</v>
      </c>
      <c r="M45" s="5">
        <f ca="1">(IF('Demand adjustments for Covid'!$F$9="No",E45,SUM('Demand background (hide)'!DS34,'Demand background (hide)'!DV34:DW34))*(1-'Parameters calculator (hide)'!$B$43))*(1-'Parameters calculator (hide)'!$B$44+('Parameters calculator (hide)'!$B$45*'Parameters calculator (hide)'!$B$47))</f>
        <v>496.35</v>
      </c>
      <c r="N45" s="5">
        <f ca="1">(IF('Demand adjustments for Covid'!$F$9="No",F45,SUM('Demand background (hide)'!DT34,'Demand background (hide)'!DV34:DW34))*(1-'Parameters calculator (hide)'!$B$43))*(1-'Parameters calculator (hide)'!$B$44+('Parameters calculator (hide)'!$B$45*'Parameters calculator (hide)'!$B$47))</f>
        <v>597.6</v>
      </c>
      <c r="P45" s="5">
        <f t="shared" ca="1" si="4"/>
        <v>13.038461538461538</v>
      </c>
      <c r="Q45" s="5">
        <f t="shared" ca="1" si="5"/>
        <v>2.1153846153846154</v>
      </c>
      <c r="R45" s="5">
        <f t="shared" ca="1" si="6"/>
        <v>13.038461538461538</v>
      </c>
      <c r="S45" s="5">
        <f t="shared" ca="1" si="7"/>
        <v>2.1153846153846154</v>
      </c>
      <c r="T45" s="5">
        <f ca="1">M45/IF(Summary!$C$8&lt;&gt;"Patients",1,$I$9)</f>
        <v>496.35</v>
      </c>
      <c r="U45" s="5">
        <f ca="1">((N45-M45)/IF(Summary!$C$8&lt;&gt;"Patients",1,$I$9))</f>
        <v>101.25</v>
      </c>
      <c r="V45" s="5">
        <f t="shared" si="8"/>
        <v>0</v>
      </c>
      <c r="X45" s="5">
        <f ca="1">(VLOOKUP(D45,'SPC background (hide)'!$AG$2:$AN$54,8,0)/IF(Summary!$C$8&lt;&gt;"Patients",1,$I$9))*(1-$I$4)*(1-$I$5+($I$6*$I$7))</f>
        <v>445.5</v>
      </c>
    </row>
    <row r="46" spans="1:24" x14ac:dyDescent="0.2">
      <c r="A46" s="87">
        <f t="shared" si="9"/>
        <v>44410</v>
      </c>
      <c r="B46" s="67" t="str">
        <f t="shared" si="1"/>
        <v/>
      </c>
      <c r="C46" s="67" t="str">
        <f t="shared" si="2"/>
        <v>Aug</v>
      </c>
      <c r="D46" s="67">
        <f t="shared" si="0"/>
        <v>31</v>
      </c>
      <c r="E46" s="5">
        <f ca="1">IF(LEFT(Demand!$C$8,1)="H",VLOOKUP($D46,'SPC background (hide)'!$AG$2:$AS$54,12,0),'Demand background (hide)'!X35)</f>
        <v>551.5</v>
      </c>
      <c r="F46" s="5">
        <f ca="1">IF(LEFT(Demand!$C$8,1)="H",VLOOKUP($D46,'SPC background (hide)'!$AG$2:$AS$54,13,0),E46*1.1)</f>
        <v>664</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13.038461538461538</v>
      </c>
      <c r="J46" s="5">
        <f ca="1">HLOOKUP(D46,'Capacity calculation (hide)'!$BK$110:$DK$111,2,0)</f>
        <v>2.1153846153846154</v>
      </c>
      <c r="K46" s="5">
        <f ca="1">IF(I46-IF(Setup!$I$15="Yes",$G46,0)-IF(Setup!$I$13="Yes",$H46,0)&lt;0,0,I46-IF(Setup!$I$15="Yes",$G46,0)-IF(Setup!$I$13="Yes",$H46,0))</f>
        <v>13.038461538461538</v>
      </c>
      <c r="L46" s="5">
        <f t="shared" ca="1" si="3"/>
        <v>2.1153846153846154</v>
      </c>
      <c r="M46" s="5">
        <f ca="1">(IF('Demand adjustments for Covid'!$F$9="No",E46,SUM('Demand background (hide)'!DS35,'Demand background (hide)'!DV35:DW35))*(1-'Parameters calculator (hide)'!$B$43))*(1-'Parameters calculator (hide)'!$B$44+('Parameters calculator (hide)'!$B$45*'Parameters calculator (hide)'!$B$47))</f>
        <v>496.35</v>
      </c>
      <c r="N46" s="5">
        <f ca="1">(IF('Demand adjustments for Covid'!$F$9="No",F46,SUM('Demand background (hide)'!DT35,'Demand background (hide)'!DV35:DW35))*(1-'Parameters calculator (hide)'!$B$43))*(1-'Parameters calculator (hide)'!$B$44+('Parameters calculator (hide)'!$B$45*'Parameters calculator (hide)'!$B$47))</f>
        <v>597.6</v>
      </c>
      <c r="P46" s="5">
        <f t="shared" ca="1" si="4"/>
        <v>13.038461538461538</v>
      </c>
      <c r="Q46" s="5">
        <f t="shared" ca="1" si="5"/>
        <v>2.1153846153846154</v>
      </c>
      <c r="R46" s="5">
        <f t="shared" ca="1" si="6"/>
        <v>13.038461538461538</v>
      </c>
      <c r="S46" s="5">
        <f t="shared" ca="1" si="7"/>
        <v>2.1153846153846154</v>
      </c>
      <c r="T46" s="5">
        <f ca="1">M46/IF(Summary!$C$8&lt;&gt;"Patients",1,$I$9)</f>
        <v>496.35</v>
      </c>
      <c r="U46" s="5">
        <f ca="1">((N46-M46)/IF(Summary!$C$8&lt;&gt;"Patients",1,$I$9))</f>
        <v>101.25</v>
      </c>
      <c r="V46" s="5">
        <f t="shared" si="8"/>
        <v>0</v>
      </c>
      <c r="X46" s="5">
        <f ca="1">(VLOOKUP(D46,'SPC background (hide)'!$AG$2:$AN$54,8,0)/IF(Summary!$C$8&lt;&gt;"Patients",1,$I$9))*(1-$I$4)*(1-$I$5+($I$6*$I$7))</f>
        <v>445.5</v>
      </c>
    </row>
    <row r="47" spans="1:24" x14ac:dyDescent="0.2">
      <c r="A47" s="87">
        <f t="shared" si="9"/>
        <v>44417</v>
      </c>
      <c r="B47" s="67" t="str">
        <f t="shared" si="1"/>
        <v/>
      </c>
      <c r="C47" s="67" t="str">
        <f t="shared" si="2"/>
        <v/>
      </c>
      <c r="D47" s="67">
        <f t="shared" ref="D47:D66" si="10">WEEKNUM(A47,21)</f>
        <v>32</v>
      </c>
      <c r="E47" s="5">
        <f ca="1">IF(LEFT(Demand!$C$8,1)="H",VLOOKUP($D47,'SPC background (hide)'!$AG$2:$AS$54,12,0),'Demand background (hide)'!X36)</f>
        <v>551.5</v>
      </c>
      <c r="F47" s="5">
        <f ca="1">IF(LEFT(Demand!$C$8,1)="H",VLOOKUP($D47,'SPC background (hide)'!$AG$2:$AS$54,13,0),E47*1.1)</f>
        <v>664</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13.038461538461538</v>
      </c>
      <c r="J47" s="5">
        <f ca="1">HLOOKUP(D47,'Capacity calculation (hide)'!$BK$110:$DK$111,2,0)</f>
        <v>2.1153846153846154</v>
      </c>
      <c r="K47" s="5">
        <f ca="1">IF(I47-IF(Setup!$I$15="Yes",$G47,0)-IF(Setup!$I$13="Yes",$H47,0)&lt;0,0,I47-IF(Setup!$I$15="Yes",$G47,0)-IF(Setup!$I$13="Yes",$H47,0))</f>
        <v>13.038461538461538</v>
      </c>
      <c r="L47" s="5">
        <f t="shared" ca="1" si="3"/>
        <v>2.1153846153846154</v>
      </c>
      <c r="M47" s="5">
        <f ca="1">(IF('Demand adjustments for Covid'!$F$9="No",E47,SUM('Demand background (hide)'!DS36,'Demand background (hide)'!DV36:DW36))*(1-'Parameters calculator (hide)'!$B$43))*(1-'Parameters calculator (hide)'!$B$44+('Parameters calculator (hide)'!$B$45*'Parameters calculator (hide)'!$B$47))</f>
        <v>496.35</v>
      </c>
      <c r="N47" s="5">
        <f ca="1">(IF('Demand adjustments for Covid'!$F$9="No",F47,SUM('Demand background (hide)'!DT36,'Demand background (hide)'!DV36:DW36))*(1-'Parameters calculator (hide)'!$B$43))*(1-'Parameters calculator (hide)'!$B$44+('Parameters calculator (hide)'!$B$45*'Parameters calculator (hide)'!$B$47))</f>
        <v>597.6</v>
      </c>
      <c r="P47" s="5">
        <f t="shared" ca="1" si="4"/>
        <v>13.038461538461538</v>
      </c>
      <c r="Q47" s="5">
        <f t="shared" ca="1" si="5"/>
        <v>2.1153846153846154</v>
      </c>
      <c r="R47" s="5">
        <f t="shared" ca="1" si="6"/>
        <v>13.038461538461538</v>
      </c>
      <c r="S47" s="5">
        <f t="shared" ca="1" si="7"/>
        <v>2.1153846153846154</v>
      </c>
      <c r="T47" s="5">
        <f ca="1">M47/IF(Summary!$C$8&lt;&gt;"Patients",1,$I$9)</f>
        <v>496.35</v>
      </c>
      <c r="U47" s="5">
        <f ca="1">((N47-M47)/IF(Summary!$C$8&lt;&gt;"Patients",1,$I$9))</f>
        <v>101.25</v>
      </c>
      <c r="V47" s="5">
        <f t="shared" si="8"/>
        <v>0</v>
      </c>
      <c r="X47" s="5">
        <f ca="1">(VLOOKUP(D47,'SPC background (hide)'!$AG$2:$AN$54,8,0)/IF(Summary!$C$8&lt;&gt;"Patients",1,$I$9))*(1-$I$4)*(1-$I$5+($I$6*$I$7))</f>
        <v>445.5</v>
      </c>
    </row>
    <row r="48" spans="1:24" x14ac:dyDescent="0.2">
      <c r="A48" s="87">
        <f t="shared" si="9"/>
        <v>44424</v>
      </c>
      <c r="B48" s="67" t="str">
        <f t="shared" ref="B48:B67" si="11">IF(YEAR(A48)&lt;&gt;YEAR(A47),YEAR(A48),"")</f>
        <v/>
      </c>
      <c r="C48" s="67" t="str">
        <f t="shared" ref="C48:C67" si="12">IF(TEXT(A48,"MMM")&lt;&gt;TEXT(A47,"MMM"),TEXT(A48,"MMM"),"")</f>
        <v/>
      </c>
      <c r="D48" s="67">
        <f t="shared" si="10"/>
        <v>33</v>
      </c>
      <c r="E48" s="5">
        <f ca="1">IF(LEFT(Demand!$C$8,1)="H",VLOOKUP($D48,'SPC background (hide)'!$AG$2:$AS$54,12,0),'Demand background (hide)'!X37)</f>
        <v>551.5</v>
      </c>
      <c r="F48" s="5">
        <f ca="1">IF(LEFT(Demand!$C$8,1)="H",VLOOKUP($D48,'SPC background (hide)'!$AG$2:$AS$54,13,0),E48*1.1)</f>
        <v>664</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13.038461538461538</v>
      </c>
      <c r="J48" s="5">
        <f ca="1">HLOOKUP(D48,'Capacity calculation (hide)'!$BK$110:$DK$111,2,0)</f>
        <v>2.1153846153846154</v>
      </c>
      <c r="K48" s="5">
        <f ca="1">IF(I48-IF(Setup!$I$15="Yes",$G48,0)-IF(Setup!$I$13="Yes",$H48,0)&lt;0,0,I48-IF(Setup!$I$15="Yes",$G48,0)-IF(Setup!$I$13="Yes",$H48,0))</f>
        <v>13.038461538461538</v>
      </c>
      <c r="L48" s="5">
        <f t="shared" ca="1" si="3"/>
        <v>2.1153846153846154</v>
      </c>
      <c r="M48" s="5">
        <f ca="1">(IF('Demand adjustments for Covid'!$F$9="No",E48,SUM('Demand background (hide)'!DS37,'Demand background (hide)'!DV37:DW37))*(1-'Parameters calculator (hide)'!$B$43))*(1-'Parameters calculator (hide)'!$B$44+('Parameters calculator (hide)'!$B$45*'Parameters calculator (hide)'!$B$47))</f>
        <v>496.35</v>
      </c>
      <c r="N48" s="5">
        <f ca="1">(IF('Demand adjustments for Covid'!$F$9="No",F48,SUM('Demand background (hide)'!DT37,'Demand background (hide)'!DV37:DW37))*(1-'Parameters calculator (hide)'!$B$43))*(1-'Parameters calculator (hide)'!$B$44+('Parameters calculator (hide)'!$B$45*'Parameters calculator (hide)'!$B$47))</f>
        <v>597.6</v>
      </c>
      <c r="P48" s="5">
        <f t="shared" ca="1" si="4"/>
        <v>13.038461538461538</v>
      </c>
      <c r="Q48" s="5">
        <f t="shared" ca="1" si="5"/>
        <v>2.1153846153846154</v>
      </c>
      <c r="R48" s="5">
        <f t="shared" ca="1" si="6"/>
        <v>13.038461538461538</v>
      </c>
      <c r="S48" s="5">
        <f t="shared" ca="1" si="7"/>
        <v>2.1153846153846154</v>
      </c>
      <c r="T48" s="5">
        <f ca="1">M48/IF(Summary!$C$8&lt;&gt;"Patients",1,$I$9)</f>
        <v>496.35</v>
      </c>
      <c r="U48" s="5">
        <f ca="1">((N48-M48)/IF(Summary!$C$8&lt;&gt;"Patients",1,$I$9))</f>
        <v>101.25</v>
      </c>
      <c r="V48" s="5">
        <f t="shared" si="8"/>
        <v>0</v>
      </c>
      <c r="X48" s="5">
        <f ca="1">(VLOOKUP(D48,'SPC background (hide)'!$AG$2:$AN$54,8,0)/IF(Summary!$C$8&lt;&gt;"Patients",1,$I$9))*(1-$I$4)*(1-$I$5+($I$6*$I$7))</f>
        <v>445.5</v>
      </c>
    </row>
    <row r="49" spans="1:24" x14ac:dyDescent="0.2">
      <c r="A49" s="87">
        <f t="shared" si="9"/>
        <v>44431</v>
      </c>
      <c r="B49" s="67" t="str">
        <f t="shared" si="11"/>
        <v/>
      </c>
      <c r="C49" s="67" t="str">
        <f t="shared" si="12"/>
        <v/>
      </c>
      <c r="D49" s="67">
        <f t="shared" si="10"/>
        <v>34</v>
      </c>
      <c r="E49" s="5">
        <f ca="1">IF(LEFT(Demand!$C$8,1)="H",VLOOKUP($D49,'SPC background (hide)'!$AG$2:$AS$54,12,0),'Demand background (hide)'!X38)</f>
        <v>551.5</v>
      </c>
      <c r="F49" s="5">
        <f ca="1">IF(LEFT(Demand!$C$8,1)="H",VLOOKUP($D49,'SPC background (hide)'!$AG$2:$AS$54,13,0),E49*1.1)</f>
        <v>664</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13.038461538461538</v>
      </c>
      <c r="J49" s="5">
        <f ca="1">HLOOKUP(D49,'Capacity calculation (hide)'!$BK$110:$DK$111,2,0)</f>
        <v>2.1153846153846154</v>
      </c>
      <c r="K49" s="5">
        <f ca="1">IF(I49-IF(Setup!$I$15="Yes",$G49,0)-IF(Setup!$I$13="Yes",$H49,0)&lt;0,0,I49-IF(Setup!$I$15="Yes",$G49,0)-IF(Setup!$I$13="Yes",$H49,0))</f>
        <v>13.038461538461538</v>
      </c>
      <c r="L49" s="5">
        <f t="shared" ca="1" si="3"/>
        <v>2.1153846153846154</v>
      </c>
      <c r="M49" s="5">
        <f ca="1">(IF('Demand adjustments for Covid'!$F$9="No",E49,SUM('Demand background (hide)'!DS38,'Demand background (hide)'!DV38:DW38))*(1-'Parameters calculator (hide)'!$B$43))*(1-'Parameters calculator (hide)'!$B$44+('Parameters calculator (hide)'!$B$45*'Parameters calculator (hide)'!$B$47))</f>
        <v>496.35</v>
      </c>
      <c r="N49" s="5">
        <f ca="1">(IF('Demand adjustments for Covid'!$F$9="No",F49,SUM('Demand background (hide)'!DT38,'Demand background (hide)'!DV38:DW38))*(1-'Parameters calculator (hide)'!$B$43))*(1-'Parameters calculator (hide)'!$B$44+('Parameters calculator (hide)'!$B$45*'Parameters calculator (hide)'!$B$47))</f>
        <v>597.6</v>
      </c>
      <c r="P49" s="5">
        <f t="shared" ca="1" si="4"/>
        <v>13.038461538461538</v>
      </c>
      <c r="Q49" s="5">
        <f t="shared" ca="1" si="5"/>
        <v>2.1153846153846154</v>
      </c>
      <c r="R49" s="5">
        <f t="shared" ca="1" si="6"/>
        <v>13.038461538461538</v>
      </c>
      <c r="S49" s="5">
        <f t="shared" ca="1" si="7"/>
        <v>2.1153846153846154</v>
      </c>
      <c r="T49" s="5">
        <f ca="1">M49/IF(Summary!$C$8&lt;&gt;"Patients",1,$I$9)</f>
        <v>496.35</v>
      </c>
      <c r="U49" s="5">
        <f ca="1">((N49-M49)/IF(Summary!$C$8&lt;&gt;"Patients",1,$I$9))</f>
        <v>101.25</v>
      </c>
      <c r="V49" s="5">
        <f t="shared" si="8"/>
        <v>0</v>
      </c>
      <c r="X49" s="5">
        <f ca="1">(VLOOKUP(D49,'SPC background (hide)'!$AG$2:$AN$54,8,0)/IF(Summary!$C$8&lt;&gt;"Patients",1,$I$9))*(1-$I$4)*(1-$I$5+($I$6*$I$7))</f>
        <v>445.5</v>
      </c>
    </row>
    <row r="50" spans="1:24" x14ac:dyDescent="0.2">
      <c r="A50" s="87">
        <f t="shared" si="9"/>
        <v>44438</v>
      </c>
      <c r="B50" s="67" t="str">
        <f t="shared" si="11"/>
        <v/>
      </c>
      <c r="C50" s="67" t="str">
        <f t="shared" si="12"/>
        <v/>
      </c>
      <c r="D50" s="67">
        <f t="shared" si="10"/>
        <v>35</v>
      </c>
      <c r="E50" s="5">
        <f ca="1">IF(LEFT(Demand!$C$8,1)="H",VLOOKUP($D50,'SPC background (hide)'!$AG$2:$AS$54,12,0),'Demand background (hide)'!X39)</f>
        <v>551.5</v>
      </c>
      <c r="F50" s="5">
        <f ca="1">IF(LEFT(Demand!$C$8,1)="H",VLOOKUP($D50,'SPC background (hide)'!$AG$2:$AS$54,13,0),E50*1.1)</f>
        <v>664</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13.038461538461538</v>
      </c>
      <c r="J50" s="5">
        <f ca="1">HLOOKUP(D50,'Capacity calculation (hide)'!$BK$110:$DK$111,2,0)</f>
        <v>2.1153846153846154</v>
      </c>
      <c r="K50" s="5">
        <f ca="1">IF(I50-IF(Setup!$I$15="Yes",$G50,0)-IF(Setup!$I$13="Yes",$H50,0)&lt;0,0,I50-IF(Setup!$I$15="Yes",$G50,0)-IF(Setup!$I$13="Yes",$H50,0))</f>
        <v>13.038461538461538</v>
      </c>
      <c r="L50" s="5">
        <f t="shared" ca="1" si="3"/>
        <v>2.1153846153846154</v>
      </c>
      <c r="M50" s="5">
        <f ca="1">(IF('Demand adjustments for Covid'!$F$9="No",E50,SUM('Demand background (hide)'!DS39,'Demand background (hide)'!DV39:DW39))*(1-'Parameters calculator (hide)'!$B$43))*(1-'Parameters calculator (hide)'!$B$44+('Parameters calculator (hide)'!$B$45*'Parameters calculator (hide)'!$B$47))</f>
        <v>496.35</v>
      </c>
      <c r="N50" s="5">
        <f ca="1">(IF('Demand adjustments for Covid'!$F$9="No",F50,SUM('Demand background (hide)'!DT39,'Demand background (hide)'!DV39:DW39))*(1-'Parameters calculator (hide)'!$B$43))*(1-'Parameters calculator (hide)'!$B$44+('Parameters calculator (hide)'!$B$45*'Parameters calculator (hide)'!$B$47))</f>
        <v>597.6</v>
      </c>
      <c r="P50" s="5">
        <f t="shared" ca="1" si="4"/>
        <v>13.038461538461538</v>
      </c>
      <c r="Q50" s="5">
        <f t="shared" ca="1" si="5"/>
        <v>2.1153846153846154</v>
      </c>
      <c r="R50" s="5">
        <f t="shared" ca="1" si="6"/>
        <v>13.038461538461538</v>
      </c>
      <c r="S50" s="5">
        <f t="shared" ca="1" si="7"/>
        <v>2.1153846153846154</v>
      </c>
      <c r="T50" s="5">
        <f ca="1">M50/IF(Summary!$C$8&lt;&gt;"Patients",1,$I$9)</f>
        <v>496.35</v>
      </c>
      <c r="U50" s="5">
        <f ca="1">((N50-M50)/IF(Summary!$C$8&lt;&gt;"Patients",1,$I$9))</f>
        <v>101.25</v>
      </c>
      <c r="V50" s="5">
        <f t="shared" si="8"/>
        <v>0</v>
      </c>
      <c r="X50" s="5">
        <f ca="1">(VLOOKUP(D50,'SPC background (hide)'!$AG$2:$AN$54,8,0)/IF(Summary!$C$8&lt;&gt;"Patients",1,$I$9))*(1-$I$4)*(1-$I$5+($I$6*$I$7))</f>
        <v>445.5</v>
      </c>
    </row>
    <row r="51" spans="1:24" x14ac:dyDescent="0.2">
      <c r="A51" s="87">
        <f t="shared" si="9"/>
        <v>44445</v>
      </c>
      <c r="B51" s="67" t="str">
        <f t="shared" si="11"/>
        <v/>
      </c>
      <c r="C51" s="67" t="str">
        <f t="shared" si="12"/>
        <v>Sep</v>
      </c>
      <c r="D51" s="67">
        <f t="shared" si="10"/>
        <v>36</v>
      </c>
      <c r="E51" s="5">
        <f ca="1">IF(LEFT(Demand!$C$8,1)="H",VLOOKUP($D51,'SPC background (hide)'!$AG$2:$AS$54,12,0),'Demand background (hide)'!X40)</f>
        <v>551.5</v>
      </c>
      <c r="F51" s="5">
        <f ca="1">IF(LEFT(Demand!$C$8,1)="H",VLOOKUP($D51,'SPC background (hide)'!$AG$2:$AS$54,13,0),E51*1.1)</f>
        <v>664</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13.038461538461538</v>
      </c>
      <c r="J51" s="5">
        <f ca="1">HLOOKUP(D51,'Capacity calculation (hide)'!$BK$110:$DK$111,2,0)</f>
        <v>2.1153846153846154</v>
      </c>
      <c r="K51" s="5">
        <f ca="1">IF(I51-IF(Setup!$I$15="Yes",$G51,0)-IF(Setup!$I$13="Yes",$H51,0)&lt;0,0,I51-IF(Setup!$I$15="Yes",$G51,0)-IF(Setup!$I$13="Yes",$H51,0))</f>
        <v>13.038461538461538</v>
      </c>
      <c r="L51" s="5">
        <f t="shared" ca="1" si="3"/>
        <v>2.1153846153846154</v>
      </c>
      <c r="M51" s="5">
        <f ca="1">(IF('Demand adjustments for Covid'!$F$9="No",E51,SUM('Demand background (hide)'!DS40,'Demand background (hide)'!DV40:DW40))*(1-'Parameters calculator (hide)'!$B$43))*(1-'Parameters calculator (hide)'!$B$44+('Parameters calculator (hide)'!$B$45*'Parameters calculator (hide)'!$B$47))</f>
        <v>496.35</v>
      </c>
      <c r="N51" s="5">
        <f ca="1">(IF('Demand adjustments for Covid'!$F$9="No",F51,SUM('Demand background (hide)'!DT40,'Demand background (hide)'!DV40:DW40))*(1-'Parameters calculator (hide)'!$B$43))*(1-'Parameters calculator (hide)'!$B$44+('Parameters calculator (hide)'!$B$45*'Parameters calculator (hide)'!$B$47))</f>
        <v>597.6</v>
      </c>
      <c r="P51" s="5">
        <f t="shared" ca="1" si="4"/>
        <v>13.038461538461538</v>
      </c>
      <c r="Q51" s="5">
        <f t="shared" ca="1" si="5"/>
        <v>2.1153846153846154</v>
      </c>
      <c r="R51" s="5">
        <f t="shared" ca="1" si="6"/>
        <v>13.038461538461538</v>
      </c>
      <c r="S51" s="5">
        <f t="shared" ca="1" si="7"/>
        <v>2.1153846153846154</v>
      </c>
      <c r="T51" s="5">
        <f ca="1">M51/IF(Summary!$C$8&lt;&gt;"Patients",1,$I$9)</f>
        <v>496.35</v>
      </c>
      <c r="U51" s="5">
        <f ca="1">((N51-M51)/IF(Summary!$C$8&lt;&gt;"Patients",1,$I$9))</f>
        <v>101.25</v>
      </c>
      <c r="V51" s="5">
        <f t="shared" si="8"/>
        <v>0</v>
      </c>
      <c r="X51" s="5">
        <f ca="1">(VLOOKUP(D51,'SPC background (hide)'!$AG$2:$AN$54,8,0)/IF(Summary!$C$8&lt;&gt;"Patients",1,$I$9))*(1-$I$4)*(1-$I$5+($I$6*$I$7))</f>
        <v>445.5</v>
      </c>
    </row>
    <row r="52" spans="1:24" x14ac:dyDescent="0.2">
      <c r="A52" s="87">
        <f t="shared" si="9"/>
        <v>44452</v>
      </c>
      <c r="B52" s="67" t="str">
        <f t="shared" si="11"/>
        <v/>
      </c>
      <c r="C52" s="67" t="str">
        <f t="shared" si="12"/>
        <v/>
      </c>
      <c r="D52" s="67">
        <f t="shared" si="10"/>
        <v>37</v>
      </c>
      <c r="E52" s="5">
        <f ca="1">IF(LEFT(Demand!$C$8,1)="H",VLOOKUP($D52,'SPC background (hide)'!$AG$2:$AS$54,12,0),'Demand background (hide)'!X41)</f>
        <v>551.5</v>
      </c>
      <c r="F52" s="5">
        <f ca="1">IF(LEFT(Demand!$C$8,1)="H",VLOOKUP($D52,'SPC background (hide)'!$AG$2:$AS$54,13,0),E52*1.1)</f>
        <v>664</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13.038461538461538</v>
      </c>
      <c r="J52" s="5">
        <f ca="1">HLOOKUP(D52,'Capacity calculation (hide)'!$BK$110:$DK$111,2,0)</f>
        <v>2.1153846153846154</v>
      </c>
      <c r="K52" s="5">
        <f ca="1">IF(I52-IF(Setup!$I$15="Yes",$G52,0)-IF(Setup!$I$13="Yes",$H52,0)&lt;0,0,I52-IF(Setup!$I$15="Yes",$G52,0)-IF(Setup!$I$13="Yes",$H52,0))</f>
        <v>13.038461538461538</v>
      </c>
      <c r="L52" s="5">
        <f t="shared" ca="1" si="3"/>
        <v>2.1153846153846154</v>
      </c>
      <c r="M52" s="5">
        <f ca="1">(IF('Demand adjustments for Covid'!$F$9="No",E52,SUM('Demand background (hide)'!DS41,'Demand background (hide)'!DV41:DW41))*(1-'Parameters calculator (hide)'!$B$43))*(1-'Parameters calculator (hide)'!$B$44+('Parameters calculator (hide)'!$B$45*'Parameters calculator (hide)'!$B$47))</f>
        <v>496.35</v>
      </c>
      <c r="N52" s="5">
        <f ca="1">(IF('Demand adjustments for Covid'!$F$9="No",F52,SUM('Demand background (hide)'!DT41,'Demand background (hide)'!DV41:DW41))*(1-'Parameters calculator (hide)'!$B$43))*(1-'Parameters calculator (hide)'!$B$44+('Parameters calculator (hide)'!$B$45*'Parameters calculator (hide)'!$B$47))</f>
        <v>597.6</v>
      </c>
      <c r="P52" s="5">
        <f t="shared" ca="1" si="4"/>
        <v>13.038461538461538</v>
      </c>
      <c r="Q52" s="5">
        <f t="shared" ca="1" si="5"/>
        <v>2.1153846153846154</v>
      </c>
      <c r="R52" s="5">
        <f t="shared" ca="1" si="6"/>
        <v>13.038461538461538</v>
      </c>
      <c r="S52" s="5">
        <f t="shared" ca="1" si="7"/>
        <v>2.1153846153846154</v>
      </c>
      <c r="T52" s="5">
        <f ca="1">M52/IF(Summary!$C$8&lt;&gt;"Patients",1,$I$9)</f>
        <v>496.35</v>
      </c>
      <c r="U52" s="5">
        <f ca="1">((N52-M52)/IF(Summary!$C$8&lt;&gt;"Patients",1,$I$9))</f>
        <v>101.25</v>
      </c>
      <c r="V52" s="5">
        <f t="shared" si="8"/>
        <v>0</v>
      </c>
      <c r="X52" s="5">
        <f ca="1">(VLOOKUP(D52,'SPC background (hide)'!$AG$2:$AN$54,8,0)/IF(Summary!$C$8&lt;&gt;"Patients",1,$I$9))*(1-$I$4)*(1-$I$5+($I$6*$I$7))</f>
        <v>445.5</v>
      </c>
    </row>
    <row r="53" spans="1:24" x14ac:dyDescent="0.2">
      <c r="A53" s="87">
        <f t="shared" si="9"/>
        <v>44459</v>
      </c>
      <c r="B53" s="67" t="str">
        <f t="shared" si="11"/>
        <v/>
      </c>
      <c r="C53" s="67" t="str">
        <f t="shared" si="12"/>
        <v/>
      </c>
      <c r="D53" s="67">
        <f t="shared" si="10"/>
        <v>38</v>
      </c>
      <c r="E53" s="5">
        <f ca="1">IF(LEFT(Demand!$C$8,1)="H",VLOOKUP($D53,'SPC background (hide)'!$AG$2:$AS$54,12,0),'Demand background (hide)'!X42)</f>
        <v>551.5</v>
      </c>
      <c r="F53" s="5">
        <f ca="1">IF(LEFT(Demand!$C$8,1)="H",VLOOKUP($D53,'SPC background (hide)'!$AG$2:$AS$54,13,0),E53*1.1)</f>
        <v>664</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13.038461538461538</v>
      </c>
      <c r="J53" s="5">
        <f ca="1">HLOOKUP(D53,'Capacity calculation (hide)'!$BK$110:$DK$111,2,0)</f>
        <v>2.1153846153846154</v>
      </c>
      <c r="K53" s="5">
        <f ca="1">IF(I53-IF(Setup!$I$15="Yes",$G53,0)-IF(Setup!$I$13="Yes",$H53,0)&lt;0,0,I53-IF(Setup!$I$15="Yes",$G53,0)-IF(Setup!$I$13="Yes",$H53,0))</f>
        <v>13.038461538461538</v>
      </c>
      <c r="L53" s="5">
        <f t="shared" ca="1" si="3"/>
        <v>2.1153846153846154</v>
      </c>
      <c r="M53" s="5">
        <f ca="1">(IF('Demand adjustments for Covid'!$F$9="No",E53,SUM('Demand background (hide)'!DS42,'Demand background (hide)'!DV42:DW42))*(1-'Parameters calculator (hide)'!$B$43))*(1-'Parameters calculator (hide)'!$B$44+('Parameters calculator (hide)'!$B$45*'Parameters calculator (hide)'!$B$47))</f>
        <v>496.35</v>
      </c>
      <c r="N53" s="5">
        <f ca="1">(IF('Demand adjustments for Covid'!$F$9="No",F53,SUM('Demand background (hide)'!DT42,'Demand background (hide)'!DV42:DW42))*(1-'Parameters calculator (hide)'!$B$43))*(1-'Parameters calculator (hide)'!$B$44+('Parameters calculator (hide)'!$B$45*'Parameters calculator (hide)'!$B$47))</f>
        <v>597.6</v>
      </c>
      <c r="P53" s="5">
        <f t="shared" ca="1" si="4"/>
        <v>13.038461538461538</v>
      </c>
      <c r="Q53" s="5">
        <f t="shared" ca="1" si="5"/>
        <v>2.1153846153846154</v>
      </c>
      <c r="R53" s="5">
        <f t="shared" ca="1" si="6"/>
        <v>13.038461538461538</v>
      </c>
      <c r="S53" s="5">
        <f t="shared" ca="1" si="7"/>
        <v>2.1153846153846154</v>
      </c>
      <c r="T53" s="5">
        <f ca="1">M53/IF(Summary!$C$8&lt;&gt;"Patients",1,$I$9)</f>
        <v>496.35</v>
      </c>
      <c r="U53" s="5">
        <f ca="1">((N53-M53)/IF(Summary!$C$8&lt;&gt;"Patients",1,$I$9))</f>
        <v>101.25</v>
      </c>
      <c r="V53" s="5">
        <f t="shared" si="8"/>
        <v>0</v>
      </c>
      <c r="X53" s="5">
        <f ca="1">(VLOOKUP(D53,'SPC background (hide)'!$AG$2:$AN$54,8,0)/IF(Summary!$C$8&lt;&gt;"Patients",1,$I$9))*(1-$I$4)*(1-$I$5+($I$6*$I$7))</f>
        <v>445.5</v>
      </c>
    </row>
    <row r="54" spans="1:24" x14ac:dyDescent="0.2">
      <c r="A54" s="87">
        <f t="shared" si="9"/>
        <v>44466</v>
      </c>
      <c r="B54" s="67" t="str">
        <f t="shared" si="11"/>
        <v/>
      </c>
      <c r="C54" s="67" t="str">
        <f t="shared" si="12"/>
        <v/>
      </c>
      <c r="D54" s="67">
        <f t="shared" si="10"/>
        <v>39</v>
      </c>
      <c r="E54" s="5">
        <f ca="1">IF(LEFT(Demand!$C$8,1)="H",VLOOKUP($D54,'SPC background (hide)'!$AG$2:$AS$54,12,0),'Demand background (hide)'!X43)</f>
        <v>551.5</v>
      </c>
      <c r="F54" s="5">
        <f ca="1">IF(LEFT(Demand!$C$8,1)="H",VLOOKUP($D54,'SPC background (hide)'!$AG$2:$AS$54,13,0),E54*1.1)</f>
        <v>664</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13.038461538461538</v>
      </c>
      <c r="J54" s="5">
        <f ca="1">HLOOKUP(D54,'Capacity calculation (hide)'!$BK$110:$DK$111,2,0)</f>
        <v>2.1153846153846154</v>
      </c>
      <c r="K54" s="5">
        <f ca="1">IF(I54-IF(Setup!$I$15="Yes",$G54,0)-IF(Setup!$I$13="Yes",$H54,0)&lt;0,0,I54-IF(Setup!$I$15="Yes",$G54,0)-IF(Setup!$I$13="Yes",$H54,0))</f>
        <v>13.038461538461538</v>
      </c>
      <c r="L54" s="5">
        <f t="shared" ca="1" si="3"/>
        <v>2.1153846153846154</v>
      </c>
      <c r="M54" s="5">
        <f ca="1">(IF('Demand adjustments for Covid'!$F$9="No",E54,SUM('Demand background (hide)'!DS43,'Demand background (hide)'!DV43:DW43))*(1-'Parameters calculator (hide)'!$B$43))*(1-'Parameters calculator (hide)'!$B$44+('Parameters calculator (hide)'!$B$45*'Parameters calculator (hide)'!$B$47))</f>
        <v>496.35</v>
      </c>
      <c r="N54" s="5">
        <f ca="1">(IF('Demand adjustments for Covid'!$F$9="No",F54,SUM('Demand background (hide)'!DT43,'Demand background (hide)'!DV43:DW43))*(1-'Parameters calculator (hide)'!$B$43))*(1-'Parameters calculator (hide)'!$B$44+('Parameters calculator (hide)'!$B$45*'Parameters calculator (hide)'!$B$47))</f>
        <v>597.6</v>
      </c>
      <c r="P54" s="5">
        <f t="shared" ca="1" si="4"/>
        <v>13.038461538461538</v>
      </c>
      <c r="Q54" s="5">
        <f t="shared" ca="1" si="5"/>
        <v>2.1153846153846154</v>
      </c>
      <c r="R54" s="5">
        <f t="shared" ca="1" si="6"/>
        <v>13.038461538461538</v>
      </c>
      <c r="S54" s="5">
        <f t="shared" ca="1" si="7"/>
        <v>2.1153846153846154</v>
      </c>
      <c r="T54" s="5">
        <f ca="1">M54/IF(Summary!$C$8&lt;&gt;"Patients",1,$I$9)</f>
        <v>496.35</v>
      </c>
      <c r="U54" s="5">
        <f ca="1">((N54-M54)/IF(Summary!$C$8&lt;&gt;"Patients",1,$I$9))</f>
        <v>101.25</v>
      </c>
      <c r="V54" s="5">
        <f t="shared" si="8"/>
        <v>0</v>
      </c>
      <c r="X54" s="5">
        <f ca="1">(VLOOKUP(D54,'SPC background (hide)'!$AG$2:$AN$54,8,0)/IF(Summary!$C$8&lt;&gt;"Patients",1,$I$9))*(1-$I$4)*(1-$I$5+($I$6*$I$7))</f>
        <v>445.5</v>
      </c>
    </row>
    <row r="55" spans="1:24" x14ac:dyDescent="0.2">
      <c r="A55" s="87">
        <f t="shared" si="9"/>
        <v>44473</v>
      </c>
      <c r="B55" s="67" t="str">
        <f t="shared" si="11"/>
        <v/>
      </c>
      <c r="C55" s="67" t="str">
        <f t="shared" si="12"/>
        <v>Oct</v>
      </c>
      <c r="D55" s="67">
        <f t="shared" si="10"/>
        <v>40</v>
      </c>
      <c r="E55" s="5">
        <f ca="1">IF(LEFT(Demand!$C$8,1)="H",VLOOKUP($D55,'SPC background (hide)'!$AG$2:$AS$54,12,0),'Demand background (hide)'!X44)</f>
        <v>551.5</v>
      </c>
      <c r="F55" s="5">
        <f ca="1">IF(LEFT(Demand!$C$8,1)="H",VLOOKUP($D55,'SPC background (hide)'!$AG$2:$AS$54,13,0),E55*1.1)</f>
        <v>664</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13.038461538461538</v>
      </c>
      <c r="J55" s="5">
        <f ca="1">HLOOKUP(D55,'Capacity calculation (hide)'!$BK$110:$DK$111,2,0)</f>
        <v>2.1153846153846154</v>
      </c>
      <c r="K55" s="5">
        <f ca="1">IF(I55-IF(Setup!$I$15="Yes",$G55,0)-IF(Setup!$I$13="Yes",$H55,0)&lt;0,0,I55-IF(Setup!$I$15="Yes",$G55,0)-IF(Setup!$I$13="Yes",$H55,0))</f>
        <v>13.038461538461538</v>
      </c>
      <c r="L55" s="5">
        <f t="shared" ca="1" si="3"/>
        <v>2.1153846153846154</v>
      </c>
      <c r="M55" s="5">
        <f ca="1">(IF('Demand adjustments for Covid'!$F$9="No",E55,SUM('Demand background (hide)'!DS44,'Demand background (hide)'!DV44:DW44))*(1-'Parameters calculator (hide)'!$B$43))*(1-'Parameters calculator (hide)'!$B$44+('Parameters calculator (hide)'!$B$45*'Parameters calculator (hide)'!$B$47))</f>
        <v>496.35</v>
      </c>
      <c r="N55" s="5">
        <f ca="1">(IF('Demand adjustments for Covid'!$F$9="No",F55,SUM('Demand background (hide)'!DT44,'Demand background (hide)'!DV44:DW44))*(1-'Parameters calculator (hide)'!$B$43))*(1-'Parameters calculator (hide)'!$B$44+('Parameters calculator (hide)'!$B$45*'Parameters calculator (hide)'!$B$47))</f>
        <v>597.6</v>
      </c>
      <c r="P55" s="5">
        <f t="shared" ca="1" si="4"/>
        <v>13.038461538461538</v>
      </c>
      <c r="Q55" s="5">
        <f t="shared" ca="1" si="5"/>
        <v>2.1153846153846154</v>
      </c>
      <c r="R55" s="5">
        <f t="shared" ca="1" si="6"/>
        <v>13.038461538461538</v>
      </c>
      <c r="S55" s="5">
        <f t="shared" ca="1" si="7"/>
        <v>2.1153846153846154</v>
      </c>
      <c r="T55" s="5">
        <f ca="1">M55/IF(Summary!$C$8&lt;&gt;"Patients",1,$I$9)</f>
        <v>496.35</v>
      </c>
      <c r="U55" s="5">
        <f ca="1">((N55-M55)/IF(Summary!$C$8&lt;&gt;"Patients",1,$I$9))</f>
        <v>101.25</v>
      </c>
      <c r="V55" s="5">
        <f t="shared" si="8"/>
        <v>0</v>
      </c>
      <c r="X55" s="5">
        <f ca="1">(VLOOKUP(D55,'SPC background (hide)'!$AG$2:$AN$54,8,0)/IF(Summary!$C$8&lt;&gt;"Patients",1,$I$9))*(1-$I$4)*(1-$I$5+($I$6*$I$7))</f>
        <v>445.5</v>
      </c>
    </row>
    <row r="56" spans="1:24" x14ac:dyDescent="0.2">
      <c r="A56" s="87">
        <f t="shared" si="9"/>
        <v>44480</v>
      </c>
      <c r="B56" s="67" t="str">
        <f t="shared" si="11"/>
        <v/>
      </c>
      <c r="C56" s="67" t="str">
        <f t="shared" si="12"/>
        <v/>
      </c>
      <c r="D56" s="67">
        <f t="shared" si="10"/>
        <v>41</v>
      </c>
      <c r="E56" s="5">
        <f ca="1">IF(LEFT(Demand!$C$8,1)="H",VLOOKUP($D56,'SPC background (hide)'!$AG$2:$AS$54,12,0),'Demand background (hide)'!X45)</f>
        <v>551.5</v>
      </c>
      <c r="F56" s="5">
        <f ca="1">IF(LEFT(Demand!$C$8,1)="H",VLOOKUP($D56,'SPC background (hide)'!$AG$2:$AS$54,13,0),E56*1.1)</f>
        <v>664</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13.038461538461538</v>
      </c>
      <c r="J56" s="5">
        <f ca="1">HLOOKUP(D56,'Capacity calculation (hide)'!$BK$110:$DK$111,2,0)</f>
        <v>2.1153846153846154</v>
      </c>
      <c r="K56" s="5">
        <f ca="1">IF(I56-IF(Setup!$I$15="Yes",$G56,0)-IF(Setup!$I$13="Yes",$H56,0)&lt;0,0,I56-IF(Setup!$I$15="Yes",$G56,0)-IF(Setup!$I$13="Yes",$H56,0))</f>
        <v>13.038461538461538</v>
      </c>
      <c r="L56" s="5">
        <f t="shared" ca="1" si="3"/>
        <v>2.1153846153846154</v>
      </c>
      <c r="M56" s="5">
        <f ca="1">(IF('Demand adjustments for Covid'!$F$9="No",E56,SUM('Demand background (hide)'!DS45,'Demand background (hide)'!DV45:DW45))*(1-'Parameters calculator (hide)'!$B$43))*(1-'Parameters calculator (hide)'!$B$44+('Parameters calculator (hide)'!$B$45*'Parameters calculator (hide)'!$B$47))</f>
        <v>496.35</v>
      </c>
      <c r="N56" s="5">
        <f ca="1">(IF('Demand adjustments for Covid'!$F$9="No",F56,SUM('Demand background (hide)'!DT45,'Demand background (hide)'!DV45:DW45))*(1-'Parameters calculator (hide)'!$B$43))*(1-'Parameters calculator (hide)'!$B$44+('Parameters calculator (hide)'!$B$45*'Parameters calculator (hide)'!$B$47))</f>
        <v>597.6</v>
      </c>
      <c r="P56" s="5">
        <f t="shared" ca="1" si="4"/>
        <v>13.038461538461538</v>
      </c>
      <c r="Q56" s="5">
        <f t="shared" ca="1" si="5"/>
        <v>2.1153846153846154</v>
      </c>
      <c r="R56" s="5">
        <f t="shared" ca="1" si="6"/>
        <v>13.038461538461538</v>
      </c>
      <c r="S56" s="5">
        <f t="shared" ca="1" si="7"/>
        <v>2.1153846153846154</v>
      </c>
      <c r="T56" s="5">
        <f ca="1">M56/IF(Summary!$C$8&lt;&gt;"Patients",1,$I$9)</f>
        <v>496.35</v>
      </c>
      <c r="U56" s="5">
        <f ca="1">((N56-M56)/IF(Summary!$C$8&lt;&gt;"Patients",1,$I$9))</f>
        <v>101.25</v>
      </c>
      <c r="V56" s="5">
        <f t="shared" si="8"/>
        <v>0</v>
      </c>
      <c r="X56" s="5">
        <f ca="1">(VLOOKUP(D56,'SPC background (hide)'!$AG$2:$AN$54,8,0)/IF(Summary!$C$8&lt;&gt;"Patients",1,$I$9))*(1-$I$4)*(1-$I$5+($I$6*$I$7))</f>
        <v>445.5</v>
      </c>
    </row>
    <row r="57" spans="1:24" x14ac:dyDescent="0.2">
      <c r="A57" s="87">
        <f t="shared" si="9"/>
        <v>44487</v>
      </c>
      <c r="B57" s="67" t="str">
        <f t="shared" si="11"/>
        <v/>
      </c>
      <c r="C57" s="67" t="str">
        <f t="shared" si="12"/>
        <v/>
      </c>
      <c r="D57" s="67">
        <f t="shared" si="10"/>
        <v>42</v>
      </c>
      <c r="E57" s="5">
        <f ca="1">IF(LEFT(Demand!$C$8,1)="H",VLOOKUP($D57,'SPC background (hide)'!$AG$2:$AS$54,12,0),'Demand background (hide)'!X46)</f>
        <v>551.5</v>
      </c>
      <c r="F57" s="5">
        <f ca="1">IF(LEFT(Demand!$C$8,1)="H",VLOOKUP($D57,'SPC background (hide)'!$AG$2:$AS$54,13,0),E57*1.1)</f>
        <v>664</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13.038461538461538</v>
      </c>
      <c r="J57" s="5">
        <f ca="1">HLOOKUP(D57,'Capacity calculation (hide)'!$BK$110:$DK$111,2,0)</f>
        <v>2.1153846153846154</v>
      </c>
      <c r="K57" s="5">
        <f ca="1">IF(I57-IF(Setup!$I$15="Yes",$G57,0)-IF(Setup!$I$13="Yes",$H57,0)&lt;0,0,I57-IF(Setup!$I$15="Yes",$G57,0)-IF(Setup!$I$13="Yes",$H57,0))</f>
        <v>13.038461538461538</v>
      </c>
      <c r="L57" s="5">
        <f t="shared" ca="1" si="3"/>
        <v>2.1153846153846154</v>
      </c>
      <c r="M57" s="5">
        <f ca="1">(IF('Demand adjustments for Covid'!$F$9="No",E57,SUM('Demand background (hide)'!DS46,'Demand background (hide)'!DV46:DW46))*(1-'Parameters calculator (hide)'!$B$43))*(1-'Parameters calculator (hide)'!$B$44+('Parameters calculator (hide)'!$B$45*'Parameters calculator (hide)'!$B$47))</f>
        <v>496.35</v>
      </c>
      <c r="N57" s="5">
        <f ca="1">(IF('Demand adjustments for Covid'!$F$9="No",F57,SUM('Demand background (hide)'!DT46,'Demand background (hide)'!DV46:DW46))*(1-'Parameters calculator (hide)'!$B$43))*(1-'Parameters calculator (hide)'!$B$44+('Parameters calculator (hide)'!$B$45*'Parameters calculator (hide)'!$B$47))</f>
        <v>597.6</v>
      </c>
      <c r="P57" s="5">
        <f t="shared" ca="1" si="4"/>
        <v>13.038461538461538</v>
      </c>
      <c r="Q57" s="5">
        <f t="shared" ca="1" si="5"/>
        <v>2.1153846153846154</v>
      </c>
      <c r="R57" s="5">
        <f t="shared" ca="1" si="6"/>
        <v>13.038461538461538</v>
      </c>
      <c r="S57" s="5">
        <f t="shared" ca="1" si="7"/>
        <v>2.1153846153846154</v>
      </c>
      <c r="T57" s="5">
        <f ca="1">M57/IF(Summary!$C$8&lt;&gt;"Patients",1,$I$9)</f>
        <v>496.35</v>
      </c>
      <c r="U57" s="5">
        <f ca="1">((N57-M57)/IF(Summary!$C$8&lt;&gt;"Patients",1,$I$9))</f>
        <v>101.25</v>
      </c>
      <c r="V57" s="5">
        <f t="shared" si="8"/>
        <v>0</v>
      </c>
      <c r="X57" s="5">
        <f ca="1">(VLOOKUP(D57,'SPC background (hide)'!$AG$2:$AN$54,8,0)/IF(Summary!$C$8&lt;&gt;"Patients",1,$I$9))*(1-$I$4)*(1-$I$5+($I$6*$I$7))</f>
        <v>445.5</v>
      </c>
    </row>
    <row r="58" spans="1:24" x14ac:dyDescent="0.2">
      <c r="A58" s="87">
        <f t="shared" si="9"/>
        <v>44494</v>
      </c>
      <c r="B58" s="67" t="str">
        <f t="shared" si="11"/>
        <v/>
      </c>
      <c r="C58" s="67" t="str">
        <f t="shared" si="12"/>
        <v/>
      </c>
      <c r="D58" s="67">
        <f t="shared" si="10"/>
        <v>43</v>
      </c>
      <c r="E58" s="5">
        <f ca="1">IF(LEFT(Demand!$C$8,1)="H",VLOOKUP($D58,'SPC background (hide)'!$AG$2:$AS$54,12,0),'Demand background (hide)'!X47)</f>
        <v>551.5</v>
      </c>
      <c r="F58" s="5">
        <f ca="1">IF(LEFT(Demand!$C$8,1)="H",VLOOKUP($D58,'SPC background (hide)'!$AG$2:$AS$54,13,0),E58*1.1)</f>
        <v>664</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13.038461538461538</v>
      </c>
      <c r="J58" s="5">
        <f ca="1">HLOOKUP(D58,'Capacity calculation (hide)'!$BK$110:$DK$111,2,0)</f>
        <v>2.1153846153846154</v>
      </c>
      <c r="K58" s="5">
        <f ca="1">IF(I58-IF(Setup!$I$15="Yes",$G58,0)-IF(Setup!$I$13="Yes",$H58,0)&lt;0,0,I58-IF(Setup!$I$15="Yes",$G58,0)-IF(Setup!$I$13="Yes",$H58,0))</f>
        <v>13.038461538461538</v>
      </c>
      <c r="L58" s="5">
        <f t="shared" ca="1" si="3"/>
        <v>2.1153846153846154</v>
      </c>
      <c r="M58" s="5">
        <f ca="1">(IF('Demand adjustments for Covid'!$F$9="No",E58,SUM('Demand background (hide)'!DS47,'Demand background (hide)'!DV47:DW47))*(1-'Parameters calculator (hide)'!$B$43))*(1-'Parameters calculator (hide)'!$B$44+('Parameters calculator (hide)'!$B$45*'Parameters calculator (hide)'!$B$47))</f>
        <v>496.35</v>
      </c>
      <c r="N58" s="5">
        <f ca="1">(IF('Demand adjustments for Covid'!$F$9="No",F58,SUM('Demand background (hide)'!DT47,'Demand background (hide)'!DV47:DW47))*(1-'Parameters calculator (hide)'!$B$43))*(1-'Parameters calculator (hide)'!$B$44+('Parameters calculator (hide)'!$B$45*'Parameters calculator (hide)'!$B$47))</f>
        <v>597.6</v>
      </c>
      <c r="P58" s="5">
        <f t="shared" ca="1" si="4"/>
        <v>13.038461538461538</v>
      </c>
      <c r="Q58" s="5">
        <f t="shared" ca="1" si="5"/>
        <v>2.1153846153846154</v>
      </c>
      <c r="R58" s="5">
        <f t="shared" ca="1" si="6"/>
        <v>13.038461538461538</v>
      </c>
      <c r="S58" s="5">
        <f t="shared" ca="1" si="7"/>
        <v>2.1153846153846154</v>
      </c>
      <c r="T58" s="5">
        <f ca="1">M58/IF(Summary!$C$8&lt;&gt;"Patients",1,$I$9)</f>
        <v>496.35</v>
      </c>
      <c r="U58" s="5">
        <f ca="1">((N58-M58)/IF(Summary!$C$8&lt;&gt;"Patients",1,$I$9))</f>
        <v>101.25</v>
      </c>
      <c r="V58" s="5">
        <f t="shared" si="8"/>
        <v>0</v>
      </c>
      <c r="X58" s="5">
        <f ca="1">(VLOOKUP(D58,'SPC background (hide)'!$AG$2:$AN$54,8,0)/IF(Summary!$C$8&lt;&gt;"Patients",1,$I$9))*(1-$I$4)*(1-$I$5+($I$6*$I$7))</f>
        <v>445.5</v>
      </c>
    </row>
    <row r="59" spans="1:24" x14ac:dyDescent="0.2">
      <c r="A59" s="87">
        <f t="shared" si="9"/>
        <v>44501</v>
      </c>
      <c r="B59" s="67" t="str">
        <f t="shared" si="11"/>
        <v/>
      </c>
      <c r="C59" s="67" t="str">
        <f t="shared" si="12"/>
        <v>Nov</v>
      </c>
      <c r="D59" s="67">
        <f t="shared" si="10"/>
        <v>44</v>
      </c>
      <c r="E59" s="5">
        <f ca="1">IF(LEFT(Demand!$C$8,1)="H",VLOOKUP($D59,'SPC background (hide)'!$AG$2:$AS$54,12,0),'Demand background (hide)'!X48)</f>
        <v>551.5</v>
      </c>
      <c r="F59" s="5">
        <f ca="1">IF(LEFT(Demand!$C$8,1)="H",VLOOKUP($D59,'SPC background (hide)'!$AG$2:$AS$54,13,0),E59*1.1)</f>
        <v>664</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13.038461538461538</v>
      </c>
      <c r="J59" s="5">
        <f ca="1">HLOOKUP(D59,'Capacity calculation (hide)'!$BK$110:$DK$111,2,0)</f>
        <v>2.1153846153846154</v>
      </c>
      <c r="K59" s="5">
        <f ca="1">IF(I59-IF(Setup!$I$15="Yes",$G59,0)-IF(Setup!$I$13="Yes",$H59,0)&lt;0,0,I59-IF(Setup!$I$15="Yes",$G59,0)-IF(Setup!$I$13="Yes",$H59,0))</f>
        <v>13.038461538461538</v>
      </c>
      <c r="L59" s="5">
        <f t="shared" ca="1" si="3"/>
        <v>2.1153846153846154</v>
      </c>
      <c r="M59" s="5">
        <f ca="1">(IF('Demand adjustments for Covid'!$F$9="No",E59,SUM('Demand background (hide)'!DS48,'Demand background (hide)'!DV48:DW48))*(1-'Parameters calculator (hide)'!$B$43))*(1-'Parameters calculator (hide)'!$B$44+('Parameters calculator (hide)'!$B$45*'Parameters calculator (hide)'!$B$47))</f>
        <v>496.35</v>
      </c>
      <c r="N59" s="5">
        <f ca="1">(IF('Demand adjustments for Covid'!$F$9="No",F59,SUM('Demand background (hide)'!DT48,'Demand background (hide)'!DV48:DW48))*(1-'Parameters calculator (hide)'!$B$43))*(1-'Parameters calculator (hide)'!$B$44+('Parameters calculator (hide)'!$B$45*'Parameters calculator (hide)'!$B$47))</f>
        <v>597.6</v>
      </c>
      <c r="P59" s="5">
        <f t="shared" ca="1" si="4"/>
        <v>13.038461538461538</v>
      </c>
      <c r="Q59" s="5">
        <f t="shared" ca="1" si="5"/>
        <v>2.1153846153846154</v>
      </c>
      <c r="R59" s="5">
        <f t="shared" ca="1" si="6"/>
        <v>13.038461538461538</v>
      </c>
      <c r="S59" s="5">
        <f t="shared" ca="1" si="7"/>
        <v>2.1153846153846154</v>
      </c>
      <c r="T59" s="5">
        <f ca="1">M59/IF(Summary!$C$8&lt;&gt;"Patients",1,$I$9)</f>
        <v>496.35</v>
      </c>
      <c r="U59" s="5">
        <f ca="1">((N59-M59)/IF(Summary!$C$8&lt;&gt;"Patients",1,$I$9))</f>
        <v>101.25</v>
      </c>
      <c r="V59" s="5">
        <f t="shared" si="8"/>
        <v>0</v>
      </c>
      <c r="X59" s="5">
        <f ca="1">(VLOOKUP(D59,'SPC background (hide)'!$AG$2:$AN$54,8,0)/IF(Summary!$C$8&lt;&gt;"Patients",1,$I$9))*(1-$I$4)*(1-$I$5+($I$6*$I$7))</f>
        <v>445.5</v>
      </c>
    </row>
    <row r="60" spans="1:24" x14ac:dyDescent="0.2">
      <c r="A60" s="87">
        <f t="shared" si="9"/>
        <v>44508</v>
      </c>
      <c r="B60" s="67" t="str">
        <f t="shared" si="11"/>
        <v/>
      </c>
      <c r="C60" s="67" t="str">
        <f t="shared" si="12"/>
        <v/>
      </c>
      <c r="D60" s="67">
        <f t="shared" si="10"/>
        <v>45</v>
      </c>
      <c r="E60" s="5">
        <f ca="1">IF(LEFT(Demand!$C$8,1)="H",VLOOKUP($D60,'SPC background (hide)'!$AG$2:$AS$54,12,0),'Demand background (hide)'!X49)</f>
        <v>551.5</v>
      </c>
      <c r="F60" s="5">
        <f ca="1">IF(LEFT(Demand!$C$8,1)="H",VLOOKUP($D60,'SPC background (hide)'!$AG$2:$AS$54,13,0),E60*1.1)</f>
        <v>664</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13.038461538461538</v>
      </c>
      <c r="J60" s="5">
        <f ca="1">HLOOKUP(D60,'Capacity calculation (hide)'!$BK$110:$DK$111,2,0)</f>
        <v>2.1153846153846154</v>
      </c>
      <c r="K60" s="5">
        <f ca="1">IF(I60-IF(Setup!$I$15="Yes",$G60,0)-IF(Setup!$I$13="Yes",$H60,0)&lt;0,0,I60-IF(Setup!$I$15="Yes",$G60,0)-IF(Setup!$I$13="Yes",$H60,0))</f>
        <v>13.038461538461538</v>
      </c>
      <c r="L60" s="5">
        <f t="shared" ca="1" si="3"/>
        <v>2.1153846153846154</v>
      </c>
      <c r="M60" s="5">
        <f ca="1">(IF('Demand adjustments for Covid'!$F$9="No",E60,SUM('Demand background (hide)'!DS49,'Demand background (hide)'!DV49:DW49))*(1-'Parameters calculator (hide)'!$B$43))*(1-'Parameters calculator (hide)'!$B$44+('Parameters calculator (hide)'!$B$45*'Parameters calculator (hide)'!$B$47))</f>
        <v>496.35</v>
      </c>
      <c r="N60" s="5">
        <f ca="1">(IF('Demand adjustments for Covid'!$F$9="No",F60,SUM('Demand background (hide)'!DT49,'Demand background (hide)'!DV49:DW49))*(1-'Parameters calculator (hide)'!$B$43))*(1-'Parameters calculator (hide)'!$B$44+('Parameters calculator (hide)'!$B$45*'Parameters calculator (hide)'!$B$47))</f>
        <v>597.6</v>
      </c>
      <c r="P60" s="5">
        <f t="shared" ca="1" si="4"/>
        <v>13.038461538461538</v>
      </c>
      <c r="Q60" s="5">
        <f t="shared" ca="1" si="5"/>
        <v>2.1153846153846154</v>
      </c>
      <c r="R60" s="5">
        <f t="shared" ca="1" si="6"/>
        <v>13.038461538461538</v>
      </c>
      <c r="S60" s="5">
        <f t="shared" ca="1" si="7"/>
        <v>2.1153846153846154</v>
      </c>
      <c r="T60" s="5">
        <f ca="1">M60/IF(Summary!$C$8&lt;&gt;"Patients",1,$I$9)</f>
        <v>496.35</v>
      </c>
      <c r="U60" s="5">
        <f ca="1">((N60-M60)/IF(Summary!$C$8&lt;&gt;"Patients",1,$I$9))</f>
        <v>101.25</v>
      </c>
      <c r="V60" s="5">
        <f t="shared" si="8"/>
        <v>0</v>
      </c>
      <c r="X60" s="5">
        <f ca="1">(VLOOKUP(D60,'SPC background (hide)'!$AG$2:$AN$54,8,0)/IF(Summary!$C$8&lt;&gt;"Patients",1,$I$9))*(1-$I$4)*(1-$I$5+($I$6*$I$7))</f>
        <v>445.5</v>
      </c>
    </row>
    <row r="61" spans="1:24" x14ac:dyDescent="0.2">
      <c r="A61" s="87">
        <f t="shared" si="9"/>
        <v>44515</v>
      </c>
      <c r="B61" s="67" t="str">
        <f t="shared" si="11"/>
        <v/>
      </c>
      <c r="C61" s="67" t="str">
        <f t="shared" si="12"/>
        <v/>
      </c>
      <c r="D61" s="67">
        <f t="shared" si="10"/>
        <v>46</v>
      </c>
      <c r="E61" s="5">
        <f ca="1">IF(LEFT(Demand!$C$8,1)="H",VLOOKUP($D61,'SPC background (hide)'!$AG$2:$AS$54,12,0),'Demand background (hide)'!X50)</f>
        <v>551.5</v>
      </c>
      <c r="F61" s="5">
        <f ca="1">IF(LEFT(Demand!$C$8,1)="H",VLOOKUP($D61,'SPC background (hide)'!$AG$2:$AS$54,13,0),E61*1.1)</f>
        <v>664</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13.038461538461538</v>
      </c>
      <c r="J61" s="5">
        <f ca="1">HLOOKUP(D61,'Capacity calculation (hide)'!$BK$110:$DK$111,2,0)</f>
        <v>2.1153846153846154</v>
      </c>
      <c r="K61" s="5">
        <f ca="1">IF(I61-IF(Setup!$I$15="Yes",$G61,0)-IF(Setup!$I$13="Yes",$H61,0)&lt;0,0,I61-IF(Setup!$I$15="Yes",$G61,0)-IF(Setup!$I$13="Yes",$H61,0))</f>
        <v>13.038461538461538</v>
      </c>
      <c r="L61" s="5">
        <f t="shared" ca="1" si="3"/>
        <v>2.1153846153846154</v>
      </c>
      <c r="M61" s="5">
        <f ca="1">(IF('Demand adjustments for Covid'!$F$9="No",E61,SUM('Demand background (hide)'!DS50,'Demand background (hide)'!DV50:DW50))*(1-'Parameters calculator (hide)'!$B$43))*(1-'Parameters calculator (hide)'!$B$44+('Parameters calculator (hide)'!$B$45*'Parameters calculator (hide)'!$B$47))</f>
        <v>496.35</v>
      </c>
      <c r="N61" s="5">
        <f ca="1">(IF('Demand adjustments for Covid'!$F$9="No",F61,SUM('Demand background (hide)'!DT50,'Demand background (hide)'!DV50:DW50))*(1-'Parameters calculator (hide)'!$B$43))*(1-'Parameters calculator (hide)'!$B$44+('Parameters calculator (hide)'!$B$45*'Parameters calculator (hide)'!$B$47))</f>
        <v>597.6</v>
      </c>
      <c r="P61" s="5">
        <f t="shared" ca="1" si="4"/>
        <v>13.038461538461538</v>
      </c>
      <c r="Q61" s="5">
        <f t="shared" ca="1" si="5"/>
        <v>2.1153846153846154</v>
      </c>
      <c r="R61" s="5">
        <f t="shared" ca="1" si="6"/>
        <v>13.038461538461538</v>
      </c>
      <c r="S61" s="5">
        <f t="shared" ca="1" si="7"/>
        <v>2.1153846153846154</v>
      </c>
      <c r="T61" s="5">
        <f ca="1">M61/IF(Summary!$C$8&lt;&gt;"Patients",1,$I$9)</f>
        <v>496.35</v>
      </c>
      <c r="U61" s="5">
        <f ca="1">((N61-M61)/IF(Summary!$C$8&lt;&gt;"Patients",1,$I$9))</f>
        <v>101.25</v>
      </c>
      <c r="V61" s="5">
        <f t="shared" si="8"/>
        <v>0</v>
      </c>
      <c r="X61" s="5">
        <f ca="1">(VLOOKUP(D61,'SPC background (hide)'!$AG$2:$AN$54,8,0)/IF(Summary!$C$8&lt;&gt;"Patients",1,$I$9))*(1-$I$4)*(1-$I$5+($I$6*$I$7))</f>
        <v>445.5</v>
      </c>
    </row>
    <row r="62" spans="1:24" x14ac:dyDescent="0.2">
      <c r="A62" s="87">
        <f t="shared" si="9"/>
        <v>44522</v>
      </c>
      <c r="B62" s="67" t="str">
        <f t="shared" si="11"/>
        <v/>
      </c>
      <c r="C62" s="67" t="str">
        <f t="shared" si="12"/>
        <v/>
      </c>
      <c r="D62" s="67">
        <f t="shared" si="10"/>
        <v>47</v>
      </c>
      <c r="E62" s="5">
        <f ca="1">IF(LEFT(Demand!$C$8,1)="H",VLOOKUP($D62,'SPC background (hide)'!$AG$2:$AS$54,12,0),'Demand background (hide)'!X51)</f>
        <v>551.5</v>
      </c>
      <c r="F62" s="5">
        <f ca="1">IF(LEFT(Demand!$C$8,1)="H",VLOOKUP($D62,'SPC background (hide)'!$AG$2:$AS$54,13,0),E62*1.1)</f>
        <v>664</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13.038461538461538</v>
      </c>
      <c r="J62" s="5">
        <f ca="1">HLOOKUP(D62,'Capacity calculation (hide)'!$BK$110:$DK$111,2,0)</f>
        <v>2.1153846153846154</v>
      </c>
      <c r="K62" s="5">
        <f ca="1">IF(I62-IF(Setup!$I$15="Yes",$G62,0)-IF(Setup!$I$13="Yes",$H62,0)&lt;0,0,I62-IF(Setup!$I$15="Yes",$G62,0)-IF(Setup!$I$13="Yes",$H62,0))</f>
        <v>13.038461538461538</v>
      </c>
      <c r="L62" s="5">
        <f t="shared" ca="1" si="3"/>
        <v>2.1153846153846154</v>
      </c>
      <c r="M62" s="5">
        <f ca="1">(IF('Demand adjustments for Covid'!$F$9="No",E62,SUM('Demand background (hide)'!DS51,'Demand background (hide)'!DV51:DW51))*(1-'Parameters calculator (hide)'!$B$43))*(1-'Parameters calculator (hide)'!$B$44+('Parameters calculator (hide)'!$B$45*'Parameters calculator (hide)'!$B$47))</f>
        <v>496.35</v>
      </c>
      <c r="N62" s="5">
        <f ca="1">(IF('Demand adjustments for Covid'!$F$9="No",F62,SUM('Demand background (hide)'!DT51,'Demand background (hide)'!DV51:DW51))*(1-'Parameters calculator (hide)'!$B$43))*(1-'Parameters calculator (hide)'!$B$44+('Parameters calculator (hide)'!$B$45*'Parameters calculator (hide)'!$B$47))</f>
        <v>597.6</v>
      </c>
      <c r="P62" s="5">
        <f t="shared" ca="1" si="4"/>
        <v>13.038461538461538</v>
      </c>
      <c r="Q62" s="5">
        <f t="shared" ca="1" si="5"/>
        <v>2.1153846153846154</v>
      </c>
      <c r="R62" s="5">
        <f t="shared" ca="1" si="6"/>
        <v>13.038461538461538</v>
      </c>
      <c r="S62" s="5">
        <f t="shared" ca="1" si="7"/>
        <v>2.1153846153846154</v>
      </c>
      <c r="T62" s="5">
        <f ca="1">M62/IF(Summary!$C$8&lt;&gt;"Patients",1,$I$9)</f>
        <v>496.35</v>
      </c>
      <c r="U62" s="5">
        <f ca="1">((N62-M62)/IF(Summary!$C$8&lt;&gt;"Patients",1,$I$9))</f>
        <v>101.25</v>
      </c>
      <c r="V62" s="5">
        <f t="shared" si="8"/>
        <v>0</v>
      </c>
      <c r="X62" s="5">
        <f ca="1">(VLOOKUP(D62,'SPC background (hide)'!$AG$2:$AN$54,8,0)/IF(Summary!$C$8&lt;&gt;"Patients",1,$I$9))*(1-$I$4)*(1-$I$5+($I$6*$I$7))</f>
        <v>445.5</v>
      </c>
    </row>
    <row r="63" spans="1:24" x14ac:dyDescent="0.2">
      <c r="A63" s="87">
        <f t="shared" si="9"/>
        <v>44529</v>
      </c>
      <c r="B63" s="67" t="str">
        <f t="shared" si="11"/>
        <v/>
      </c>
      <c r="C63" s="67" t="str">
        <f t="shared" si="12"/>
        <v/>
      </c>
      <c r="D63" s="67">
        <f t="shared" si="10"/>
        <v>48</v>
      </c>
      <c r="E63" s="5">
        <f ca="1">IF(LEFT(Demand!$C$8,1)="H",VLOOKUP($D63,'SPC background (hide)'!$AG$2:$AS$54,12,0),'Demand background (hide)'!X52)</f>
        <v>551.5</v>
      </c>
      <c r="F63" s="5">
        <f ca="1">IF(LEFT(Demand!$C$8,1)="H",VLOOKUP($D63,'SPC background (hide)'!$AG$2:$AS$54,13,0),E63*1.1)</f>
        <v>664</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13.038461538461538</v>
      </c>
      <c r="J63" s="5">
        <f ca="1">HLOOKUP(D63,'Capacity calculation (hide)'!$BK$110:$DK$111,2,0)</f>
        <v>2.1153846153846154</v>
      </c>
      <c r="K63" s="5">
        <f ca="1">IF(I63-IF(Setup!$I$15="Yes",$G63,0)-IF(Setup!$I$13="Yes",$H63,0)&lt;0,0,I63-IF(Setup!$I$15="Yes",$G63,0)-IF(Setup!$I$13="Yes",$H63,0))</f>
        <v>13.038461538461538</v>
      </c>
      <c r="L63" s="5">
        <f t="shared" ca="1" si="3"/>
        <v>2.1153846153846154</v>
      </c>
      <c r="M63" s="5">
        <f ca="1">(IF('Demand adjustments for Covid'!$F$9="No",E63,SUM('Demand background (hide)'!DS52,'Demand background (hide)'!DV52:DW52))*(1-'Parameters calculator (hide)'!$B$43))*(1-'Parameters calculator (hide)'!$B$44+('Parameters calculator (hide)'!$B$45*'Parameters calculator (hide)'!$B$47))</f>
        <v>496.35</v>
      </c>
      <c r="N63" s="5">
        <f ca="1">(IF('Demand adjustments for Covid'!$F$9="No",F63,SUM('Demand background (hide)'!DT52,'Demand background (hide)'!DV52:DW52))*(1-'Parameters calculator (hide)'!$B$43))*(1-'Parameters calculator (hide)'!$B$44+('Parameters calculator (hide)'!$B$45*'Parameters calculator (hide)'!$B$47))</f>
        <v>597.6</v>
      </c>
      <c r="P63" s="5">
        <f t="shared" ca="1" si="4"/>
        <v>13.038461538461538</v>
      </c>
      <c r="Q63" s="5">
        <f t="shared" ca="1" si="5"/>
        <v>2.1153846153846154</v>
      </c>
      <c r="R63" s="5">
        <f t="shared" ca="1" si="6"/>
        <v>13.038461538461538</v>
      </c>
      <c r="S63" s="5">
        <f t="shared" ca="1" si="7"/>
        <v>2.1153846153846154</v>
      </c>
      <c r="T63" s="5">
        <f ca="1">M63/IF(Summary!$C$8&lt;&gt;"Patients",1,$I$9)</f>
        <v>496.35</v>
      </c>
      <c r="U63" s="5">
        <f ca="1">((N63-M63)/IF(Summary!$C$8&lt;&gt;"Patients",1,$I$9))</f>
        <v>101.25</v>
      </c>
      <c r="V63" s="5">
        <f t="shared" si="8"/>
        <v>0</v>
      </c>
      <c r="X63" s="5">
        <f ca="1">(VLOOKUP(D63,'SPC background (hide)'!$AG$2:$AN$54,8,0)/IF(Summary!$C$8&lt;&gt;"Patients",1,$I$9))*(1-$I$4)*(1-$I$5+($I$6*$I$7))</f>
        <v>445.5</v>
      </c>
    </row>
    <row r="64" spans="1:24" x14ac:dyDescent="0.2">
      <c r="A64" s="87">
        <f t="shared" si="9"/>
        <v>44536</v>
      </c>
      <c r="B64" s="67" t="str">
        <f t="shared" si="11"/>
        <v/>
      </c>
      <c r="C64" s="67" t="str">
        <f t="shared" si="12"/>
        <v>Dec</v>
      </c>
      <c r="D64" s="67">
        <f t="shared" si="10"/>
        <v>49</v>
      </c>
      <c r="E64" s="5">
        <f ca="1">IF(LEFT(Demand!$C$8,1)="H",VLOOKUP($D64,'SPC background (hide)'!$AG$2:$AS$54,12,0),'Demand background (hide)'!X53)</f>
        <v>551.5</v>
      </c>
      <c r="F64" s="5">
        <f ca="1">IF(LEFT(Demand!$C$8,1)="H",VLOOKUP($D64,'SPC background (hide)'!$AG$2:$AS$54,13,0),E64*1.1)</f>
        <v>664</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13.038461538461538</v>
      </c>
      <c r="J64" s="5">
        <f ca="1">HLOOKUP(D64,'Capacity calculation (hide)'!$BK$110:$DK$111,2,0)</f>
        <v>2.1153846153846154</v>
      </c>
      <c r="K64" s="5">
        <f ca="1">IF(I64-IF(Setup!$I$15="Yes",$G64,0)-IF(Setup!$I$13="Yes",$H64,0)&lt;0,0,I64-IF(Setup!$I$15="Yes",$G64,0)-IF(Setup!$I$13="Yes",$H64,0))</f>
        <v>13.038461538461538</v>
      </c>
      <c r="L64" s="5">
        <f t="shared" ca="1" si="3"/>
        <v>2.1153846153846154</v>
      </c>
      <c r="M64" s="5">
        <f ca="1">(IF('Demand adjustments for Covid'!$F$9="No",E64,SUM('Demand background (hide)'!DS53,'Demand background (hide)'!DV53:DW53))*(1-'Parameters calculator (hide)'!$B$43))*(1-'Parameters calculator (hide)'!$B$44+('Parameters calculator (hide)'!$B$45*'Parameters calculator (hide)'!$B$47))</f>
        <v>496.35</v>
      </c>
      <c r="N64" s="5">
        <f ca="1">(IF('Demand adjustments for Covid'!$F$9="No",F64,SUM('Demand background (hide)'!DT53,'Demand background (hide)'!DV53:DW53))*(1-'Parameters calculator (hide)'!$B$43))*(1-'Parameters calculator (hide)'!$B$44+('Parameters calculator (hide)'!$B$45*'Parameters calculator (hide)'!$B$47))</f>
        <v>597.6</v>
      </c>
      <c r="P64" s="5">
        <f t="shared" ca="1" si="4"/>
        <v>13.038461538461538</v>
      </c>
      <c r="Q64" s="5">
        <f t="shared" ca="1" si="5"/>
        <v>2.1153846153846154</v>
      </c>
      <c r="R64" s="5">
        <f t="shared" ca="1" si="6"/>
        <v>13.038461538461538</v>
      </c>
      <c r="S64" s="5">
        <f t="shared" ca="1" si="7"/>
        <v>2.1153846153846154</v>
      </c>
      <c r="T64" s="5">
        <f ca="1">M64/IF(Summary!$C$8&lt;&gt;"Patients",1,$I$9)</f>
        <v>496.35</v>
      </c>
      <c r="U64" s="5">
        <f ca="1">((N64-M64)/IF(Summary!$C$8&lt;&gt;"Patients",1,$I$9))</f>
        <v>101.25</v>
      </c>
      <c r="V64" s="5">
        <f t="shared" si="8"/>
        <v>0</v>
      </c>
      <c r="X64" s="5">
        <f ca="1">(VLOOKUP(D64,'SPC background (hide)'!$AG$2:$AN$54,8,0)/IF(Summary!$C$8&lt;&gt;"Patients",1,$I$9))*(1-$I$4)*(1-$I$5+($I$6*$I$7))</f>
        <v>445.5</v>
      </c>
    </row>
    <row r="65" spans="1:24" x14ac:dyDescent="0.2">
      <c r="A65" s="87">
        <f t="shared" si="9"/>
        <v>44543</v>
      </c>
      <c r="B65" s="67" t="str">
        <f t="shared" si="11"/>
        <v/>
      </c>
      <c r="C65" s="67" t="str">
        <f t="shared" si="12"/>
        <v/>
      </c>
      <c r="D65" s="67">
        <f t="shared" si="10"/>
        <v>50</v>
      </c>
      <c r="E65" s="5">
        <f ca="1">IF(LEFT(Demand!$C$8,1)="H",VLOOKUP($D65,'SPC background (hide)'!$AG$2:$AS$54,12,0),'Demand background (hide)'!X54)</f>
        <v>551.5</v>
      </c>
      <c r="F65" s="5">
        <f ca="1">IF(LEFT(Demand!$C$8,1)="H",VLOOKUP($D65,'SPC background (hide)'!$AG$2:$AS$54,13,0),E65*1.1)</f>
        <v>664</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13.038461538461538</v>
      </c>
      <c r="J65" s="5">
        <f ca="1">HLOOKUP(D65,'Capacity calculation (hide)'!$BK$110:$DK$111,2,0)</f>
        <v>2.1153846153846154</v>
      </c>
      <c r="K65" s="5">
        <f ca="1">IF(I65-IF(Setup!$I$15="Yes",$G65,0)-IF(Setup!$I$13="Yes",$H65,0)&lt;0,0,I65-IF(Setup!$I$15="Yes",$G65,0)-IF(Setup!$I$13="Yes",$H65,0))</f>
        <v>13.038461538461538</v>
      </c>
      <c r="L65" s="5">
        <f t="shared" ca="1" si="3"/>
        <v>2.1153846153846154</v>
      </c>
      <c r="M65" s="5">
        <f ca="1">(IF('Demand adjustments for Covid'!$F$9="No",E65,SUM('Demand background (hide)'!DS54,'Demand background (hide)'!DV54:DW54))*(1-'Parameters calculator (hide)'!$B$43))*(1-'Parameters calculator (hide)'!$B$44+('Parameters calculator (hide)'!$B$45*'Parameters calculator (hide)'!$B$47))</f>
        <v>496.35</v>
      </c>
      <c r="N65" s="5">
        <f ca="1">(IF('Demand adjustments for Covid'!$F$9="No",F65,SUM('Demand background (hide)'!DT54,'Demand background (hide)'!DV54:DW54))*(1-'Parameters calculator (hide)'!$B$43))*(1-'Parameters calculator (hide)'!$B$44+('Parameters calculator (hide)'!$B$45*'Parameters calculator (hide)'!$B$47))</f>
        <v>597.6</v>
      </c>
      <c r="P65" s="5">
        <f t="shared" ca="1" si="4"/>
        <v>13.038461538461538</v>
      </c>
      <c r="Q65" s="5">
        <f t="shared" ca="1" si="5"/>
        <v>2.1153846153846154</v>
      </c>
      <c r="R65" s="5">
        <f t="shared" ca="1" si="6"/>
        <v>13.038461538461538</v>
      </c>
      <c r="S65" s="5">
        <f t="shared" ca="1" si="7"/>
        <v>2.1153846153846154</v>
      </c>
      <c r="T65" s="5">
        <f ca="1">M65/IF(Summary!$C$8&lt;&gt;"Patients",1,$I$9)</f>
        <v>496.35</v>
      </c>
      <c r="U65" s="5">
        <f ca="1">((N65-M65)/IF(Summary!$C$8&lt;&gt;"Patients",1,$I$9))</f>
        <v>101.25</v>
      </c>
      <c r="V65" s="5">
        <f t="shared" si="8"/>
        <v>0</v>
      </c>
      <c r="X65" s="5">
        <f ca="1">(VLOOKUP(D65,'SPC background (hide)'!$AG$2:$AN$54,8,0)/IF(Summary!$C$8&lt;&gt;"Patients",1,$I$9))*(1-$I$4)*(1-$I$5+($I$6*$I$7))</f>
        <v>445.5</v>
      </c>
    </row>
    <row r="66" spans="1:24" x14ac:dyDescent="0.2">
      <c r="A66" s="87">
        <f t="shared" si="9"/>
        <v>44550</v>
      </c>
      <c r="B66" s="67" t="str">
        <f t="shared" si="11"/>
        <v/>
      </c>
      <c r="C66" s="67" t="str">
        <f t="shared" si="12"/>
        <v/>
      </c>
      <c r="D66" s="67">
        <f t="shared" si="10"/>
        <v>51</v>
      </c>
      <c r="E66" s="5">
        <f ca="1">IF(LEFT(Demand!$C$8,1)="H",VLOOKUP($D66,'SPC background (hide)'!$AG$2:$AS$54,12,0),'Demand background (hide)'!X55)</f>
        <v>551.5</v>
      </c>
      <c r="F66" s="5">
        <f ca="1">IF(LEFT(Demand!$C$8,1)="H",VLOOKUP($D66,'SPC background (hide)'!$AG$2:$AS$54,13,0),E66*1.1)</f>
        <v>664</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13.038461538461538</v>
      </c>
      <c r="J66" s="5">
        <f ca="1">HLOOKUP(D66,'Capacity calculation (hide)'!$BK$110:$DK$111,2,0)</f>
        <v>2.1153846153846154</v>
      </c>
      <c r="K66" s="5">
        <f ca="1">IF(I66-IF(Setup!$I$15="Yes",$G66,0)-IF(Setup!$I$13="Yes",$H66,0)&lt;0,0,I66-IF(Setup!$I$15="Yes",$G66,0)-IF(Setup!$I$13="Yes",$H66,0))</f>
        <v>13.038461538461538</v>
      </c>
      <c r="L66" s="5">
        <f t="shared" ca="1" si="3"/>
        <v>2.1153846153846154</v>
      </c>
      <c r="M66" s="5">
        <f ca="1">(IF('Demand adjustments for Covid'!$F$9="No",E66,SUM('Demand background (hide)'!DS55,'Demand background (hide)'!DV55:DW55))*(1-'Parameters calculator (hide)'!$B$43))*(1-'Parameters calculator (hide)'!$B$44+('Parameters calculator (hide)'!$B$45*'Parameters calculator (hide)'!$B$47))</f>
        <v>496.35</v>
      </c>
      <c r="N66" s="5">
        <f ca="1">(IF('Demand adjustments for Covid'!$F$9="No",F66,SUM('Demand background (hide)'!DT55,'Demand background (hide)'!DV55:DW55))*(1-'Parameters calculator (hide)'!$B$43))*(1-'Parameters calculator (hide)'!$B$44+('Parameters calculator (hide)'!$B$45*'Parameters calculator (hide)'!$B$47))</f>
        <v>597.6</v>
      </c>
      <c r="P66" s="5">
        <f t="shared" ca="1" si="4"/>
        <v>13.038461538461538</v>
      </c>
      <c r="Q66" s="5">
        <f t="shared" ca="1" si="5"/>
        <v>2.1153846153846154</v>
      </c>
      <c r="R66" s="5">
        <f t="shared" ca="1" si="6"/>
        <v>13.038461538461538</v>
      </c>
      <c r="S66" s="5">
        <f t="shared" ca="1" si="7"/>
        <v>2.1153846153846154</v>
      </c>
      <c r="T66" s="5">
        <f ca="1">M66/IF(Summary!$C$8&lt;&gt;"Patients",1,$I$9)</f>
        <v>496.35</v>
      </c>
      <c r="U66" s="5">
        <f ca="1">((N66-M66)/IF(Summary!$C$8&lt;&gt;"Patients",1,$I$9))</f>
        <v>101.25</v>
      </c>
      <c r="V66" s="5">
        <f t="shared" si="8"/>
        <v>0</v>
      </c>
      <c r="X66" s="5">
        <f ca="1">(VLOOKUP(D66,'SPC background (hide)'!$AG$2:$AN$54,8,0)/IF(Summary!$C$8&lt;&gt;"Patients",1,$I$9))*(1-$I$4)*(1-$I$5+($I$6*$I$7))</f>
        <v>445.5</v>
      </c>
    </row>
    <row r="67" spans="1:24" x14ac:dyDescent="0.2">
      <c r="A67" s="297">
        <f t="shared" si="9"/>
        <v>44557</v>
      </c>
      <c r="B67" s="67" t="str">
        <f t="shared" si="11"/>
        <v/>
      </c>
      <c r="C67" s="67" t="str">
        <f t="shared" si="12"/>
        <v/>
      </c>
      <c r="D67" s="59">
        <f>IF(MAX(D15:D66)=53,WEEKNUM(A67,21),53)</f>
        <v>52</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13.038461538461538</v>
      </c>
      <c r="J67" s="5">
        <f ca="1">HLOOKUP(D67,'Capacity calculation (hide)'!$BK$110:$DK$111,2,0)</f>
        <v>2.1153846153846154</v>
      </c>
      <c r="K67" s="5">
        <f ca="1">IF(I67-IF(Setup!$I$15="Yes",$G67,0)-IF(Setup!$I$13="Yes",$H67,0)&lt;0,0,I67-IF(Setup!$I$15="Yes",$G67,0)-IF(Setup!$I$13="Yes",$H67,0))</f>
        <v>13.038461538461538</v>
      </c>
      <c r="L67" s="5">
        <f t="shared" ref="L67" ca="1" si="13">J67</f>
        <v>2.1153846153846154</v>
      </c>
      <c r="M67" s="5">
        <f ca="1">(IF('Demand adjustments for Covid'!$F$9="No",E67,SUM('Demand background (hide)'!DS56,'Demand background (hide)'!DV56:DW56))*(1-'Parameters calculator (hide)'!$B$43))*(1-'Parameters calculator (hide)'!$B$44+('Parameters calculator (hide)'!$B$45*'Parameters calculator (hide)'!$B$47))</f>
        <v>496.35</v>
      </c>
      <c r="N67" s="5">
        <f ca="1">(IF('Demand adjustments for Covid'!$F$9="No",F67,SUM('Demand background (hide)'!DT56,'Demand background (hide)'!DV56:DW56))*(1-'Parameters calculator (hide)'!$B$43))*(1-'Parameters calculator (hide)'!$B$44+('Parameters calculator (hide)'!$B$45*'Parameters calculator (hide)'!$B$47))</f>
        <v>597.6</v>
      </c>
      <c r="O67" s="67"/>
      <c r="P67" s="5">
        <f t="shared" ref="P67" ca="1" si="14">I67</f>
        <v>13.038461538461538</v>
      </c>
      <c r="Q67" s="5">
        <f t="shared" ref="Q67" ca="1" si="15">J67</f>
        <v>2.1153846153846154</v>
      </c>
      <c r="R67" s="5">
        <f t="shared" ref="R67" ca="1" si="16">IF(P67-V67&lt;0,0,P67-V67)</f>
        <v>13.038461538461538</v>
      </c>
      <c r="S67" s="5">
        <f t="shared" ref="S67" ca="1" si="17">IF(R67=0,IF(P67+Q67-V67&lt;0,0,P67+Q67-V67),Q67)</f>
        <v>2.1153846153846154</v>
      </c>
      <c r="T67" s="5">
        <f ca="1">M67/IF(Summary!$C$8&lt;&gt;"Patients",1,$I$9)</f>
        <v>496.35</v>
      </c>
      <c r="U67" s="5">
        <f ca="1">((N67-M67)/IF(Summary!$C$8&lt;&gt;"Patients",1,$I$9))</f>
        <v>101.25</v>
      </c>
      <c r="V67" s="5">
        <f t="shared" ref="V67" si="18">SUM(G67:H67)</f>
        <v>0</v>
      </c>
      <c r="W67" s="67"/>
      <c r="X67" s="5">
        <f ca="1">(VLOOKUP(D67,'SPC background (hide)'!$AG$2:$AN$54,8,0)/IF(Summary!$C$8&lt;&gt;"Patients",1,$I$9))*(1-$I$4)*(1-$I$5+($I$6*$I$7))</f>
        <v>445.5</v>
      </c>
    </row>
    <row r="68" spans="1:24" s="67" customFormat="1" x14ac:dyDescent="0.2">
      <c r="X68" s="5"/>
    </row>
    <row r="69" spans="1:24" x14ac:dyDescent="0.2">
      <c r="X69" s="5"/>
    </row>
    <row r="70" spans="1:24" x14ac:dyDescent="0.2">
      <c r="D70" t="s">
        <v>290</v>
      </c>
      <c r="E70" s="5">
        <f ca="1">AVERAGE(E15:E67)</f>
        <v>551.5</v>
      </c>
      <c r="F70" s="5">
        <f ca="1">AVERAGE(F15:F67)</f>
        <v>664</v>
      </c>
      <c r="G70" s="5" t="str">
        <f>IF(Setup!$I$15="Yes",AVERAGE(G15:G67),"")</f>
        <v/>
      </c>
      <c r="H70" s="5" t="str">
        <f>IF(Setup!$I$13="Yes",AVERAGE(H15:H67),"")</f>
        <v/>
      </c>
      <c r="I70" s="5">
        <f ca="1">AVERAGE(I15:I67)</f>
        <v>13.038461538461545</v>
      </c>
      <c r="J70" s="5">
        <f ca="1">AVERAGE(J15:J67)</f>
        <v>2.1153846153846141</v>
      </c>
      <c r="K70" s="5">
        <f ca="1">AVERAGE(K15:K67)</f>
        <v>13.038461538461545</v>
      </c>
      <c r="L70" s="5">
        <f ca="1">AVERAGE(L15:L67)</f>
        <v>2.1153846153846141</v>
      </c>
      <c r="M70" s="104">
        <f ca="1">IF(Summary!B15=0,AVERAGE(M15:M67)/IF(Summary!$C$8&lt;&gt;"Patients",1,$I$9),AVERAGE('Planning (hide)'!C4:C55))</f>
        <v>496.34999999999962</v>
      </c>
      <c r="N70" s="104" cm="1">
        <f t="array" aca="1" ref="N70" ca="1">IF(Summary!B15=0,AVERAGE(N15:N67)/IF(Summary!$C$8&lt;&gt;"Patients",1,$I$9),AVERAGE('Planning (hide)'!C4:C55+'Planning (hide)'!D4:D55))</f>
        <v>597.59999999999945</v>
      </c>
      <c r="R70" s="5">
        <f ca="1">AVERAGE(R15:R67)</f>
        <v>13.038461538461545</v>
      </c>
      <c r="S70" s="5">
        <f ca="1">AVERAGE(S15:S67)</f>
        <v>2.1153846153846141</v>
      </c>
      <c r="V70" s="104">
        <f>IF(AND(Setup!$I$13="No",Setup!$I$15="No"),0,IF(H70&lt;&gt;"",H70,0)+IF(G70&lt;&gt;"",G70,0))</f>
        <v>0</v>
      </c>
      <c r="X70" s="5">
        <f ca="1">AVERAGE(X15:X67)</f>
        <v>445.5</v>
      </c>
    </row>
    <row r="71" spans="1:24" x14ac:dyDescent="0.2">
      <c r="E71" s="60"/>
      <c r="I71" t="s">
        <v>308</v>
      </c>
      <c r="K71" s="104">
        <f ca="1">(K70)/IF(Summary!$C$8&lt;&gt;"Patients",1,$I$9)</f>
        <v>13.038461538461545</v>
      </c>
      <c r="L71" s="104">
        <f ca="1">(L70)/IF(Summary!$C$8&lt;&gt;"Patients",1,$I$9)</f>
        <v>2.1153846153846141</v>
      </c>
      <c r="M71" s="5"/>
      <c r="N71" s="5">
        <f ca="1">N70-M70</f>
        <v>101.24999999999983</v>
      </c>
      <c r="R71" s="5">
        <f ca="1">SUM(R15:R66)</f>
        <v>678.00000000000034</v>
      </c>
      <c r="S71" s="5">
        <f ca="1">SUM(S15:S66)</f>
        <v>109.99999999999993</v>
      </c>
      <c r="V71" s="5">
        <f>SUM(V15:V67)</f>
        <v>0</v>
      </c>
      <c r="X71" s="5">
        <f ca="1">SUM(X15:X66)</f>
        <v>23166</v>
      </c>
    </row>
    <row r="72" spans="1:24" x14ac:dyDescent="0.2">
      <c r="E72" s="5"/>
      <c r="F72" s="5"/>
      <c r="J72" s="5"/>
      <c r="K72" s="5"/>
      <c r="L72" s="5"/>
      <c r="M72" s="5"/>
      <c r="N72" s="5"/>
      <c r="X72" s="5">
        <f ca="1">AVERAGE(X15:X67)</f>
        <v>445.5</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1128</v>
      </c>
    </row>
    <row r="3" spans="1:29" x14ac:dyDescent="0.2">
      <c r="A3" t="s">
        <v>1114</v>
      </c>
      <c r="B3" s="301">
        <f>Summary!$D$42</f>
        <v>0</v>
      </c>
      <c r="H3" t="s">
        <v>153</v>
      </c>
      <c r="I3" t="s">
        <v>148</v>
      </c>
      <c r="J3" t="s">
        <v>149</v>
      </c>
      <c r="K3" t="s">
        <v>156</v>
      </c>
      <c r="L3" t="s">
        <v>1126</v>
      </c>
      <c r="M3" t="s">
        <v>531</v>
      </c>
      <c r="N3" t="s">
        <v>1127</v>
      </c>
    </row>
    <row r="4" spans="1:29" x14ac:dyDescent="0.2">
      <c r="A4" t="s">
        <v>1115</v>
      </c>
      <c r="B4" s="301">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
      <c r="A5" t="s">
        <v>75</v>
      </c>
      <c r="B5" s="3">
        <f ca="1">'Summary Calculations (hide)'!I4</f>
        <v>0.1</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
      <c r="A6" t="s">
        <v>1116</v>
      </c>
      <c r="B6" s="3">
        <f ca="1">'Summary Calculations (hide)'!I5</f>
        <v>0</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
      <c r="A7" t="s">
        <v>99</v>
      </c>
      <c r="B7" s="3">
        <f ca="1">'Summary Calculations (hide)'!I6</f>
        <v>0.1</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
      <c r="A8" t="s">
        <v>418</v>
      </c>
      <c r="B8" s="3">
        <f ca="1">'Summary Calculations (hide)'!I7</f>
        <v>0</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
      <c r="A10" t="s">
        <v>1148</v>
      </c>
      <c r="B10" s="3"/>
      <c r="H10" t="s">
        <v>1125</v>
      </c>
      <c r="T10" t="s">
        <v>1131</v>
      </c>
    </row>
    <row r="11" spans="1:29" x14ac:dyDescent="0.2">
      <c r="A11" t="s">
        <v>1117</v>
      </c>
      <c r="B11" s="3">
        <f ca="1">(1-B5)*(1-(B6+B7))</f>
        <v>0.81</v>
      </c>
      <c r="C11" s="51" t="s">
        <v>1144</v>
      </c>
      <c r="D11" t="s">
        <v>1138</v>
      </c>
      <c r="T11" t="s">
        <v>1132</v>
      </c>
      <c r="U11" t="s">
        <v>1133</v>
      </c>
      <c r="V11" t="s">
        <v>1134</v>
      </c>
      <c r="W11" t="s">
        <v>1135</v>
      </c>
      <c r="X11" t="s">
        <v>1136</v>
      </c>
      <c r="Y11" t="s">
        <v>1137</v>
      </c>
      <c r="Z11" t="s">
        <v>156</v>
      </c>
      <c r="AA11" t="s">
        <v>1141</v>
      </c>
      <c r="AB11" t="s">
        <v>1142</v>
      </c>
      <c r="AC11" t="s">
        <v>1143</v>
      </c>
    </row>
    <row r="12" spans="1:29" x14ac:dyDescent="0.2">
      <c r="A12" t="s">
        <v>1118</v>
      </c>
      <c r="B12" s="3">
        <f ca="1">(1-B5) * (B7*B8)</f>
        <v>0</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
      <c r="A13" t="s">
        <v>1122</v>
      </c>
      <c r="B13" s="3">
        <f ca="1">B11+B12</f>
        <v>0.81</v>
      </c>
      <c r="C13" s="51" t="s">
        <v>1123</v>
      </c>
      <c r="H13" s="297">
        <f>'Summary Calculations (hide)'!A15</f>
        <v>44193</v>
      </c>
      <c r="I13">
        <f>'Summary Calculations (hide)'!B15</f>
        <v>2020</v>
      </c>
      <c r="J13" t="str">
        <f>'Summary Calculations (hide)'!C15</f>
        <v>Dec</v>
      </c>
      <c r="K13">
        <f>'Summary Calculations (hide)'!D15</f>
        <v>53</v>
      </c>
      <c r="L13">
        <f ca="1">VLOOKUP($K13,'SPC background (hide)'!$AG$2:$AS$54,3,0)</f>
        <v>1</v>
      </c>
      <c r="M13">
        <f ca="1">((VLOOKUP(L13,$H$4:$N$8,4,FALSE)*(1-$B$5)*(1-$B$6+($B$7*$B$8))))</f>
        <v>445.5</v>
      </c>
      <c r="N13" s="67">
        <f ca="1">((VLOOKUP(L13,$H$4:$N$8,5,FALSE)*(1-$B$5)*(1-$B$6+($B$7*$B$8))))</f>
        <v>127.50613747954175</v>
      </c>
      <c r="R13" s="5">
        <f ca="1">(VLOOKUP(K13,'Summary Calculations (hide)'!$D$15:$L$67,8,0)+VLOOKUP(K13,'Summary Calculations (hide)'!$D$15:$L$67,9,0))*IF(Summary!$C$8="Patients",'Summary Calculations (hide)'!$I$9,1)</f>
        <v>15.153846153846153</v>
      </c>
      <c r="AA13">
        <f ca="1">IF(Summary!$C$8="Patients", 'Parameters calculator (hide)'!$H$63,'Parameters calculator (hide)'!$H$62)</f>
        <v>1574.0769230769231</v>
      </c>
      <c r="AB13" s="67">
        <f ca="1">IF(Summary!$C$8="Patients", 'Parameters calculator (hide)'!$I$63,'Parameters calculator (hide)'!$I$62)</f>
        <v>1739.7692307692307</v>
      </c>
      <c r="AC13">
        <f ca="1">AB13-AA13</f>
        <v>165.69230769230762</v>
      </c>
    </row>
    <row r="14" spans="1:29" x14ac:dyDescent="0.2">
      <c r="A14" t="s">
        <v>1119</v>
      </c>
      <c r="B14" s="3">
        <f ca="1">1 - B7</f>
        <v>0.9</v>
      </c>
      <c r="C14" s="51" t="s">
        <v>1146</v>
      </c>
      <c r="H14" s="297">
        <f>'Summary Calculations (hide)'!A16</f>
        <v>44200</v>
      </c>
      <c r="I14">
        <f>'Summary Calculations (hide)'!B16</f>
        <v>2021</v>
      </c>
      <c r="J14" t="str">
        <f>'Summary Calculations (hide)'!C16</f>
        <v>Jan</v>
      </c>
      <c r="K14">
        <f>'Summary Calculations (hide)'!D16</f>
        <v>1</v>
      </c>
      <c r="L14" s="67">
        <f ca="1">VLOOKUP($K14,'SPC background (hide)'!$AG$2:$AS$54,3,0)</f>
        <v>1</v>
      </c>
      <c r="M14" s="67">
        <f t="shared" ref="M14:M64" ca="1" si="0">((VLOOKUP(L14,$H$4:$N$8,4,FALSE)*(1-$B$5)*(1-$B$6+($B$7*$B$8))))</f>
        <v>445.5</v>
      </c>
      <c r="N14" s="67">
        <f t="shared" ref="N14:N64" ca="1" si="1">((VLOOKUP(L14,$H$4:$N$8,5,FALSE)*(1-$B$5)*(1-$B$6+($B$7*$B$8))))</f>
        <v>127.50613747954175</v>
      </c>
      <c r="O14" s="67"/>
      <c r="P14" s="67"/>
      <c r="Q14" s="67"/>
      <c r="R14" s="5">
        <f ca="1">(VLOOKUP(K14,'Summary Calculations (hide)'!$D$15:$L$67,8,0)+VLOOKUP(K14,'Summary Calculations (hide)'!$D$15:$L$67,9,0))*IF(Summary!$C$8="Patients",'Summary Calculations (hide)'!$I$9,1)</f>
        <v>15.153846153846153</v>
      </c>
      <c r="AA14" s="67">
        <f ca="1">IF(Summary!$C$8="Patients", 'Parameters calculator (hide)'!$H$63,'Parameters calculator (hide)'!$H$62)</f>
        <v>1574.0769230769231</v>
      </c>
      <c r="AB14" s="67">
        <f ca="1">IF(Summary!$C$8="Patients", 'Parameters calculator (hide)'!$I$63,'Parameters calculator (hide)'!$I$62)</f>
        <v>1739.7692307692307</v>
      </c>
      <c r="AC14" s="67">
        <f t="shared" ref="AC14:AC64" ca="1" si="2">AB14-AA14</f>
        <v>165.69230769230762</v>
      </c>
    </row>
    <row r="15" spans="1:29" x14ac:dyDescent="0.2">
      <c r="A15" t="s">
        <v>1120</v>
      </c>
      <c r="B15" s="3">
        <f ca="1">B7*B8</f>
        <v>0</v>
      </c>
      <c r="C15" s="51" t="s">
        <v>1147</v>
      </c>
      <c r="H15" s="297">
        <f>'Summary Calculations (hide)'!A17</f>
        <v>44207</v>
      </c>
      <c r="I15" t="str">
        <f>'Summary Calculations (hide)'!B17</f>
        <v/>
      </c>
      <c r="J15" t="str">
        <f>'Summary Calculations (hide)'!C17</f>
        <v/>
      </c>
      <c r="K15">
        <f>'Summary Calculations (hide)'!D17</f>
        <v>2</v>
      </c>
      <c r="L15" s="67">
        <f ca="1">VLOOKUP($K15,'SPC background (hide)'!$AG$2:$AS$54,3,0)</f>
        <v>1</v>
      </c>
      <c r="M15" s="67">
        <f t="shared" ca="1" si="0"/>
        <v>445.5</v>
      </c>
      <c r="N15" s="67">
        <f t="shared" ca="1" si="1"/>
        <v>127.50613747954175</v>
      </c>
      <c r="O15" s="67"/>
      <c r="P15" s="67"/>
      <c r="Q15" s="67"/>
      <c r="R15" s="5">
        <f ca="1">(VLOOKUP(K15,'Summary Calculations (hide)'!$D$15:$L$67,8,0)+VLOOKUP(K15,'Summary Calculations (hide)'!$D$15:$L$67,9,0))*IF(Summary!$C$8="Patients",'Summary Calculations (hide)'!$I$9,1)</f>
        <v>15.153846153846153</v>
      </c>
      <c r="AA15" s="67">
        <f ca="1">IF(Summary!$C$8="Patients", 'Parameters calculator (hide)'!$H$63,'Parameters calculator (hide)'!$H$62)</f>
        <v>1574.0769230769231</v>
      </c>
      <c r="AB15" s="67">
        <f ca="1">IF(Summary!$C$8="Patients", 'Parameters calculator (hide)'!$I$63,'Parameters calculator (hide)'!$I$62)</f>
        <v>1739.7692307692307</v>
      </c>
      <c r="AC15" s="67">
        <f t="shared" ca="1" si="2"/>
        <v>165.69230769230762</v>
      </c>
    </row>
    <row r="16" spans="1:29" x14ac:dyDescent="0.2">
      <c r="A16" t="s">
        <v>1130</v>
      </c>
      <c r="B16" s="3">
        <f ca="1">B14+B15</f>
        <v>0.9</v>
      </c>
      <c r="C16" s="51" t="s">
        <v>1124</v>
      </c>
      <c r="H16" s="297">
        <f>'Summary Calculations (hide)'!A18</f>
        <v>44214</v>
      </c>
      <c r="I16" t="str">
        <f>'Summary Calculations (hide)'!B18</f>
        <v/>
      </c>
      <c r="J16" t="str">
        <f>'Summary Calculations (hide)'!C18</f>
        <v/>
      </c>
      <c r="K16">
        <f>'Summary Calculations (hide)'!D18</f>
        <v>3</v>
      </c>
      <c r="L16" s="67">
        <f ca="1">VLOOKUP($K16,'SPC background (hide)'!$AG$2:$AS$54,3,0)</f>
        <v>1</v>
      </c>
      <c r="M16" s="67">
        <f t="shared" ca="1" si="0"/>
        <v>445.5</v>
      </c>
      <c r="N16" s="67">
        <f t="shared" ca="1" si="1"/>
        <v>127.50613747954175</v>
      </c>
      <c r="O16" s="67"/>
      <c r="P16" s="67"/>
      <c r="Q16" s="67"/>
      <c r="R16" s="5">
        <f ca="1">(VLOOKUP(K16,'Summary Calculations (hide)'!$D$15:$L$67,8,0)+VLOOKUP(K16,'Summary Calculations (hide)'!$D$15:$L$67,9,0))*IF(Summary!$C$8="Patients",'Summary Calculations (hide)'!$I$9,1)</f>
        <v>15.153846153846153</v>
      </c>
      <c r="AA16" s="67">
        <f ca="1">IF(Summary!$C$8="Patients", 'Parameters calculator (hide)'!$H$63,'Parameters calculator (hide)'!$H$62)</f>
        <v>1574.0769230769231</v>
      </c>
      <c r="AB16" s="67">
        <f ca="1">IF(Summary!$C$8="Patients", 'Parameters calculator (hide)'!$I$63,'Parameters calculator (hide)'!$I$62)</f>
        <v>1739.7692307692307</v>
      </c>
      <c r="AC16" s="67">
        <f t="shared" ca="1" si="2"/>
        <v>165.69230769230762</v>
      </c>
    </row>
    <row r="17" spans="1:29" x14ac:dyDescent="0.2">
      <c r="H17" s="297">
        <f>'Summary Calculations (hide)'!A19</f>
        <v>44221</v>
      </c>
      <c r="I17" t="str">
        <f>'Summary Calculations (hide)'!B19</f>
        <v/>
      </c>
      <c r="J17" t="str">
        <f>'Summary Calculations (hide)'!C19</f>
        <v/>
      </c>
      <c r="K17">
        <f>'Summary Calculations (hide)'!D19</f>
        <v>4</v>
      </c>
      <c r="L17" s="67">
        <f ca="1">VLOOKUP($K17,'SPC background (hide)'!$AG$2:$AS$54,3,0)</f>
        <v>1</v>
      </c>
      <c r="M17" s="67">
        <f t="shared" ca="1" si="0"/>
        <v>445.5</v>
      </c>
      <c r="N17" s="67">
        <f t="shared" ca="1" si="1"/>
        <v>127.50613747954175</v>
      </c>
      <c r="O17" s="67"/>
      <c r="P17" s="67"/>
      <c r="Q17" s="67"/>
      <c r="R17" s="5">
        <f ca="1">(VLOOKUP(K17,'Summary Calculations (hide)'!$D$15:$L$67,8,0)+VLOOKUP(K17,'Summary Calculations (hide)'!$D$15:$L$67,9,0))*IF(Summary!$C$8="Patients",'Summary Calculations (hide)'!$I$9,1)</f>
        <v>15.153846153846153</v>
      </c>
      <c r="AA17" s="67">
        <f ca="1">IF(Summary!$C$8="Patients", 'Parameters calculator (hide)'!$H$63,'Parameters calculator (hide)'!$H$62)</f>
        <v>1574.0769230769231</v>
      </c>
      <c r="AB17" s="67">
        <f ca="1">IF(Summary!$C$8="Patients", 'Parameters calculator (hide)'!$I$63,'Parameters calculator (hide)'!$I$62)</f>
        <v>1739.7692307692307</v>
      </c>
      <c r="AC17" s="67">
        <f t="shared" ca="1" si="2"/>
        <v>165.69230769230762</v>
      </c>
    </row>
    <row r="18" spans="1:29" x14ac:dyDescent="0.2">
      <c r="A18" s="3"/>
      <c r="B18" s="3"/>
      <c r="C18" s="3"/>
      <c r="H18" s="297">
        <f>'Summary Calculations (hide)'!A20</f>
        <v>44228</v>
      </c>
      <c r="I18" t="str">
        <f>'Summary Calculations (hide)'!B20</f>
        <v/>
      </c>
      <c r="J18" t="str">
        <f>'Summary Calculations (hide)'!C20</f>
        <v>Feb</v>
      </c>
      <c r="K18">
        <f>'Summary Calculations (hide)'!D20</f>
        <v>5</v>
      </c>
      <c r="L18" s="67">
        <f ca="1">VLOOKUP($K18,'SPC background (hide)'!$AG$2:$AS$54,3,0)</f>
        <v>1</v>
      </c>
      <c r="M18" s="67">
        <f t="shared" ca="1" si="0"/>
        <v>445.5</v>
      </c>
      <c r="N18" s="67">
        <f t="shared" ca="1" si="1"/>
        <v>127.50613747954175</v>
      </c>
      <c r="O18" s="67"/>
      <c r="P18" s="67"/>
      <c r="Q18" s="67"/>
      <c r="R18" s="5">
        <f ca="1">(VLOOKUP(K18,'Summary Calculations (hide)'!$D$15:$L$67,8,0)+VLOOKUP(K18,'Summary Calculations (hide)'!$D$15:$L$67,9,0))*IF(Summary!$C$8="Patients",'Summary Calculations (hide)'!$I$9,1)</f>
        <v>15.153846153846153</v>
      </c>
      <c r="AA18" s="67">
        <f ca="1">IF(Summary!$C$8="Patients", 'Parameters calculator (hide)'!$H$63,'Parameters calculator (hide)'!$H$62)</f>
        <v>1574.0769230769231</v>
      </c>
      <c r="AB18" s="67">
        <f ca="1">IF(Summary!$C$8="Patients", 'Parameters calculator (hide)'!$I$63,'Parameters calculator (hide)'!$I$62)</f>
        <v>1739.7692307692307</v>
      </c>
      <c r="AC18" s="67">
        <f t="shared" ca="1" si="2"/>
        <v>165.69230769230762</v>
      </c>
    </row>
    <row r="19" spans="1:29" x14ac:dyDescent="0.2">
      <c r="A19" s="3"/>
      <c r="B19" s="3"/>
      <c r="C19" s="3"/>
      <c r="H19" s="297">
        <f>'Summary Calculations (hide)'!A21</f>
        <v>44235</v>
      </c>
      <c r="I19" t="str">
        <f>'Summary Calculations (hide)'!B21</f>
        <v/>
      </c>
      <c r="J19" t="str">
        <f>'Summary Calculations (hide)'!C21</f>
        <v/>
      </c>
      <c r="K19">
        <f>'Summary Calculations (hide)'!D21</f>
        <v>6</v>
      </c>
      <c r="L19" s="67">
        <f ca="1">VLOOKUP($K19,'SPC background (hide)'!$AG$2:$AS$54,3,0)</f>
        <v>5</v>
      </c>
      <c r="M19" s="67">
        <f t="shared" ca="1" si="0"/>
        <v>445.5</v>
      </c>
      <c r="N19" s="67">
        <f t="shared" ca="1" si="1"/>
        <v>127.50613747954175</v>
      </c>
      <c r="O19" s="67"/>
      <c r="P19" s="67"/>
      <c r="Q19" s="67"/>
      <c r="R19" s="5">
        <f ca="1">(VLOOKUP(K19,'Summary Calculations (hide)'!$D$15:$L$67,8,0)+VLOOKUP(K19,'Summary Calculations (hide)'!$D$15:$L$67,9,0))*IF(Summary!$C$8="Patients",'Summary Calculations (hide)'!$I$9,1)</f>
        <v>15.153846153846153</v>
      </c>
      <c r="AA19" s="67">
        <f ca="1">IF(Summary!$C$8="Patients", 'Parameters calculator (hide)'!$H$63,'Parameters calculator (hide)'!$H$62)</f>
        <v>1574.0769230769231</v>
      </c>
      <c r="AB19" s="67">
        <f ca="1">IF(Summary!$C$8="Patients", 'Parameters calculator (hide)'!$I$63,'Parameters calculator (hide)'!$I$62)</f>
        <v>1739.7692307692307</v>
      </c>
      <c r="AC19" s="67">
        <f t="shared" ca="1" si="2"/>
        <v>165.69230769230762</v>
      </c>
    </row>
    <row r="20" spans="1:29" x14ac:dyDescent="0.2">
      <c r="A20" s="3"/>
      <c r="B20" s="3"/>
      <c r="C20" s="3"/>
      <c r="H20" s="297">
        <f>'Summary Calculations (hide)'!A22</f>
        <v>44242</v>
      </c>
      <c r="I20" t="str">
        <f>'Summary Calculations (hide)'!B22</f>
        <v/>
      </c>
      <c r="J20" t="str">
        <f>'Summary Calculations (hide)'!C22</f>
        <v/>
      </c>
      <c r="K20">
        <f>'Summary Calculations (hide)'!D22</f>
        <v>7</v>
      </c>
      <c r="L20" s="67">
        <f ca="1">VLOOKUP($K20,'SPC background (hide)'!$AG$2:$AS$54,3,0)</f>
        <v>1</v>
      </c>
      <c r="M20" s="67">
        <f t="shared" ca="1" si="0"/>
        <v>445.5</v>
      </c>
      <c r="N20" s="67">
        <f t="shared" ca="1" si="1"/>
        <v>127.50613747954175</v>
      </c>
      <c r="O20" s="67"/>
      <c r="P20" s="67"/>
      <c r="Q20" s="67"/>
      <c r="R20" s="5">
        <f ca="1">(VLOOKUP(K20,'Summary Calculations (hide)'!$D$15:$L$67,8,0)+VLOOKUP(K20,'Summary Calculations (hide)'!$D$15:$L$67,9,0))*IF(Summary!$C$8="Patients",'Summary Calculations (hide)'!$I$9,1)</f>
        <v>15.153846153846153</v>
      </c>
      <c r="AA20" s="67">
        <f ca="1">IF(Summary!$C$8="Patients", 'Parameters calculator (hide)'!$H$63,'Parameters calculator (hide)'!$H$62)</f>
        <v>1574.0769230769231</v>
      </c>
      <c r="AB20" s="67">
        <f ca="1">IF(Summary!$C$8="Patients", 'Parameters calculator (hide)'!$I$63,'Parameters calculator (hide)'!$I$62)</f>
        <v>1739.7692307692307</v>
      </c>
      <c r="AC20" s="67">
        <f t="shared" ca="1" si="2"/>
        <v>165.69230769230762</v>
      </c>
    </row>
    <row r="21" spans="1:29" x14ac:dyDescent="0.2">
      <c r="A21" s="3"/>
      <c r="B21" s="3"/>
      <c r="C21" s="3"/>
      <c r="H21" s="297">
        <f>'Summary Calculations (hide)'!A23</f>
        <v>44249</v>
      </c>
      <c r="I21" t="str">
        <f>'Summary Calculations (hide)'!B23</f>
        <v/>
      </c>
      <c r="J21" t="str">
        <f>'Summary Calculations (hide)'!C23</f>
        <v/>
      </c>
      <c r="K21">
        <f>'Summary Calculations (hide)'!D23</f>
        <v>8</v>
      </c>
      <c r="L21" s="67">
        <f ca="1">VLOOKUP($K21,'SPC background (hide)'!$AG$2:$AS$54,3,0)</f>
        <v>1</v>
      </c>
      <c r="M21" s="67">
        <f t="shared" ca="1" si="0"/>
        <v>445.5</v>
      </c>
      <c r="N21" s="67">
        <f t="shared" ca="1" si="1"/>
        <v>127.50613747954175</v>
      </c>
      <c r="O21" s="67"/>
      <c r="P21" s="67"/>
      <c r="Q21" s="67"/>
      <c r="R21" s="5">
        <f ca="1">(VLOOKUP(K21,'Summary Calculations (hide)'!$D$15:$L$67,8,0)+VLOOKUP(K21,'Summary Calculations (hide)'!$D$15:$L$67,9,0))*IF(Summary!$C$8="Patients",'Summary Calculations (hide)'!$I$9,1)</f>
        <v>15.153846153846153</v>
      </c>
      <c r="AA21" s="67">
        <f ca="1">IF(Summary!$C$8="Patients", 'Parameters calculator (hide)'!$H$63,'Parameters calculator (hide)'!$H$62)</f>
        <v>1574.0769230769231</v>
      </c>
      <c r="AB21" s="67">
        <f ca="1">IF(Summary!$C$8="Patients", 'Parameters calculator (hide)'!$I$63,'Parameters calculator (hide)'!$I$62)</f>
        <v>1739.7692307692307</v>
      </c>
      <c r="AC21" s="67">
        <f t="shared" ca="1" si="2"/>
        <v>165.69230769230762</v>
      </c>
    </row>
    <row r="22" spans="1:29" x14ac:dyDescent="0.2">
      <c r="A22" s="3"/>
      <c r="B22" s="3"/>
      <c r="C22" s="3"/>
      <c r="H22" s="297">
        <f>'Summary Calculations (hide)'!A24</f>
        <v>44256</v>
      </c>
      <c r="I22" t="str">
        <f>'Summary Calculations (hide)'!B24</f>
        <v/>
      </c>
      <c r="J22" t="str">
        <f>'Summary Calculations (hide)'!C24</f>
        <v>Mar</v>
      </c>
      <c r="K22">
        <f>'Summary Calculations (hide)'!D24</f>
        <v>9</v>
      </c>
      <c r="L22" s="67">
        <f ca="1">VLOOKUP($K22,'SPC background (hide)'!$AG$2:$AS$54,3,0)</f>
        <v>1</v>
      </c>
      <c r="M22" s="67">
        <f t="shared" ca="1" si="0"/>
        <v>445.5</v>
      </c>
      <c r="N22" s="67">
        <f t="shared" ca="1" si="1"/>
        <v>127.50613747954175</v>
      </c>
      <c r="O22" s="67"/>
      <c r="P22" s="67"/>
      <c r="Q22" s="67"/>
      <c r="R22" s="5">
        <f ca="1">(VLOOKUP(K22,'Summary Calculations (hide)'!$D$15:$L$67,8,0)+VLOOKUP(K22,'Summary Calculations (hide)'!$D$15:$L$67,9,0))*IF(Summary!$C$8="Patients",'Summary Calculations (hide)'!$I$9,1)</f>
        <v>15.153846153846153</v>
      </c>
      <c r="AA22" s="67">
        <f ca="1">IF(Summary!$C$8="Patients", 'Parameters calculator (hide)'!$H$63,'Parameters calculator (hide)'!$H$62)</f>
        <v>1574.0769230769231</v>
      </c>
      <c r="AB22" s="67">
        <f ca="1">IF(Summary!$C$8="Patients", 'Parameters calculator (hide)'!$I$63,'Parameters calculator (hide)'!$I$62)</f>
        <v>1739.7692307692307</v>
      </c>
      <c r="AC22" s="67">
        <f t="shared" ca="1" si="2"/>
        <v>165.69230769230762</v>
      </c>
    </row>
    <row r="23" spans="1:29" x14ac:dyDescent="0.2">
      <c r="A23" s="3"/>
      <c r="B23" s="3"/>
      <c r="C23" s="3"/>
      <c r="H23" s="297">
        <f>'Summary Calculations (hide)'!A25</f>
        <v>44263</v>
      </c>
      <c r="I23" t="str">
        <f>'Summary Calculations (hide)'!B25</f>
        <v/>
      </c>
      <c r="J23" t="str">
        <f>'Summary Calculations (hide)'!C25</f>
        <v/>
      </c>
      <c r="K23">
        <f>'Summary Calculations (hide)'!D25</f>
        <v>10</v>
      </c>
      <c r="L23" s="67">
        <f ca="1">VLOOKUP($K23,'SPC background (hide)'!$AG$2:$AS$54,3,0)</f>
        <v>1</v>
      </c>
      <c r="M23" s="67">
        <f t="shared" ca="1" si="0"/>
        <v>445.5</v>
      </c>
      <c r="N23" s="67">
        <f t="shared" ca="1" si="1"/>
        <v>127.50613747954175</v>
      </c>
      <c r="O23" s="67"/>
      <c r="P23" s="67"/>
      <c r="Q23" s="67"/>
      <c r="R23" s="5">
        <f ca="1">(VLOOKUP(K23,'Summary Calculations (hide)'!$D$15:$L$67,8,0)+VLOOKUP(K23,'Summary Calculations (hide)'!$D$15:$L$67,9,0))*IF(Summary!$C$8="Patients",'Summary Calculations (hide)'!$I$9,1)</f>
        <v>15.153846153846153</v>
      </c>
      <c r="AA23" s="67">
        <f ca="1">IF(Summary!$C$8="Patients", 'Parameters calculator (hide)'!$H$63,'Parameters calculator (hide)'!$H$62)</f>
        <v>1574.0769230769231</v>
      </c>
      <c r="AB23" s="67">
        <f ca="1">IF(Summary!$C$8="Patients", 'Parameters calculator (hide)'!$I$63,'Parameters calculator (hide)'!$I$62)</f>
        <v>1739.7692307692307</v>
      </c>
      <c r="AC23" s="67">
        <f t="shared" ca="1" si="2"/>
        <v>165.69230769230762</v>
      </c>
    </row>
    <row r="24" spans="1:29" x14ac:dyDescent="0.2">
      <c r="A24" s="3"/>
      <c r="B24" s="3"/>
      <c r="C24" s="3"/>
      <c r="H24" s="297">
        <f>'Summary Calculations (hide)'!A26</f>
        <v>44270</v>
      </c>
      <c r="I24" t="str">
        <f>'Summary Calculations (hide)'!B26</f>
        <v/>
      </c>
      <c r="J24" t="str">
        <f>'Summary Calculations (hide)'!C26</f>
        <v/>
      </c>
      <c r="K24">
        <f>'Summary Calculations (hide)'!D26</f>
        <v>11</v>
      </c>
      <c r="L24" s="67">
        <f ca="1">VLOOKUP($K24,'SPC background (hide)'!$AG$2:$AS$54,3,0)</f>
        <v>1</v>
      </c>
      <c r="M24" s="67">
        <f t="shared" ca="1" si="0"/>
        <v>445.5</v>
      </c>
      <c r="N24" s="67">
        <f t="shared" ca="1" si="1"/>
        <v>127.50613747954175</v>
      </c>
      <c r="O24" s="67"/>
      <c r="P24" s="67"/>
      <c r="Q24" s="67"/>
      <c r="R24" s="5">
        <f ca="1">(VLOOKUP(K24,'Summary Calculations (hide)'!$D$15:$L$67,8,0)+VLOOKUP(K24,'Summary Calculations (hide)'!$D$15:$L$67,9,0))*IF(Summary!$C$8="Patients",'Summary Calculations (hide)'!$I$9,1)</f>
        <v>15.153846153846153</v>
      </c>
      <c r="AA24" s="67">
        <f ca="1">IF(Summary!$C$8="Patients", 'Parameters calculator (hide)'!$H$63,'Parameters calculator (hide)'!$H$62)</f>
        <v>1574.0769230769231</v>
      </c>
      <c r="AB24" s="67">
        <f ca="1">IF(Summary!$C$8="Patients", 'Parameters calculator (hide)'!$I$63,'Parameters calculator (hide)'!$I$62)</f>
        <v>1739.7692307692307</v>
      </c>
      <c r="AC24" s="67">
        <f t="shared" ca="1" si="2"/>
        <v>165.69230769230762</v>
      </c>
    </row>
    <row r="25" spans="1:29" x14ac:dyDescent="0.2">
      <c r="A25" s="3"/>
      <c r="B25" s="3"/>
      <c r="C25" s="3"/>
      <c r="H25" s="297">
        <f>'Summary Calculations (hide)'!A27</f>
        <v>44277</v>
      </c>
      <c r="I25" t="str">
        <f>'Summary Calculations (hide)'!B27</f>
        <v/>
      </c>
      <c r="J25" t="str">
        <f>'Summary Calculations (hide)'!C27</f>
        <v/>
      </c>
      <c r="K25">
        <f>'Summary Calculations (hide)'!D27</f>
        <v>12</v>
      </c>
      <c r="L25" s="67">
        <f ca="1">VLOOKUP($K25,'SPC background (hide)'!$AG$2:$AS$54,3,0)</f>
        <v>1</v>
      </c>
      <c r="M25" s="67">
        <f t="shared" ca="1" si="0"/>
        <v>445.5</v>
      </c>
      <c r="N25" s="67">
        <f t="shared" ca="1" si="1"/>
        <v>127.50613747954175</v>
      </c>
      <c r="O25" s="67"/>
      <c r="P25" s="67"/>
      <c r="Q25" s="67"/>
      <c r="R25" s="5">
        <f ca="1">(VLOOKUP(K25,'Summary Calculations (hide)'!$D$15:$L$67,8,0)+VLOOKUP(K25,'Summary Calculations (hide)'!$D$15:$L$67,9,0))*IF(Summary!$C$8="Patients",'Summary Calculations (hide)'!$I$9,1)</f>
        <v>15.153846153846153</v>
      </c>
      <c r="AA25" s="67">
        <f ca="1">IF(Summary!$C$8="Patients", 'Parameters calculator (hide)'!$H$63,'Parameters calculator (hide)'!$H$62)</f>
        <v>1574.0769230769231</v>
      </c>
      <c r="AB25" s="67">
        <f ca="1">IF(Summary!$C$8="Patients", 'Parameters calculator (hide)'!$I$63,'Parameters calculator (hide)'!$I$62)</f>
        <v>1739.7692307692307</v>
      </c>
      <c r="AC25" s="67">
        <f t="shared" ca="1" si="2"/>
        <v>165.69230769230762</v>
      </c>
    </row>
    <row r="26" spans="1:29" ht="15" x14ac:dyDescent="0.25">
      <c r="A26" s="3"/>
      <c r="B26" s="3"/>
      <c r="C26" s="302"/>
      <c r="H26" s="297">
        <f>'Summary Calculations (hide)'!A28</f>
        <v>44284</v>
      </c>
      <c r="I26" t="str">
        <f>'Summary Calculations (hide)'!B28</f>
        <v/>
      </c>
      <c r="J26" t="str">
        <f>'Summary Calculations (hide)'!C28</f>
        <v/>
      </c>
      <c r="K26">
        <f>'Summary Calculations (hide)'!D28</f>
        <v>13</v>
      </c>
      <c r="L26" s="67">
        <f ca="1">VLOOKUP($K26,'SPC background (hide)'!$AG$2:$AS$54,3,0)</f>
        <v>1</v>
      </c>
      <c r="M26" s="67">
        <f t="shared" ca="1" si="0"/>
        <v>445.5</v>
      </c>
      <c r="N26" s="67">
        <f t="shared" ca="1" si="1"/>
        <v>127.50613747954175</v>
      </c>
      <c r="O26" s="67"/>
      <c r="P26" s="67"/>
      <c r="Q26" s="67"/>
      <c r="R26" s="5">
        <f ca="1">(VLOOKUP(K26,'Summary Calculations (hide)'!$D$15:$L$67,8,0)+VLOOKUP(K26,'Summary Calculations (hide)'!$D$15:$L$67,9,0))*IF(Summary!$C$8="Patients",'Summary Calculations (hide)'!$I$9,1)</f>
        <v>15.153846153846153</v>
      </c>
      <c r="AA26" s="67">
        <f ca="1">IF(Summary!$C$8="Patients", 'Parameters calculator (hide)'!$H$63,'Parameters calculator (hide)'!$H$62)</f>
        <v>1574.0769230769231</v>
      </c>
      <c r="AB26" s="67">
        <f ca="1">IF(Summary!$C$8="Patients", 'Parameters calculator (hide)'!$I$63,'Parameters calculator (hide)'!$I$62)</f>
        <v>1739.7692307692307</v>
      </c>
      <c r="AC26" s="67">
        <f t="shared" ca="1" si="2"/>
        <v>165.69230769230762</v>
      </c>
    </row>
    <row r="27" spans="1:29" x14ac:dyDescent="0.2">
      <c r="A27" s="3"/>
      <c r="B27" s="3"/>
      <c r="C27" s="3"/>
      <c r="H27" s="297">
        <f>'Summary Calculations (hide)'!A29</f>
        <v>44291</v>
      </c>
      <c r="I27" t="str">
        <f>'Summary Calculations (hide)'!B29</f>
        <v/>
      </c>
      <c r="J27" t="str">
        <f>'Summary Calculations (hide)'!C29</f>
        <v>Apr</v>
      </c>
      <c r="K27">
        <f>'Summary Calculations (hide)'!D29</f>
        <v>14</v>
      </c>
      <c r="L27" s="67">
        <f ca="1">VLOOKUP($K27,'SPC background (hide)'!$AG$2:$AS$54,3,0)</f>
        <v>1</v>
      </c>
      <c r="M27" s="67">
        <f t="shared" ca="1" si="0"/>
        <v>445.5</v>
      </c>
      <c r="N27" s="67">
        <f t="shared" ca="1" si="1"/>
        <v>127.50613747954175</v>
      </c>
      <c r="O27" s="67"/>
      <c r="P27" s="67"/>
      <c r="Q27" s="67"/>
      <c r="R27" s="5">
        <f ca="1">(VLOOKUP(K27,'Summary Calculations (hide)'!$D$15:$L$67,8,0)+VLOOKUP(K27,'Summary Calculations (hide)'!$D$15:$L$67,9,0))*IF(Summary!$C$8="Patients",'Summary Calculations (hide)'!$I$9,1)</f>
        <v>15.153846153846153</v>
      </c>
      <c r="AA27" s="67">
        <f ca="1">IF(Summary!$C$8="Patients", 'Parameters calculator (hide)'!$H$63,'Parameters calculator (hide)'!$H$62)</f>
        <v>1574.0769230769231</v>
      </c>
      <c r="AB27" s="67">
        <f ca="1">IF(Summary!$C$8="Patients", 'Parameters calculator (hide)'!$I$63,'Parameters calculator (hide)'!$I$62)</f>
        <v>1739.7692307692307</v>
      </c>
      <c r="AC27" s="67">
        <f t="shared" ca="1" si="2"/>
        <v>165.69230769230762</v>
      </c>
    </row>
    <row r="28" spans="1:29" x14ac:dyDescent="0.2">
      <c r="A28" s="3"/>
      <c r="B28" s="3"/>
      <c r="C28" s="3"/>
      <c r="H28" s="297">
        <f>'Summary Calculations (hide)'!A30</f>
        <v>44298</v>
      </c>
      <c r="I28" t="str">
        <f>'Summary Calculations (hide)'!B30</f>
        <v/>
      </c>
      <c r="J28" t="str">
        <f>'Summary Calculations (hide)'!C30</f>
        <v/>
      </c>
      <c r="K28">
        <f>'Summary Calculations (hide)'!D30</f>
        <v>15</v>
      </c>
      <c r="L28" s="67">
        <f ca="1">VLOOKUP($K28,'SPC background (hide)'!$AG$2:$AS$54,3,0)</f>
        <v>1</v>
      </c>
      <c r="M28" s="67">
        <f t="shared" ca="1" si="0"/>
        <v>445.5</v>
      </c>
      <c r="N28" s="67">
        <f t="shared" ca="1" si="1"/>
        <v>127.50613747954175</v>
      </c>
      <c r="O28" s="67"/>
      <c r="P28" s="67"/>
      <c r="Q28" s="67"/>
      <c r="R28" s="5">
        <f ca="1">(VLOOKUP(K28,'Summary Calculations (hide)'!$D$15:$L$67,8,0)+VLOOKUP(K28,'Summary Calculations (hide)'!$D$15:$L$67,9,0))*IF(Summary!$C$8="Patients",'Summary Calculations (hide)'!$I$9,1)</f>
        <v>15.153846153846153</v>
      </c>
      <c r="AA28" s="67">
        <f ca="1">IF(Summary!$C$8="Patients", 'Parameters calculator (hide)'!$H$63,'Parameters calculator (hide)'!$H$62)</f>
        <v>1574.0769230769231</v>
      </c>
      <c r="AB28" s="67">
        <f ca="1">IF(Summary!$C$8="Patients", 'Parameters calculator (hide)'!$I$63,'Parameters calculator (hide)'!$I$62)</f>
        <v>1739.7692307692307</v>
      </c>
      <c r="AC28" s="67">
        <f t="shared" ca="1" si="2"/>
        <v>165.69230769230762</v>
      </c>
    </row>
    <row r="29" spans="1:29" x14ac:dyDescent="0.2">
      <c r="A29" s="3"/>
      <c r="B29" s="3"/>
      <c r="C29" s="3"/>
      <c r="H29" s="297">
        <f>'Summary Calculations (hide)'!A31</f>
        <v>44305</v>
      </c>
      <c r="I29" t="str">
        <f>'Summary Calculations (hide)'!B31</f>
        <v/>
      </c>
      <c r="J29" t="str">
        <f>'Summary Calculations (hide)'!C31</f>
        <v/>
      </c>
      <c r="K29">
        <f>'Summary Calculations (hide)'!D31</f>
        <v>16</v>
      </c>
      <c r="L29" s="67">
        <f ca="1">VLOOKUP($K29,'SPC background (hide)'!$AG$2:$AS$54,3,0)</f>
        <v>1</v>
      </c>
      <c r="M29" s="67">
        <f t="shared" ca="1" si="0"/>
        <v>445.5</v>
      </c>
      <c r="N29" s="67">
        <f t="shared" ca="1" si="1"/>
        <v>127.50613747954175</v>
      </c>
      <c r="O29" s="67"/>
      <c r="P29" s="67"/>
      <c r="Q29" s="67"/>
      <c r="R29" s="5">
        <f ca="1">(VLOOKUP(K29,'Summary Calculations (hide)'!$D$15:$L$67,8,0)+VLOOKUP(K29,'Summary Calculations (hide)'!$D$15:$L$67,9,0))*IF(Summary!$C$8="Patients",'Summary Calculations (hide)'!$I$9,1)</f>
        <v>15.153846153846153</v>
      </c>
      <c r="AA29" s="67">
        <f ca="1">IF(Summary!$C$8="Patients", 'Parameters calculator (hide)'!$H$63,'Parameters calculator (hide)'!$H$62)</f>
        <v>1574.0769230769231</v>
      </c>
      <c r="AB29" s="67">
        <f ca="1">IF(Summary!$C$8="Patients", 'Parameters calculator (hide)'!$I$63,'Parameters calculator (hide)'!$I$62)</f>
        <v>1739.7692307692307</v>
      </c>
      <c r="AC29" s="67">
        <f t="shared" ca="1" si="2"/>
        <v>165.69230769230762</v>
      </c>
    </row>
    <row r="30" spans="1:29" x14ac:dyDescent="0.2">
      <c r="A30" s="3"/>
      <c r="B30" s="3"/>
      <c r="C30" s="3"/>
      <c r="H30" s="297">
        <f>'Summary Calculations (hide)'!A32</f>
        <v>44312</v>
      </c>
      <c r="I30" t="str">
        <f>'Summary Calculations (hide)'!B32</f>
        <v/>
      </c>
      <c r="J30" t="str">
        <f>'Summary Calculations (hide)'!C32</f>
        <v/>
      </c>
      <c r="K30">
        <f>'Summary Calculations (hide)'!D32</f>
        <v>17</v>
      </c>
      <c r="L30" s="67">
        <f ca="1">VLOOKUP($K30,'SPC background (hide)'!$AG$2:$AS$54,3,0)</f>
        <v>1</v>
      </c>
      <c r="M30" s="67">
        <f t="shared" ca="1" si="0"/>
        <v>445.5</v>
      </c>
      <c r="N30" s="67">
        <f t="shared" ca="1" si="1"/>
        <v>127.50613747954175</v>
      </c>
      <c r="O30" s="67"/>
      <c r="P30" s="67"/>
      <c r="Q30" s="67"/>
      <c r="R30" s="5">
        <f ca="1">(VLOOKUP(K30,'Summary Calculations (hide)'!$D$15:$L$67,8,0)+VLOOKUP(K30,'Summary Calculations (hide)'!$D$15:$L$67,9,0))*IF(Summary!$C$8="Patients",'Summary Calculations (hide)'!$I$9,1)</f>
        <v>15.153846153846153</v>
      </c>
      <c r="AA30" s="67">
        <f ca="1">IF(Summary!$C$8="Patients", 'Parameters calculator (hide)'!$H$63,'Parameters calculator (hide)'!$H$62)</f>
        <v>1574.0769230769231</v>
      </c>
      <c r="AB30" s="67">
        <f ca="1">IF(Summary!$C$8="Patients", 'Parameters calculator (hide)'!$I$63,'Parameters calculator (hide)'!$I$62)</f>
        <v>1739.7692307692307</v>
      </c>
      <c r="AC30" s="67">
        <f t="shared" ca="1" si="2"/>
        <v>165.69230769230762</v>
      </c>
    </row>
    <row r="31" spans="1:29" x14ac:dyDescent="0.2">
      <c r="A31" s="3"/>
      <c r="B31" s="3"/>
      <c r="C31" s="3"/>
      <c r="H31" s="297">
        <f>'Summary Calculations (hide)'!A33</f>
        <v>44319</v>
      </c>
      <c r="I31" t="str">
        <f>'Summary Calculations (hide)'!B33</f>
        <v/>
      </c>
      <c r="J31" t="str">
        <f>'Summary Calculations (hide)'!C33</f>
        <v>May</v>
      </c>
      <c r="K31">
        <f>'Summary Calculations (hide)'!D33</f>
        <v>18</v>
      </c>
      <c r="L31" s="67">
        <f ca="1">VLOOKUP($K31,'SPC background (hide)'!$AG$2:$AS$54,3,0)</f>
        <v>1</v>
      </c>
      <c r="M31" s="67">
        <f t="shared" ca="1" si="0"/>
        <v>445.5</v>
      </c>
      <c r="N31" s="67">
        <f t="shared" ca="1" si="1"/>
        <v>127.50613747954175</v>
      </c>
      <c r="O31" s="67"/>
      <c r="P31" s="67"/>
      <c r="Q31" s="67"/>
      <c r="R31" s="5">
        <f ca="1">(VLOOKUP(K31,'Summary Calculations (hide)'!$D$15:$L$67,8,0)+VLOOKUP(K31,'Summary Calculations (hide)'!$D$15:$L$67,9,0))*IF(Summary!$C$8="Patients",'Summary Calculations (hide)'!$I$9,1)</f>
        <v>15.153846153846153</v>
      </c>
      <c r="AA31" s="67">
        <f ca="1">IF(Summary!$C$8="Patients", 'Parameters calculator (hide)'!$H$63,'Parameters calculator (hide)'!$H$62)</f>
        <v>1574.0769230769231</v>
      </c>
      <c r="AB31" s="67">
        <f ca="1">IF(Summary!$C$8="Patients", 'Parameters calculator (hide)'!$I$63,'Parameters calculator (hide)'!$I$62)</f>
        <v>1739.7692307692307</v>
      </c>
      <c r="AC31" s="67">
        <f t="shared" ca="1" si="2"/>
        <v>165.69230769230762</v>
      </c>
    </row>
    <row r="32" spans="1:29" x14ac:dyDescent="0.2">
      <c r="A32" s="3"/>
      <c r="B32" s="3"/>
      <c r="C32" s="3"/>
      <c r="H32" s="297">
        <f>'Summary Calculations (hide)'!A34</f>
        <v>44326</v>
      </c>
      <c r="I32" t="str">
        <f>'Summary Calculations (hide)'!B34</f>
        <v/>
      </c>
      <c r="J32" t="str">
        <f>'Summary Calculations (hide)'!C34</f>
        <v/>
      </c>
      <c r="K32">
        <f>'Summary Calculations (hide)'!D34</f>
        <v>19</v>
      </c>
      <c r="L32" s="67">
        <f ca="1">VLOOKUP($K32,'SPC background (hide)'!$AG$2:$AS$54,3,0)</f>
        <v>1</v>
      </c>
      <c r="M32" s="67">
        <f t="shared" ca="1" si="0"/>
        <v>445.5</v>
      </c>
      <c r="N32" s="67">
        <f t="shared" ca="1" si="1"/>
        <v>127.50613747954175</v>
      </c>
      <c r="O32" s="67"/>
      <c r="P32" s="67"/>
      <c r="Q32" s="67"/>
      <c r="R32" s="5">
        <f ca="1">(VLOOKUP(K32,'Summary Calculations (hide)'!$D$15:$L$67,8,0)+VLOOKUP(K32,'Summary Calculations (hide)'!$D$15:$L$67,9,0))*IF(Summary!$C$8="Patients",'Summary Calculations (hide)'!$I$9,1)</f>
        <v>15.153846153846153</v>
      </c>
      <c r="AA32" s="67">
        <f ca="1">IF(Summary!$C$8="Patients", 'Parameters calculator (hide)'!$H$63,'Parameters calculator (hide)'!$H$62)</f>
        <v>1574.0769230769231</v>
      </c>
      <c r="AB32" s="67">
        <f ca="1">IF(Summary!$C$8="Patients", 'Parameters calculator (hide)'!$I$63,'Parameters calculator (hide)'!$I$62)</f>
        <v>1739.7692307692307</v>
      </c>
      <c r="AC32" s="67">
        <f t="shared" ca="1" si="2"/>
        <v>165.69230769230762</v>
      </c>
    </row>
    <row r="33" spans="1:29" x14ac:dyDescent="0.2">
      <c r="B33" t="s">
        <v>1149</v>
      </c>
      <c r="H33" s="297">
        <f>'Summary Calculations (hide)'!A35</f>
        <v>44333</v>
      </c>
      <c r="I33" t="str">
        <f>'Summary Calculations (hide)'!B35</f>
        <v/>
      </c>
      <c r="J33" t="str">
        <f>'Summary Calculations (hide)'!C35</f>
        <v/>
      </c>
      <c r="K33">
        <f>'Summary Calculations (hide)'!D35</f>
        <v>20</v>
      </c>
      <c r="L33" s="67">
        <f ca="1">VLOOKUP($K33,'SPC background (hide)'!$AG$2:$AS$54,3,0)</f>
        <v>1</v>
      </c>
      <c r="M33" s="67">
        <f t="shared" ca="1" si="0"/>
        <v>445.5</v>
      </c>
      <c r="N33" s="67">
        <f t="shared" ca="1" si="1"/>
        <v>127.50613747954175</v>
      </c>
      <c r="O33" s="67"/>
      <c r="P33" s="67"/>
      <c r="Q33" s="67"/>
      <c r="R33" s="5">
        <f ca="1">(VLOOKUP(K33,'Summary Calculations (hide)'!$D$15:$L$67,8,0)+VLOOKUP(K33,'Summary Calculations (hide)'!$D$15:$L$67,9,0))*IF(Summary!$C$8="Patients",'Summary Calculations (hide)'!$I$9,1)</f>
        <v>15.153846153846153</v>
      </c>
      <c r="AA33" s="67">
        <f ca="1">IF(Summary!$C$8="Patients", 'Parameters calculator (hide)'!$H$63,'Parameters calculator (hide)'!$H$62)</f>
        <v>1574.0769230769231</v>
      </c>
      <c r="AB33" s="67">
        <f ca="1">IF(Summary!$C$8="Patients", 'Parameters calculator (hide)'!$I$63,'Parameters calculator (hide)'!$I$62)</f>
        <v>1739.7692307692307</v>
      </c>
      <c r="AC33" s="67">
        <f t="shared" ca="1" si="2"/>
        <v>165.69230769230762</v>
      </c>
    </row>
    <row r="34" spans="1:29" x14ac:dyDescent="0.2">
      <c r="A34" t="s">
        <v>1121</v>
      </c>
      <c r="B34" s="5">
        <f ca="1">'Parameters calculator (hide)'!C79</f>
        <v>2100</v>
      </c>
      <c r="H34" s="297">
        <f>'Summary Calculations (hide)'!A36</f>
        <v>44340</v>
      </c>
      <c r="I34" t="str">
        <f>'Summary Calculations (hide)'!B36</f>
        <v/>
      </c>
      <c r="J34" t="str">
        <f>'Summary Calculations (hide)'!C36</f>
        <v/>
      </c>
      <c r="K34">
        <f>'Summary Calculations (hide)'!D36</f>
        <v>21</v>
      </c>
      <c r="L34" s="67">
        <f ca="1">VLOOKUP($K34,'SPC background (hide)'!$AG$2:$AS$54,3,0)</f>
        <v>1</v>
      </c>
      <c r="M34" s="67">
        <f t="shared" ca="1" si="0"/>
        <v>445.5</v>
      </c>
      <c r="N34" s="67">
        <f t="shared" ca="1" si="1"/>
        <v>127.50613747954175</v>
      </c>
      <c r="O34" s="67"/>
      <c r="P34" s="67"/>
      <c r="Q34" s="67"/>
      <c r="R34" s="5">
        <f ca="1">(VLOOKUP(K34,'Summary Calculations (hide)'!$D$15:$L$67,8,0)+VLOOKUP(K34,'Summary Calculations (hide)'!$D$15:$L$67,9,0))*IF(Summary!$C$8="Patients",'Summary Calculations (hide)'!$I$9,1)</f>
        <v>15.153846153846153</v>
      </c>
      <c r="AA34" s="67">
        <f ca="1">IF(Summary!$C$8="Patients", 'Parameters calculator (hide)'!$H$63,'Parameters calculator (hide)'!$H$62)</f>
        <v>1574.0769230769231</v>
      </c>
      <c r="AB34" s="67">
        <f ca="1">IF(Summary!$C$8="Patients", 'Parameters calculator (hide)'!$I$63,'Parameters calculator (hide)'!$I$62)</f>
        <v>1739.7692307692307</v>
      </c>
      <c r="AC34" s="67">
        <f t="shared" ca="1" si="2"/>
        <v>165.69230769230762</v>
      </c>
    </row>
    <row r="35" spans="1:29" x14ac:dyDescent="0.2">
      <c r="H35" s="297">
        <f>'Summary Calculations (hide)'!A37</f>
        <v>44347</v>
      </c>
      <c r="I35" t="str">
        <f>'Summary Calculations (hide)'!B37</f>
        <v/>
      </c>
      <c r="J35" t="str">
        <f>'Summary Calculations (hide)'!C37</f>
        <v/>
      </c>
      <c r="K35">
        <f>'Summary Calculations (hide)'!D37</f>
        <v>22</v>
      </c>
      <c r="L35" s="67">
        <f ca="1">VLOOKUP($K35,'SPC background (hide)'!$AG$2:$AS$54,3,0)</f>
        <v>1</v>
      </c>
      <c r="M35" s="67">
        <f t="shared" ca="1" si="0"/>
        <v>445.5</v>
      </c>
      <c r="N35" s="67">
        <f t="shared" ca="1" si="1"/>
        <v>127.50613747954175</v>
      </c>
      <c r="O35" s="67"/>
      <c r="P35" s="67"/>
      <c r="Q35" s="67"/>
      <c r="R35" s="5">
        <f ca="1">(VLOOKUP(K35,'Summary Calculations (hide)'!$D$15:$L$67,8,0)+VLOOKUP(K35,'Summary Calculations (hide)'!$D$15:$L$67,9,0))*IF(Summary!$C$8="Patients",'Summary Calculations (hide)'!$I$9,1)</f>
        <v>15.153846153846153</v>
      </c>
      <c r="AA35" s="67">
        <f ca="1">IF(Summary!$C$8="Patients", 'Parameters calculator (hide)'!$H$63,'Parameters calculator (hide)'!$H$62)</f>
        <v>1574.0769230769231</v>
      </c>
      <c r="AB35" s="67">
        <f ca="1">IF(Summary!$C$8="Patients", 'Parameters calculator (hide)'!$I$63,'Parameters calculator (hide)'!$I$62)</f>
        <v>1739.7692307692307</v>
      </c>
      <c r="AC35" s="67">
        <f t="shared" ca="1" si="2"/>
        <v>165.69230769230762</v>
      </c>
    </row>
    <row r="36" spans="1:29" x14ac:dyDescent="0.2">
      <c r="H36" s="297">
        <f>'Summary Calculations (hide)'!A38</f>
        <v>44354</v>
      </c>
      <c r="I36" t="str">
        <f>'Summary Calculations (hide)'!B38</f>
        <v/>
      </c>
      <c r="J36" t="str">
        <f>'Summary Calculations (hide)'!C38</f>
        <v>Jun</v>
      </c>
      <c r="K36">
        <f>'Summary Calculations (hide)'!D38</f>
        <v>23</v>
      </c>
      <c r="L36" s="67">
        <f ca="1">VLOOKUP($K36,'SPC background (hide)'!$AG$2:$AS$54,3,0)</f>
        <v>1</v>
      </c>
      <c r="M36" s="67">
        <f t="shared" ca="1" si="0"/>
        <v>445.5</v>
      </c>
      <c r="N36" s="67">
        <f t="shared" ca="1" si="1"/>
        <v>127.50613747954175</v>
      </c>
      <c r="O36" s="67"/>
      <c r="P36" s="67"/>
      <c r="Q36" s="67"/>
      <c r="R36" s="5">
        <f ca="1">(VLOOKUP(K36,'Summary Calculations (hide)'!$D$15:$L$67,8,0)+VLOOKUP(K36,'Summary Calculations (hide)'!$D$15:$L$67,9,0))*IF(Summary!$C$8="Patients",'Summary Calculations (hide)'!$I$9,1)</f>
        <v>15.153846153846153</v>
      </c>
      <c r="AA36" s="67">
        <f ca="1">IF(Summary!$C$8="Patients", 'Parameters calculator (hide)'!$H$63,'Parameters calculator (hide)'!$H$62)</f>
        <v>1574.0769230769231</v>
      </c>
      <c r="AB36" s="67">
        <f ca="1">IF(Summary!$C$8="Patients", 'Parameters calculator (hide)'!$I$63,'Parameters calculator (hide)'!$I$62)</f>
        <v>1739.7692307692307</v>
      </c>
      <c r="AC36" s="67">
        <f t="shared" ca="1" si="2"/>
        <v>165.69230769230762</v>
      </c>
    </row>
    <row r="37" spans="1:29" x14ac:dyDescent="0.2">
      <c r="H37" s="297">
        <f>'Summary Calculations (hide)'!A39</f>
        <v>44361</v>
      </c>
      <c r="I37" t="str">
        <f>'Summary Calculations (hide)'!B39</f>
        <v/>
      </c>
      <c r="J37" t="str">
        <f>'Summary Calculations (hide)'!C39</f>
        <v/>
      </c>
      <c r="K37">
        <f>'Summary Calculations (hide)'!D39</f>
        <v>24</v>
      </c>
      <c r="L37" s="67">
        <f ca="1">VLOOKUP($K37,'SPC background (hide)'!$AG$2:$AS$54,3,0)</f>
        <v>1</v>
      </c>
      <c r="M37" s="67">
        <f t="shared" ca="1" si="0"/>
        <v>445.5</v>
      </c>
      <c r="N37" s="67">
        <f t="shared" ca="1" si="1"/>
        <v>127.50613747954175</v>
      </c>
      <c r="O37" s="67"/>
      <c r="P37" s="67"/>
      <c r="Q37" s="67"/>
      <c r="R37" s="5">
        <f ca="1">(VLOOKUP(K37,'Summary Calculations (hide)'!$D$15:$L$67,8,0)+VLOOKUP(K37,'Summary Calculations (hide)'!$D$15:$L$67,9,0))*IF(Summary!$C$8="Patients",'Summary Calculations (hide)'!$I$9,1)</f>
        <v>15.153846153846153</v>
      </c>
      <c r="AA37" s="67">
        <f ca="1">IF(Summary!$C$8="Patients", 'Parameters calculator (hide)'!$H$63,'Parameters calculator (hide)'!$H$62)</f>
        <v>1574.0769230769231</v>
      </c>
      <c r="AB37" s="67">
        <f ca="1">IF(Summary!$C$8="Patients", 'Parameters calculator (hide)'!$I$63,'Parameters calculator (hide)'!$I$62)</f>
        <v>1739.7692307692307</v>
      </c>
      <c r="AC37" s="67">
        <f t="shared" ca="1" si="2"/>
        <v>165.69230769230762</v>
      </c>
    </row>
    <row r="38" spans="1:29" x14ac:dyDescent="0.2">
      <c r="H38" s="297">
        <f>'Summary Calculations (hide)'!A40</f>
        <v>44368</v>
      </c>
      <c r="I38" t="str">
        <f>'Summary Calculations (hide)'!B40</f>
        <v/>
      </c>
      <c r="J38" t="str">
        <f>'Summary Calculations (hide)'!C40</f>
        <v/>
      </c>
      <c r="K38">
        <f>'Summary Calculations (hide)'!D40</f>
        <v>25</v>
      </c>
      <c r="L38" s="67">
        <f ca="1">VLOOKUP($K38,'SPC background (hide)'!$AG$2:$AS$54,3,0)</f>
        <v>1</v>
      </c>
      <c r="M38" s="67">
        <f t="shared" ca="1" si="0"/>
        <v>445.5</v>
      </c>
      <c r="N38" s="67">
        <f t="shared" ca="1" si="1"/>
        <v>127.50613747954175</v>
      </c>
      <c r="O38" s="67"/>
      <c r="P38" s="67"/>
      <c r="Q38" s="67"/>
      <c r="R38" s="5">
        <f ca="1">(VLOOKUP(K38,'Summary Calculations (hide)'!$D$15:$L$67,8,0)+VLOOKUP(K38,'Summary Calculations (hide)'!$D$15:$L$67,9,0))*IF(Summary!$C$8="Patients",'Summary Calculations (hide)'!$I$9,1)</f>
        <v>15.153846153846153</v>
      </c>
      <c r="AA38" s="67">
        <f ca="1">IF(Summary!$C$8="Patients", 'Parameters calculator (hide)'!$H$63,'Parameters calculator (hide)'!$H$62)</f>
        <v>1574.0769230769231</v>
      </c>
      <c r="AB38" s="67">
        <f ca="1">IF(Summary!$C$8="Patients", 'Parameters calculator (hide)'!$I$63,'Parameters calculator (hide)'!$I$62)</f>
        <v>1739.7692307692307</v>
      </c>
      <c r="AC38" s="67">
        <f t="shared" ca="1" si="2"/>
        <v>165.69230769230762</v>
      </c>
    </row>
    <row r="39" spans="1:29" x14ac:dyDescent="0.2">
      <c r="H39" s="297">
        <f>'Summary Calculations (hide)'!A41</f>
        <v>44375</v>
      </c>
      <c r="I39" t="str">
        <f>'Summary Calculations (hide)'!B41</f>
        <v/>
      </c>
      <c r="J39" t="str">
        <f>'Summary Calculations (hide)'!C41</f>
        <v/>
      </c>
      <c r="K39">
        <f>'Summary Calculations (hide)'!D41</f>
        <v>26</v>
      </c>
      <c r="L39" s="67">
        <f ca="1">VLOOKUP($K39,'SPC background (hide)'!$AG$2:$AS$54,3,0)</f>
        <v>1</v>
      </c>
      <c r="M39" s="67">
        <f t="shared" ca="1" si="0"/>
        <v>445.5</v>
      </c>
      <c r="N39" s="67">
        <f t="shared" ca="1" si="1"/>
        <v>127.50613747954175</v>
      </c>
      <c r="O39" s="67"/>
      <c r="P39" s="67"/>
      <c r="Q39" s="67"/>
      <c r="R39" s="5">
        <f ca="1">(VLOOKUP(K39,'Summary Calculations (hide)'!$D$15:$L$67,8,0)+VLOOKUP(K39,'Summary Calculations (hide)'!$D$15:$L$67,9,0))*IF(Summary!$C$8="Patients",'Summary Calculations (hide)'!$I$9,1)</f>
        <v>15.153846153846153</v>
      </c>
      <c r="AA39" s="67">
        <f ca="1">IF(Summary!$C$8="Patients", 'Parameters calculator (hide)'!$H$63,'Parameters calculator (hide)'!$H$62)</f>
        <v>1574.0769230769231</v>
      </c>
      <c r="AB39" s="67">
        <f ca="1">IF(Summary!$C$8="Patients", 'Parameters calculator (hide)'!$I$63,'Parameters calculator (hide)'!$I$62)</f>
        <v>1739.7692307692307</v>
      </c>
      <c r="AC39" s="67">
        <f t="shared" ca="1" si="2"/>
        <v>165.69230769230762</v>
      </c>
    </row>
    <row r="40" spans="1:29" x14ac:dyDescent="0.2">
      <c r="H40" s="297">
        <f>'Summary Calculations (hide)'!A42</f>
        <v>44382</v>
      </c>
      <c r="I40" t="str">
        <f>'Summary Calculations (hide)'!B42</f>
        <v/>
      </c>
      <c r="J40" t="str">
        <f>'Summary Calculations (hide)'!C42</f>
        <v>Jul</v>
      </c>
      <c r="K40">
        <f>'Summary Calculations (hide)'!D42</f>
        <v>27</v>
      </c>
      <c r="L40" s="67">
        <f ca="1">VLOOKUP($K40,'SPC background (hide)'!$AG$2:$AS$54,3,0)</f>
        <v>1</v>
      </c>
      <c r="M40" s="67">
        <f t="shared" ca="1" si="0"/>
        <v>445.5</v>
      </c>
      <c r="N40" s="67">
        <f t="shared" ca="1" si="1"/>
        <v>127.50613747954175</v>
      </c>
      <c r="O40" s="67"/>
      <c r="P40" s="67"/>
      <c r="Q40" s="67"/>
      <c r="R40" s="5">
        <f ca="1">(VLOOKUP(K40,'Summary Calculations (hide)'!$D$15:$L$67,8,0)+VLOOKUP(K40,'Summary Calculations (hide)'!$D$15:$L$67,9,0))*IF(Summary!$C$8="Patients",'Summary Calculations (hide)'!$I$9,1)</f>
        <v>15.153846153846153</v>
      </c>
      <c r="AA40" s="67">
        <f ca="1">IF(Summary!$C$8="Patients", 'Parameters calculator (hide)'!$H$63,'Parameters calculator (hide)'!$H$62)</f>
        <v>1574.0769230769231</v>
      </c>
      <c r="AB40" s="67">
        <f ca="1">IF(Summary!$C$8="Patients", 'Parameters calculator (hide)'!$I$63,'Parameters calculator (hide)'!$I$62)</f>
        <v>1739.7692307692307</v>
      </c>
      <c r="AC40" s="67">
        <f t="shared" ca="1" si="2"/>
        <v>165.69230769230762</v>
      </c>
    </row>
    <row r="41" spans="1:29" x14ac:dyDescent="0.2">
      <c r="H41" s="297">
        <f>'Summary Calculations (hide)'!A43</f>
        <v>44389</v>
      </c>
      <c r="I41" t="str">
        <f>'Summary Calculations (hide)'!B43</f>
        <v/>
      </c>
      <c r="J41" t="str">
        <f>'Summary Calculations (hide)'!C43</f>
        <v/>
      </c>
      <c r="K41">
        <f>'Summary Calculations (hide)'!D43</f>
        <v>28</v>
      </c>
      <c r="L41" s="67">
        <f ca="1">VLOOKUP($K41,'SPC background (hide)'!$AG$2:$AS$54,3,0)</f>
        <v>1</v>
      </c>
      <c r="M41" s="67">
        <f t="shared" ca="1" si="0"/>
        <v>445.5</v>
      </c>
      <c r="N41" s="67">
        <f t="shared" ca="1" si="1"/>
        <v>127.50613747954175</v>
      </c>
      <c r="O41" s="67"/>
      <c r="P41" s="67"/>
      <c r="Q41" s="67"/>
      <c r="R41" s="5">
        <f ca="1">(VLOOKUP(K41,'Summary Calculations (hide)'!$D$15:$L$67,8,0)+VLOOKUP(K41,'Summary Calculations (hide)'!$D$15:$L$67,9,0))*IF(Summary!$C$8="Patients",'Summary Calculations (hide)'!$I$9,1)</f>
        <v>15.153846153846153</v>
      </c>
      <c r="AA41" s="67">
        <f ca="1">IF(Summary!$C$8="Patients", 'Parameters calculator (hide)'!$H$63,'Parameters calculator (hide)'!$H$62)</f>
        <v>1574.0769230769231</v>
      </c>
      <c r="AB41" s="67">
        <f ca="1">IF(Summary!$C$8="Patients", 'Parameters calculator (hide)'!$I$63,'Parameters calculator (hide)'!$I$62)</f>
        <v>1739.7692307692307</v>
      </c>
      <c r="AC41" s="67">
        <f t="shared" ca="1" si="2"/>
        <v>165.69230769230762</v>
      </c>
    </row>
    <row r="42" spans="1:29" x14ac:dyDescent="0.2">
      <c r="H42" s="297">
        <f>'Summary Calculations (hide)'!A44</f>
        <v>44396</v>
      </c>
      <c r="I42" t="str">
        <f>'Summary Calculations (hide)'!B44</f>
        <v/>
      </c>
      <c r="J42" t="str">
        <f>'Summary Calculations (hide)'!C44</f>
        <v/>
      </c>
      <c r="K42">
        <f>'Summary Calculations (hide)'!D44</f>
        <v>29</v>
      </c>
      <c r="L42" s="67">
        <f ca="1">VLOOKUP($K42,'SPC background (hide)'!$AG$2:$AS$54,3,0)</f>
        <v>1</v>
      </c>
      <c r="M42" s="67">
        <f t="shared" ca="1" si="0"/>
        <v>445.5</v>
      </c>
      <c r="N42" s="67">
        <f t="shared" ca="1" si="1"/>
        <v>127.50613747954175</v>
      </c>
      <c r="O42" s="67"/>
      <c r="P42" s="67"/>
      <c r="Q42" s="67"/>
      <c r="R42" s="5">
        <f ca="1">(VLOOKUP(K42,'Summary Calculations (hide)'!$D$15:$L$67,8,0)+VLOOKUP(K42,'Summary Calculations (hide)'!$D$15:$L$67,9,0))*IF(Summary!$C$8="Patients",'Summary Calculations (hide)'!$I$9,1)</f>
        <v>15.153846153846153</v>
      </c>
      <c r="AA42" s="67">
        <f ca="1">IF(Summary!$C$8="Patients", 'Parameters calculator (hide)'!$H$63,'Parameters calculator (hide)'!$H$62)</f>
        <v>1574.0769230769231</v>
      </c>
      <c r="AB42" s="67">
        <f ca="1">IF(Summary!$C$8="Patients", 'Parameters calculator (hide)'!$I$63,'Parameters calculator (hide)'!$I$62)</f>
        <v>1739.7692307692307</v>
      </c>
      <c r="AC42" s="67">
        <f t="shared" ca="1" si="2"/>
        <v>165.69230769230762</v>
      </c>
    </row>
    <row r="43" spans="1:29" x14ac:dyDescent="0.2">
      <c r="H43" s="297">
        <f>'Summary Calculations (hide)'!A45</f>
        <v>44403</v>
      </c>
      <c r="I43" t="str">
        <f>'Summary Calculations (hide)'!B45</f>
        <v/>
      </c>
      <c r="J43" t="str">
        <f>'Summary Calculations (hide)'!C45</f>
        <v/>
      </c>
      <c r="K43">
        <f>'Summary Calculations (hide)'!D45</f>
        <v>30</v>
      </c>
      <c r="L43" s="67">
        <f ca="1">VLOOKUP($K43,'SPC background (hide)'!$AG$2:$AS$54,3,0)</f>
        <v>1</v>
      </c>
      <c r="M43" s="67">
        <f t="shared" ca="1" si="0"/>
        <v>445.5</v>
      </c>
      <c r="N43" s="67">
        <f t="shared" ca="1" si="1"/>
        <v>127.50613747954175</v>
      </c>
      <c r="O43" s="67"/>
      <c r="P43" s="67"/>
      <c r="Q43" s="67"/>
      <c r="R43" s="5">
        <f ca="1">(VLOOKUP(K43,'Summary Calculations (hide)'!$D$15:$L$67,8,0)+VLOOKUP(K43,'Summary Calculations (hide)'!$D$15:$L$67,9,0))*IF(Summary!$C$8="Patients",'Summary Calculations (hide)'!$I$9,1)</f>
        <v>15.153846153846153</v>
      </c>
      <c r="AA43" s="67">
        <f ca="1">IF(Summary!$C$8="Patients", 'Parameters calculator (hide)'!$H$63,'Parameters calculator (hide)'!$H$62)</f>
        <v>1574.0769230769231</v>
      </c>
      <c r="AB43" s="67">
        <f ca="1">IF(Summary!$C$8="Patients", 'Parameters calculator (hide)'!$I$63,'Parameters calculator (hide)'!$I$62)</f>
        <v>1739.7692307692307</v>
      </c>
      <c r="AC43" s="67">
        <f t="shared" ca="1" si="2"/>
        <v>165.69230769230762</v>
      </c>
    </row>
    <row r="44" spans="1:29" x14ac:dyDescent="0.2">
      <c r="H44" s="297">
        <f>'Summary Calculations (hide)'!A46</f>
        <v>44410</v>
      </c>
      <c r="I44" t="str">
        <f>'Summary Calculations (hide)'!B46</f>
        <v/>
      </c>
      <c r="J44" t="str">
        <f>'Summary Calculations (hide)'!C46</f>
        <v>Aug</v>
      </c>
      <c r="K44">
        <f>'Summary Calculations (hide)'!D46</f>
        <v>31</v>
      </c>
      <c r="L44" s="67">
        <f ca="1">VLOOKUP($K44,'SPC background (hide)'!$AG$2:$AS$54,3,0)</f>
        <v>1</v>
      </c>
      <c r="M44" s="67">
        <f t="shared" ca="1" si="0"/>
        <v>445.5</v>
      </c>
      <c r="N44" s="67">
        <f t="shared" ca="1" si="1"/>
        <v>127.50613747954175</v>
      </c>
      <c r="O44" s="67"/>
      <c r="P44" s="67"/>
      <c r="Q44" s="67"/>
      <c r="R44" s="5">
        <f ca="1">(VLOOKUP(K44,'Summary Calculations (hide)'!$D$15:$L$67,8,0)+VLOOKUP(K44,'Summary Calculations (hide)'!$D$15:$L$67,9,0))*IF(Summary!$C$8="Patients",'Summary Calculations (hide)'!$I$9,1)</f>
        <v>15.153846153846153</v>
      </c>
      <c r="AA44" s="67">
        <f ca="1">IF(Summary!$C$8="Patients", 'Parameters calculator (hide)'!$H$63,'Parameters calculator (hide)'!$H$62)</f>
        <v>1574.0769230769231</v>
      </c>
      <c r="AB44" s="67">
        <f ca="1">IF(Summary!$C$8="Patients", 'Parameters calculator (hide)'!$I$63,'Parameters calculator (hide)'!$I$62)</f>
        <v>1739.7692307692307</v>
      </c>
      <c r="AC44" s="67">
        <f t="shared" ca="1" si="2"/>
        <v>165.69230769230762</v>
      </c>
    </row>
    <row r="45" spans="1:29" x14ac:dyDescent="0.2">
      <c r="H45" s="297">
        <f>'Summary Calculations (hide)'!A47</f>
        <v>44417</v>
      </c>
      <c r="I45" t="str">
        <f>'Summary Calculations (hide)'!B47</f>
        <v/>
      </c>
      <c r="J45" t="str">
        <f>'Summary Calculations (hide)'!C47</f>
        <v/>
      </c>
      <c r="K45">
        <f>'Summary Calculations (hide)'!D47</f>
        <v>32</v>
      </c>
      <c r="L45" s="67">
        <f ca="1">VLOOKUP($K45,'SPC background (hide)'!$AG$2:$AS$54,3,0)</f>
        <v>1</v>
      </c>
      <c r="M45" s="67">
        <f t="shared" ca="1" si="0"/>
        <v>445.5</v>
      </c>
      <c r="N45" s="67">
        <f t="shared" ca="1" si="1"/>
        <v>127.50613747954175</v>
      </c>
      <c r="O45" s="67"/>
      <c r="P45" s="67"/>
      <c r="Q45" s="67"/>
      <c r="R45" s="5">
        <f ca="1">(VLOOKUP(K45,'Summary Calculations (hide)'!$D$15:$L$67,8,0)+VLOOKUP(K45,'Summary Calculations (hide)'!$D$15:$L$67,9,0))*IF(Summary!$C$8="Patients",'Summary Calculations (hide)'!$I$9,1)</f>
        <v>15.153846153846153</v>
      </c>
      <c r="AA45" s="67">
        <f ca="1">IF(Summary!$C$8="Patients", 'Parameters calculator (hide)'!$H$63,'Parameters calculator (hide)'!$H$62)</f>
        <v>1574.0769230769231</v>
      </c>
      <c r="AB45" s="67">
        <f ca="1">IF(Summary!$C$8="Patients", 'Parameters calculator (hide)'!$I$63,'Parameters calculator (hide)'!$I$62)</f>
        <v>1739.7692307692307</v>
      </c>
      <c r="AC45" s="67">
        <f t="shared" ca="1" si="2"/>
        <v>165.69230769230762</v>
      </c>
    </row>
    <row r="46" spans="1:29" x14ac:dyDescent="0.2">
      <c r="H46" s="297">
        <f>'Summary Calculations (hide)'!A48</f>
        <v>44424</v>
      </c>
      <c r="I46" t="str">
        <f>'Summary Calculations (hide)'!B48</f>
        <v/>
      </c>
      <c r="J46" t="str">
        <f>'Summary Calculations (hide)'!C48</f>
        <v/>
      </c>
      <c r="K46">
        <f>'Summary Calculations (hide)'!D48</f>
        <v>33</v>
      </c>
      <c r="L46" s="67">
        <f ca="1">VLOOKUP($K46,'SPC background (hide)'!$AG$2:$AS$54,3,0)</f>
        <v>1</v>
      </c>
      <c r="M46" s="67">
        <f t="shared" ca="1" si="0"/>
        <v>445.5</v>
      </c>
      <c r="N46" s="67">
        <f t="shared" ca="1" si="1"/>
        <v>127.50613747954175</v>
      </c>
      <c r="O46" s="67"/>
      <c r="P46" s="67"/>
      <c r="Q46" s="67"/>
      <c r="R46" s="5">
        <f ca="1">(VLOOKUP(K46,'Summary Calculations (hide)'!$D$15:$L$67,8,0)+VLOOKUP(K46,'Summary Calculations (hide)'!$D$15:$L$67,9,0))*IF(Summary!$C$8="Patients",'Summary Calculations (hide)'!$I$9,1)</f>
        <v>15.153846153846153</v>
      </c>
      <c r="AA46" s="67">
        <f ca="1">IF(Summary!$C$8="Patients", 'Parameters calculator (hide)'!$H$63,'Parameters calculator (hide)'!$H$62)</f>
        <v>1574.0769230769231</v>
      </c>
      <c r="AB46" s="67">
        <f ca="1">IF(Summary!$C$8="Patients", 'Parameters calculator (hide)'!$I$63,'Parameters calculator (hide)'!$I$62)</f>
        <v>1739.7692307692307</v>
      </c>
      <c r="AC46" s="67">
        <f t="shared" ca="1" si="2"/>
        <v>165.69230769230762</v>
      </c>
    </row>
    <row r="47" spans="1:29" x14ac:dyDescent="0.2">
      <c r="H47" s="297">
        <f>'Summary Calculations (hide)'!A49</f>
        <v>44431</v>
      </c>
      <c r="I47" t="str">
        <f>'Summary Calculations (hide)'!B49</f>
        <v/>
      </c>
      <c r="J47" t="str">
        <f>'Summary Calculations (hide)'!C49</f>
        <v/>
      </c>
      <c r="K47">
        <f>'Summary Calculations (hide)'!D49</f>
        <v>34</v>
      </c>
      <c r="L47" s="67">
        <f ca="1">VLOOKUP($K47,'SPC background (hide)'!$AG$2:$AS$54,3,0)</f>
        <v>1</v>
      </c>
      <c r="M47" s="67">
        <f t="shared" ca="1" si="0"/>
        <v>445.5</v>
      </c>
      <c r="N47" s="67">
        <f t="shared" ca="1" si="1"/>
        <v>127.50613747954175</v>
      </c>
      <c r="O47" s="67"/>
      <c r="P47" s="67"/>
      <c r="Q47" s="67"/>
      <c r="R47" s="5">
        <f ca="1">(VLOOKUP(K47,'Summary Calculations (hide)'!$D$15:$L$67,8,0)+VLOOKUP(K47,'Summary Calculations (hide)'!$D$15:$L$67,9,0))*IF(Summary!$C$8="Patients",'Summary Calculations (hide)'!$I$9,1)</f>
        <v>15.153846153846153</v>
      </c>
      <c r="AA47" s="67">
        <f ca="1">IF(Summary!$C$8="Patients", 'Parameters calculator (hide)'!$H$63,'Parameters calculator (hide)'!$H$62)</f>
        <v>1574.0769230769231</v>
      </c>
      <c r="AB47" s="67">
        <f ca="1">IF(Summary!$C$8="Patients", 'Parameters calculator (hide)'!$I$63,'Parameters calculator (hide)'!$I$62)</f>
        <v>1739.7692307692307</v>
      </c>
      <c r="AC47" s="67">
        <f t="shared" ca="1" si="2"/>
        <v>165.69230769230762</v>
      </c>
    </row>
    <row r="48" spans="1:29" x14ac:dyDescent="0.2">
      <c r="H48" s="297">
        <f>'Summary Calculations (hide)'!A50</f>
        <v>44438</v>
      </c>
      <c r="I48" t="str">
        <f>'Summary Calculations (hide)'!B50</f>
        <v/>
      </c>
      <c r="J48" t="str">
        <f>'Summary Calculations (hide)'!C50</f>
        <v/>
      </c>
      <c r="K48">
        <f>'Summary Calculations (hide)'!D50</f>
        <v>35</v>
      </c>
      <c r="L48" s="67">
        <f ca="1">VLOOKUP($K48,'SPC background (hide)'!$AG$2:$AS$54,3,0)</f>
        <v>1</v>
      </c>
      <c r="M48" s="67">
        <f t="shared" ca="1" si="0"/>
        <v>445.5</v>
      </c>
      <c r="N48" s="67">
        <f t="shared" ca="1" si="1"/>
        <v>127.50613747954175</v>
      </c>
      <c r="O48" s="67"/>
      <c r="P48" s="67"/>
      <c r="Q48" s="67"/>
      <c r="R48" s="5">
        <f ca="1">(VLOOKUP(K48,'Summary Calculations (hide)'!$D$15:$L$67,8,0)+VLOOKUP(K48,'Summary Calculations (hide)'!$D$15:$L$67,9,0))*IF(Summary!$C$8="Patients",'Summary Calculations (hide)'!$I$9,1)</f>
        <v>15.153846153846153</v>
      </c>
      <c r="AA48" s="67">
        <f ca="1">IF(Summary!$C$8="Patients", 'Parameters calculator (hide)'!$H$63,'Parameters calculator (hide)'!$H$62)</f>
        <v>1574.0769230769231</v>
      </c>
      <c r="AB48" s="67">
        <f ca="1">IF(Summary!$C$8="Patients", 'Parameters calculator (hide)'!$I$63,'Parameters calculator (hide)'!$I$62)</f>
        <v>1739.7692307692307</v>
      </c>
      <c r="AC48" s="67">
        <f t="shared" ca="1" si="2"/>
        <v>165.69230769230762</v>
      </c>
    </row>
    <row r="49" spans="8:29" x14ac:dyDescent="0.2">
      <c r="H49" s="297">
        <f>'Summary Calculations (hide)'!A51</f>
        <v>44445</v>
      </c>
      <c r="I49" t="str">
        <f>'Summary Calculations (hide)'!B51</f>
        <v/>
      </c>
      <c r="J49" t="str">
        <f>'Summary Calculations (hide)'!C51</f>
        <v>Sep</v>
      </c>
      <c r="K49">
        <f>'Summary Calculations (hide)'!D51</f>
        <v>36</v>
      </c>
      <c r="L49" s="67">
        <f ca="1">VLOOKUP($K49,'SPC background (hide)'!$AG$2:$AS$54,3,0)</f>
        <v>1</v>
      </c>
      <c r="M49" s="67">
        <f t="shared" ca="1" si="0"/>
        <v>445.5</v>
      </c>
      <c r="N49" s="67">
        <f t="shared" ca="1" si="1"/>
        <v>127.50613747954175</v>
      </c>
      <c r="O49" s="67"/>
      <c r="P49" s="67"/>
      <c r="Q49" s="67"/>
      <c r="R49" s="5">
        <f ca="1">(VLOOKUP(K49,'Summary Calculations (hide)'!$D$15:$L$67,8,0)+VLOOKUP(K49,'Summary Calculations (hide)'!$D$15:$L$67,9,0))*IF(Summary!$C$8="Patients",'Summary Calculations (hide)'!$I$9,1)</f>
        <v>15.153846153846153</v>
      </c>
      <c r="AA49" s="67">
        <f ca="1">IF(Summary!$C$8="Patients", 'Parameters calculator (hide)'!$H$63,'Parameters calculator (hide)'!$H$62)</f>
        <v>1574.0769230769231</v>
      </c>
      <c r="AB49" s="67">
        <f ca="1">IF(Summary!$C$8="Patients", 'Parameters calculator (hide)'!$I$63,'Parameters calculator (hide)'!$I$62)</f>
        <v>1739.7692307692307</v>
      </c>
      <c r="AC49" s="67">
        <f t="shared" ca="1" si="2"/>
        <v>165.69230769230762</v>
      </c>
    </row>
    <row r="50" spans="8:29" x14ac:dyDescent="0.2">
      <c r="H50" s="297">
        <f>'Summary Calculations (hide)'!A52</f>
        <v>44452</v>
      </c>
      <c r="I50" t="str">
        <f>'Summary Calculations (hide)'!B52</f>
        <v/>
      </c>
      <c r="J50" t="str">
        <f>'Summary Calculations (hide)'!C52</f>
        <v/>
      </c>
      <c r="K50">
        <f>'Summary Calculations (hide)'!D52</f>
        <v>37</v>
      </c>
      <c r="L50" s="67">
        <f ca="1">VLOOKUP($K50,'SPC background (hide)'!$AG$2:$AS$54,3,0)</f>
        <v>1</v>
      </c>
      <c r="M50" s="67">
        <f t="shared" ca="1" si="0"/>
        <v>445.5</v>
      </c>
      <c r="N50" s="67">
        <f t="shared" ca="1" si="1"/>
        <v>127.50613747954175</v>
      </c>
      <c r="O50" s="67"/>
      <c r="P50" s="67"/>
      <c r="Q50" s="67"/>
      <c r="R50" s="5">
        <f ca="1">(VLOOKUP(K50,'Summary Calculations (hide)'!$D$15:$L$67,8,0)+VLOOKUP(K50,'Summary Calculations (hide)'!$D$15:$L$67,9,0))*IF(Summary!$C$8="Patients",'Summary Calculations (hide)'!$I$9,1)</f>
        <v>15.153846153846153</v>
      </c>
      <c r="AA50" s="67">
        <f ca="1">IF(Summary!$C$8="Patients", 'Parameters calculator (hide)'!$H$63,'Parameters calculator (hide)'!$H$62)</f>
        <v>1574.0769230769231</v>
      </c>
      <c r="AB50" s="67">
        <f ca="1">IF(Summary!$C$8="Patients", 'Parameters calculator (hide)'!$I$63,'Parameters calculator (hide)'!$I$62)</f>
        <v>1739.7692307692307</v>
      </c>
      <c r="AC50" s="67">
        <f t="shared" ca="1" si="2"/>
        <v>165.69230769230762</v>
      </c>
    </row>
    <row r="51" spans="8:29" x14ac:dyDescent="0.2">
      <c r="H51" s="297">
        <f>'Summary Calculations (hide)'!A53</f>
        <v>44459</v>
      </c>
      <c r="I51" t="str">
        <f>'Summary Calculations (hide)'!B53</f>
        <v/>
      </c>
      <c r="J51" t="str">
        <f>'Summary Calculations (hide)'!C53</f>
        <v/>
      </c>
      <c r="K51">
        <f>'Summary Calculations (hide)'!D53</f>
        <v>38</v>
      </c>
      <c r="L51" s="67">
        <f ca="1">VLOOKUP($K51,'SPC background (hide)'!$AG$2:$AS$54,3,0)</f>
        <v>1</v>
      </c>
      <c r="M51" s="67">
        <f t="shared" ca="1" si="0"/>
        <v>445.5</v>
      </c>
      <c r="N51" s="67">
        <f t="shared" ca="1" si="1"/>
        <v>127.50613747954175</v>
      </c>
      <c r="O51" s="67"/>
      <c r="P51" s="67"/>
      <c r="Q51" s="67"/>
      <c r="R51" s="5">
        <f ca="1">(VLOOKUP(K51,'Summary Calculations (hide)'!$D$15:$L$67,8,0)+VLOOKUP(K51,'Summary Calculations (hide)'!$D$15:$L$67,9,0))*IF(Summary!$C$8="Patients",'Summary Calculations (hide)'!$I$9,1)</f>
        <v>15.153846153846153</v>
      </c>
      <c r="AA51" s="67">
        <f ca="1">IF(Summary!$C$8="Patients", 'Parameters calculator (hide)'!$H$63,'Parameters calculator (hide)'!$H$62)</f>
        <v>1574.0769230769231</v>
      </c>
      <c r="AB51" s="67">
        <f ca="1">IF(Summary!$C$8="Patients", 'Parameters calculator (hide)'!$I$63,'Parameters calculator (hide)'!$I$62)</f>
        <v>1739.7692307692307</v>
      </c>
      <c r="AC51" s="67">
        <f t="shared" ca="1" si="2"/>
        <v>165.69230769230762</v>
      </c>
    </row>
    <row r="52" spans="8:29" x14ac:dyDescent="0.2">
      <c r="H52" s="297">
        <f>'Summary Calculations (hide)'!A54</f>
        <v>44466</v>
      </c>
      <c r="I52" t="str">
        <f>'Summary Calculations (hide)'!B54</f>
        <v/>
      </c>
      <c r="J52" t="str">
        <f>'Summary Calculations (hide)'!C54</f>
        <v/>
      </c>
      <c r="K52">
        <f>'Summary Calculations (hide)'!D54</f>
        <v>39</v>
      </c>
      <c r="L52" s="67">
        <f ca="1">VLOOKUP($K52,'SPC background (hide)'!$AG$2:$AS$54,3,0)</f>
        <v>1</v>
      </c>
      <c r="M52" s="67">
        <f t="shared" ca="1" si="0"/>
        <v>445.5</v>
      </c>
      <c r="N52" s="67">
        <f t="shared" ca="1" si="1"/>
        <v>127.50613747954175</v>
      </c>
      <c r="O52" s="67"/>
      <c r="P52" s="67"/>
      <c r="Q52" s="67"/>
      <c r="R52" s="5">
        <f ca="1">(VLOOKUP(K52,'Summary Calculations (hide)'!$D$15:$L$67,8,0)+VLOOKUP(K52,'Summary Calculations (hide)'!$D$15:$L$67,9,0))*IF(Summary!$C$8="Patients",'Summary Calculations (hide)'!$I$9,1)</f>
        <v>15.153846153846153</v>
      </c>
      <c r="AA52" s="67">
        <f ca="1">IF(Summary!$C$8="Patients", 'Parameters calculator (hide)'!$H$63,'Parameters calculator (hide)'!$H$62)</f>
        <v>1574.0769230769231</v>
      </c>
      <c r="AB52" s="67">
        <f ca="1">IF(Summary!$C$8="Patients", 'Parameters calculator (hide)'!$I$63,'Parameters calculator (hide)'!$I$62)</f>
        <v>1739.7692307692307</v>
      </c>
      <c r="AC52" s="67">
        <f t="shared" ca="1" si="2"/>
        <v>165.69230769230762</v>
      </c>
    </row>
    <row r="53" spans="8:29" x14ac:dyDescent="0.2">
      <c r="H53" s="297">
        <f>'Summary Calculations (hide)'!A55</f>
        <v>44473</v>
      </c>
      <c r="I53" t="str">
        <f>'Summary Calculations (hide)'!B55</f>
        <v/>
      </c>
      <c r="J53" t="str">
        <f>'Summary Calculations (hide)'!C55</f>
        <v>Oct</v>
      </c>
      <c r="K53">
        <f>'Summary Calculations (hide)'!D55</f>
        <v>40</v>
      </c>
      <c r="L53" s="67">
        <f ca="1">VLOOKUP($K53,'SPC background (hide)'!$AG$2:$AS$54,3,0)</f>
        <v>1</v>
      </c>
      <c r="M53" s="67">
        <f t="shared" ca="1" si="0"/>
        <v>445.5</v>
      </c>
      <c r="N53" s="67">
        <f t="shared" ca="1" si="1"/>
        <v>127.50613747954175</v>
      </c>
      <c r="O53" s="67"/>
      <c r="P53" s="67"/>
      <c r="Q53" s="67"/>
      <c r="R53" s="5">
        <f ca="1">(VLOOKUP(K53,'Summary Calculations (hide)'!$D$15:$L$67,8,0)+VLOOKUP(K53,'Summary Calculations (hide)'!$D$15:$L$67,9,0))*IF(Summary!$C$8="Patients",'Summary Calculations (hide)'!$I$9,1)</f>
        <v>15.153846153846153</v>
      </c>
      <c r="AA53" s="67">
        <f ca="1">IF(Summary!$C$8="Patients", 'Parameters calculator (hide)'!$H$63,'Parameters calculator (hide)'!$H$62)</f>
        <v>1574.0769230769231</v>
      </c>
      <c r="AB53" s="67">
        <f ca="1">IF(Summary!$C$8="Patients", 'Parameters calculator (hide)'!$I$63,'Parameters calculator (hide)'!$I$62)</f>
        <v>1739.7692307692307</v>
      </c>
      <c r="AC53" s="67">
        <f t="shared" ca="1" si="2"/>
        <v>165.69230769230762</v>
      </c>
    </row>
    <row r="54" spans="8:29" x14ac:dyDescent="0.2">
      <c r="H54" s="297">
        <f>'Summary Calculations (hide)'!A56</f>
        <v>44480</v>
      </c>
      <c r="I54" t="str">
        <f>'Summary Calculations (hide)'!B56</f>
        <v/>
      </c>
      <c r="J54" t="str">
        <f>'Summary Calculations (hide)'!C56</f>
        <v/>
      </c>
      <c r="K54">
        <f>'Summary Calculations (hide)'!D56</f>
        <v>41</v>
      </c>
      <c r="L54" s="67">
        <f ca="1">VLOOKUP($K54,'SPC background (hide)'!$AG$2:$AS$54,3,0)</f>
        <v>1</v>
      </c>
      <c r="M54" s="67">
        <f t="shared" ca="1" si="0"/>
        <v>445.5</v>
      </c>
      <c r="N54" s="67">
        <f t="shared" ca="1" si="1"/>
        <v>127.50613747954175</v>
      </c>
      <c r="O54" s="67"/>
      <c r="P54" s="67"/>
      <c r="Q54" s="67"/>
      <c r="R54" s="5">
        <f ca="1">(VLOOKUP(K54,'Summary Calculations (hide)'!$D$15:$L$67,8,0)+VLOOKUP(K54,'Summary Calculations (hide)'!$D$15:$L$67,9,0))*IF(Summary!$C$8="Patients",'Summary Calculations (hide)'!$I$9,1)</f>
        <v>15.153846153846153</v>
      </c>
      <c r="AA54" s="67">
        <f ca="1">IF(Summary!$C$8="Patients", 'Parameters calculator (hide)'!$H$63,'Parameters calculator (hide)'!$H$62)</f>
        <v>1574.0769230769231</v>
      </c>
      <c r="AB54" s="67">
        <f ca="1">IF(Summary!$C$8="Patients", 'Parameters calculator (hide)'!$I$63,'Parameters calculator (hide)'!$I$62)</f>
        <v>1739.7692307692307</v>
      </c>
      <c r="AC54" s="67">
        <f t="shared" ca="1" si="2"/>
        <v>165.69230769230762</v>
      </c>
    </row>
    <row r="55" spans="8:29" x14ac:dyDescent="0.2">
      <c r="H55" s="297">
        <f>'Summary Calculations (hide)'!A57</f>
        <v>44487</v>
      </c>
      <c r="I55" t="str">
        <f>'Summary Calculations (hide)'!B57</f>
        <v/>
      </c>
      <c r="J55" t="str">
        <f>'Summary Calculations (hide)'!C57</f>
        <v/>
      </c>
      <c r="K55">
        <f>'Summary Calculations (hide)'!D57</f>
        <v>42</v>
      </c>
      <c r="L55" s="67">
        <f ca="1">VLOOKUP($K55,'SPC background (hide)'!$AG$2:$AS$54,3,0)</f>
        <v>1</v>
      </c>
      <c r="M55" s="67">
        <f t="shared" ca="1" si="0"/>
        <v>445.5</v>
      </c>
      <c r="N55" s="67">
        <f t="shared" ca="1" si="1"/>
        <v>127.50613747954175</v>
      </c>
      <c r="O55" s="67"/>
      <c r="P55" s="67"/>
      <c r="Q55" s="67"/>
      <c r="R55" s="5">
        <f ca="1">(VLOOKUP(K55,'Summary Calculations (hide)'!$D$15:$L$67,8,0)+VLOOKUP(K55,'Summary Calculations (hide)'!$D$15:$L$67,9,0))*IF(Summary!$C$8="Patients",'Summary Calculations (hide)'!$I$9,1)</f>
        <v>15.153846153846153</v>
      </c>
      <c r="AA55" s="67">
        <f ca="1">IF(Summary!$C$8="Patients", 'Parameters calculator (hide)'!$H$63,'Parameters calculator (hide)'!$H$62)</f>
        <v>1574.0769230769231</v>
      </c>
      <c r="AB55" s="67">
        <f ca="1">IF(Summary!$C$8="Patients", 'Parameters calculator (hide)'!$I$63,'Parameters calculator (hide)'!$I$62)</f>
        <v>1739.7692307692307</v>
      </c>
      <c r="AC55" s="67">
        <f t="shared" ca="1" si="2"/>
        <v>165.69230769230762</v>
      </c>
    </row>
    <row r="56" spans="8:29" x14ac:dyDescent="0.2">
      <c r="H56" s="297">
        <f>'Summary Calculations (hide)'!A58</f>
        <v>44494</v>
      </c>
      <c r="I56" t="str">
        <f>'Summary Calculations (hide)'!B58</f>
        <v/>
      </c>
      <c r="J56" t="str">
        <f>'Summary Calculations (hide)'!C58</f>
        <v/>
      </c>
      <c r="K56">
        <f>'Summary Calculations (hide)'!D58</f>
        <v>43</v>
      </c>
      <c r="L56" s="67">
        <f ca="1">VLOOKUP($K56,'SPC background (hide)'!$AG$2:$AS$54,3,0)</f>
        <v>1</v>
      </c>
      <c r="M56" s="67">
        <f t="shared" ca="1" si="0"/>
        <v>445.5</v>
      </c>
      <c r="N56" s="67">
        <f t="shared" ca="1" si="1"/>
        <v>127.50613747954175</v>
      </c>
      <c r="O56" s="67"/>
      <c r="P56" s="67"/>
      <c r="Q56" s="67"/>
      <c r="R56" s="5">
        <f ca="1">(VLOOKUP(K56,'Summary Calculations (hide)'!$D$15:$L$67,8,0)+VLOOKUP(K56,'Summary Calculations (hide)'!$D$15:$L$67,9,0))*IF(Summary!$C$8="Patients",'Summary Calculations (hide)'!$I$9,1)</f>
        <v>15.153846153846153</v>
      </c>
      <c r="AA56" s="67">
        <f ca="1">IF(Summary!$C$8="Patients", 'Parameters calculator (hide)'!$H$63,'Parameters calculator (hide)'!$H$62)</f>
        <v>1574.0769230769231</v>
      </c>
      <c r="AB56" s="67">
        <f ca="1">IF(Summary!$C$8="Patients", 'Parameters calculator (hide)'!$I$63,'Parameters calculator (hide)'!$I$62)</f>
        <v>1739.7692307692307</v>
      </c>
      <c r="AC56" s="67">
        <f t="shared" ca="1" si="2"/>
        <v>165.69230769230762</v>
      </c>
    </row>
    <row r="57" spans="8:29" x14ac:dyDescent="0.2">
      <c r="H57" s="297">
        <f>'Summary Calculations (hide)'!A59</f>
        <v>44501</v>
      </c>
      <c r="I57" t="str">
        <f>'Summary Calculations (hide)'!B59</f>
        <v/>
      </c>
      <c r="J57" t="str">
        <f>'Summary Calculations (hide)'!C59</f>
        <v>Nov</v>
      </c>
      <c r="K57">
        <f>'Summary Calculations (hide)'!D59</f>
        <v>44</v>
      </c>
      <c r="L57" s="67">
        <f ca="1">VLOOKUP($K57,'SPC background (hide)'!$AG$2:$AS$54,3,0)</f>
        <v>1</v>
      </c>
      <c r="M57" s="67">
        <f t="shared" ca="1" si="0"/>
        <v>445.5</v>
      </c>
      <c r="N57" s="67">
        <f t="shared" ca="1" si="1"/>
        <v>127.50613747954175</v>
      </c>
      <c r="O57" s="67"/>
      <c r="P57" s="67"/>
      <c r="Q57" s="67"/>
      <c r="R57" s="5">
        <f ca="1">(VLOOKUP(K57,'Summary Calculations (hide)'!$D$15:$L$67,8,0)+VLOOKUP(K57,'Summary Calculations (hide)'!$D$15:$L$67,9,0))*IF(Summary!$C$8="Patients",'Summary Calculations (hide)'!$I$9,1)</f>
        <v>15.153846153846153</v>
      </c>
      <c r="AA57" s="67">
        <f ca="1">IF(Summary!$C$8="Patients", 'Parameters calculator (hide)'!$H$63,'Parameters calculator (hide)'!$H$62)</f>
        <v>1574.0769230769231</v>
      </c>
      <c r="AB57" s="67">
        <f ca="1">IF(Summary!$C$8="Patients", 'Parameters calculator (hide)'!$I$63,'Parameters calculator (hide)'!$I$62)</f>
        <v>1739.7692307692307</v>
      </c>
      <c r="AC57" s="67">
        <f t="shared" ca="1" si="2"/>
        <v>165.69230769230762</v>
      </c>
    </row>
    <row r="58" spans="8:29" x14ac:dyDescent="0.2">
      <c r="H58" s="297">
        <f>'Summary Calculations (hide)'!A60</f>
        <v>44508</v>
      </c>
      <c r="I58" t="str">
        <f>'Summary Calculations (hide)'!B60</f>
        <v/>
      </c>
      <c r="J58" t="str">
        <f>'Summary Calculations (hide)'!C60</f>
        <v/>
      </c>
      <c r="K58">
        <f>'Summary Calculations (hide)'!D60</f>
        <v>45</v>
      </c>
      <c r="L58" s="67">
        <f ca="1">VLOOKUP($K58,'SPC background (hide)'!$AG$2:$AS$54,3,0)</f>
        <v>1</v>
      </c>
      <c r="M58" s="67">
        <f t="shared" ca="1" si="0"/>
        <v>445.5</v>
      </c>
      <c r="N58" s="67">
        <f t="shared" ca="1" si="1"/>
        <v>127.50613747954175</v>
      </c>
      <c r="O58" s="67"/>
      <c r="P58" s="67"/>
      <c r="Q58" s="67"/>
      <c r="R58" s="5">
        <f ca="1">(VLOOKUP(K58,'Summary Calculations (hide)'!$D$15:$L$67,8,0)+VLOOKUP(K58,'Summary Calculations (hide)'!$D$15:$L$67,9,0))*IF(Summary!$C$8="Patients",'Summary Calculations (hide)'!$I$9,1)</f>
        <v>15.153846153846153</v>
      </c>
      <c r="AA58" s="67">
        <f ca="1">IF(Summary!$C$8="Patients", 'Parameters calculator (hide)'!$H$63,'Parameters calculator (hide)'!$H$62)</f>
        <v>1574.0769230769231</v>
      </c>
      <c r="AB58" s="67">
        <f ca="1">IF(Summary!$C$8="Patients", 'Parameters calculator (hide)'!$I$63,'Parameters calculator (hide)'!$I$62)</f>
        <v>1739.7692307692307</v>
      </c>
      <c r="AC58" s="67">
        <f t="shared" ca="1" si="2"/>
        <v>165.69230769230762</v>
      </c>
    </row>
    <row r="59" spans="8:29" x14ac:dyDescent="0.2">
      <c r="H59" s="297">
        <f>'Summary Calculations (hide)'!A61</f>
        <v>44515</v>
      </c>
      <c r="I59" t="str">
        <f>'Summary Calculations (hide)'!B61</f>
        <v/>
      </c>
      <c r="J59" t="str">
        <f>'Summary Calculations (hide)'!C61</f>
        <v/>
      </c>
      <c r="K59">
        <f>'Summary Calculations (hide)'!D61</f>
        <v>46</v>
      </c>
      <c r="L59" s="67">
        <f ca="1">VLOOKUP($K59,'SPC background (hide)'!$AG$2:$AS$54,3,0)</f>
        <v>1</v>
      </c>
      <c r="M59" s="67">
        <f t="shared" ca="1" si="0"/>
        <v>445.5</v>
      </c>
      <c r="N59" s="67">
        <f t="shared" ca="1" si="1"/>
        <v>127.50613747954175</v>
      </c>
      <c r="O59" s="67"/>
      <c r="P59" s="67"/>
      <c r="Q59" s="67"/>
      <c r="R59" s="5">
        <f ca="1">(VLOOKUP(K59,'Summary Calculations (hide)'!$D$15:$L$67,8,0)+VLOOKUP(K59,'Summary Calculations (hide)'!$D$15:$L$67,9,0))*IF(Summary!$C$8="Patients",'Summary Calculations (hide)'!$I$9,1)</f>
        <v>15.153846153846153</v>
      </c>
      <c r="AA59" s="67">
        <f ca="1">IF(Summary!$C$8="Patients", 'Parameters calculator (hide)'!$H$63,'Parameters calculator (hide)'!$H$62)</f>
        <v>1574.0769230769231</v>
      </c>
      <c r="AB59" s="67">
        <f ca="1">IF(Summary!$C$8="Patients", 'Parameters calculator (hide)'!$I$63,'Parameters calculator (hide)'!$I$62)</f>
        <v>1739.7692307692307</v>
      </c>
      <c r="AC59" s="67">
        <f t="shared" ca="1" si="2"/>
        <v>165.69230769230762</v>
      </c>
    </row>
    <row r="60" spans="8:29" x14ac:dyDescent="0.2">
      <c r="H60" s="297">
        <f>'Summary Calculations (hide)'!A62</f>
        <v>44522</v>
      </c>
      <c r="I60" t="str">
        <f>'Summary Calculations (hide)'!B62</f>
        <v/>
      </c>
      <c r="J60" t="str">
        <f>'Summary Calculations (hide)'!C62</f>
        <v/>
      </c>
      <c r="K60">
        <f>'Summary Calculations (hide)'!D62</f>
        <v>47</v>
      </c>
      <c r="L60" s="67">
        <f ca="1">VLOOKUP($K60,'SPC background (hide)'!$AG$2:$AS$54,3,0)</f>
        <v>1</v>
      </c>
      <c r="M60" s="67">
        <f t="shared" ca="1" si="0"/>
        <v>445.5</v>
      </c>
      <c r="N60" s="67">
        <f t="shared" ca="1" si="1"/>
        <v>127.50613747954175</v>
      </c>
      <c r="O60" s="67"/>
      <c r="P60" s="67"/>
      <c r="Q60" s="67"/>
      <c r="R60" s="5">
        <f ca="1">(VLOOKUP(K60,'Summary Calculations (hide)'!$D$15:$L$67,8,0)+VLOOKUP(K60,'Summary Calculations (hide)'!$D$15:$L$67,9,0))*IF(Summary!$C$8="Patients",'Summary Calculations (hide)'!$I$9,1)</f>
        <v>15.153846153846153</v>
      </c>
      <c r="AA60" s="67">
        <f ca="1">IF(Summary!$C$8="Patients", 'Parameters calculator (hide)'!$H$63,'Parameters calculator (hide)'!$H$62)</f>
        <v>1574.0769230769231</v>
      </c>
      <c r="AB60" s="67">
        <f ca="1">IF(Summary!$C$8="Patients", 'Parameters calculator (hide)'!$I$63,'Parameters calculator (hide)'!$I$62)</f>
        <v>1739.7692307692307</v>
      </c>
      <c r="AC60" s="67">
        <f t="shared" ca="1" si="2"/>
        <v>165.69230769230762</v>
      </c>
    </row>
    <row r="61" spans="8:29" x14ac:dyDescent="0.2">
      <c r="H61" s="297">
        <f>'Summary Calculations (hide)'!A63</f>
        <v>44529</v>
      </c>
      <c r="I61" t="str">
        <f>'Summary Calculations (hide)'!B63</f>
        <v/>
      </c>
      <c r="J61" t="str">
        <f>'Summary Calculations (hide)'!C63</f>
        <v/>
      </c>
      <c r="K61">
        <f>'Summary Calculations (hide)'!D63</f>
        <v>48</v>
      </c>
      <c r="L61" s="67">
        <f ca="1">VLOOKUP($K61,'SPC background (hide)'!$AG$2:$AS$54,3,0)</f>
        <v>1</v>
      </c>
      <c r="M61" s="67">
        <f t="shared" ca="1" si="0"/>
        <v>445.5</v>
      </c>
      <c r="N61" s="67">
        <f t="shared" ca="1" si="1"/>
        <v>127.50613747954175</v>
      </c>
      <c r="O61" s="67"/>
      <c r="P61" s="67"/>
      <c r="Q61" s="67"/>
      <c r="R61" s="5">
        <f ca="1">(VLOOKUP(K61,'Summary Calculations (hide)'!$D$15:$L$67,8,0)+VLOOKUP(K61,'Summary Calculations (hide)'!$D$15:$L$67,9,0))*IF(Summary!$C$8="Patients",'Summary Calculations (hide)'!$I$9,1)</f>
        <v>15.153846153846153</v>
      </c>
      <c r="AA61" s="67">
        <f ca="1">IF(Summary!$C$8="Patients", 'Parameters calculator (hide)'!$H$63,'Parameters calculator (hide)'!$H$62)</f>
        <v>1574.0769230769231</v>
      </c>
      <c r="AB61" s="67">
        <f ca="1">IF(Summary!$C$8="Patients", 'Parameters calculator (hide)'!$I$63,'Parameters calculator (hide)'!$I$62)</f>
        <v>1739.7692307692307</v>
      </c>
      <c r="AC61" s="67">
        <f t="shared" ca="1" si="2"/>
        <v>165.69230769230762</v>
      </c>
    </row>
    <row r="62" spans="8:29" x14ac:dyDescent="0.2">
      <c r="H62" s="297">
        <f>'Summary Calculations (hide)'!A64</f>
        <v>44536</v>
      </c>
      <c r="I62" t="str">
        <f>'Summary Calculations (hide)'!B64</f>
        <v/>
      </c>
      <c r="J62" t="str">
        <f>'Summary Calculations (hide)'!C64</f>
        <v>Dec</v>
      </c>
      <c r="K62">
        <f>'Summary Calculations (hide)'!D64</f>
        <v>49</v>
      </c>
      <c r="L62" s="67">
        <f ca="1">VLOOKUP($K62,'SPC background (hide)'!$AG$2:$AS$54,3,0)</f>
        <v>1</v>
      </c>
      <c r="M62" s="67">
        <f t="shared" ca="1" si="0"/>
        <v>445.5</v>
      </c>
      <c r="N62" s="67">
        <f t="shared" ca="1" si="1"/>
        <v>127.50613747954175</v>
      </c>
      <c r="O62" s="67"/>
      <c r="P62" s="67"/>
      <c r="Q62" s="67"/>
      <c r="R62" s="5">
        <f ca="1">(VLOOKUP(K62,'Summary Calculations (hide)'!$D$15:$L$67,8,0)+VLOOKUP(K62,'Summary Calculations (hide)'!$D$15:$L$67,9,0))*IF(Summary!$C$8="Patients",'Summary Calculations (hide)'!$I$9,1)</f>
        <v>15.153846153846153</v>
      </c>
      <c r="AA62" s="67">
        <f ca="1">IF(Summary!$C$8="Patients", 'Parameters calculator (hide)'!$H$63,'Parameters calculator (hide)'!$H$62)</f>
        <v>1574.0769230769231</v>
      </c>
      <c r="AB62" s="67">
        <f ca="1">IF(Summary!$C$8="Patients", 'Parameters calculator (hide)'!$I$63,'Parameters calculator (hide)'!$I$62)</f>
        <v>1739.7692307692307</v>
      </c>
      <c r="AC62" s="67">
        <f t="shared" ca="1" si="2"/>
        <v>165.69230769230762</v>
      </c>
    </row>
    <row r="63" spans="8:29" x14ac:dyDescent="0.2">
      <c r="H63" s="297">
        <f>'Summary Calculations (hide)'!A65</f>
        <v>44543</v>
      </c>
      <c r="I63" t="str">
        <f>'Summary Calculations (hide)'!B65</f>
        <v/>
      </c>
      <c r="J63" t="str">
        <f>'Summary Calculations (hide)'!C65</f>
        <v/>
      </c>
      <c r="K63">
        <f>'Summary Calculations (hide)'!D65</f>
        <v>50</v>
      </c>
      <c r="L63" s="67">
        <f ca="1">VLOOKUP($K63,'SPC background (hide)'!$AG$2:$AS$54,3,0)</f>
        <v>1</v>
      </c>
      <c r="M63" s="67">
        <f t="shared" ca="1" si="0"/>
        <v>445.5</v>
      </c>
      <c r="N63" s="67">
        <f t="shared" ca="1" si="1"/>
        <v>127.50613747954175</v>
      </c>
      <c r="O63" s="67"/>
      <c r="P63" s="67"/>
      <c r="Q63" s="67"/>
      <c r="R63" s="5">
        <f ca="1">(VLOOKUP(K63,'Summary Calculations (hide)'!$D$15:$L$67,8,0)+VLOOKUP(K63,'Summary Calculations (hide)'!$D$15:$L$67,9,0))*IF(Summary!$C$8="Patients",'Summary Calculations (hide)'!$I$9,1)</f>
        <v>15.153846153846153</v>
      </c>
      <c r="AA63" s="67">
        <f ca="1">IF(Summary!$C$8="Patients", 'Parameters calculator (hide)'!$H$63,'Parameters calculator (hide)'!$H$62)</f>
        <v>1574.0769230769231</v>
      </c>
      <c r="AB63" s="67">
        <f ca="1">IF(Summary!$C$8="Patients", 'Parameters calculator (hide)'!$I$63,'Parameters calculator (hide)'!$I$62)</f>
        <v>1739.7692307692307</v>
      </c>
      <c r="AC63" s="67">
        <f t="shared" ca="1" si="2"/>
        <v>165.69230769230762</v>
      </c>
    </row>
    <row r="64" spans="8:29" x14ac:dyDescent="0.2">
      <c r="H64" s="297">
        <f>'Summary Calculations (hide)'!A66</f>
        <v>44550</v>
      </c>
      <c r="I64" t="str">
        <f>'Summary Calculations (hide)'!B66</f>
        <v/>
      </c>
      <c r="J64" t="str">
        <f>'Summary Calculations (hide)'!C66</f>
        <v/>
      </c>
      <c r="K64">
        <f>'Summary Calculations (hide)'!D66</f>
        <v>51</v>
      </c>
      <c r="L64" s="67">
        <f ca="1">VLOOKUP($K64,'SPC background (hide)'!$AG$2:$AS$54,3,0)</f>
        <v>1</v>
      </c>
      <c r="M64" s="67">
        <f t="shared" ca="1" si="0"/>
        <v>445.5</v>
      </c>
      <c r="N64" s="67">
        <f t="shared" ca="1" si="1"/>
        <v>127.50613747954175</v>
      </c>
      <c r="O64" s="67"/>
      <c r="P64" s="67"/>
      <c r="Q64" s="67"/>
      <c r="R64" s="5">
        <f ca="1">(VLOOKUP(K64,'Summary Calculations (hide)'!$D$15:$L$67,8,0)+VLOOKUP(K64,'Summary Calculations (hide)'!$D$15:$L$67,9,0))*IF(Summary!$C$8="Patients",'Summary Calculations (hide)'!$I$9,1)</f>
        <v>15.153846153846153</v>
      </c>
      <c r="AA64" s="67">
        <f ca="1">IF(Summary!$C$8="Patients", 'Parameters calculator (hide)'!$H$63,'Parameters calculator (hide)'!$H$62)</f>
        <v>1574.0769230769231</v>
      </c>
      <c r="AB64" s="67">
        <f ca="1">IF(Summary!$C$8="Patients", 'Parameters calculator (hide)'!$I$63,'Parameters calculator (hide)'!$I$62)</f>
        <v>1739.7692307692307</v>
      </c>
      <c r="AC64" s="67">
        <f t="shared" ca="1" si="2"/>
        <v>165.69230769230762</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21</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1158</v>
      </c>
      <c r="C11" s="391">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1231</v>
      </c>
      <c r="D12" s="346">
        <f ca="1">'Summary Calculations (hide)'!X70</f>
        <v>445.5</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2"/>
      <c r="C13" s="346" t="str">
        <f>IF(C11&lt;&gt;"","New value","")</f>
        <v>New value</v>
      </c>
      <c r="D13" s="346">
        <f ca="1">IF(OR(C11="",C11=1),"",D12*(1+C11))</f>
        <v>467.77500000000003</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1150</v>
      </c>
      <c r="C15" s="392"/>
      <c r="D15" s="307">
        <f ca="1">'Parameters calculator (hide)'!B43</f>
        <v>0.1</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1151</v>
      </c>
      <c r="C16" s="392"/>
      <c r="D16" s="307">
        <f ca="1">'Parameters calculator (hide)'!B44</f>
        <v>0</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1152</v>
      </c>
      <c r="C17" s="392"/>
      <c r="D17" s="307">
        <f ca="1">'Parameters calculator (hide)'!B45</f>
        <v>0.1</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1153</v>
      </c>
      <c r="C18" s="392"/>
      <c r="D18" s="307">
        <f ca="1">'Parameters calculator (hide)'!B46</f>
        <v>1</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2" t="s">
        <v>512</v>
      </c>
      <c r="C22" s="486" t="s">
        <v>511</v>
      </c>
      <c r="D22" s="486"/>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84"/>
      <c r="C23" s="487"/>
      <c r="D23" s="487"/>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85"/>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1237</v>
      </c>
      <c r="V26" s="155" t="s">
        <v>1237</v>
      </c>
      <c r="W26" s="155" t="s">
        <v>1237</v>
      </c>
      <c r="X26" s="155" t="s">
        <v>1237</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1238</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1237</v>
      </c>
      <c r="AY27" s="158" t="s">
        <v>1237</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Y6ysk2EbqOGWIoO9xWXAGuwpSt3DbqZDS2yrloZnJUDxah2Pbtjt40XbveXGQpeJqPfr3wJ13pDxJW+Dph361g==" saltValue="BQzj4JN47qRqz5ufchx3R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1265</v>
      </c>
      <c r="B1" s="67">
        <v>2</v>
      </c>
    </row>
    <row r="3" spans="1:10" x14ac:dyDescent="0.2">
      <c r="A3" s="67" t="s">
        <v>1244</v>
      </c>
      <c r="B3" s="67" t="s">
        <v>14</v>
      </c>
      <c r="C3" s="67" t="s">
        <v>1245</v>
      </c>
      <c r="D3" s="67" t="s">
        <v>1246</v>
      </c>
      <c r="E3" s="67" t="s">
        <v>529</v>
      </c>
      <c r="F3" s="67" t="s">
        <v>75</v>
      </c>
      <c r="G3" s="67" t="s">
        <v>1247</v>
      </c>
      <c r="H3" s="67" t="s">
        <v>99</v>
      </c>
      <c r="I3" s="67" t="s">
        <v>1248</v>
      </c>
      <c r="J3" s="67" t="s">
        <v>391</v>
      </c>
    </row>
    <row r="4" spans="1:10" x14ac:dyDescent="0.2">
      <c r="A4" t="s">
        <v>1266</v>
      </c>
      <c r="B4" t="s">
        <v>19</v>
      </c>
      <c r="C4" s="317">
        <v>44039</v>
      </c>
      <c r="D4" t="s">
        <v>20</v>
      </c>
      <c r="E4">
        <v>0.2</v>
      </c>
      <c r="F4">
        <v>0.05</v>
      </c>
      <c r="G4">
        <v>0.12</v>
      </c>
      <c r="H4">
        <v>0.05</v>
      </c>
      <c r="I4">
        <v>0.25</v>
      </c>
      <c r="J4" t="s">
        <v>22</v>
      </c>
    </row>
    <row r="5" spans="1:10" x14ac:dyDescent="0.2">
      <c r="A5" s="67" t="s">
        <v>1293</v>
      </c>
      <c r="B5" s="67" t="s">
        <v>21</v>
      </c>
      <c r="C5" s="317">
        <v>43969</v>
      </c>
      <c r="D5" s="67" t="s">
        <v>20</v>
      </c>
      <c r="E5" s="67">
        <v>0.05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
      <c r="A4" s="87">
        <f ca="1">IF(Planning!$C$6="",TODAY()-WEEKDAY(TODAY(),3)+7,Planning!$C$6)</f>
        <v>44431</v>
      </c>
      <c r="B4">
        <f ca="1">WEEKNUM(A4,21)</f>
        <v>34</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496.35</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101.25</v>
      </c>
      <c r="E4" s="5">
        <f ca="1">VLOOKUP($B4,'Summary Calculations (hide)'!$D$15:$U$67,15,0)</f>
        <v>13.038461538461538</v>
      </c>
      <c r="F4" s="5">
        <f ca="1">VLOOKUP($B4,'Summary Calculations (hide)'!$D$15:$U$67,16,0)</f>
        <v>2.1153846153846154</v>
      </c>
      <c r="G4" s="5">
        <f ca="1">SUM(E4:F4)</f>
        <v>15.153846153846153</v>
      </c>
      <c r="H4" s="5">
        <f ca="1">IF(G4+SUM(I4:AC4)&lt;0,0,G4+SUM(I4:AC4))</f>
        <v>15.153846153846153</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496.35</v>
      </c>
      <c r="AE4" s="67">
        <f ca="1">VLOOKUP($B4,'Summary Calculations (hide)'!$D$15:$U$67,18,0)</f>
        <v>101.25</v>
      </c>
    </row>
    <row r="5" spans="1:31" x14ac:dyDescent="0.2">
      <c r="A5" s="87">
        <f ca="1">A4+7</f>
        <v>44438</v>
      </c>
      <c r="B5" s="67">
        <f t="shared" ref="B5:B55" ca="1" si="0">WEEKNUM(A5,21)</f>
        <v>35</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496.35</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101.25</v>
      </c>
      <c r="E5" s="5">
        <f ca="1">VLOOKUP($B5,'Summary Calculations (hide)'!$D$15:$U$67,15,0)</f>
        <v>13.038461538461538</v>
      </c>
      <c r="F5" s="5">
        <f ca="1">VLOOKUP($B5,'Summary Calculations (hide)'!$D$15:$U$67,16,0)</f>
        <v>2.1153846153846154</v>
      </c>
      <c r="G5" s="5">
        <f t="shared" ref="G5:G55" ca="1" si="1">SUM(E5:F5)</f>
        <v>15.153846153846153</v>
      </c>
      <c r="H5" s="5">
        <f t="shared" ref="H5:H55" ca="1" si="2">IF(G5+SUM(I5:AC5)&lt;0,0,G5+SUM(I5:AC5))</f>
        <v>15.153846153846153</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496.35</v>
      </c>
      <c r="AE5" s="67">
        <f ca="1">VLOOKUP($B5,'Summary Calculations (hide)'!$D$15:$U$67,18,0)</f>
        <v>101.25</v>
      </c>
    </row>
    <row r="6" spans="1:31" x14ac:dyDescent="0.2">
      <c r="A6" s="87">
        <f t="shared" ref="A6:A55" ca="1" si="3">A5+7</f>
        <v>44445</v>
      </c>
      <c r="B6" s="67">
        <f t="shared" ca="1" si="0"/>
        <v>36</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496.35</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101.25</v>
      </c>
      <c r="E6" s="5">
        <f ca="1">VLOOKUP($B6,'Summary Calculations (hide)'!$D$15:$U$67,15,0)</f>
        <v>13.038461538461538</v>
      </c>
      <c r="F6" s="5">
        <f ca="1">VLOOKUP($B6,'Summary Calculations (hide)'!$D$15:$U$67,16,0)</f>
        <v>2.1153846153846154</v>
      </c>
      <c r="G6" s="5">
        <f t="shared" ca="1" si="1"/>
        <v>15.153846153846153</v>
      </c>
      <c r="H6" s="5">
        <f t="shared" ca="1" si="2"/>
        <v>15.153846153846153</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496.35</v>
      </c>
      <c r="AE6" s="67">
        <f ca="1">VLOOKUP($B6,'Summary Calculations (hide)'!$D$15:$U$67,18,0)</f>
        <v>101.25</v>
      </c>
    </row>
    <row r="7" spans="1:31" x14ac:dyDescent="0.2">
      <c r="A7" s="87">
        <f t="shared" ca="1" si="3"/>
        <v>44452</v>
      </c>
      <c r="B7" s="67">
        <f t="shared" ca="1" si="0"/>
        <v>37</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496.35</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101.25</v>
      </c>
      <c r="E7" s="5">
        <f ca="1">VLOOKUP($B7,'Summary Calculations (hide)'!$D$15:$U$67,15,0)</f>
        <v>13.038461538461538</v>
      </c>
      <c r="F7" s="5">
        <f ca="1">VLOOKUP($B7,'Summary Calculations (hide)'!$D$15:$U$67,16,0)</f>
        <v>2.1153846153846154</v>
      </c>
      <c r="G7" s="5">
        <f t="shared" ca="1" si="1"/>
        <v>15.153846153846153</v>
      </c>
      <c r="H7" s="5">
        <f t="shared" ca="1" si="2"/>
        <v>15.153846153846153</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496.35</v>
      </c>
      <c r="AE7" s="67">
        <f ca="1">VLOOKUP($B7,'Summary Calculations (hide)'!$D$15:$U$67,18,0)</f>
        <v>101.25</v>
      </c>
    </row>
    <row r="8" spans="1:31" x14ac:dyDescent="0.2">
      <c r="A8" s="87">
        <f t="shared" ca="1" si="3"/>
        <v>44459</v>
      </c>
      <c r="B8" s="67">
        <f t="shared" ca="1" si="0"/>
        <v>38</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496.35</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101.25</v>
      </c>
      <c r="E8" s="5">
        <f ca="1">VLOOKUP($B8,'Summary Calculations (hide)'!$D$15:$U$67,15,0)</f>
        <v>13.038461538461538</v>
      </c>
      <c r="F8" s="5">
        <f ca="1">VLOOKUP($B8,'Summary Calculations (hide)'!$D$15:$U$67,16,0)</f>
        <v>2.1153846153846154</v>
      </c>
      <c r="G8" s="5">
        <f t="shared" ca="1" si="1"/>
        <v>15.153846153846153</v>
      </c>
      <c r="H8" s="5">
        <f t="shared" ca="1" si="2"/>
        <v>15.153846153846153</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496.35</v>
      </c>
      <c r="AE8" s="67">
        <f ca="1">VLOOKUP($B8,'Summary Calculations (hide)'!$D$15:$U$67,18,0)</f>
        <v>101.25</v>
      </c>
    </row>
    <row r="9" spans="1:31" x14ac:dyDescent="0.2">
      <c r="A9" s="87">
        <f t="shared" ca="1" si="3"/>
        <v>44466</v>
      </c>
      <c r="B9" s="67">
        <f t="shared" ca="1" si="0"/>
        <v>39</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496.35</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101.25</v>
      </c>
      <c r="E9" s="5">
        <f ca="1">VLOOKUP($B9,'Summary Calculations (hide)'!$D$15:$U$67,15,0)</f>
        <v>13.038461538461538</v>
      </c>
      <c r="F9" s="5">
        <f ca="1">VLOOKUP($B9,'Summary Calculations (hide)'!$D$15:$U$67,16,0)</f>
        <v>2.1153846153846154</v>
      </c>
      <c r="G9" s="5">
        <f t="shared" ca="1" si="1"/>
        <v>15.153846153846153</v>
      </c>
      <c r="H9" s="5">
        <f t="shared" ca="1" si="2"/>
        <v>15.153846153846153</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496.35</v>
      </c>
      <c r="AE9" s="67">
        <f ca="1">VLOOKUP($B9,'Summary Calculations (hide)'!$D$15:$U$67,18,0)</f>
        <v>101.25</v>
      </c>
    </row>
    <row r="10" spans="1:31" x14ac:dyDescent="0.2">
      <c r="A10" s="87">
        <f t="shared" ca="1" si="3"/>
        <v>44473</v>
      </c>
      <c r="B10" s="67">
        <f t="shared" ca="1" si="0"/>
        <v>40</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496.35</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101.25</v>
      </c>
      <c r="E10" s="5">
        <f ca="1">VLOOKUP($B10,'Summary Calculations (hide)'!$D$15:$U$67,15,0)</f>
        <v>13.038461538461538</v>
      </c>
      <c r="F10" s="5">
        <f ca="1">VLOOKUP($B10,'Summary Calculations (hide)'!$D$15:$U$67,16,0)</f>
        <v>2.1153846153846154</v>
      </c>
      <c r="G10" s="5">
        <f t="shared" ca="1" si="1"/>
        <v>15.153846153846153</v>
      </c>
      <c r="H10" s="5">
        <f t="shared" ca="1" si="2"/>
        <v>117.15384615384616</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496.35</v>
      </c>
      <c r="AE10" s="67">
        <f ca="1">VLOOKUP($B10,'Summary Calculations (hide)'!$D$15:$U$67,18,0)</f>
        <v>101.25</v>
      </c>
    </row>
    <row r="11" spans="1:31" x14ac:dyDescent="0.2">
      <c r="A11" s="87">
        <f t="shared" ca="1" si="3"/>
        <v>44480</v>
      </c>
      <c r="B11" s="67">
        <f t="shared" ca="1" si="0"/>
        <v>41</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496.35</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101.25</v>
      </c>
      <c r="E11" s="5">
        <f ca="1">VLOOKUP($B11,'Summary Calculations (hide)'!$D$15:$U$67,15,0)</f>
        <v>13.038461538461538</v>
      </c>
      <c r="F11" s="5">
        <f ca="1">VLOOKUP($B11,'Summary Calculations (hide)'!$D$15:$U$67,16,0)</f>
        <v>2.1153846153846154</v>
      </c>
      <c r="G11" s="5">
        <f t="shared" ca="1" si="1"/>
        <v>15.153846153846153</v>
      </c>
      <c r="H11" s="5">
        <f t="shared" ca="1" si="2"/>
        <v>15.153846153846153</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496.35</v>
      </c>
      <c r="AE11" s="67">
        <f ca="1">VLOOKUP($B11,'Summary Calculations (hide)'!$D$15:$U$67,18,0)</f>
        <v>101.25</v>
      </c>
    </row>
    <row r="12" spans="1:31" x14ac:dyDescent="0.2">
      <c r="A12" s="87">
        <f t="shared" ca="1" si="3"/>
        <v>44487</v>
      </c>
      <c r="B12" s="67">
        <f t="shared" ca="1" si="0"/>
        <v>42</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496.35</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101.25</v>
      </c>
      <c r="E12" s="5">
        <f ca="1">VLOOKUP($B12,'Summary Calculations (hide)'!$D$15:$U$67,15,0)</f>
        <v>13.038461538461538</v>
      </c>
      <c r="F12" s="5">
        <f ca="1">VLOOKUP($B12,'Summary Calculations (hide)'!$D$15:$U$67,16,0)</f>
        <v>2.1153846153846154</v>
      </c>
      <c r="G12" s="5">
        <f t="shared" ca="1" si="1"/>
        <v>15.153846153846153</v>
      </c>
      <c r="H12" s="5">
        <f t="shared" ca="1" si="2"/>
        <v>117.15384615384616</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496.35</v>
      </c>
      <c r="AE12" s="67">
        <f ca="1">VLOOKUP($B12,'Summary Calculations (hide)'!$D$15:$U$67,18,0)</f>
        <v>101.25</v>
      </c>
    </row>
    <row r="13" spans="1:31" x14ac:dyDescent="0.2">
      <c r="A13" s="87">
        <f t="shared" ca="1" si="3"/>
        <v>44494</v>
      </c>
      <c r="B13" s="67">
        <f t="shared" ca="1" si="0"/>
        <v>43</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496.35</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101.25</v>
      </c>
      <c r="E13" s="5">
        <f ca="1">VLOOKUP($B13,'Summary Calculations (hide)'!$D$15:$U$67,15,0)</f>
        <v>13.038461538461538</v>
      </c>
      <c r="F13" s="5">
        <f ca="1">VLOOKUP($B13,'Summary Calculations (hide)'!$D$15:$U$67,16,0)</f>
        <v>2.1153846153846154</v>
      </c>
      <c r="G13" s="5">
        <f t="shared" ca="1" si="1"/>
        <v>15.153846153846153</v>
      </c>
      <c r="H13" s="5">
        <f t="shared" ca="1" si="2"/>
        <v>100.15384615384616</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496.35</v>
      </c>
      <c r="AE13" s="67">
        <f ca="1">VLOOKUP($B13,'Summary Calculations (hide)'!$D$15:$U$67,18,0)</f>
        <v>101.25</v>
      </c>
    </row>
    <row r="14" spans="1:31" x14ac:dyDescent="0.2">
      <c r="A14" s="87">
        <f t="shared" ca="1" si="3"/>
        <v>44501</v>
      </c>
      <c r="B14" s="67">
        <f t="shared" ca="1" si="0"/>
        <v>44</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496.35</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101.25</v>
      </c>
      <c r="E14" s="5">
        <f ca="1">VLOOKUP($B14,'Summary Calculations (hide)'!$D$15:$U$67,15,0)</f>
        <v>13.038461538461538</v>
      </c>
      <c r="F14" s="5">
        <f ca="1">VLOOKUP($B14,'Summary Calculations (hide)'!$D$15:$U$67,16,0)</f>
        <v>2.1153846153846154</v>
      </c>
      <c r="G14" s="5">
        <f t="shared" ca="1" si="1"/>
        <v>15.153846153846153</v>
      </c>
      <c r="H14" s="5">
        <f t="shared" ca="1" si="2"/>
        <v>15.153846153846153</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496.35</v>
      </c>
      <c r="AE14" s="67">
        <f ca="1">VLOOKUP($B14,'Summary Calculations (hide)'!$D$15:$U$67,18,0)</f>
        <v>101.25</v>
      </c>
    </row>
    <row r="15" spans="1:31" x14ac:dyDescent="0.2">
      <c r="A15" s="87">
        <f t="shared" ca="1" si="3"/>
        <v>44508</v>
      </c>
      <c r="B15" s="67">
        <f t="shared" ca="1" si="0"/>
        <v>45</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496.35</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101.25</v>
      </c>
      <c r="E15" s="5">
        <f ca="1">VLOOKUP($B15,'Summary Calculations (hide)'!$D$15:$U$67,15,0)</f>
        <v>13.038461538461538</v>
      </c>
      <c r="F15" s="5">
        <f ca="1">VLOOKUP($B15,'Summary Calculations (hide)'!$D$15:$U$67,16,0)</f>
        <v>2.1153846153846154</v>
      </c>
      <c r="G15" s="5">
        <f t="shared" ca="1" si="1"/>
        <v>15.153846153846153</v>
      </c>
      <c r="H15" s="5">
        <f t="shared" ca="1" si="2"/>
        <v>15.153846153846153</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496.35</v>
      </c>
      <c r="AE15" s="67">
        <f ca="1">VLOOKUP($B15,'Summary Calculations (hide)'!$D$15:$U$67,18,0)</f>
        <v>101.25</v>
      </c>
    </row>
    <row r="16" spans="1:31" x14ac:dyDescent="0.2">
      <c r="A16" s="87">
        <f t="shared" ca="1" si="3"/>
        <v>44515</v>
      </c>
      <c r="B16" s="67">
        <f t="shared" ca="1" si="0"/>
        <v>46</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496.35</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101.25</v>
      </c>
      <c r="E16" s="5">
        <f ca="1">VLOOKUP($B16,'Summary Calculations (hide)'!$D$15:$U$67,15,0)</f>
        <v>13.038461538461538</v>
      </c>
      <c r="F16" s="5">
        <f ca="1">VLOOKUP($B16,'Summary Calculations (hide)'!$D$15:$U$67,16,0)</f>
        <v>2.1153846153846154</v>
      </c>
      <c r="G16" s="5">
        <f t="shared" ca="1" si="1"/>
        <v>15.153846153846153</v>
      </c>
      <c r="H16" s="5">
        <f t="shared" ca="1" si="2"/>
        <v>117.15384615384616</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496.35</v>
      </c>
      <c r="AE16" s="67">
        <f ca="1">VLOOKUP($B16,'Summary Calculations (hide)'!$D$15:$U$67,18,0)</f>
        <v>101.25</v>
      </c>
    </row>
    <row r="17" spans="1:31" x14ac:dyDescent="0.2">
      <c r="A17" s="87">
        <f t="shared" ca="1" si="3"/>
        <v>44522</v>
      </c>
      <c r="B17" s="67">
        <f t="shared" ca="1" si="0"/>
        <v>47</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496.35</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101.25</v>
      </c>
      <c r="E17" s="5">
        <f ca="1">VLOOKUP($B17,'Summary Calculations (hide)'!$D$15:$U$67,15,0)</f>
        <v>13.038461538461538</v>
      </c>
      <c r="F17" s="5">
        <f ca="1">VLOOKUP($B17,'Summary Calculations (hide)'!$D$15:$U$67,16,0)</f>
        <v>2.1153846153846154</v>
      </c>
      <c r="G17" s="5">
        <f t="shared" ca="1" si="1"/>
        <v>15.153846153846153</v>
      </c>
      <c r="H17" s="5">
        <f t="shared" ca="1" si="2"/>
        <v>15.153846153846153</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496.35</v>
      </c>
      <c r="AE17" s="67">
        <f ca="1">VLOOKUP($B17,'Summary Calculations (hide)'!$D$15:$U$67,18,0)</f>
        <v>101.25</v>
      </c>
    </row>
    <row r="18" spans="1:31" x14ac:dyDescent="0.2">
      <c r="A18" s="87">
        <f t="shared" ca="1" si="3"/>
        <v>44529</v>
      </c>
      <c r="B18" s="67">
        <f t="shared" ca="1" si="0"/>
        <v>48</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496.35</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101.25</v>
      </c>
      <c r="E18" s="5">
        <f ca="1">VLOOKUP($B18,'Summary Calculations (hide)'!$D$15:$U$67,15,0)</f>
        <v>13.038461538461538</v>
      </c>
      <c r="F18" s="5">
        <f ca="1">VLOOKUP($B18,'Summary Calculations (hide)'!$D$15:$U$67,16,0)</f>
        <v>2.1153846153846154</v>
      </c>
      <c r="G18" s="5">
        <f t="shared" ca="1" si="1"/>
        <v>15.153846153846153</v>
      </c>
      <c r="H18" s="5">
        <f t="shared" ca="1" si="2"/>
        <v>15.153846153846153</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496.35</v>
      </c>
      <c r="AE18" s="67">
        <f ca="1">VLOOKUP($B18,'Summary Calculations (hide)'!$D$15:$U$67,18,0)</f>
        <v>101.25</v>
      </c>
    </row>
    <row r="19" spans="1:31" x14ac:dyDescent="0.2">
      <c r="A19" s="87">
        <f t="shared" ca="1" si="3"/>
        <v>44536</v>
      </c>
      <c r="B19" s="67">
        <f t="shared" ca="1" si="0"/>
        <v>49</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496.35</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101.25</v>
      </c>
      <c r="E19" s="5">
        <f ca="1">VLOOKUP($B19,'Summary Calculations (hide)'!$D$15:$U$67,15,0)</f>
        <v>13.038461538461538</v>
      </c>
      <c r="F19" s="5">
        <f ca="1">VLOOKUP($B19,'Summary Calculations (hide)'!$D$15:$U$67,16,0)</f>
        <v>2.1153846153846154</v>
      </c>
      <c r="G19" s="5">
        <f t="shared" ca="1" si="1"/>
        <v>15.153846153846153</v>
      </c>
      <c r="H19" s="5">
        <f t="shared" ca="1" si="2"/>
        <v>100.15384615384616</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496.35</v>
      </c>
      <c r="AE19" s="67">
        <f ca="1">VLOOKUP($B19,'Summary Calculations (hide)'!$D$15:$U$67,18,0)</f>
        <v>101.25</v>
      </c>
    </row>
    <row r="20" spans="1:31" x14ac:dyDescent="0.2">
      <c r="A20" s="87">
        <f t="shared" ca="1" si="3"/>
        <v>44543</v>
      </c>
      <c r="B20" s="67">
        <f t="shared" ca="1" si="0"/>
        <v>50</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496.35</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101.25</v>
      </c>
      <c r="E20" s="5">
        <f ca="1">VLOOKUP($B20,'Summary Calculations (hide)'!$D$15:$U$67,15,0)</f>
        <v>13.038461538461538</v>
      </c>
      <c r="F20" s="5">
        <f ca="1">VLOOKUP($B20,'Summary Calculations (hide)'!$D$15:$U$67,16,0)</f>
        <v>2.1153846153846154</v>
      </c>
      <c r="G20" s="5">
        <f t="shared" ca="1" si="1"/>
        <v>15.153846153846153</v>
      </c>
      <c r="H20" s="5">
        <f t="shared" ca="1" si="2"/>
        <v>100.15384615384616</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496.35</v>
      </c>
      <c r="AE20" s="67">
        <f ca="1">VLOOKUP($B20,'Summary Calculations (hide)'!$D$15:$U$67,18,0)</f>
        <v>101.25</v>
      </c>
    </row>
    <row r="21" spans="1:31" x14ac:dyDescent="0.2">
      <c r="A21" s="87">
        <f t="shared" ca="1" si="3"/>
        <v>44550</v>
      </c>
      <c r="B21" s="67">
        <f t="shared" ca="1" si="0"/>
        <v>51</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496.35</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101.25</v>
      </c>
      <c r="E21" s="5">
        <f ca="1">VLOOKUP($B21,'Summary Calculations (hide)'!$D$15:$U$67,15,0)</f>
        <v>13.038461538461538</v>
      </c>
      <c r="F21" s="5">
        <f ca="1">VLOOKUP($B21,'Summary Calculations (hide)'!$D$15:$U$67,16,0)</f>
        <v>2.1153846153846154</v>
      </c>
      <c r="G21" s="5">
        <f t="shared" ca="1" si="1"/>
        <v>15.153846153846153</v>
      </c>
      <c r="H21" s="5">
        <f t="shared" ca="1" si="2"/>
        <v>100.15384615384616</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496.35</v>
      </c>
      <c r="AE21" s="67">
        <f ca="1">VLOOKUP($B21,'Summary Calculations (hide)'!$D$15:$U$67,18,0)</f>
        <v>101.25</v>
      </c>
    </row>
    <row r="22" spans="1:31" x14ac:dyDescent="0.2">
      <c r="A22" s="87">
        <f t="shared" ca="1" si="3"/>
        <v>44557</v>
      </c>
      <c r="B22" s="67">
        <f t="shared" ca="1" si="0"/>
        <v>52</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496.35</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101.25</v>
      </c>
      <c r="E22" s="5">
        <f ca="1">VLOOKUP($B22,'Summary Calculations (hide)'!$D$15:$U$67,15,0)</f>
        <v>13.038461538461538</v>
      </c>
      <c r="F22" s="5">
        <f ca="1">VLOOKUP($B22,'Summary Calculations (hide)'!$D$15:$U$67,16,0)</f>
        <v>2.1153846153846154</v>
      </c>
      <c r="G22" s="5">
        <f t="shared" ca="1" si="1"/>
        <v>15.153846153846153</v>
      </c>
      <c r="H22" s="5">
        <f t="shared" ca="1" si="2"/>
        <v>100.15384615384616</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496.35</v>
      </c>
      <c r="AE22" s="67">
        <f ca="1">VLOOKUP($B22,'Summary Calculations (hide)'!$D$15:$U$67,18,0)</f>
        <v>101.25</v>
      </c>
    </row>
    <row r="23" spans="1:31" x14ac:dyDescent="0.2">
      <c r="A23" s="87">
        <f t="shared" ca="1" si="3"/>
        <v>44564</v>
      </c>
      <c r="B23" s="67">
        <f t="shared" ca="1" si="0"/>
        <v>1</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496.35</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101.25</v>
      </c>
      <c r="E23" s="5">
        <f ca="1">VLOOKUP($B23,'Summary Calculations (hide)'!$D$15:$U$67,15,0)</f>
        <v>13.038461538461538</v>
      </c>
      <c r="F23" s="5">
        <f ca="1">VLOOKUP($B23,'Summary Calculations (hide)'!$D$15:$U$67,16,0)</f>
        <v>2.1153846153846154</v>
      </c>
      <c r="G23" s="5">
        <f t="shared" ca="1" si="1"/>
        <v>15.153846153846153</v>
      </c>
      <c r="H23" s="5">
        <f t="shared" ca="1" si="2"/>
        <v>15.153846153846153</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496.35</v>
      </c>
      <c r="AE23" s="67">
        <f ca="1">VLOOKUP($B23,'Summary Calculations (hide)'!$D$15:$U$67,18,0)</f>
        <v>101.25</v>
      </c>
    </row>
    <row r="24" spans="1:31" x14ac:dyDescent="0.2">
      <c r="A24" s="87">
        <f t="shared" ca="1" si="3"/>
        <v>44571</v>
      </c>
      <c r="B24" s="67">
        <f t="shared" ca="1" si="0"/>
        <v>2</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496.35</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101.25</v>
      </c>
      <c r="E24" s="5">
        <f ca="1">VLOOKUP($B24,'Summary Calculations (hide)'!$D$15:$U$67,15,0)</f>
        <v>13.038461538461538</v>
      </c>
      <c r="F24" s="5">
        <f ca="1">VLOOKUP($B24,'Summary Calculations (hide)'!$D$15:$U$67,16,0)</f>
        <v>2.1153846153846154</v>
      </c>
      <c r="G24" s="5">
        <f t="shared" ca="1" si="1"/>
        <v>15.153846153846153</v>
      </c>
      <c r="H24" s="5">
        <f t="shared" ca="1" si="2"/>
        <v>117.15384615384616</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496.35</v>
      </c>
      <c r="AE24" s="67">
        <f ca="1">VLOOKUP($B24,'Summary Calculations (hide)'!$D$15:$U$67,18,0)</f>
        <v>101.25</v>
      </c>
    </row>
    <row r="25" spans="1:31" x14ac:dyDescent="0.2">
      <c r="A25" s="87">
        <f t="shared" ca="1" si="3"/>
        <v>44578</v>
      </c>
      <c r="B25" s="67">
        <f t="shared" ca="1" si="0"/>
        <v>3</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496.35</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101.25</v>
      </c>
      <c r="E25" s="5">
        <f ca="1">VLOOKUP($B25,'Summary Calculations (hide)'!$D$15:$U$67,15,0)</f>
        <v>13.038461538461538</v>
      </c>
      <c r="F25" s="5">
        <f ca="1">VLOOKUP($B25,'Summary Calculations (hide)'!$D$15:$U$67,16,0)</f>
        <v>2.1153846153846154</v>
      </c>
      <c r="G25" s="5">
        <f t="shared" ca="1" si="1"/>
        <v>15.153846153846153</v>
      </c>
      <c r="H25" s="5">
        <f t="shared" ca="1" si="2"/>
        <v>117.15384615384616</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496.35</v>
      </c>
      <c r="AE25" s="67">
        <f ca="1">VLOOKUP($B25,'Summary Calculations (hide)'!$D$15:$U$67,18,0)</f>
        <v>101.25</v>
      </c>
    </row>
    <row r="26" spans="1:31" x14ac:dyDescent="0.2">
      <c r="A26" s="87">
        <f t="shared" ca="1" si="3"/>
        <v>44585</v>
      </c>
      <c r="B26" s="67">
        <f t="shared" ca="1" si="0"/>
        <v>4</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496.35</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101.25</v>
      </c>
      <c r="E26" s="5">
        <f ca="1">VLOOKUP($B26,'Summary Calculations (hide)'!$D$15:$U$67,15,0)</f>
        <v>13.038461538461538</v>
      </c>
      <c r="F26" s="5">
        <f ca="1">VLOOKUP($B26,'Summary Calculations (hide)'!$D$15:$U$67,16,0)</f>
        <v>2.1153846153846154</v>
      </c>
      <c r="G26" s="5">
        <f t="shared" ca="1" si="1"/>
        <v>15.153846153846153</v>
      </c>
      <c r="H26" s="5">
        <f t="shared" ca="1" si="2"/>
        <v>15.153846153846153</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496.35</v>
      </c>
      <c r="AE26" s="67">
        <f ca="1">VLOOKUP($B26,'Summary Calculations (hide)'!$D$15:$U$67,18,0)</f>
        <v>101.25</v>
      </c>
    </row>
    <row r="27" spans="1:31" x14ac:dyDescent="0.2">
      <c r="A27" s="87">
        <f t="shared" ca="1" si="3"/>
        <v>44592</v>
      </c>
      <c r="B27" s="67">
        <f t="shared" ca="1" si="0"/>
        <v>5</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496.35</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101.25</v>
      </c>
      <c r="E27" s="5">
        <f ca="1">VLOOKUP($B27,'Summary Calculations (hide)'!$D$15:$U$67,15,0)</f>
        <v>13.038461538461538</v>
      </c>
      <c r="F27" s="5">
        <f ca="1">VLOOKUP($B27,'Summary Calculations (hide)'!$D$15:$U$67,16,0)</f>
        <v>2.1153846153846154</v>
      </c>
      <c r="G27" s="5">
        <f t="shared" ca="1" si="1"/>
        <v>15.153846153846153</v>
      </c>
      <c r="H27" s="5">
        <f t="shared" ca="1" si="2"/>
        <v>15.153846153846153</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496.35</v>
      </c>
      <c r="AE27" s="67">
        <f ca="1">VLOOKUP($B27,'Summary Calculations (hide)'!$D$15:$U$67,18,0)</f>
        <v>101.25</v>
      </c>
    </row>
    <row r="28" spans="1:31" x14ac:dyDescent="0.2">
      <c r="A28" s="87">
        <f t="shared" ca="1" si="3"/>
        <v>44599</v>
      </c>
      <c r="B28" s="67">
        <f t="shared" ca="1" si="0"/>
        <v>6</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496.35</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101.25</v>
      </c>
      <c r="E28" s="5">
        <f ca="1">VLOOKUP($B28,'Summary Calculations (hide)'!$D$15:$U$67,15,0)</f>
        <v>13.038461538461538</v>
      </c>
      <c r="F28" s="5">
        <f ca="1">VLOOKUP($B28,'Summary Calculations (hide)'!$D$15:$U$67,16,0)</f>
        <v>2.1153846153846154</v>
      </c>
      <c r="G28" s="5">
        <f t="shared" ca="1" si="1"/>
        <v>15.153846153846153</v>
      </c>
      <c r="H28" s="5">
        <f t="shared" ca="1" si="2"/>
        <v>15.153846153846153</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496.35</v>
      </c>
      <c r="AE28" s="67">
        <f ca="1">VLOOKUP($B28,'Summary Calculations (hide)'!$D$15:$U$67,18,0)</f>
        <v>101.25</v>
      </c>
    </row>
    <row r="29" spans="1:31" x14ac:dyDescent="0.2">
      <c r="A29" s="87">
        <f t="shared" ca="1" si="3"/>
        <v>44606</v>
      </c>
      <c r="B29" s="67">
        <f t="shared" ca="1" si="0"/>
        <v>7</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496.35</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101.25</v>
      </c>
      <c r="E29" s="5">
        <f ca="1">VLOOKUP($B29,'Summary Calculations (hide)'!$D$15:$U$67,15,0)</f>
        <v>13.038461538461538</v>
      </c>
      <c r="F29" s="5">
        <f ca="1">VLOOKUP($B29,'Summary Calculations (hide)'!$D$15:$U$67,16,0)</f>
        <v>2.1153846153846154</v>
      </c>
      <c r="G29" s="5">
        <f t="shared" ca="1" si="1"/>
        <v>15.153846153846153</v>
      </c>
      <c r="H29" s="5">
        <f t="shared" ca="1" si="2"/>
        <v>15.153846153846153</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496.35</v>
      </c>
      <c r="AE29" s="67">
        <f ca="1">VLOOKUP($B29,'Summary Calculations (hide)'!$D$15:$U$67,18,0)</f>
        <v>101.25</v>
      </c>
    </row>
    <row r="30" spans="1:31" x14ac:dyDescent="0.2">
      <c r="A30" s="87">
        <f t="shared" ca="1" si="3"/>
        <v>44613</v>
      </c>
      <c r="B30" s="67">
        <f t="shared" ca="1" si="0"/>
        <v>8</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496.35</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101.25</v>
      </c>
      <c r="E30" s="5">
        <f ca="1">VLOOKUP($B30,'Summary Calculations (hide)'!$D$15:$U$67,15,0)</f>
        <v>13.038461538461538</v>
      </c>
      <c r="F30" s="5">
        <f ca="1">VLOOKUP($B30,'Summary Calculations (hide)'!$D$15:$U$67,16,0)</f>
        <v>2.1153846153846154</v>
      </c>
      <c r="G30" s="5">
        <f t="shared" ca="1" si="1"/>
        <v>15.153846153846153</v>
      </c>
      <c r="H30" s="5">
        <f t="shared" ca="1" si="2"/>
        <v>15.153846153846153</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496.35</v>
      </c>
      <c r="AE30" s="67">
        <f ca="1">VLOOKUP($B30,'Summary Calculations (hide)'!$D$15:$U$67,18,0)</f>
        <v>101.25</v>
      </c>
    </row>
    <row r="31" spans="1:31" x14ac:dyDescent="0.2">
      <c r="A31" s="87">
        <f t="shared" ca="1" si="3"/>
        <v>44620</v>
      </c>
      <c r="B31" s="67">
        <f t="shared" ca="1" si="0"/>
        <v>9</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496.35</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101.25</v>
      </c>
      <c r="E31" s="5">
        <f ca="1">VLOOKUP($B31,'Summary Calculations (hide)'!$D$15:$U$67,15,0)</f>
        <v>13.038461538461538</v>
      </c>
      <c r="F31" s="5">
        <f ca="1">VLOOKUP($B31,'Summary Calculations (hide)'!$D$15:$U$67,16,0)</f>
        <v>2.1153846153846154</v>
      </c>
      <c r="G31" s="5">
        <f t="shared" ca="1" si="1"/>
        <v>15.153846153846153</v>
      </c>
      <c r="H31" s="5">
        <f t="shared" ca="1" si="2"/>
        <v>15.153846153846153</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496.35</v>
      </c>
      <c r="AE31" s="67">
        <f ca="1">VLOOKUP($B31,'Summary Calculations (hide)'!$D$15:$U$67,18,0)</f>
        <v>101.25</v>
      </c>
    </row>
    <row r="32" spans="1:31" x14ac:dyDescent="0.2">
      <c r="A32" s="87">
        <f t="shared" ca="1" si="3"/>
        <v>44627</v>
      </c>
      <c r="B32" s="67">
        <f t="shared" ca="1" si="0"/>
        <v>10</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496.35</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101.25</v>
      </c>
      <c r="E32" s="5">
        <f ca="1">VLOOKUP($B32,'Summary Calculations (hide)'!$D$15:$U$67,15,0)</f>
        <v>13.038461538461538</v>
      </c>
      <c r="F32" s="5">
        <f ca="1">VLOOKUP($B32,'Summary Calculations (hide)'!$D$15:$U$67,16,0)</f>
        <v>2.1153846153846154</v>
      </c>
      <c r="G32" s="5">
        <f t="shared" ca="1" si="1"/>
        <v>15.153846153846153</v>
      </c>
      <c r="H32" s="5">
        <f t="shared" ca="1" si="2"/>
        <v>15.153846153846153</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496.35</v>
      </c>
      <c r="AE32" s="67">
        <f ca="1">VLOOKUP($B32,'Summary Calculations (hide)'!$D$15:$U$67,18,0)</f>
        <v>101.25</v>
      </c>
    </row>
    <row r="33" spans="1:31" x14ac:dyDescent="0.2">
      <c r="A33" s="87">
        <f t="shared" ca="1" si="3"/>
        <v>44634</v>
      </c>
      <c r="B33" s="67">
        <f t="shared" ca="1" si="0"/>
        <v>11</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496.35</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101.25</v>
      </c>
      <c r="E33" s="5">
        <f ca="1">VLOOKUP($B33,'Summary Calculations (hide)'!$D$15:$U$67,15,0)</f>
        <v>13.038461538461538</v>
      </c>
      <c r="F33" s="5">
        <f ca="1">VLOOKUP($B33,'Summary Calculations (hide)'!$D$15:$U$67,16,0)</f>
        <v>2.1153846153846154</v>
      </c>
      <c r="G33" s="5">
        <f t="shared" ca="1" si="1"/>
        <v>15.153846153846153</v>
      </c>
      <c r="H33" s="5">
        <f t="shared" ca="1" si="2"/>
        <v>15.153846153846153</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496.35</v>
      </c>
      <c r="AE33" s="67">
        <f ca="1">VLOOKUP($B33,'Summary Calculations (hide)'!$D$15:$U$67,18,0)</f>
        <v>101.25</v>
      </c>
    </row>
    <row r="34" spans="1:31" x14ac:dyDescent="0.2">
      <c r="A34" s="87">
        <f t="shared" ca="1" si="3"/>
        <v>44641</v>
      </c>
      <c r="B34" s="67">
        <f t="shared" ca="1" si="0"/>
        <v>12</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496.35</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101.25</v>
      </c>
      <c r="E34" s="5">
        <f ca="1">VLOOKUP($B34,'Summary Calculations (hide)'!$D$15:$U$67,15,0)</f>
        <v>13.038461538461538</v>
      </c>
      <c r="F34" s="5">
        <f ca="1">VLOOKUP($B34,'Summary Calculations (hide)'!$D$15:$U$67,16,0)</f>
        <v>2.1153846153846154</v>
      </c>
      <c r="G34" s="5">
        <f t="shared" ca="1" si="1"/>
        <v>15.153846153846153</v>
      </c>
      <c r="H34" s="5">
        <f t="shared" ca="1" si="2"/>
        <v>15.153846153846153</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496.35</v>
      </c>
      <c r="AE34" s="67">
        <f ca="1">VLOOKUP($B34,'Summary Calculations (hide)'!$D$15:$U$67,18,0)</f>
        <v>101.25</v>
      </c>
    </row>
    <row r="35" spans="1:31" x14ac:dyDescent="0.2">
      <c r="A35" s="87">
        <f t="shared" ca="1" si="3"/>
        <v>44648</v>
      </c>
      <c r="B35" s="67">
        <f t="shared" ca="1" si="0"/>
        <v>13</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496.35</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101.25</v>
      </c>
      <c r="E35" s="5">
        <f ca="1">VLOOKUP($B35,'Summary Calculations (hide)'!$D$15:$U$67,15,0)</f>
        <v>13.038461538461538</v>
      </c>
      <c r="F35" s="5">
        <f ca="1">VLOOKUP($B35,'Summary Calculations (hide)'!$D$15:$U$67,16,0)</f>
        <v>2.1153846153846154</v>
      </c>
      <c r="G35" s="5">
        <f t="shared" ca="1" si="1"/>
        <v>15.153846153846153</v>
      </c>
      <c r="H35" s="5">
        <f t="shared" ca="1" si="2"/>
        <v>15.153846153846153</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496.35</v>
      </c>
      <c r="AE35" s="67">
        <f ca="1">VLOOKUP($B35,'Summary Calculations (hide)'!$D$15:$U$67,18,0)</f>
        <v>101.25</v>
      </c>
    </row>
    <row r="36" spans="1:31" x14ac:dyDescent="0.2">
      <c r="A36" s="87">
        <f t="shared" ca="1" si="3"/>
        <v>44655</v>
      </c>
      <c r="B36" s="67">
        <f t="shared" ca="1" si="0"/>
        <v>14</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496.35</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101.25</v>
      </c>
      <c r="E36" s="5">
        <f ca="1">VLOOKUP($B36,'Summary Calculations (hide)'!$D$15:$U$67,15,0)</f>
        <v>13.038461538461538</v>
      </c>
      <c r="F36" s="5">
        <f ca="1">VLOOKUP($B36,'Summary Calculations (hide)'!$D$15:$U$67,16,0)</f>
        <v>2.1153846153846154</v>
      </c>
      <c r="G36" s="5">
        <f t="shared" ca="1" si="1"/>
        <v>15.153846153846153</v>
      </c>
      <c r="H36" s="5">
        <f t="shared" ca="1" si="2"/>
        <v>15.153846153846153</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496.35</v>
      </c>
      <c r="AE36" s="67">
        <f ca="1">VLOOKUP($B36,'Summary Calculations (hide)'!$D$15:$U$67,18,0)</f>
        <v>101.25</v>
      </c>
    </row>
    <row r="37" spans="1:31" x14ac:dyDescent="0.2">
      <c r="A37" s="87">
        <f t="shared" ca="1" si="3"/>
        <v>44662</v>
      </c>
      <c r="B37" s="67">
        <f t="shared" ca="1" si="0"/>
        <v>15</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496.35</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101.25</v>
      </c>
      <c r="E37" s="5">
        <f ca="1">VLOOKUP($B37,'Summary Calculations (hide)'!$D$15:$U$67,15,0)</f>
        <v>13.038461538461538</v>
      </c>
      <c r="F37" s="5">
        <f ca="1">VLOOKUP($B37,'Summary Calculations (hide)'!$D$15:$U$67,16,0)</f>
        <v>2.1153846153846154</v>
      </c>
      <c r="G37" s="5">
        <f t="shared" ca="1" si="1"/>
        <v>15.153846153846153</v>
      </c>
      <c r="H37" s="5">
        <f t="shared" ca="1" si="2"/>
        <v>15.153846153846153</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496.35</v>
      </c>
      <c r="AE37" s="67">
        <f ca="1">VLOOKUP($B37,'Summary Calculations (hide)'!$D$15:$U$67,18,0)</f>
        <v>101.25</v>
      </c>
    </row>
    <row r="38" spans="1:31" x14ac:dyDescent="0.2">
      <c r="A38" s="87">
        <f t="shared" ca="1" si="3"/>
        <v>44669</v>
      </c>
      <c r="B38" s="67">
        <f t="shared" ca="1" si="0"/>
        <v>16</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496.35</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101.25</v>
      </c>
      <c r="E38" s="5">
        <f ca="1">VLOOKUP($B38,'Summary Calculations (hide)'!$D$15:$U$67,15,0)</f>
        <v>13.038461538461538</v>
      </c>
      <c r="F38" s="5">
        <f ca="1">VLOOKUP($B38,'Summary Calculations (hide)'!$D$15:$U$67,16,0)</f>
        <v>2.1153846153846154</v>
      </c>
      <c r="G38" s="5">
        <f t="shared" ca="1" si="1"/>
        <v>15.153846153846153</v>
      </c>
      <c r="H38" s="5">
        <f t="shared" ca="1" si="2"/>
        <v>15.153846153846153</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496.35</v>
      </c>
      <c r="AE38" s="67">
        <f ca="1">VLOOKUP($B38,'Summary Calculations (hide)'!$D$15:$U$67,18,0)</f>
        <v>101.25</v>
      </c>
    </row>
    <row r="39" spans="1:31" x14ac:dyDescent="0.2">
      <c r="A39" s="87">
        <f t="shared" ca="1" si="3"/>
        <v>44676</v>
      </c>
      <c r="B39" s="67">
        <f t="shared" ca="1" si="0"/>
        <v>17</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496.35</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101.25</v>
      </c>
      <c r="E39" s="5">
        <f ca="1">VLOOKUP($B39,'Summary Calculations (hide)'!$D$15:$U$67,15,0)</f>
        <v>13.038461538461538</v>
      </c>
      <c r="F39" s="5">
        <f ca="1">VLOOKUP($B39,'Summary Calculations (hide)'!$D$15:$U$67,16,0)</f>
        <v>2.1153846153846154</v>
      </c>
      <c r="G39" s="5">
        <f t="shared" ca="1" si="1"/>
        <v>15.153846153846153</v>
      </c>
      <c r="H39" s="5">
        <f t="shared" ca="1" si="2"/>
        <v>15.153846153846153</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496.35</v>
      </c>
      <c r="AE39" s="67">
        <f ca="1">VLOOKUP($B39,'Summary Calculations (hide)'!$D$15:$U$67,18,0)</f>
        <v>101.25</v>
      </c>
    </row>
    <row r="40" spans="1:31" x14ac:dyDescent="0.2">
      <c r="A40" s="87">
        <f t="shared" ca="1" si="3"/>
        <v>44683</v>
      </c>
      <c r="B40" s="67">
        <f t="shared" ca="1" si="0"/>
        <v>18</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496.35</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101.25</v>
      </c>
      <c r="E40" s="5">
        <f ca="1">VLOOKUP($B40,'Summary Calculations (hide)'!$D$15:$U$67,15,0)</f>
        <v>13.038461538461538</v>
      </c>
      <c r="F40" s="5">
        <f ca="1">VLOOKUP($B40,'Summary Calculations (hide)'!$D$15:$U$67,16,0)</f>
        <v>2.1153846153846154</v>
      </c>
      <c r="G40" s="5">
        <f t="shared" ca="1" si="1"/>
        <v>15.153846153846153</v>
      </c>
      <c r="H40" s="5">
        <f t="shared" ca="1" si="2"/>
        <v>15.153846153846153</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496.35</v>
      </c>
      <c r="AE40" s="67">
        <f ca="1">VLOOKUP($B40,'Summary Calculations (hide)'!$D$15:$U$67,18,0)</f>
        <v>101.25</v>
      </c>
    </row>
    <row r="41" spans="1:31" x14ac:dyDescent="0.2">
      <c r="A41" s="87">
        <f t="shared" ca="1" si="3"/>
        <v>44690</v>
      </c>
      <c r="B41" s="67">
        <f t="shared" ca="1" si="0"/>
        <v>19</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496.35</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101.25</v>
      </c>
      <c r="E41" s="5">
        <f ca="1">VLOOKUP($B41,'Summary Calculations (hide)'!$D$15:$U$67,15,0)</f>
        <v>13.038461538461538</v>
      </c>
      <c r="F41" s="5">
        <f ca="1">VLOOKUP($B41,'Summary Calculations (hide)'!$D$15:$U$67,16,0)</f>
        <v>2.1153846153846154</v>
      </c>
      <c r="G41" s="5">
        <f t="shared" ca="1" si="1"/>
        <v>15.153846153846153</v>
      </c>
      <c r="H41" s="5">
        <f t="shared" ca="1" si="2"/>
        <v>15.153846153846153</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496.35</v>
      </c>
      <c r="AE41" s="67">
        <f ca="1">VLOOKUP($B41,'Summary Calculations (hide)'!$D$15:$U$67,18,0)</f>
        <v>101.25</v>
      </c>
    </row>
    <row r="42" spans="1:31" x14ac:dyDescent="0.2">
      <c r="A42" s="87">
        <f ca="1">A41+7</f>
        <v>44697</v>
      </c>
      <c r="B42" s="67">
        <f t="shared" ca="1" si="0"/>
        <v>20</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496.35</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101.25</v>
      </c>
      <c r="E42" s="5">
        <f ca="1">VLOOKUP($B42,'Summary Calculations (hide)'!$D$15:$U$67,15,0)</f>
        <v>13.038461538461538</v>
      </c>
      <c r="F42" s="5">
        <f ca="1">VLOOKUP($B42,'Summary Calculations (hide)'!$D$15:$U$67,16,0)</f>
        <v>2.1153846153846154</v>
      </c>
      <c r="G42" s="5">
        <f t="shared" ca="1" si="1"/>
        <v>15.153846153846153</v>
      </c>
      <c r="H42" s="5">
        <f t="shared" ca="1" si="2"/>
        <v>15.153846153846153</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496.35</v>
      </c>
      <c r="AE42" s="67">
        <f ca="1">VLOOKUP($B42,'Summary Calculations (hide)'!$D$15:$U$67,18,0)</f>
        <v>101.25</v>
      </c>
    </row>
    <row r="43" spans="1:31" x14ac:dyDescent="0.2">
      <c r="A43" s="87">
        <f t="shared" ca="1" si="3"/>
        <v>44704</v>
      </c>
      <c r="B43" s="67">
        <f t="shared" ca="1" si="0"/>
        <v>21</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496.35</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101.25</v>
      </c>
      <c r="E43" s="5">
        <f ca="1">VLOOKUP($B43,'Summary Calculations (hide)'!$D$15:$U$67,15,0)</f>
        <v>13.038461538461538</v>
      </c>
      <c r="F43" s="5">
        <f ca="1">VLOOKUP($B43,'Summary Calculations (hide)'!$D$15:$U$67,16,0)</f>
        <v>2.1153846153846154</v>
      </c>
      <c r="G43" s="5">
        <f t="shared" ca="1" si="1"/>
        <v>15.153846153846153</v>
      </c>
      <c r="H43" s="5">
        <f t="shared" ca="1" si="2"/>
        <v>15.153846153846153</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496.35</v>
      </c>
      <c r="AE43" s="67">
        <f ca="1">VLOOKUP($B43,'Summary Calculations (hide)'!$D$15:$U$67,18,0)</f>
        <v>101.25</v>
      </c>
    </row>
    <row r="44" spans="1:31" x14ac:dyDescent="0.2">
      <c r="A44" s="87">
        <f t="shared" ca="1" si="3"/>
        <v>44711</v>
      </c>
      <c r="B44" s="67">
        <f t="shared" ca="1" si="0"/>
        <v>22</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496.35</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101.25</v>
      </c>
      <c r="E44" s="5">
        <f ca="1">VLOOKUP($B44,'Summary Calculations (hide)'!$D$15:$U$67,15,0)</f>
        <v>13.038461538461538</v>
      </c>
      <c r="F44" s="5">
        <f ca="1">VLOOKUP($B44,'Summary Calculations (hide)'!$D$15:$U$67,16,0)</f>
        <v>2.1153846153846154</v>
      </c>
      <c r="G44" s="5">
        <f t="shared" ca="1" si="1"/>
        <v>15.153846153846153</v>
      </c>
      <c r="H44" s="5">
        <f t="shared" ca="1" si="2"/>
        <v>15.153846153846153</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496.35</v>
      </c>
      <c r="AE44" s="67">
        <f ca="1">VLOOKUP($B44,'Summary Calculations (hide)'!$D$15:$U$67,18,0)</f>
        <v>101.25</v>
      </c>
    </row>
    <row r="45" spans="1:31" x14ac:dyDescent="0.2">
      <c r="A45" s="87">
        <f t="shared" ca="1" si="3"/>
        <v>44718</v>
      </c>
      <c r="B45" s="67">
        <f t="shared" ca="1" si="0"/>
        <v>23</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496.35</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101.25</v>
      </c>
      <c r="E45" s="5">
        <f ca="1">VLOOKUP($B45,'Summary Calculations (hide)'!$D$15:$U$67,15,0)</f>
        <v>13.038461538461538</v>
      </c>
      <c r="F45" s="5">
        <f ca="1">VLOOKUP($B45,'Summary Calculations (hide)'!$D$15:$U$67,16,0)</f>
        <v>2.1153846153846154</v>
      </c>
      <c r="G45" s="5">
        <f t="shared" ca="1" si="1"/>
        <v>15.153846153846153</v>
      </c>
      <c r="H45" s="5">
        <f t="shared" ca="1" si="2"/>
        <v>15.153846153846153</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496.35</v>
      </c>
      <c r="AE45" s="67">
        <f ca="1">VLOOKUP($B45,'Summary Calculations (hide)'!$D$15:$U$67,18,0)</f>
        <v>101.25</v>
      </c>
    </row>
    <row r="46" spans="1:31" x14ac:dyDescent="0.2">
      <c r="A46" s="87">
        <f t="shared" ca="1" si="3"/>
        <v>44725</v>
      </c>
      <c r="B46" s="67">
        <f t="shared" ca="1" si="0"/>
        <v>24</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496.35</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101.25</v>
      </c>
      <c r="E46" s="5">
        <f ca="1">VLOOKUP($B46,'Summary Calculations (hide)'!$D$15:$U$67,15,0)</f>
        <v>13.038461538461538</v>
      </c>
      <c r="F46" s="5">
        <f ca="1">VLOOKUP($B46,'Summary Calculations (hide)'!$D$15:$U$67,16,0)</f>
        <v>2.1153846153846154</v>
      </c>
      <c r="G46" s="5">
        <f t="shared" ca="1" si="1"/>
        <v>15.153846153846153</v>
      </c>
      <c r="H46" s="5">
        <f t="shared" ca="1" si="2"/>
        <v>15.153846153846153</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496.35</v>
      </c>
      <c r="AE46" s="67">
        <f ca="1">VLOOKUP($B46,'Summary Calculations (hide)'!$D$15:$U$67,18,0)</f>
        <v>101.25</v>
      </c>
    </row>
    <row r="47" spans="1:31" x14ac:dyDescent="0.2">
      <c r="A47" s="87">
        <f t="shared" ca="1" si="3"/>
        <v>44732</v>
      </c>
      <c r="B47" s="67">
        <f t="shared" ca="1" si="0"/>
        <v>25</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496.35</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101.25</v>
      </c>
      <c r="E47" s="5">
        <f ca="1">VLOOKUP($B47,'Summary Calculations (hide)'!$D$15:$U$67,15,0)</f>
        <v>13.038461538461538</v>
      </c>
      <c r="F47" s="5">
        <f ca="1">VLOOKUP($B47,'Summary Calculations (hide)'!$D$15:$U$67,16,0)</f>
        <v>2.1153846153846154</v>
      </c>
      <c r="G47" s="5">
        <f t="shared" ca="1" si="1"/>
        <v>15.153846153846153</v>
      </c>
      <c r="H47" s="5">
        <f t="shared" ca="1" si="2"/>
        <v>15.153846153846153</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496.35</v>
      </c>
      <c r="AE47" s="67">
        <f ca="1">VLOOKUP($B47,'Summary Calculations (hide)'!$D$15:$U$67,18,0)</f>
        <v>101.25</v>
      </c>
    </row>
    <row r="48" spans="1:31" x14ac:dyDescent="0.2">
      <c r="A48" s="87">
        <f t="shared" ca="1" si="3"/>
        <v>44739</v>
      </c>
      <c r="B48" s="67">
        <f t="shared" ca="1" si="0"/>
        <v>26</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496.35</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101.25</v>
      </c>
      <c r="E48" s="5">
        <f ca="1">VLOOKUP($B48,'Summary Calculations (hide)'!$D$15:$U$67,15,0)</f>
        <v>13.038461538461538</v>
      </c>
      <c r="F48" s="5">
        <f ca="1">VLOOKUP($B48,'Summary Calculations (hide)'!$D$15:$U$67,16,0)</f>
        <v>2.1153846153846154</v>
      </c>
      <c r="G48" s="5">
        <f t="shared" ca="1" si="1"/>
        <v>15.153846153846153</v>
      </c>
      <c r="H48" s="5">
        <f t="shared" ca="1" si="2"/>
        <v>117.15384615384616</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496.35</v>
      </c>
      <c r="AE48" s="67">
        <f ca="1">VLOOKUP($B48,'Summary Calculations (hide)'!$D$15:$U$67,18,0)</f>
        <v>101.25</v>
      </c>
    </row>
    <row r="49" spans="1:31" x14ac:dyDescent="0.2">
      <c r="A49" s="87">
        <f t="shared" ca="1" si="3"/>
        <v>44746</v>
      </c>
      <c r="B49" s="67">
        <f t="shared" ca="1" si="0"/>
        <v>27</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496.35</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101.25</v>
      </c>
      <c r="E49" s="5">
        <f ca="1">VLOOKUP($B49,'Summary Calculations (hide)'!$D$15:$U$67,15,0)</f>
        <v>13.038461538461538</v>
      </c>
      <c r="F49" s="5">
        <f ca="1">VLOOKUP($B49,'Summary Calculations (hide)'!$D$15:$U$67,16,0)</f>
        <v>2.1153846153846154</v>
      </c>
      <c r="G49" s="5">
        <f t="shared" ca="1" si="1"/>
        <v>15.153846153846153</v>
      </c>
      <c r="H49" s="5">
        <f t="shared" ca="1" si="2"/>
        <v>117.15384615384616</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496.35</v>
      </c>
      <c r="AE49" s="67">
        <f ca="1">VLOOKUP($B49,'Summary Calculations (hide)'!$D$15:$U$67,18,0)</f>
        <v>101.25</v>
      </c>
    </row>
    <row r="50" spans="1:31" x14ac:dyDescent="0.2">
      <c r="A50" s="87">
        <f t="shared" ca="1" si="3"/>
        <v>44753</v>
      </c>
      <c r="B50" s="67">
        <f t="shared" ca="1" si="0"/>
        <v>28</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496.35</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101.25</v>
      </c>
      <c r="E50" s="5">
        <f ca="1">VLOOKUP($B50,'Summary Calculations (hide)'!$D$15:$U$67,15,0)</f>
        <v>13.038461538461538</v>
      </c>
      <c r="F50" s="5">
        <f ca="1">VLOOKUP($B50,'Summary Calculations (hide)'!$D$15:$U$67,16,0)</f>
        <v>2.1153846153846154</v>
      </c>
      <c r="G50" s="5">
        <f t="shared" ca="1" si="1"/>
        <v>15.153846153846153</v>
      </c>
      <c r="H50" s="5">
        <f t="shared" ca="1" si="2"/>
        <v>15.153846153846153</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496.35</v>
      </c>
      <c r="AE50" s="67">
        <f ca="1">VLOOKUP($B50,'Summary Calculations (hide)'!$D$15:$U$67,18,0)</f>
        <v>101.25</v>
      </c>
    </row>
    <row r="51" spans="1:31" x14ac:dyDescent="0.2">
      <c r="A51" s="87">
        <f t="shared" ca="1" si="3"/>
        <v>44760</v>
      </c>
      <c r="B51" s="67">
        <f t="shared" ca="1" si="0"/>
        <v>29</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496.35</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101.25</v>
      </c>
      <c r="E51" s="5">
        <f ca="1">VLOOKUP($B51,'Summary Calculations (hide)'!$D$15:$U$67,15,0)</f>
        <v>13.038461538461538</v>
      </c>
      <c r="F51" s="5">
        <f ca="1">VLOOKUP($B51,'Summary Calculations (hide)'!$D$15:$U$67,16,0)</f>
        <v>2.1153846153846154</v>
      </c>
      <c r="G51" s="5">
        <f t="shared" ca="1" si="1"/>
        <v>15.153846153846153</v>
      </c>
      <c r="H51" s="5">
        <f t="shared" ca="1" si="2"/>
        <v>15.153846153846153</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496.35</v>
      </c>
      <c r="AE51" s="67">
        <f ca="1">VLOOKUP($B51,'Summary Calculations (hide)'!$D$15:$U$67,18,0)</f>
        <v>101.25</v>
      </c>
    </row>
    <row r="52" spans="1:31" x14ac:dyDescent="0.2">
      <c r="A52" s="87">
        <f t="shared" ca="1" si="3"/>
        <v>44767</v>
      </c>
      <c r="B52" s="67">
        <f t="shared" ca="1" si="0"/>
        <v>30</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496.35</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101.25</v>
      </c>
      <c r="E52" s="5">
        <f ca="1">VLOOKUP($B52,'Summary Calculations (hide)'!$D$15:$U$67,15,0)</f>
        <v>13.038461538461538</v>
      </c>
      <c r="F52" s="5">
        <f ca="1">VLOOKUP($B52,'Summary Calculations (hide)'!$D$15:$U$67,16,0)</f>
        <v>2.1153846153846154</v>
      </c>
      <c r="G52" s="5">
        <f t="shared" ca="1" si="1"/>
        <v>15.153846153846153</v>
      </c>
      <c r="H52" s="5">
        <f t="shared" ca="1" si="2"/>
        <v>15.153846153846153</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496.35</v>
      </c>
      <c r="AE52" s="67">
        <f ca="1">VLOOKUP($B52,'Summary Calculations (hide)'!$D$15:$U$67,18,0)</f>
        <v>101.25</v>
      </c>
    </row>
    <row r="53" spans="1:31" x14ac:dyDescent="0.2">
      <c r="A53" s="87">
        <f t="shared" ca="1" si="3"/>
        <v>44774</v>
      </c>
      <c r="B53" s="67">
        <f t="shared" ca="1" si="0"/>
        <v>31</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496.35</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101.25</v>
      </c>
      <c r="E53" s="5">
        <f ca="1">VLOOKUP($B53,'Summary Calculations (hide)'!$D$15:$U$67,15,0)</f>
        <v>13.038461538461538</v>
      </c>
      <c r="F53" s="5">
        <f ca="1">VLOOKUP($B53,'Summary Calculations (hide)'!$D$15:$U$67,16,0)</f>
        <v>2.1153846153846154</v>
      </c>
      <c r="G53" s="5">
        <f t="shared" ca="1" si="1"/>
        <v>15.153846153846153</v>
      </c>
      <c r="H53" s="5">
        <f t="shared" ca="1" si="2"/>
        <v>15.153846153846153</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496.35</v>
      </c>
      <c r="AE53" s="67">
        <f ca="1">VLOOKUP($B53,'Summary Calculations (hide)'!$D$15:$U$67,18,0)</f>
        <v>101.25</v>
      </c>
    </row>
    <row r="54" spans="1:31" x14ac:dyDescent="0.2">
      <c r="A54" s="87">
        <f t="shared" ca="1" si="3"/>
        <v>44781</v>
      </c>
      <c r="B54" s="67">
        <f t="shared" ca="1" si="0"/>
        <v>32</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496.35</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101.25</v>
      </c>
      <c r="E54" s="5">
        <f ca="1">VLOOKUP($B54,'Summary Calculations (hide)'!$D$15:$U$67,15,0)</f>
        <v>13.038461538461538</v>
      </c>
      <c r="F54" s="5">
        <f ca="1">VLOOKUP($B54,'Summary Calculations (hide)'!$D$15:$U$67,16,0)</f>
        <v>2.1153846153846154</v>
      </c>
      <c r="G54" s="5">
        <f t="shared" ca="1" si="1"/>
        <v>15.153846153846153</v>
      </c>
      <c r="H54" s="5">
        <f t="shared" ca="1" si="2"/>
        <v>15.153846153846153</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496.35</v>
      </c>
      <c r="AE54" s="67">
        <f ca="1">VLOOKUP($B54,'Summary Calculations (hide)'!$D$15:$U$67,18,0)</f>
        <v>101.25</v>
      </c>
    </row>
    <row r="55" spans="1:31" x14ac:dyDescent="0.2">
      <c r="A55" s="87">
        <f t="shared" ca="1" si="3"/>
        <v>44788</v>
      </c>
      <c r="B55" s="67">
        <f t="shared" ca="1" si="0"/>
        <v>33</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496.35</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101.25</v>
      </c>
      <c r="E55" s="5">
        <f ca="1">VLOOKUP($B55,'Summary Calculations (hide)'!$D$15:$U$67,15,0)</f>
        <v>13.038461538461538</v>
      </c>
      <c r="F55" s="5">
        <f ca="1">VLOOKUP($B55,'Summary Calculations (hide)'!$D$15:$U$67,16,0)</f>
        <v>2.1153846153846154</v>
      </c>
      <c r="G55" s="5">
        <f t="shared" ca="1" si="1"/>
        <v>15.153846153846153</v>
      </c>
      <c r="H55" s="5">
        <f t="shared" ca="1" si="2"/>
        <v>15.153846153846153</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496.35</v>
      </c>
      <c r="AE55" s="67">
        <f ca="1">VLOOKUP($B55,'Summary Calculations (hide)'!$D$15:$U$67,18,0)</f>
        <v>101.25</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f ca="1">'Summary Calculations (hide)'!X72</f>
        <v>445.5</v>
      </c>
    </row>
    <row r="5" spans="1:3" x14ac:dyDescent="0.2">
      <c r="A5" s="166" t="s">
        <v>531</v>
      </c>
      <c r="B5" s="166" t="s">
        <v>532</v>
      </c>
      <c r="C5" s="5">
        <f ca="1">'Summary Calculations (hide)'!M70</f>
        <v>496.34999999999962</v>
      </c>
    </row>
    <row r="6" spans="1:3" x14ac:dyDescent="0.2">
      <c r="A6" s="166" t="s">
        <v>533</v>
      </c>
      <c r="B6" s="166" t="s">
        <v>534</v>
      </c>
      <c r="C6" s="5">
        <f ca="1">'Summary Calculations (hide)'!N70</f>
        <v>597.59999999999945</v>
      </c>
    </row>
    <row r="7" spans="1:3" ht="42.75" x14ac:dyDescent="0.2">
      <c r="A7" s="166" t="s">
        <v>99</v>
      </c>
      <c r="B7" s="166" t="s">
        <v>535</v>
      </c>
      <c r="C7">
        <f ca="1">'Parameters calculator (hide)'!B45</f>
        <v>0.1</v>
      </c>
    </row>
    <row r="8" spans="1:3" ht="28.5" x14ac:dyDescent="0.2">
      <c r="A8" s="166" t="s">
        <v>536</v>
      </c>
      <c r="B8" s="166" t="s">
        <v>537</v>
      </c>
      <c r="C8">
        <f ca="1">'Parameters calculator (hide)'!B46</f>
        <v>1</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0</v>
      </c>
    </row>
    <row r="12" spans="1:3" x14ac:dyDescent="0.2">
      <c r="A12" s="166" t="s">
        <v>494</v>
      </c>
      <c r="B12" s="166" t="s">
        <v>544</v>
      </c>
      <c r="C12" s="5">
        <f ca="1">SUM('Summary Calculations (hide)'!R70:S70)</f>
        <v>15.15384615384616</v>
      </c>
    </row>
    <row r="13" spans="1:3" x14ac:dyDescent="0.2">
      <c r="A13" s="166" t="s">
        <v>545</v>
      </c>
      <c r="B13" s="166" t="s">
        <v>546</v>
      </c>
      <c r="C13" s="5">
        <f ca="1">'Parameters calculator (hide)'!F63</f>
        <v>44.802582033351257</v>
      </c>
    </row>
    <row r="14" spans="1:3" x14ac:dyDescent="0.2">
      <c r="A14" s="166" t="s">
        <v>547</v>
      </c>
      <c r="B14" s="166" t="s">
        <v>548</v>
      </c>
      <c r="C14" s="5">
        <f ca="1">'Parameters calculator (hide)'!B79</f>
        <v>60</v>
      </c>
    </row>
    <row r="15" spans="1:3" x14ac:dyDescent="0.2">
      <c r="A15" s="166" t="s">
        <v>75</v>
      </c>
      <c r="B15" s="166" t="s">
        <v>549</v>
      </c>
      <c r="C15">
        <f ca="1">'Parameters calculator (hide)'!B43+'Parameters calculator (hide)'!B44</f>
        <v>0.1</v>
      </c>
    </row>
    <row r="16" spans="1:3" x14ac:dyDescent="0.2">
      <c r="A16" s="166" t="s">
        <v>550</v>
      </c>
      <c r="B16" s="166" t="s">
        <v>551</v>
      </c>
      <c r="C16">
        <v>0</v>
      </c>
    </row>
    <row r="17" spans="1:3" x14ac:dyDescent="0.2">
      <c r="A17" s="166" t="s">
        <v>552</v>
      </c>
      <c r="B17" s="166" t="s">
        <v>553</v>
      </c>
      <c r="C17">
        <f>IF(Summary!$C$8="Patients",0,1)</f>
        <v>1</v>
      </c>
    </row>
    <row r="18" spans="1:3" ht="28.5" x14ac:dyDescent="0.2">
      <c r="A18" s="166" t="s">
        <v>554</v>
      </c>
      <c r="B18" s="166" t="s">
        <v>555</v>
      </c>
      <c r="C18">
        <f ca="1">IF(C17=0,1,'Summary Calculations (hide)'!$I$9)</f>
        <v>36.982758620689658</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Sai Khunpha</cp:lastModifiedBy>
  <dcterms:created xsi:type="dcterms:W3CDTF">2018-01-30T12:52:20Z</dcterms:created>
  <dcterms:modified xsi:type="dcterms:W3CDTF">2021-08-20T14:20:20Z</dcterms:modified>
</cp:coreProperties>
</file>